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8195" windowHeight="11820"/>
  </bookViews>
  <sheets>
    <sheet name="excel" sheetId="1" r:id="rId1"/>
  </sheets>
  <calcPr calcId="124519"/>
</workbook>
</file>

<file path=xl/calcChain.xml><?xml version="1.0" encoding="utf-8"?>
<calcChain xmlns="http://schemas.openxmlformats.org/spreadsheetml/2006/main">
  <c r="C20557" i="1"/>
  <c r="C20556"/>
  <c r="C20555"/>
  <c r="C20554"/>
  <c r="C20553"/>
  <c r="C20552"/>
  <c r="C20551"/>
  <c r="C20550"/>
  <c r="C20549"/>
  <c r="C20548"/>
  <c r="C20547"/>
  <c r="C20546"/>
  <c r="C20545"/>
  <c r="C20544"/>
  <c r="C20543"/>
  <c r="C20542"/>
  <c r="C20541"/>
  <c r="C20540"/>
  <c r="C20539"/>
  <c r="C20538"/>
  <c r="C20537"/>
  <c r="C20536"/>
  <c r="C20535"/>
  <c r="C20534"/>
  <c r="C20533"/>
  <c r="C20532"/>
  <c r="C20531"/>
  <c r="C20530"/>
  <c r="C20529"/>
  <c r="C20528"/>
  <c r="C20527"/>
  <c r="C20526"/>
  <c r="C20525"/>
  <c r="C20524"/>
  <c r="C20523"/>
  <c r="C20522"/>
  <c r="C20521"/>
  <c r="C20520"/>
  <c r="C20519"/>
  <c r="C20518"/>
  <c r="C20517"/>
  <c r="C20516"/>
  <c r="C20515"/>
  <c r="C20514"/>
  <c r="C20513"/>
  <c r="C20512"/>
  <c r="C20511"/>
  <c r="C20510"/>
  <c r="C20509"/>
  <c r="C20508"/>
  <c r="C20507"/>
  <c r="C20506"/>
  <c r="C20505"/>
  <c r="C20504"/>
  <c r="C20503"/>
  <c r="C20502"/>
  <c r="C20501"/>
  <c r="C20500"/>
  <c r="C20499"/>
  <c r="C20498"/>
  <c r="C20497"/>
  <c r="C20496"/>
  <c r="C20495"/>
  <c r="C20494"/>
  <c r="C20493"/>
  <c r="C20492"/>
  <c r="C20491"/>
  <c r="C20490"/>
  <c r="C20489"/>
  <c r="C20488"/>
  <c r="C20487"/>
  <c r="C20486"/>
  <c r="C20485"/>
  <c r="C20484"/>
  <c r="C20483"/>
  <c r="C20482"/>
  <c r="C20481"/>
  <c r="C20480"/>
  <c r="C20479"/>
  <c r="C20478"/>
  <c r="C20477"/>
  <c r="C20476"/>
  <c r="C20475"/>
  <c r="C20474"/>
  <c r="C20473"/>
  <c r="C20472"/>
  <c r="C20471"/>
  <c r="C20470"/>
  <c r="C20469"/>
  <c r="C20468"/>
  <c r="C20467"/>
  <c r="C20466"/>
  <c r="C20465"/>
  <c r="C20464"/>
  <c r="C20463"/>
  <c r="C20462"/>
  <c r="C20461"/>
  <c r="C20460"/>
  <c r="C20459"/>
  <c r="C20458"/>
  <c r="C20457"/>
  <c r="C20456"/>
  <c r="C20455"/>
  <c r="C20454"/>
  <c r="C20453"/>
  <c r="C20452"/>
  <c r="C20451"/>
  <c r="C20450"/>
  <c r="C20449"/>
  <c r="C20448"/>
  <c r="C20447"/>
  <c r="C20446"/>
  <c r="C20445"/>
  <c r="C20444"/>
  <c r="C20443"/>
  <c r="C20442"/>
  <c r="C20441"/>
  <c r="C20440"/>
  <c r="C20439"/>
  <c r="C20438"/>
  <c r="C20437"/>
  <c r="C20436"/>
  <c r="C20435"/>
  <c r="C20434"/>
  <c r="C20433"/>
  <c r="C20432"/>
  <c r="C20431"/>
  <c r="C20430"/>
  <c r="C20429"/>
  <c r="C20428"/>
  <c r="C20427"/>
  <c r="C20426"/>
  <c r="C20425"/>
  <c r="C20424"/>
  <c r="C20423"/>
  <c r="C20422"/>
  <c r="C20421"/>
  <c r="C20420"/>
  <c r="C20419"/>
  <c r="C20418"/>
  <c r="C20417"/>
  <c r="C20416"/>
  <c r="C20415"/>
  <c r="C20414"/>
  <c r="C20413"/>
  <c r="C20412"/>
  <c r="C20411"/>
  <c r="C20410"/>
  <c r="C20409"/>
  <c r="C20408"/>
  <c r="C20407"/>
  <c r="C20406"/>
  <c r="C20405"/>
  <c r="C20404"/>
  <c r="C20403"/>
  <c r="C20402"/>
  <c r="C20401"/>
  <c r="C20400"/>
  <c r="C20399"/>
  <c r="C20398"/>
  <c r="C20397"/>
  <c r="C20396"/>
  <c r="C20395"/>
  <c r="C20394"/>
  <c r="C20393"/>
  <c r="C20392"/>
  <c r="C20391"/>
  <c r="C20390"/>
  <c r="C20389"/>
  <c r="C20388"/>
  <c r="C20387"/>
  <c r="C20386"/>
  <c r="C20385"/>
  <c r="C20384"/>
  <c r="C20383"/>
  <c r="C20382"/>
  <c r="C20381"/>
  <c r="C20380"/>
  <c r="C20379"/>
  <c r="C20378"/>
  <c r="C20377"/>
  <c r="C20376"/>
  <c r="C20375"/>
  <c r="C20374"/>
  <c r="C20373"/>
  <c r="C20372"/>
  <c r="C20371"/>
  <c r="C20370"/>
  <c r="C20369"/>
  <c r="C20368"/>
  <c r="C20367"/>
  <c r="C20366"/>
  <c r="C20365"/>
  <c r="C20364"/>
  <c r="C20363"/>
  <c r="C20362"/>
  <c r="C20361"/>
  <c r="C20360"/>
  <c r="C20359"/>
  <c r="C20358"/>
  <c r="C20357"/>
  <c r="C20356"/>
  <c r="C20355"/>
  <c r="C20354"/>
  <c r="C20353"/>
  <c r="C20352"/>
  <c r="C20351"/>
  <c r="C20350"/>
  <c r="C20349"/>
  <c r="C20348"/>
  <c r="C20347"/>
  <c r="C20346"/>
  <c r="C20345"/>
  <c r="C20344"/>
  <c r="C20343"/>
  <c r="C20342"/>
  <c r="C20341"/>
  <c r="C20340"/>
  <c r="C20339"/>
  <c r="C20338"/>
  <c r="C20337"/>
  <c r="C20336"/>
  <c r="C20335"/>
  <c r="C20334"/>
  <c r="C20333"/>
  <c r="C20332"/>
  <c r="C20331"/>
  <c r="C20330"/>
  <c r="C20329"/>
  <c r="C20328"/>
  <c r="C20327"/>
  <c r="C20326"/>
  <c r="C20325"/>
  <c r="C20324"/>
  <c r="C20323"/>
  <c r="C20322"/>
  <c r="C20321"/>
  <c r="C20320"/>
  <c r="C20319"/>
  <c r="C20318"/>
  <c r="C20317"/>
  <c r="C20316"/>
  <c r="C20315"/>
  <c r="C20314"/>
  <c r="C20313"/>
  <c r="C20312"/>
  <c r="C20311"/>
  <c r="C20310"/>
  <c r="C20309"/>
  <c r="C20308"/>
  <c r="C20307"/>
  <c r="C20306"/>
  <c r="C20305"/>
  <c r="C20304"/>
  <c r="C20303"/>
  <c r="C20302"/>
  <c r="C20301"/>
  <c r="C20300"/>
  <c r="C20299"/>
  <c r="C20298"/>
  <c r="C20297"/>
  <c r="C20296"/>
  <c r="C20295"/>
  <c r="C20294"/>
  <c r="C20293"/>
  <c r="C20292"/>
  <c r="C20291"/>
  <c r="C20290"/>
  <c r="C20289"/>
  <c r="C20288"/>
  <c r="C20287"/>
  <c r="C20286"/>
  <c r="C20285"/>
  <c r="C20284"/>
  <c r="C20283"/>
  <c r="C20282"/>
  <c r="C20281"/>
  <c r="C20280"/>
  <c r="C20279"/>
  <c r="C20278"/>
  <c r="C20277"/>
  <c r="C20276"/>
  <c r="C20275"/>
  <c r="C20274"/>
  <c r="C20273"/>
  <c r="C20272"/>
  <c r="C20271"/>
  <c r="C20270"/>
  <c r="C20269"/>
  <c r="C20268"/>
  <c r="C20267"/>
  <c r="C20266"/>
  <c r="C20265"/>
  <c r="C20264"/>
  <c r="C20263"/>
  <c r="C20262"/>
  <c r="C20261"/>
  <c r="C20260"/>
  <c r="C20259"/>
  <c r="C20258"/>
  <c r="C20257"/>
  <c r="C20256"/>
  <c r="C20255"/>
  <c r="C20254"/>
  <c r="C20253"/>
  <c r="C20252"/>
  <c r="C20251"/>
  <c r="C20250"/>
  <c r="C20249"/>
  <c r="C20248"/>
  <c r="C20247"/>
  <c r="C20246"/>
  <c r="C20245"/>
  <c r="C20244"/>
  <c r="C20243"/>
  <c r="C20242"/>
  <c r="C20241"/>
  <c r="C20240"/>
  <c r="C20239"/>
  <c r="C20238"/>
  <c r="C20237"/>
  <c r="C20236"/>
  <c r="C20235"/>
  <c r="C20234"/>
  <c r="C20233"/>
  <c r="C20232"/>
  <c r="C20231"/>
  <c r="C20230"/>
  <c r="C20229"/>
  <c r="C20228"/>
  <c r="C20227"/>
  <c r="C20226"/>
  <c r="C20225"/>
  <c r="C20224"/>
  <c r="C20223"/>
  <c r="C20222"/>
  <c r="C20221"/>
  <c r="C20220"/>
  <c r="C20219"/>
  <c r="C20218"/>
  <c r="C20217"/>
  <c r="C20216"/>
  <c r="C20215"/>
  <c r="C20214"/>
  <c r="C20213"/>
  <c r="C20212"/>
  <c r="C20211"/>
  <c r="C20210"/>
  <c r="C20209"/>
  <c r="C20208"/>
  <c r="C20207"/>
  <c r="C20206"/>
  <c r="C20205"/>
  <c r="C20204"/>
  <c r="C20203"/>
  <c r="C20202"/>
  <c r="C20201"/>
  <c r="C20200"/>
  <c r="C20199"/>
  <c r="C20198"/>
  <c r="C20197"/>
  <c r="C20196"/>
  <c r="C20195"/>
  <c r="C20194"/>
  <c r="C20193"/>
  <c r="C20192"/>
  <c r="C20191"/>
  <c r="C20190"/>
  <c r="C20189"/>
  <c r="C20188"/>
  <c r="C20187"/>
  <c r="C20186"/>
  <c r="C20185"/>
  <c r="C20184"/>
  <c r="C20183"/>
  <c r="C20182"/>
  <c r="C20181"/>
  <c r="C20180"/>
  <c r="C20179"/>
  <c r="C20178"/>
  <c r="C20177"/>
  <c r="C20176"/>
  <c r="C20175"/>
  <c r="C20174"/>
  <c r="C20173"/>
  <c r="C20172"/>
  <c r="C20171"/>
  <c r="C20170"/>
  <c r="C20169"/>
  <c r="C20168"/>
  <c r="C20167"/>
  <c r="C20166"/>
  <c r="C20165"/>
  <c r="C20164"/>
  <c r="C20163"/>
  <c r="C20162"/>
  <c r="C20161"/>
  <c r="C20160"/>
  <c r="C20159"/>
  <c r="C20158"/>
  <c r="C20157"/>
  <c r="C20156"/>
  <c r="C20155"/>
  <c r="C20154"/>
  <c r="C20153"/>
  <c r="C20152"/>
  <c r="C20151"/>
  <c r="C20150"/>
  <c r="C20149"/>
  <c r="C20148"/>
  <c r="C20147"/>
  <c r="C20146"/>
  <c r="C20145"/>
  <c r="C20144"/>
  <c r="C20143"/>
  <c r="C20142"/>
  <c r="C20141"/>
  <c r="C20140"/>
  <c r="C20139"/>
  <c r="C20138"/>
  <c r="C20137"/>
  <c r="C20136"/>
  <c r="C20135"/>
  <c r="C20134"/>
  <c r="C20133"/>
  <c r="C20132"/>
  <c r="C20131"/>
  <c r="C20130"/>
  <c r="C20129"/>
  <c r="C20128"/>
  <c r="C20127"/>
  <c r="C20126"/>
  <c r="C20125"/>
  <c r="C20124"/>
  <c r="C20123"/>
  <c r="C20122"/>
  <c r="C20121"/>
  <c r="C20120"/>
  <c r="C20119"/>
  <c r="C20118"/>
  <c r="C20117"/>
  <c r="C20116"/>
  <c r="C20115"/>
  <c r="C20114"/>
  <c r="C20113"/>
  <c r="C20112"/>
  <c r="C20111"/>
  <c r="C20110"/>
  <c r="C20109"/>
  <c r="C20108"/>
  <c r="C20107"/>
  <c r="C20106"/>
  <c r="C20105"/>
  <c r="C20104"/>
  <c r="C20103"/>
  <c r="C20102"/>
  <c r="C20101"/>
  <c r="C20100"/>
  <c r="C20099"/>
  <c r="C20098"/>
  <c r="C20097"/>
  <c r="C20096"/>
  <c r="C20095"/>
  <c r="C20094"/>
  <c r="C20093"/>
  <c r="C20092"/>
  <c r="C20091"/>
  <c r="C20090"/>
  <c r="C20089"/>
  <c r="C20088"/>
  <c r="C20087"/>
  <c r="C20086"/>
  <c r="C20085"/>
  <c r="C20084"/>
  <c r="C20083"/>
  <c r="C20082"/>
  <c r="C20081"/>
  <c r="C20080"/>
  <c r="C20079"/>
  <c r="C20078"/>
  <c r="C20077"/>
  <c r="C20076"/>
  <c r="C20075"/>
  <c r="C20074"/>
  <c r="C20073"/>
  <c r="C20072"/>
  <c r="C20071"/>
  <c r="C20070"/>
  <c r="C20069"/>
  <c r="C20068"/>
  <c r="C20067"/>
  <c r="C20066"/>
  <c r="C20065"/>
  <c r="C20064"/>
  <c r="C20063"/>
  <c r="C20062"/>
  <c r="C20061"/>
  <c r="C20060"/>
  <c r="C20059"/>
  <c r="C20058"/>
  <c r="C20057"/>
  <c r="C20056"/>
  <c r="C20055"/>
  <c r="C20054"/>
  <c r="C20053"/>
  <c r="C20052"/>
  <c r="C20051"/>
  <c r="C20050"/>
  <c r="C20049"/>
  <c r="C20048"/>
  <c r="C20047"/>
  <c r="C20046"/>
  <c r="C20045"/>
  <c r="C20044"/>
  <c r="C20043"/>
  <c r="C20042"/>
  <c r="C20041"/>
  <c r="C20040"/>
  <c r="C20039"/>
  <c r="C20038"/>
  <c r="C20037"/>
  <c r="C20036"/>
  <c r="C20035"/>
  <c r="C20034"/>
  <c r="C20033"/>
  <c r="C20032"/>
  <c r="C20031"/>
  <c r="C20030"/>
  <c r="C20029"/>
  <c r="C20028"/>
  <c r="C20027"/>
  <c r="C20026"/>
  <c r="C20025"/>
  <c r="C20024"/>
  <c r="C20023"/>
  <c r="C20022"/>
  <c r="C20021"/>
  <c r="C20020"/>
  <c r="C20019"/>
  <c r="C20018"/>
  <c r="C20017"/>
  <c r="C20016"/>
  <c r="C20015"/>
  <c r="C20014"/>
  <c r="C20013"/>
  <c r="C20012"/>
  <c r="C20011"/>
  <c r="C20010"/>
  <c r="C20009"/>
  <c r="C20008"/>
  <c r="C20007"/>
  <c r="C20006"/>
  <c r="C20005"/>
  <c r="C20004"/>
  <c r="C20003"/>
  <c r="C20002"/>
  <c r="C20001"/>
  <c r="C20000"/>
  <c r="C19999"/>
  <c r="C19998"/>
  <c r="C19997"/>
  <c r="C19996"/>
  <c r="C19995"/>
  <c r="C19994"/>
  <c r="C19993"/>
  <c r="C19992"/>
  <c r="C19991"/>
  <c r="C19990"/>
  <c r="C19989"/>
  <c r="C19988"/>
  <c r="C19987"/>
  <c r="C19986"/>
  <c r="C19985"/>
  <c r="C19984"/>
  <c r="C19983"/>
  <c r="C19982"/>
  <c r="C19981"/>
  <c r="C19980"/>
  <c r="C19979"/>
  <c r="C19978"/>
  <c r="C19977"/>
  <c r="C19976"/>
  <c r="C19975"/>
  <c r="C19974"/>
  <c r="C19973"/>
  <c r="C19972"/>
  <c r="C19971"/>
  <c r="C19970"/>
  <c r="C19969"/>
  <c r="C19968"/>
  <c r="C19967"/>
  <c r="C19966"/>
  <c r="C19965"/>
  <c r="C19964"/>
  <c r="C19963"/>
  <c r="C19962"/>
  <c r="C19961"/>
  <c r="C19960"/>
  <c r="C19959"/>
  <c r="C19958"/>
  <c r="C19957"/>
  <c r="C19956"/>
  <c r="C19955"/>
  <c r="C19954"/>
  <c r="C19953"/>
  <c r="C19952"/>
  <c r="C19951"/>
  <c r="C19950"/>
  <c r="C19949"/>
  <c r="C19948"/>
  <c r="C19947"/>
  <c r="C19946"/>
  <c r="C19945"/>
  <c r="C19944"/>
  <c r="C19943"/>
  <c r="C19942"/>
  <c r="C19941"/>
  <c r="C19940"/>
  <c r="C19939"/>
  <c r="C19938"/>
  <c r="C19937"/>
  <c r="C19936"/>
  <c r="C19935"/>
  <c r="C19934"/>
  <c r="C19933"/>
  <c r="C19932"/>
  <c r="C19931"/>
  <c r="C19930"/>
  <c r="C19929"/>
  <c r="C19928"/>
  <c r="C19927"/>
  <c r="C19926"/>
  <c r="C19925"/>
  <c r="C19924"/>
  <c r="C19923"/>
  <c r="C19922"/>
  <c r="C19921"/>
  <c r="C19920"/>
  <c r="C19919"/>
  <c r="C19918"/>
  <c r="C19917"/>
  <c r="C19916"/>
  <c r="C19915"/>
  <c r="C19914"/>
  <c r="C19913"/>
  <c r="C19912"/>
  <c r="C19911"/>
  <c r="C19910"/>
  <c r="C19909"/>
  <c r="C19908"/>
  <c r="C19907"/>
  <c r="C19906"/>
  <c r="C19905"/>
  <c r="C19904"/>
  <c r="C19903"/>
  <c r="C19902"/>
  <c r="C19901"/>
  <c r="C19900"/>
  <c r="C19899"/>
  <c r="C19898"/>
  <c r="C19897"/>
  <c r="C19896"/>
  <c r="C19895"/>
  <c r="C19894"/>
  <c r="C19893"/>
  <c r="C19892"/>
  <c r="C19891"/>
  <c r="C19890"/>
  <c r="C19889"/>
  <c r="C19888"/>
  <c r="C19887"/>
  <c r="C19886"/>
  <c r="C19885"/>
  <c r="C19884"/>
  <c r="C19883"/>
  <c r="C19882"/>
  <c r="C19881"/>
  <c r="C19880"/>
  <c r="C19879"/>
  <c r="C19878"/>
  <c r="C19877"/>
  <c r="C19876"/>
  <c r="C19875"/>
  <c r="C19874"/>
  <c r="C19873"/>
  <c r="C19872"/>
  <c r="C19871"/>
  <c r="C19870"/>
  <c r="C19869"/>
  <c r="C19868"/>
  <c r="C19867"/>
  <c r="C19866"/>
  <c r="C19865"/>
  <c r="C19864"/>
  <c r="C19863"/>
  <c r="C19862"/>
  <c r="C19861"/>
  <c r="C19860"/>
  <c r="C19859"/>
  <c r="C19858"/>
  <c r="C19857"/>
  <c r="C19856"/>
  <c r="C19855"/>
  <c r="C19854"/>
  <c r="C19853"/>
  <c r="C19852"/>
  <c r="C19851"/>
  <c r="C19850"/>
  <c r="C19849"/>
  <c r="C19848"/>
  <c r="C19847"/>
  <c r="C19846"/>
  <c r="C19845"/>
  <c r="C19844"/>
  <c r="C19843"/>
  <c r="C19842"/>
  <c r="C19841"/>
  <c r="C19840"/>
  <c r="C19839"/>
  <c r="C19838"/>
  <c r="C19837"/>
  <c r="C19836"/>
  <c r="C19835"/>
  <c r="C19834"/>
  <c r="C19833"/>
  <c r="C19832"/>
  <c r="C19831"/>
  <c r="C19830"/>
  <c r="C19829"/>
  <c r="C19828"/>
  <c r="C19827"/>
  <c r="C19826"/>
  <c r="C19825"/>
  <c r="C19824"/>
  <c r="C19823"/>
  <c r="C19822"/>
  <c r="C19821"/>
  <c r="C19820"/>
  <c r="C19819"/>
  <c r="C19818"/>
  <c r="C19817"/>
  <c r="C19816"/>
  <c r="C19815"/>
  <c r="C19814"/>
  <c r="C19813"/>
  <c r="C19812"/>
  <c r="C19811"/>
  <c r="C19810"/>
  <c r="C19809"/>
  <c r="C19808"/>
  <c r="C19807"/>
  <c r="C19806"/>
  <c r="C19805"/>
  <c r="C19804"/>
  <c r="C19803"/>
  <c r="C19802"/>
  <c r="C19801"/>
  <c r="C19800"/>
  <c r="C19799"/>
  <c r="C19798"/>
  <c r="C19797"/>
  <c r="C19796"/>
  <c r="C19795"/>
  <c r="C19794"/>
  <c r="C19793"/>
  <c r="C19792"/>
  <c r="C19791"/>
  <c r="C19790"/>
  <c r="C19789"/>
  <c r="C19788"/>
  <c r="C19787"/>
  <c r="C19786"/>
  <c r="C19785"/>
  <c r="C19784"/>
  <c r="C19783"/>
  <c r="C19782"/>
  <c r="C19781"/>
  <c r="C19780"/>
  <c r="C19779"/>
  <c r="C19778"/>
  <c r="C19777"/>
  <c r="C19776"/>
  <c r="C19775"/>
  <c r="C19774"/>
  <c r="C19773"/>
  <c r="C19772"/>
  <c r="C19771"/>
  <c r="C19770"/>
  <c r="C19769"/>
  <c r="C19768"/>
  <c r="C19767"/>
  <c r="C19766"/>
  <c r="C19765"/>
  <c r="C19764"/>
  <c r="C19763"/>
  <c r="C19762"/>
  <c r="C19761"/>
  <c r="C19760"/>
  <c r="C19759"/>
  <c r="C19758"/>
  <c r="C19757"/>
  <c r="C19756"/>
  <c r="C19755"/>
  <c r="C19754"/>
  <c r="C19753"/>
  <c r="C19752"/>
  <c r="C19751"/>
  <c r="C19750"/>
  <c r="C19749"/>
  <c r="C19748"/>
  <c r="C19747"/>
  <c r="C19746"/>
  <c r="C19745"/>
  <c r="C19744"/>
  <c r="C19743"/>
  <c r="C19742"/>
  <c r="C19741"/>
  <c r="C19740"/>
  <c r="C19739"/>
  <c r="C19738"/>
  <c r="C19737"/>
  <c r="C19736"/>
  <c r="C19735"/>
  <c r="C19734"/>
  <c r="C19733"/>
  <c r="C19732"/>
  <c r="C19731"/>
  <c r="C19730"/>
  <c r="C19729"/>
  <c r="C19728"/>
  <c r="C19727"/>
  <c r="C19726"/>
  <c r="C19725"/>
  <c r="C19724"/>
  <c r="C19723"/>
  <c r="C19722"/>
  <c r="C19721"/>
  <c r="C19720"/>
  <c r="C19719"/>
  <c r="C19718"/>
  <c r="C19717"/>
  <c r="C19716"/>
  <c r="C19715"/>
  <c r="C19714"/>
  <c r="C19713"/>
  <c r="C19712"/>
  <c r="C19711"/>
  <c r="C19710"/>
  <c r="C19709"/>
  <c r="C19708"/>
  <c r="C19707"/>
  <c r="C19706"/>
  <c r="C19705"/>
  <c r="C19704"/>
  <c r="C19703"/>
  <c r="C19702"/>
  <c r="C19701"/>
  <c r="C19700"/>
  <c r="C19699"/>
  <c r="C19698"/>
  <c r="C19697"/>
  <c r="C19696"/>
  <c r="C19695"/>
  <c r="C19694"/>
  <c r="C19693"/>
  <c r="C19692"/>
  <c r="C19691"/>
  <c r="C19690"/>
  <c r="C19689"/>
  <c r="C19688"/>
  <c r="C19687"/>
  <c r="C19686"/>
  <c r="C19685"/>
  <c r="C19684"/>
  <c r="C19683"/>
  <c r="C19682"/>
  <c r="C19681"/>
  <c r="C19680"/>
  <c r="C19679"/>
  <c r="C19678"/>
  <c r="C19677"/>
  <c r="C19676"/>
  <c r="C19675"/>
  <c r="C19674"/>
  <c r="C19673"/>
  <c r="C19672"/>
  <c r="C19671"/>
  <c r="C19670"/>
  <c r="C19669"/>
  <c r="C19668"/>
  <c r="C19667"/>
  <c r="C19666"/>
  <c r="C19665"/>
  <c r="C19664"/>
  <c r="C19663"/>
  <c r="C19662"/>
  <c r="C19661"/>
  <c r="C19660"/>
  <c r="C19659"/>
  <c r="C19658"/>
  <c r="C19657"/>
  <c r="C19656"/>
  <c r="C19655"/>
  <c r="C19654"/>
  <c r="C19653"/>
  <c r="C19652"/>
  <c r="C19651"/>
  <c r="C19650"/>
  <c r="C19649"/>
  <c r="C19648"/>
  <c r="C19647"/>
  <c r="C19646"/>
  <c r="C19645"/>
  <c r="C19644"/>
  <c r="C19643"/>
  <c r="C19642"/>
  <c r="C19641"/>
  <c r="C19640"/>
  <c r="C19639"/>
  <c r="C19638"/>
  <c r="C19637"/>
  <c r="C19636"/>
  <c r="C19635"/>
  <c r="C19634"/>
  <c r="C19633"/>
  <c r="C19632"/>
  <c r="C19631"/>
  <c r="C19630"/>
  <c r="C19629"/>
  <c r="C19628"/>
  <c r="C19627"/>
  <c r="C19626"/>
  <c r="C19625"/>
  <c r="C19624"/>
  <c r="C19623"/>
  <c r="C19622"/>
  <c r="C19621"/>
  <c r="C19620"/>
  <c r="C19619"/>
  <c r="C19618"/>
  <c r="C19617"/>
  <c r="C19616"/>
  <c r="C19615"/>
  <c r="C19614"/>
  <c r="C19613"/>
  <c r="C19612"/>
  <c r="C19611"/>
  <c r="C19610"/>
  <c r="C19609"/>
  <c r="C19608"/>
  <c r="C19607"/>
  <c r="C19606"/>
  <c r="C19605"/>
  <c r="C19604"/>
  <c r="C19603"/>
  <c r="C19602"/>
  <c r="C19601"/>
  <c r="C19600"/>
  <c r="C19599"/>
  <c r="C19598"/>
  <c r="C19597"/>
  <c r="C19596"/>
  <c r="C19595"/>
  <c r="C19594"/>
  <c r="C19593"/>
  <c r="C19592"/>
  <c r="C19591"/>
  <c r="C19590"/>
  <c r="C19589"/>
  <c r="C19588"/>
  <c r="C19587"/>
  <c r="C19586"/>
  <c r="C19585"/>
  <c r="C19584"/>
  <c r="C19583"/>
  <c r="C19582"/>
  <c r="C19581"/>
  <c r="C19580"/>
  <c r="C19579"/>
  <c r="C19578"/>
  <c r="C19577"/>
  <c r="C19576"/>
  <c r="C19575"/>
  <c r="C19574"/>
  <c r="C19573"/>
  <c r="C19572"/>
  <c r="C19571"/>
  <c r="C19570"/>
  <c r="C19569"/>
  <c r="C19568"/>
  <c r="C19567"/>
  <c r="C19566"/>
  <c r="C19565"/>
  <c r="C19564"/>
  <c r="C19563"/>
  <c r="C19562"/>
  <c r="C19561"/>
  <c r="C19560"/>
  <c r="C19559"/>
  <c r="C19558"/>
  <c r="C19557"/>
  <c r="C19556"/>
  <c r="C19555"/>
  <c r="C19554"/>
  <c r="C19553"/>
  <c r="C19552"/>
  <c r="C19551"/>
  <c r="C19550"/>
  <c r="C19549"/>
  <c r="C19548"/>
  <c r="C19547"/>
  <c r="C19546"/>
  <c r="C19545"/>
  <c r="C19544"/>
  <c r="C19543"/>
  <c r="C19542"/>
  <c r="C19541"/>
  <c r="C19540"/>
  <c r="C19539"/>
  <c r="C19538"/>
  <c r="C19537"/>
  <c r="C19536"/>
  <c r="C19535"/>
  <c r="C19534"/>
  <c r="C19533"/>
  <c r="C19532"/>
  <c r="C19531"/>
  <c r="C19530"/>
  <c r="C19529"/>
  <c r="C19528"/>
  <c r="C19527"/>
  <c r="C19526"/>
  <c r="C19525"/>
  <c r="C19524"/>
  <c r="C19523"/>
  <c r="C19522"/>
  <c r="C19521"/>
  <c r="C19520"/>
  <c r="C19519"/>
  <c r="C19518"/>
  <c r="C19517"/>
  <c r="C19516"/>
  <c r="C19515"/>
  <c r="C19514"/>
  <c r="C19513"/>
  <c r="C19512"/>
  <c r="C19511"/>
  <c r="C19510"/>
  <c r="C19509"/>
  <c r="C19508"/>
  <c r="C19507"/>
  <c r="C19506"/>
  <c r="C19505"/>
  <c r="C19504"/>
  <c r="C19503"/>
  <c r="C19502"/>
  <c r="C19501"/>
  <c r="C19500"/>
  <c r="C19499"/>
  <c r="C19498"/>
  <c r="C19497"/>
  <c r="C19496"/>
  <c r="C19495"/>
  <c r="C19494"/>
  <c r="C19493"/>
  <c r="C19492"/>
  <c r="C19491"/>
  <c r="C19490"/>
  <c r="C19489"/>
  <c r="C19488"/>
  <c r="C19487"/>
  <c r="C19486"/>
  <c r="C19485"/>
  <c r="C19484"/>
  <c r="C19483"/>
  <c r="C19482"/>
  <c r="C19481"/>
  <c r="C19480"/>
  <c r="C19479"/>
  <c r="C19478"/>
  <c r="C19477"/>
  <c r="C19476"/>
  <c r="C19475"/>
  <c r="C19474"/>
  <c r="C19473"/>
  <c r="C19472"/>
  <c r="C19471"/>
  <c r="C19470"/>
  <c r="C19469"/>
  <c r="C19468"/>
  <c r="C19467"/>
  <c r="C19466"/>
  <c r="C19465"/>
  <c r="C19464"/>
  <c r="C19463"/>
  <c r="C19462"/>
  <c r="C19461"/>
  <c r="C19460"/>
  <c r="C19459"/>
  <c r="C19458"/>
  <c r="C19457"/>
  <c r="C19456"/>
  <c r="C19455"/>
  <c r="C19454"/>
  <c r="C19453"/>
  <c r="C19452"/>
  <c r="C19451"/>
  <c r="C19450"/>
  <c r="C19449"/>
  <c r="C19448"/>
  <c r="C19447"/>
  <c r="C19446"/>
  <c r="C19445"/>
  <c r="C19444"/>
  <c r="C19443"/>
  <c r="C19442"/>
  <c r="C19441"/>
  <c r="C19440"/>
  <c r="C19439"/>
  <c r="C19438"/>
  <c r="C19437"/>
  <c r="C19436"/>
  <c r="C19435"/>
  <c r="C19434"/>
  <c r="C19433"/>
  <c r="C19432"/>
  <c r="C19431"/>
  <c r="C19430"/>
  <c r="C19429"/>
  <c r="C19428"/>
  <c r="C19427"/>
  <c r="C19426"/>
  <c r="C19425"/>
  <c r="C19424"/>
  <c r="C19423"/>
  <c r="C19422"/>
  <c r="C19421"/>
  <c r="C19420"/>
  <c r="C19419"/>
  <c r="C19418"/>
  <c r="C19417"/>
  <c r="C19416"/>
  <c r="C19415"/>
  <c r="C19414"/>
  <c r="C19413"/>
  <c r="C19412"/>
  <c r="C19411"/>
  <c r="C19410"/>
  <c r="C19409"/>
  <c r="C19408"/>
  <c r="C19407"/>
  <c r="C19406"/>
  <c r="C19405"/>
  <c r="C19404"/>
  <c r="C19403"/>
  <c r="C19402"/>
  <c r="C19401"/>
  <c r="C19400"/>
  <c r="C19399"/>
  <c r="C19398"/>
  <c r="C19397"/>
  <c r="C19396"/>
  <c r="C19395"/>
  <c r="C19394"/>
  <c r="C19393"/>
  <c r="C19392"/>
  <c r="C19391"/>
  <c r="C19390"/>
  <c r="C19389"/>
  <c r="C19388"/>
  <c r="C19387"/>
  <c r="C19386"/>
  <c r="C19385"/>
  <c r="C19384"/>
  <c r="C19383"/>
  <c r="C19382"/>
  <c r="C19381"/>
  <c r="C19380"/>
  <c r="C19379"/>
  <c r="C19378"/>
  <c r="C19377"/>
  <c r="C19376"/>
  <c r="C19375"/>
  <c r="C19374"/>
  <c r="C19373"/>
  <c r="C19372"/>
  <c r="C19371"/>
  <c r="C19370"/>
  <c r="C19369"/>
  <c r="C19368"/>
  <c r="C19367"/>
  <c r="C19366"/>
  <c r="C19365"/>
  <c r="C19364"/>
  <c r="C19363"/>
  <c r="C19362"/>
  <c r="C19361"/>
  <c r="C19360"/>
  <c r="C19359"/>
  <c r="C19358"/>
  <c r="C19357"/>
  <c r="C19356"/>
  <c r="C19355"/>
  <c r="C19354"/>
  <c r="C19353"/>
  <c r="C19352"/>
  <c r="C19351"/>
  <c r="C19350"/>
  <c r="C19349"/>
  <c r="C19348"/>
  <c r="C19347"/>
  <c r="C19346"/>
  <c r="C19345"/>
  <c r="C19344"/>
  <c r="C19343"/>
  <c r="C19342"/>
  <c r="C19341"/>
  <c r="C19340"/>
  <c r="C19339"/>
  <c r="C19338"/>
  <c r="C19337"/>
  <c r="C19336"/>
  <c r="C19335"/>
  <c r="C19334"/>
  <c r="C19333"/>
  <c r="C19332"/>
  <c r="C19331"/>
  <c r="C19330"/>
  <c r="C19329"/>
  <c r="C19328"/>
  <c r="C19327"/>
  <c r="C19326"/>
  <c r="C19325"/>
  <c r="C19324"/>
  <c r="C19323"/>
  <c r="C19322"/>
  <c r="C19321"/>
  <c r="C19320"/>
  <c r="C19319"/>
  <c r="C19318"/>
  <c r="C19317"/>
  <c r="C19316"/>
  <c r="C19315"/>
  <c r="C19314"/>
  <c r="C19313"/>
  <c r="C19312"/>
  <c r="C19311"/>
  <c r="C19310"/>
  <c r="C19309"/>
  <c r="C19308"/>
  <c r="C19307"/>
  <c r="C19306"/>
  <c r="C19305"/>
  <c r="C19304"/>
  <c r="C19303"/>
  <c r="C19302"/>
  <c r="C19301"/>
  <c r="C19300"/>
  <c r="C19299"/>
  <c r="C19298"/>
  <c r="C19297"/>
  <c r="C19296"/>
  <c r="C19295"/>
  <c r="C19294"/>
  <c r="C19293"/>
  <c r="C19292"/>
  <c r="C19291"/>
  <c r="C19290"/>
  <c r="C19289"/>
  <c r="C19288"/>
  <c r="C19287"/>
  <c r="C19286"/>
  <c r="C19285"/>
  <c r="C19284"/>
  <c r="C19283"/>
  <c r="C19282"/>
  <c r="C19281"/>
  <c r="C19280"/>
  <c r="C19279"/>
  <c r="C19278"/>
  <c r="C19277"/>
  <c r="C19276"/>
  <c r="C19275"/>
  <c r="C19274"/>
  <c r="C19273"/>
  <c r="C19272"/>
  <c r="C19271"/>
  <c r="C19270"/>
  <c r="C19269"/>
  <c r="C19268"/>
  <c r="C19267"/>
  <c r="C19266"/>
  <c r="C19265"/>
  <c r="C19264"/>
  <c r="C19263"/>
  <c r="C19262"/>
  <c r="C19261"/>
  <c r="C19260"/>
  <c r="C19259"/>
  <c r="C19258"/>
  <c r="C19257"/>
  <c r="C19256"/>
  <c r="C19255"/>
  <c r="C19254"/>
  <c r="C19253"/>
  <c r="C19252"/>
  <c r="C19251"/>
  <c r="C19250"/>
  <c r="C19249"/>
  <c r="C19248"/>
  <c r="C19247"/>
  <c r="C19246"/>
  <c r="C19245"/>
  <c r="C19244"/>
  <c r="C19243"/>
  <c r="C19242"/>
  <c r="C19241"/>
  <c r="C19240"/>
  <c r="C19239"/>
  <c r="C19238"/>
  <c r="C19237"/>
  <c r="C19236"/>
  <c r="C19235"/>
  <c r="C19234"/>
  <c r="C19233"/>
  <c r="C19232"/>
  <c r="C19231"/>
  <c r="C19230"/>
  <c r="C19229"/>
  <c r="C19228"/>
  <c r="C19227"/>
  <c r="C19226"/>
  <c r="C19225"/>
  <c r="C19224"/>
  <c r="C19223"/>
  <c r="C19222"/>
  <c r="C19221"/>
  <c r="C19220"/>
  <c r="C19219"/>
  <c r="C19218"/>
  <c r="C19217"/>
  <c r="C19216"/>
  <c r="C19215"/>
  <c r="C19214"/>
  <c r="C19213"/>
  <c r="C19212"/>
  <c r="C19211"/>
  <c r="C19210"/>
  <c r="C19209"/>
  <c r="C19208"/>
  <c r="C19207"/>
  <c r="C19206"/>
  <c r="C19205"/>
  <c r="C19204"/>
  <c r="C19203"/>
  <c r="C19202"/>
  <c r="C19201"/>
  <c r="C19200"/>
  <c r="C19199"/>
  <c r="C19198"/>
  <c r="C19197"/>
  <c r="C19196"/>
  <c r="C19195"/>
  <c r="C19194"/>
  <c r="C19193"/>
  <c r="C19192"/>
  <c r="C19191"/>
  <c r="C19190"/>
  <c r="C19189"/>
  <c r="C19188"/>
  <c r="C19187"/>
  <c r="C19186"/>
  <c r="C19185"/>
  <c r="C19184"/>
  <c r="C19183"/>
  <c r="C19182"/>
  <c r="C19181"/>
  <c r="C19180"/>
  <c r="C19179"/>
  <c r="C19178"/>
  <c r="C19177"/>
  <c r="C19176"/>
  <c r="C19175"/>
  <c r="C19174"/>
  <c r="C19173"/>
  <c r="C19172"/>
  <c r="C19171"/>
  <c r="C19170"/>
  <c r="C19169"/>
  <c r="C19168"/>
  <c r="C19167"/>
  <c r="C19166"/>
  <c r="C19165"/>
  <c r="C19164"/>
  <c r="C19163"/>
  <c r="C19162"/>
  <c r="C19161"/>
  <c r="C19160"/>
  <c r="C19159"/>
  <c r="C19158"/>
  <c r="C19157"/>
  <c r="C19156"/>
  <c r="C19155"/>
  <c r="C19154"/>
  <c r="C19153"/>
  <c r="C19152"/>
  <c r="C19151"/>
  <c r="C19150"/>
  <c r="C19149"/>
  <c r="C19148"/>
  <c r="C19147"/>
  <c r="C19146"/>
  <c r="C19145"/>
  <c r="C19144"/>
  <c r="C19143"/>
  <c r="C19142"/>
  <c r="C19141"/>
  <c r="C19140"/>
  <c r="C19139"/>
  <c r="C19138"/>
  <c r="C19137"/>
  <c r="C19136"/>
  <c r="C19135"/>
  <c r="C19134"/>
  <c r="C19133"/>
  <c r="C19132"/>
  <c r="C19131"/>
  <c r="C19130"/>
  <c r="C19129"/>
  <c r="C19128"/>
  <c r="C19127"/>
  <c r="C19126"/>
  <c r="C19125"/>
  <c r="C19124"/>
  <c r="C19123"/>
  <c r="C19122"/>
  <c r="C19121"/>
  <c r="C19120"/>
  <c r="C19119"/>
  <c r="C19118"/>
  <c r="C19117"/>
  <c r="C19116"/>
  <c r="C19115"/>
  <c r="C19114"/>
  <c r="C19113"/>
  <c r="C19112"/>
  <c r="C19111"/>
  <c r="C19110"/>
  <c r="C19109"/>
  <c r="C19108"/>
  <c r="C19107"/>
  <c r="C19106"/>
  <c r="C19105"/>
  <c r="C19104"/>
  <c r="C19103"/>
  <c r="C19102"/>
  <c r="C19101"/>
  <c r="C19100"/>
  <c r="C19099"/>
  <c r="C19098"/>
  <c r="C19097"/>
  <c r="C19096"/>
  <c r="C19095"/>
  <c r="C19094"/>
  <c r="C19093"/>
  <c r="C19092"/>
  <c r="C19091"/>
  <c r="C19090"/>
  <c r="C19089"/>
  <c r="C19088"/>
  <c r="C19087"/>
  <c r="C19086"/>
  <c r="C19085"/>
  <c r="C19084"/>
  <c r="C19083"/>
  <c r="C19082"/>
  <c r="C19081"/>
  <c r="C19080"/>
  <c r="C19079"/>
  <c r="C19078"/>
  <c r="C19077"/>
  <c r="C19076"/>
  <c r="C19075"/>
  <c r="C19074"/>
  <c r="C19073"/>
  <c r="C19072"/>
  <c r="C19071"/>
  <c r="C19070"/>
  <c r="C19069"/>
  <c r="C19068"/>
  <c r="C19067"/>
  <c r="C19066"/>
  <c r="C19065"/>
  <c r="C19064"/>
  <c r="C19063"/>
  <c r="C19062"/>
  <c r="C19061"/>
  <c r="C19060"/>
  <c r="C19059"/>
  <c r="C19058"/>
  <c r="C19057"/>
  <c r="C19056"/>
  <c r="C19055"/>
  <c r="C19054"/>
  <c r="C19053"/>
  <c r="C19052"/>
  <c r="C19051"/>
  <c r="C19050"/>
  <c r="C19049"/>
  <c r="C19048"/>
  <c r="C19047"/>
  <c r="C19046"/>
  <c r="C19045"/>
  <c r="C19044"/>
  <c r="C19043"/>
  <c r="C19042"/>
  <c r="C19041"/>
  <c r="C19040"/>
  <c r="C19039"/>
  <c r="C19038"/>
  <c r="C19037"/>
  <c r="C19036"/>
  <c r="C19035"/>
  <c r="C19034"/>
  <c r="C19033"/>
  <c r="C19032"/>
  <c r="C19031"/>
  <c r="C19030"/>
  <c r="C19029"/>
  <c r="C19028"/>
  <c r="C19027"/>
  <c r="C19026"/>
  <c r="C19025"/>
  <c r="C19024"/>
  <c r="C19023"/>
  <c r="C19022"/>
  <c r="C19021"/>
  <c r="C19020"/>
  <c r="C19019"/>
  <c r="C19018"/>
  <c r="C19017"/>
  <c r="C19016"/>
  <c r="C19015"/>
  <c r="C19014"/>
  <c r="C19013"/>
  <c r="C19012"/>
  <c r="C19011"/>
  <c r="C19010"/>
  <c r="C19009"/>
  <c r="C19008"/>
  <c r="C19007"/>
  <c r="C19006"/>
  <c r="C19005"/>
  <c r="C19004"/>
  <c r="C19003"/>
  <c r="C19002"/>
  <c r="C19001"/>
  <c r="C19000"/>
  <c r="C18999"/>
  <c r="C18998"/>
  <c r="C18997"/>
  <c r="C18996"/>
  <c r="C18995"/>
  <c r="C18994"/>
  <c r="C18993"/>
  <c r="C18992"/>
  <c r="C18991"/>
  <c r="C18990"/>
  <c r="C18989"/>
  <c r="C18988"/>
  <c r="C18987"/>
  <c r="C18986"/>
  <c r="C18985"/>
  <c r="C18984"/>
  <c r="C18983"/>
  <c r="C18982"/>
  <c r="C18981"/>
  <c r="C18980"/>
  <c r="C18979"/>
  <c r="C18978"/>
  <c r="C18977"/>
  <c r="C18976"/>
  <c r="C18975"/>
  <c r="C18974"/>
  <c r="C18973"/>
  <c r="C18972"/>
  <c r="C18971"/>
  <c r="C18970"/>
  <c r="C18969"/>
  <c r="C18968"/>
  <c r="C18967"/>
  <c r="C18966"/>
  <c r="C18965"/>
  <c r="C18964"/>
  <c r="C18963"/>
  <c r="C18962"/>
  <c r="C18961"/>
  <c r="C18960"/>
  <c r="C18959"/>
  <c r="C18958"/>
  <c r="C18957"/>
  <c r="C18956"/>
  <c r="C18955"/>
  <c r="C18954"/>
  <c r="C18953"/>
  <c r="C18952"/>
  <c r="C18951"/>
  <c r="C18950"/>
  <c r="C18949"/>
  <c r="C18948"/>
  <c r="C18947"/>
  <c r="C18946"/>
  <c r="C18945"/>
  <c r="C18944"/>
  <c r="C18943"/>
  <c r="C18942"/>
  <c r="C18941"/>
  <c r="C18940"/>
  <c r="C18939"/>
  <c r="C18938"/>
  <c r="C18937"/>
  <c r="C18936"/>
  <c r="C18935"/>
  <c r="C18934"/>
  <c r="C18933"/>
  <c r="C18932"/>
  <c r="C18931"/>
  <c r="C18930"/>
  <c r="C18929"/>
  <c r="C18928"/>
  <c r="C18927"/>
  <c r="C18926"/>
  <c r="C18925"/>
  <c r="C18924"/>
  <c r="C18923"/>
  <c r="C18922"/>
  <c r="C18921"/>
  <c r="C18920"/>
  <c r="C18919"/>
  <c r="C18918"/>
  <c r="C18917"/>
  <c r="C18916"/>
  <c r="C18915"/>
  <c r="C18914"/>
  <c r="C18913"/>
  <c r="C18912"/>
  <c r="C18911"/>
  <c r="C18910"/>
  <c r="C18909"/>
  <c r="C18908"/>
  <c r="C18907"/>
  <c r="C18906"/>
  <c r="C18905"/>
  <c r="C18904"/>
  <c r="C18903"/>
  <c r="C18902"/>
  <c r="C18901"/>
  <c r="C18900"/>
  <c r="C18899"/>
  <c r="C18898"/>
  <c r="C18897"/>
  <c r="C18896"/>
  <c r="C18895"/>
  <c r="C18894"/>
  <c r="C18893"/>
  <c r="C18892"/>
  <c r="C18891"/>
  <c r="C18890"/>
  <c r="C18889"/>
  <c r="C18888"/>
  <c r="C18887"/>
  <c r="C18886"/>
  <c r="C18885"/>
  <c r="C18884"/>
  <c r="C18883"/>
  <c r="C18882"/>
  <c r="C18881"/>
  <c r="C18880"/>
  <c r="C18879"/>
  <c r="C18878"/>
  <c r="C18877"/>
  <c r="C18876"/>
  <c r="C18875"/>
  <c r="C18874"/>
  <c r="C18873"/>
  <c r="C18872"/>
  <c r="C18871"/>
  <c r="C18870"/>
  <c r="C18869"/>
  <c r="C18868"/>
  <c r="C18867"/>
  <c r="C18866"/>
  <c r="C18865"/>
  <c r="C18864"/>
  <c r="C18863"/>
  <c r="C18862"/>
  <c r="C18861"/>
  <c r="C18860"/>
  <c r="C18859"/>
  <c r="C18858"/>
  <c r="C18857"/>
  <c r="C18856"/>
  <c r="C18855"/>
  <c r="C18854"/>
  <c r="C18853"/>
  <c r="C18852"/>
  <c r="C18851"/>
  <c r="C18850"/>
  <c r="C18849"/>
  <c r="C18848"/>
  <c r="C18847"/>
  <c r="C18846"/>
  <c r="C18845"/>
  <c r="C18844"/>
  <c r="C18843"/>
  <c r="C18842"/>
  <c r="C18841"/>
  <c r="C18840"/>
  <c r="C18839"/>
  <c r="C18838"/>
  <c r="C18837"/>
  <c r="C18836"/>
  <c r="C18835"/>
  <c r="C18834"/>
  <c r="C18833"/>
  <c r="C18832"/>
  <c r="C18831"/>
  <c r="C18830"/>
  <c r="C18829"/>
  <c r="C18828"/>
  <c r="C18827"/>
  <c r="C18826"/>
  <c r="C18825"/>
  <c r="C18824"/>
  <c r="C18823"/>
  <c r="C18822"/>
  <c r="C18821"/>
  <c r="C18820"/>
  <c r="C18819"/>
  <c r="C18818"/>
  <c r="C18817"/>
  <c r="C18816"/>
  <c r="C18815"/>
  <c r="C18814"/>
  <c r="C18813"/>
  <c r="C18812"/>
  <c r="C18811"/>
  <c r="C18810"/>
  <c r="C18809"/>
  <c r="C18808"/>
  <c r="C18807"/>
  <c r="C18806"/>
  <c r="C18805"/>
  <c r="C18804"/>
  <c r="C18803"/>
  <c r="C18802"/>
  <c r="C18801"/>
  <c r="C18800"/>
  <c r="C18799"/>
  <c r="C18798"/>
  <c r="C18797"/>
  <c r="C18796"/>
  <c r="C18795"/>
  <c r="C18794"/>
  <c r="C18793"/>
  <c r="C18792"/>
  <c r="C18791"/>
  <c r="C18790"/>
  <c r="C18789"/>
  <c r="C18788"/>
  <c r="C18787"/>
  <c r="C18786"/>
  <c r="C18785"/>
  <c r="C18784"/>
  <c r="C18783"/>
  <c r="C18782"/>
  <c r="C18781"/>
  <c r="C18780"/>
  <c r="C18779"/>
  <c r="C18778"/>
  <c r="C18777"/>
  <c r="C18776"/>
  <c r="C18775"/>
  <c r="C18774"/>
  <c r="C18773"/>
  <c r="C18772"/>
  <c r="C18771"/>
  <c r="C18770"/>
  <c r="C18769"/>
  <c r="C18768"/>
  <c r="C18767"/>
  <c r="C18766"/>
  <c r="C18765"/>
  <c r="C18764"/>
  <c r="C18763"/>
  <c r="C18762"/>
  <c r="C18761"/>
  <c r="C18760"/>
  <c r="C18759"/>
  <c r="C18758"/>
  <c r="C18757"/>
  <c r="C18756"/>
  <c r="C18755"/>
  <c r="C18754"/>
  <c r="C18753"/>
  <c r="C18752"/>
  <c r="C18751"/>
  <c r="C18750"/>
  <c r="C18749"/>
  <c r="C18748"/>
  <c r="C18747"/>
  <c r="C18746"/>
  <c r="C18745"/>
  <c r="C18744"/>
  <c r="C18743"/>
  <c r="C18742"/>
  <c r="C18741"/>
  <c r="C18740"/>
  <c r="C18739"/>
  <c r="C18738"/>
  <c r="C18737"/>
  <c r="C18736"/>
  <c r="C18735"/>
  <c r="C18734"/>
  <c r="C18733"/>
  <c r="C18732"/>
  <c r="C18731"/>
  <c r="C18730"/>
  <c r="C18729"/>
  <c r="C18728"/>
  <c r="C18727"/>
  <c r="C18726"/>
  <c r="C18725"/>
  <c r="C18724"/>
  <c r="C18723"/>
  <c r="C18722"/>
  <c r="C18721"/>
  <c r="C18720"/>
  <c r="C18719"/>
  <c r="C18718"/>
  <c r="C18717"/>
  <c r="C18716"/>
  <c r="C18715"/>
  <c r="C18714"/>
  <c r="C18713"/>
  <c r="C18712"/>
  <c r="C18711"/>
  <c r="C18710"/>
  <c r="C18709"/>
  <c r="C18708"/>
  <c r="C18707"/>
  <c r="C18706"/>
  <c r="C18705"/>
  <c r="C18704"/>
  <c r="C18703"/>
  <c r="C18702"/>
  <c r="C18701"/>
  <c r="C18700"/>
  <c r="C18699"/>
  <c r="C18698"/>
  <c r="C18697"/>
  <c r="C18696"/>
  <c r="C18695"/>
  <c r="C18694"/>
  <c r="C18693"/>
  <c r="C18692"/>
  <c r="C18691"/>
  <c r="C18690"/>
  <c r="C18689"/>
  <c r="C18688"/>
  <c r="C18687"/>
  <c r="C18686"/>
  <c r="C18685"/>
  <c r="C18684"/>
  <c r="C18683"/>
  <c r="C18682"/>
  <c r="C18681"/>
  <c r="C18680"/>
  <c r="C18679"/>
  <c r="C18678"/>
  <c r="C18677"/>
  <c r="C18676"/>
  <c r="C18675"/>
  <c r="C18674"/>
  <c r="C18673"/>
  <c r="C18672"/>
  <c r="C18671"/>
  <c r="C18670"/>
  <c r="C18669"/>
  <c r="C18668"/>
  <c r="C18667"/>
  <c r="C18666"/>
  <c r="C18665"/>
  <c r="C18664"/>
  <c r="C18663"/>
  <c r="C18662"/>
  <c r="C18661"/>
  <c r="C18660"/>
  <c r="C18659"/>
  <c r="C18658"/>
  <c r="C18657"/>
  <c r="C18656"/>
  <c r="C18655"/>
  <c r="C18654"/>
  <c r="C18653"/>
  <c r="C18652"/>
  <c r="C18651"/>
  <c r="C18650"/>
  <c r="C18649"/>
  <c r="C18648"/>
  <c r="C18647"/>
  <c r="C18646"/>
  <c r="C18645"/>
  <c r="C18644"/>
  <c r="C18643"/>
  <c r="C18642"/>
  <c r="C18641"/>
  <c r="C18640"/>
  <c r="C18639"/>
  <c r="C18638"/>
  <c r="C18637"/>
  <c r="C18636"/>
  <c r="C18635"/>
  <c r="C18634"/>
  <c r="C18633"/>
  <c r="C18632"/>
  <c r="C18631"/>
  <c r="C18630"/>
  <c r="C18629"/>
  <c r="C18628"/>
  <c r="C18627"/>
  <c r="C18626"/>
  <c r="C18625"/>
  <c r="C18624"/>
  <c r="C18623"/>
  <c r="C18622"/>
  <c r="C18621"/>
  <c r="C18620"/>
  <c r="C18619"/>
  <c r="C18618"/>
  <c r="C18617"/>
  <c r="C18616"/>
  <c r="C18615"/>
  <c r="C18614"/>
  <c r="C18613"/>
  <c r="C18612"/>
  <c r="C18611"/>
  <c r="C18610"/>
  <c r="C18609"/>
  <c r="C18608"/>
  <c r="C18607"/>
  <c r="C18606"/>
  <c r="C18605"/>
  <c r="C18604"/>
  <c r="C18603"/>
  <c r="C18602"/>
  <c r="C18601"/>
  <c r="C18600"/>
  <c r="C18599"/>
  <c r="C18598"/>
  <c r="C18597"/>
  <c r="C18596"/>
  <c r="C18595"/>
  <c r="C18594"/>
  <c r="C18593"/>
  <c r="C18592"/>
  <c r="C18591"/>
  <c r="C18590"/>
  <c r="C18589"/>
  <c r="C18588"/>
  <c r="C18587"/>
  <c r="C18586"/>
  <c r="C18585"/>
  <c r="C18584"/>
  <c r="C18583"/>
  <c r="C18582"/>
  <c r="C18581"/>
  <c r="C18580"/>
  <c r="C18579"/>
  <c r="C18578"/>
  <c r="C18577"/>
  <c r="C18576"/>
  <c r="C18575"/>
  <c r="C18574"/>
  <c r="C18573"/>
  <c r="C18572"/>
  <c r="C18571"/>
  <c r="C18570"/>
  <c r="C18569"/>
  <c r="C18568"/>
  <c r="C18567"/>
  <c r="C18566"/>
  <c r="C18565"/>
  <c r="C18564"/>
  <c r="C18563"/>
  <c r="C18562"/>
  <c r="C18561"/>
  <c r="C18560"/>
  <c r="C18559"/>
  <c r="C18558"/>
  <c r="C18557"/>
  <c r="C18556"/>
  <c r="C18555"/>
  <c r="C18554"/>
  <c r="C18553"/>
  <c r="C18552"/>
  <c r="C18551"/>
  <c r="C18550"/>
  <c r="C18549"/>
  <c r="C18548"/>
  <c r="C18547"/>
  <c r="C18546"/>
  <c r="C18545"/>
  <c r="C18544"/>
  <c r="C18543"/>
  <c r="C18542"/>
  <c r="C18541"/>
  <c r="C18540"/>
  <c r="C18539"/>
  <c r="C18538"/>
  <c r="C18537"/>
  <c r="C18536"/>
  <c r="C18535"/>
  <c r="C18534"/>
  <c r="C18533"/>
  <c r="C18532"/>
  <c r="C18531"/>
  <c r="C18530"/>
  <c r="C18529"/>
  <c r="C18528"/>
  <c r="C18527"/>
  <c r="C18526"/>
  <c r="C18525"/>
  <c r="C18524"/>
  <c r="C18523"/>
  <c r="C18522"/>
  <c r="C18521"/>
  <c r="C18520"/>
  <c r="C18519"/>
  <c r="C18518"/>
  <c r="C18517"/>
  <c r="C18516"/>
  <c r="C18515"/>
  <c r="C18514"/>
  <c r="C18513"/>
  <c r="C18512"/>
  <c r="C18511"/>
  <c r="C18510"/>
  <c r="C18509"/>
  <c r="C18508"/>
  <c r="C18507"/>
  <c r="C18506"/>
  <c r="C18505"/>
  <c r="C18504"/>
  <c r="C18503"/>
  <c r="C18502"/>
  <c r="C18501"/>
  <c r="C18500"/>
  <c r="C18499"/>
  <c r="C18498"/>
  <c r="C18497"/>
  <c r="C18496"/>
  <c r="C18495"/>
  <c r="C18494"/>
  <c r="C18493"/>
  <c r="C18492"/>
  <c r="C18491"/>
  <c r="C18490"/>
  <c r="C18489"/>
  <c r="C18488"/>
  <c r="C18487"/>
  <c r="C18486"/>
  <c r="C18485"/>
  <c r="C18484"/>
  <c r="C18483"/>
  <c r="C18482"/>
  <c r="C18481"/>
  <c r="C18480"/>
  <c r="C18479"/>
  <c r="C18478"/>
  <c r="C18477"/>
  <c r="C18476"/>
  <c r="C18475"/>
  <c r="C18474"/>
  <c r="C18473"/>
  <c r="C18472"/>
  <c r="C18471"/>
  <c r="C18470"/>
  <c r="C18469"/>
  <c r="C18468"/>
  <c r="C18467"/>
  <c r="C18466"/>
  <c r="C18465"/>
  <c r="C18464"/>
  <c r="C18463"/>
  <c r="C18462"/>
  <c r="C18461"/>
  <c r="C18460"/>
  <c r="C18459"/>
  <c r="C18458"/>
  <c r="C18457"/>
  <c r="C18456"/>
  <c r="C18455"/>
  <c r="C18454"/>
  <c r="C18453"/>
  <c r="C18452"/>
  <c r="C18451"/>
  <c r="C18450"/>
  <c r="C18449"/>
  <c r="C18448"/>
  <c r="C18447"/>
  <c r="C18446"/>
  <c r="C18445"/>
  <c r="C18444"/>
  <c r="C18443"/>
  <c r="C18442"/>
  <c r="C18441"/>
  <c r="C18440"/>
  <c r="C18439"/>
  <c r="C18438"/>
  <c r="C18437"/>
  <c r="C18436"/>
  <c r="C18435"/>
  <c r="C18434"/>
  <c r="C18433"/>
  <c r="C18432"/>
  <c r="C18431"/>
  <c r="C18430"/>
  <c r="C18429"/>
  <c r="C18428"/>
  <c r="C18427"/>
  <c r="C18426"/>
  <c r="C18425"/>
  <c r="C18424"/>
  <c r="C18423"/>
  <c r="C18422"/>
  <c r="C18421"/>
  <c r="C18420"/>
  <c r="C18419"/>
  <c r="C18418"/>
  <c r="C18417"/>
  <c r="C18416"/>
  <c r="C18415"/>
  <c r="C18414"/>
  <c r="C18413"/>
  <c r="C18412"/>
  <c r="C18411"/>
  <c r="C18410"/>
  <c r="C18409"/>
  <c r="C18408"/>
  <c r="C18407"/>
  <c r="C18406"/>
  <c r="C18405"/>
  <c r="C18404"/>
  <c r="C18403"/>
  <c r="C18402"/>
  <c r="C18401"/>
  <c r="C18400"/>
  <c r="C18399"/>
  <c r="C18398"/>
  <c r="C18397"/>
  <c r="C18396"/>
  <c r="C18395"/>
  <c r="C18394"/>
  <c r="C18393"/>
  <c r="C18392"/>
  <c r="C18391"/>
  <c r="C18390"/>
  <c r="C18389"/>
  <c r="C18388"/>
  <c r="C18387"/>
  <c r="C18386"/>
  <c r="C18385"/>
  <c r="C18384"/>
  <c r="C18383"/>
  <c r="C18382"/>
  <c r="C18381"/>
  <c r="C18380"/>
  <c r="C18379"/>
  <c r="C18378"/>
  <c r="C18377"/>
  <c r="C18376"/>
  <c r="C18375"/>
  <c r="C18374"/>
  <c r="C18373"/>
  <c r="C18372"/>
  <c r="C18371"/>
  <c r="C18370"/>
  <c r="C18369"/>
  <c r="C18368"/>
  <c r="C18367"/>
  <c r="C18366"/>
  <c r="C18365"/>
  <c r="C18364"/>
  <c r="C18363"/>
  <c r="C18362"/>
  <c r="C18361"/>
  <c r="C18360"/>
  <c r="C18359"/>
  <c r="C18358"/>
  <c r="C18357"/>
  <c r="C18356"/>
  <c r="C18355"/>
  <c r="C18354"/>
  <c r="C18353"/>
  <c r="C18352"/>
  <c r="C18351"/>
  <c r="C18350"/>
  <c r="C18349"/>
  <c r="C18348"/>
  <c r="C18347"/>
  <c r="C18346"/>
  <c r="C18345"/>
  <c r="C18344"/>
  <c r="C18343"/>
  <c r="C18342"/>
  <c r="C18341"/>
  <c r="C18340"/>
  <c r="C18339"/>
  <c r="C18338"/>
  <c r="C18337"/>
  <c r="C18336"/>
  <c r="C18335"/>
  <c r="C18334"/>
  <c r="C18333"/>
  <c r="C18332"/>
  <c r="C18331"/>
  <c r="C18330"/>
  <c r="C18329"/>
  <c r="C18328"/>
  <c r="C18327"/>
  <c r="C18326"/>
  <c r="C18325"/>
  <c r="C18324"/>
  <c r="C18323"/>
  <c r="C18322"/>
  <c r="C18321"/>
  <c r="C18320"/>
  <c r="C18319"/>
  <c r="C18318"/>
  <c r="C18317"/>
  <c r="C18316"/>
  <c r="C18315"/>
  <c r="C18314"/>
  <c r="C18313"/>
  <c r="C18312"/>
  <c r="C18311"/>
  <c r="C18310"/>
  <c r="C18309"/>
  <c r="C18308"/>
  <c r="C18307"/>
  <c r="C18306"/>
  <c r="C18305"/>
  <c r="C18304"/>
  <c r="C18303"/>
  <c r="C18302"/>
  <c r="C18301"/>
  <c r="C18300"/>
  <c r="C18299"/>
  <c r="C18298"/>
  <c r="C18297"/>
  <c r="C18296"/>
  <c r="C18295"/>
  <c r="C18294"/>
  <c r="C18293"/>
  <c r="C18292"/>
  <c r="C18291"/>
  <c r="C18290"/>
  <c r="C18289"/>
  <c r="C18288"/>
  <c r="C18287"/>
  <c r="C18286"/>
  <c r="C18285"/>
  <c r="C18284"/>
  <c r="C18283"/>
  <c r="C18282"/>
  <c r="C18281"/>
  <c r="C18280"/>
  <c r="C18279"/>
  <c r="C18278"/>
  <c r="C18277"/>
  <c r="C18276"/>
  <c r="C18275"/>
  <c r="C18274"/>
  <c r="C18273"/>
  <c r="C18272"/>
  <c r="C18271"/>
  <c r="C18270"/>
  <c r="C18269"/>
  <c r="C18268"/>
  <c r="C18267"/>
  <c r="C18266"/>
  <c r="C18265"/>
  <c r="C18264"/>
  <c r="C18263"/>
  <c r="C18262"/>
  <c r="C18261"/>
  <c r="C18260"/>
  <c r="C18259"/>
  <c r="C18258"/>
  <c r="C18257"/>
  <c r="C18256"/>
  <c r="C18255"/>
  <c r="C18254"/>
  <c r="C18253"/>
  <c r="C18252"/>
  <c r="C18251"/>
  <c r="C18250"/>
  <c r="C18249"/>
  <c r="C18248"/>
  <c r="C18247"/>
  <c r="C18246"/>
  <c r="C18245"/>
  <c r="C18244"/>
  <c r="C18243"/>
  <c r="C18242"/>
  <c r="C18241"/>
  <c r="C18240"/>
  <c r="C18239"/>
  <c r="C18238"/>
  <c r="C18237"/>
  <c r="C18236"/>
  <c r="C18235"/>
  <c r="C18234"/>
  <c r="C18233"/>
  <c r="C18232"/>
  <c r="C18231"/>
  <c r="C18230"/>
  <c r="C18229"/>
  <c r="C18228"/>
  <c r="C18227"/>
  <c r="C18226"/>
  <c r="C18225"/>
  <c r="C18224"/>
  <c r="C18223"/>
  <c r="C18222"/>
  <c r="C18221"/>
  <c r="C18220"/>
  <c r="C18219"/>
  <c r="C18218"/>
  <c r="C18217"/>
  <c r="C18216"/>
  <c r="C18215"/>
  <c r="C18214"/>
  <c r="C18213"/>
  <c r="C18212"/>
  <c r="C18211"/>
  <c r="C18210"/>
  <c r="C18209"/>
  <c r="C18208"/>
  <c r="C18207"/>
  <c r="C18206"/>
  <c r="C18205"/>
  <c r="C18204"/>
  <c r="C18203"/>
  <c r="C18202"/>
  <c r="C18201"/>
  <c r="C18200"/>
  <c r="C18199"/>
  <c r="C18198"/>
  <c r="C18197"/>
  <c r="C18196"/>
  <c r="C18195"/>
  <c r="C18194"/>
  <c r="C18193"/>
  <c r="C18192"/>
  <c r="C18191"/>
  <c r="C18190"/>
  <c r="C18189"/>
  <c r="C18188"/>
  <c r="C18187"/>
  <c r="C18186"/>
  <c r="C18185"/>
  <c r="C18184"/>
  <c r="C18183"/>
  <c r="C18182"/>
  <c r="C18181"/>
  <c r="C18180"/>
  <c r="C18179"/>
  <c r="C18178"/>
  <c r="C18177"/>
  <c r="C18176"/>
  <c r="C18175"/>
  <c r="C18174"/>
  <c r="C18173"/>
  <c r="C18172"/>
  <c r="C18171"/>
  <c r="C18170"/>
  <c r="C18169"/>
  <c r="C18168"/>
  <c r="C18167"/>
  <c r="C18166"/>
  <c r="C18165"/>
  <c r="C18164"/>
  <c r="C18163"/>
  <c r="C18162"/>
  <c r="C18161"/>
  <c r="C18160"/>
  <c r="C18159"/>
  <c r="C18158"/>
  <c r="C18157"/>
  <c r="C18156"/>
  <c r="C18155"/>
  <c r="C18154"/>
  <c r="C18153"/>
  <c r="C18152"/>
  <c r="C18151"/>
  <c r="C18150"/>
  <c r="C18149"/>
  <c r="C18148"/>
  <c r="C18147"/>
  <c r="C18146"/>
  <c r="C18145"/>
  <c r="C18144"/>
  <c r="C18143"/>
  <c r="C18142"/>
  <c r="C18141"/>
  <c r="C18140"/>
  <c r="C18139"/>
  <c r="C18138"/>
  <c r="C18137"/>
  <c r="C18136"/>
  <c r="C18135"/>
  <c r="C18134"/>
  <c r="C18133"/>
  <c r="C18132"/>
  <c r="C18131"/>
  <c r="C18130"/>
  <c r="C18129"/>
  <c r="C18128"/>
  <c r="C18127"/>
  <c r="C18126"/>
  <c r="C18125"/>
  <c r="C18124"/>
  <c r="C18123"/>
  <c r="C18122"/>
  <c r="C18121"/>
  <c r="C18120"/>
  <c r="C18119"/>
  <c r="C18118"/>
  <c r="C18117"/>
  <c r="C18116"/>
  <c r="C18115"/>
  <c r="C18114"/>
  <c r="C18113"/>
  <c r="C18112"/>
  <c r="C18111"/>
  <c r="C18110"/>
  <c r="C18109"/>
  <c r="C18108"/>
  <c r="C18107"/>
  <c r="C18106"/>
  <c r="C18105"/>
  <c r="C18104"/>
  <c r="C18103"/>
  <c r="C18102"/>
  <c r="C18101"/>
  <c r="C18100"/>
  <c r="C18099"/>
  <c r="C18098"/>
  <c r="C18097"/>
  <c r="C18096"/>
  <c r="C18095"/>
  <c r="C18094"/>
  <c r="C18093"/>
  <c r="C18092"/>
  <c r="C18091"/>
  <c r="C18090"/>
  <c r="C18089"/>
  <c r="C18088"/>
  <c r="C18087"/>
  <c r="C18086"/>
  <c r="C18085"/>
  <c r="C18084"/>
  <c r="C18083"/>
  <c r="C18082"/>
  <c r="C18081"/>
  <c r="C18080"/>
  <c r="C18079"/>
  <c r="C18078"/>
  <c r="C18077"/>
  <c r="C18076"/>
  <c r="C18075"/>
  <c r="C18074"/>
  <c r="C18073"/>
  <c r="C18072"/>
  <c r="C18071"/>
  <c r="C18070"/>
  <c r="C18069"/>
  <c r="C18068"/>
  <c r="C18067"/>
  <c r="C18066"/>
  <c r="C18065"/>
  <c r="C18064"/>
  <c r="C18063"/>
  <c r="C18062"/>
  <c r="C18061"/>
  <c r="C18060"/>
  <c r="C18059"/>
  <c r="C18058"/>
  <c r="C18057"/>
  <c r="C18056"/>
  <c r="C18055"/>
  <c r="C18054"/>
  <c r="C18053"/>
  <c r="C18052"/>
  <c r="C18051"/>
  <c r="C18050"/>
  <c r="C18049"/>
  <c r="C18048"/>
  <c r="C18047"/>
  <c r="C18046"/>
  <c r="C18045"/>
  <c r="C18044"/>
  <c r="C18043"/>
  <c r="C18042"/>
  <c r="C18041"/>
  <c r="C18040"/>
  <c r="C18039"/>
  <c r="C18038"/>
  <c r="C18037"/>
  <c r="C18036"/>
  <c r="C18035"/>
  <c r="C18034"/>
  <c r="C18033"/>
  <c r="C18032"/>
  <c r="C18031"/>
  <c r="C18030"/>
  <c r="C18029"/>
  <c r="C18028"/>
  <c r="C18027"/>
  <c r="C18026"/>
  <c r="C18025"/>
  <c r="C18024"/>
  <c r="C18023"/>
  <c r="C18022"/>
  <c r="C18021"/>
  <c r="C18020"/>
  <c r="C18019"/>
  <c r="C18018"/>
  <c r="C18017"/>
  <c r="C18016"/>
  <c r="C18015"/>
  <c r="C18014"/>
  <c r="C18013"/>
  <c r="C18012"/>
  <c r="C18011"/>
  <c r="C18010"/>
  <c r="C18009"/>
  <c r="C18008"/>
  <c r="C18007"/>
  <c r="C18006"/>
  <c r="C18005"/>
  <c r="C18004"/>
  <c r="C18003"/>
  <c r="C18002"/>
  <c r="C18001"/>
  <c r="C18000"/>
  <c r="C17999"/>
  <c r="C17998"/>
  <c r="C17997"/>
  <c r="C17996"/>
  <c r="C17995"/>
  <c r="C17994"/>
  <c r="C17993"/>
  <c r="C17992"/>
  <c r="C17991"/>
  <c r="C17990"/>
  <c r="C17989"/>
  <c r="C17988"/>
  <c r="C17987"/>
  <c r="C17986"/>
  <c r="C17985"/>
  <c r="C17984"/>
  <c r="C17983"/>
  <c r="C17982"/>
  <c r="C17981"/>
  <c r="C17980"/>
  <c r="C17979"/>
  <c r="C17978"/>
  <c r="C17977"/>
  <c r="C17976"/>
  <c r="C17975"/>
  <c r="C17974"/>
  <c r="C17973"/>
  <c r="C17972"/>
  <c r="C17971"/>
  <c r="C17970"/>
  <c r="C17969"/>
  <c r="C17968"/>
  <c r="C17967"/>
  <c r="C17966"/>
  <c r="C17965"/>
  <c r="C17964"/>
  <c r="C17963"/>
  <c r="C17962"/>
  <c r="C17961"/>
  <c r="C17960"/>
  <c r="C17959"/>
  <c r="C17958"/>
  <c r="C17957"/>
  <c r="C17956"/>
  <c r="C17955"/>
  <c r="C17954"/>
  <c r="C17953"/>
  <c r="C17952"/>
  <c r="C17951"/>
  <c r="C17950"/>
  <c r="C17949"/>
  <c r="C17948"/>
  <c r="C17947"/>
  <c r="C17946"/>
  <c r="C17945"/>
  <c r="C17944"/>
  <c r="C17943"/>
  <c r="C17942"/>
  <c r="C17941"/>
  <c r="C17940"/>
  <c r="C17939"/>
  <c r="C17938"/>
  <c r="C17937"/>
  <c r="C17936"/>
  <c r="C17935"/>
  <c r="C17934"/>
  <c r="C17933"/>
  <c r="C17932"/>
  <c r="C17931"/>
  <c r="C17930"/>
  <c r="C17929"/>
  <c r="C17928"/>
  <c r="C17927"/>
  <c r="C17926"/>
  <c r="C17925"/>
  <c r="C17924"/>
  <c r="C17923"/>
  <c r="C17922"/>
  <c r="C17921"/>
  <c r="C17920"/>
  <c r="C17919"/>
  <c r="C17918"/>
  <c r="C17917"/>
  <c r="C17916"/>
  <c r="C17915"/>
  <c r="C17914"/>
  <c r="C17913"/>
  <c r="C17912"/>
  <c r="C17911"/>
  <c r="C17910"/>
  <c r="C17909"/>
  <c r="C17908"/>
  <c r="C17907"/>
  <c r="C17906"/>
  <c r="C17905"/>
  <c r="C17904"/>
  <c r="C17903"/>
  <c r="C17902"/>
  <c r="C17901"/>
  <c r="C17900"/>
  <c r="C17899"/>
  <c r="C17898"/>
  <c r="C17897"/>
  <c r="C17896"/>
  <c r="C17895"/>
  <c r="C17894"/>
  <c r="C17893"/>
  <c r="C17892"/>
  <c r="C17891"/>
  <c r="C17890"/>
  <c r="C17889"/>
  <c r="C17888"/>
  <c r="C17887"/>
  <c r="C17886"/>
  <c r="C17885"/>
  <c r="C17884"/>
  <c r="C17883"/>
  <c r="C17882"/>
  <c r="C17881"/>
  <c r="C17880"/>
  <c r="C17879"/>
  <c r="C17878"/>
  <c r="C17877"/>
  <c r="C17876"/>
  <c r="C17875"/>
  <c r="C17874"/>
  <c r="C17873"/>
  <c r="C17872"/>
  <c r="C17871"/>
  <c r="C17870"/>
  <c r="C17869"/>
  <c r="C17868"/>
  <c r="C17867"/>
  <c r="C17866"/>
  <c r="C17865"/>
  <c r="C17864"/>
  <c r="C17863"/>
  <c r="C17862"/>
  <c r="C17861"/>
  <c r="C17860"/>
  <c r="C17859"/>
  <c r="C17858"/>
  <c r="C17857"/>
  <c r="C17856"/>
  <c r="C17855"/>
  <c r="C17854"/>
  <c r="C17853"/>
  <c r="C17852"/>
  <c r="C17851"/>
  <c r="C17850"/>
  <c r="C17849"/>
  <c r="C17848"/>
  <c r="C17847"/>
  <c r="C17846"/>
  <c r="C17845"/>
  <c r="C17844"/>
  <c r="C17843"/>
  <c r="C17842"/>
  <c r="C17841"/>
  <c r="C17840"/>
  <c r="C17839"/>
  <c r="C17838"/>
  <c r="C17837"/>
  <c r="C17836"/>
  <c r="C17835"/>
  <c r="C17834"/>
  <c r="C17833"/>
  <c r="C17832"/>
  <c r="C17831"/>
  <c r="C17830"/>
  <c r="C17829"/>
  <c r="C17828"/>
  <c r="C17827"/>
  <c r="C17826"/>
  <c r="C17825"/>
  <c r="C17824"/>
  <c r="C17823"/>
  <c r="C17822"/>
  <c r="C17821"/>
  <c r="C17820"/>
  <c r="C17819"/>
  <c r="C17818"/>
  <c r="C17817"/>
  <c r="C17816"/>
  <c r="C17815"/>
  <c r="C17814"/>
  <c r="C17813"/>
  <c r="C17812"/>
  <c r="C17811"/>
  <c r="C17810"/>
  <c r="C17809"/>
  <c r="C17808"/>
  <c r="C17807"/>
  <c r="C17806"/>
  <c r="C17805"/>
  <c r="C17804"/>
  <c r="C17803"/>
  <c r="C17802"/>
  <c r="C17801"/>
  <c r="C17800"/>
  <c r="C17799"/>
  <c r="C17798"/>
  <c r="C17797"/>
  <c r="C17796"/>
  <c r="C17795"/>
  <c r="C17794"/>
  <c r="C17793"/>
  <c r="C17792"/>
  <c r="C17791"/>
  <c r="C17790"/>
  <c r="C17789"/>
  <c r="C17788"/>
  <c r="C17787"/>
  <c r="C17786"/>
  <c r="C17785"/>
  <c r="C17784"/>
  <c r="C17783"/>
  <c r="C17782"/>
  <c r="C17781"/>
  <c r="C17780"/>
  <c r="C17779"/>
  <c r="C17778"/>
  <c r="C17777"/>
  <c r="C17776"/>
  <c r="C17775"/>
  <c r="C17774"/>
  <c r="C17773"/>
  <c r="C17772"/>
  <c r="C17771"/>
  <c r="C17770"/>
  <c r="C17769"/>
  <c r="C17768"/>
  <c r="C17767"/>
  <c r="C17766"/>
  <c r="C17765"/>
  <c r="C17764"/>
  <c r="C17763"/>
  <c r="C17762"/>
  <c r="C17761"/>
  <c r="C17760"/>
  <c r="C17759"/>
  <c r="C17758"/>
  <c r="C17757"/>
  <c r="C17756"/>
  <c r="C17755"/>
  <c r="C17754"/>
  <c r="C17753"/>
  <c r="C17752"/>
  <c r="C17751"/>
  <c r="C17750"/>
  <c r="C17749"/>
  <c r="C17748"/>
  <c r="C17747"/>
  <c r="C17746"/>
  <c r="C17745"/>
  <c r="C17744"/>
  <c r="C17743"/>
  <c r="C17742"/>
  <c r="C17741"/>
  <c r="C17740"/>
  <c r="C17739"/>
  <c r="C17738"/>
  <c r="C17737"/>
  <c r="C17736"/>
  <c r="C17735"/>
  <c r="C17734"/>
  <c r="C17733"/>
  <c r="C17732"/>
  <c r="C17731"/>
  <c r="C17730"/>
  <c r="C17729"/>
  <c r="C17728"/>
  <c r="C17727"/>
  <c r="C17726"/>
  <c r="C17725"/>
  <c r="C17724"/>
  <c r="C17723"/>
  <c r="C17722"/>
  <c r="C17721"/>
  <c r="C17720"/>
  <c r="C17719"/>
  <c r="C17718"/>
  <c r="C17717"/>
  <c r="C17716"/>
  <c r="C17715"/>
  <c r="C17714"/>
  <c r="C17713"/>
  <c r="C17712"/>
  <c r="C17711"/>
  <c r="C17710"/>
  <c r="C17709"/>
  <c r="C17708"/>
  <c r="C17707"/>
  <c r="C17706"/>
  <c r="C17705"/>
  <c r="C17704"/>
  <c r="C17703"/>
  <c r="C17702"/>
  <c r="C17701"/>
  <c r="C17700"/>
  <c r="C17699"/>
  <c r="C17698"/>
  <c r="C17697"/>
  <c r="C17696"/>
  <c r="C17695"/>
  <c r="C17694"/>
  <c r="C17693"/>
  <c r="C17692"/>
  <c r="C17691"/>
  <c r="C17690"/>
  <c r="C17689"/>
  <c r="C17688"/>
  <c r="C17687"/>
  <c r="C17686"/>
  <c r="C17685"/>
  <c r="C17684"/>
  <c r="C17683"/>
  <c r="C17682"/>
  <c r="C17681"/>
  <c r="C17680"/>
  <c r="C17679"/>
  <c r="C17678"/>
  <c r="C17677"/>
  <c r="C17676"/>
  <c r="C17675"/>
  <c r="C17674"/>
  <c r="C17673"/>
  <c r="C17672"/>
  <c r="C17671"/>
  <c r="C17670"/>
  <c r="C17669"/>
  <c r="C17668"/>
  <c r="C17667"/>
  <c r="C17666"/>
  <c r="C17665"/>
  <c r="C17664"/>
  <c r="C17663"/>
  <c r="C17662"/>
  <c r="C17661"/>
  <c r="C17660"/>
  <c r="C17659"/>
  <c r="C17658"/>
  <c r="C17657"/>
  <c r="C17656"/>
  <c r="C17655"/>
  <c r="C17654"/>
  <c r="C17653"/>
  <c r="C17652"/>
  <c r="C17651"/>
  <c r="C17650"/>
  <c r="C17649"/>
  <c r="C17648"/>
  <c r="C17647"/>
  <c r="C17646"/>
  <c r="C17645"/>
  <c r="C17644"/>
  <c r="C17643"/>
  <c r="C17642"/>
  <c r="C17641"/>
  <c r="C17640"/>
  <c r="C17639"/>
  <c r="C17638"/>
  <c r="C17637"/>
  <c r="C17636"/>
  <c r="C17635"/>
  <c r="C17634"/>
  <c r="C17633"/>
  <c r="C17632"/>
  <c r="C17631"/>
  <c r="C17630"/>
  <c r="C17629"/>
  <c r="C17628"/>
  <c r="C17627"/>
  <c r="C17626"/>
  <c r="C17625"/>
  <c r="C17624"/>
  <c r="C17623"/>
  <c r="C17622"/>
  <c r="C17621"/>
  <c r="C17620"/>
  <c r="C17619"/>
  <c r="C17618"/>
  <c r="C17617"/>
  <c r="C17616"/>
  <c r="C17615"/>
  <c r="C17614"/>
  <c r="C17613"/>
  <c r="C17612"/>
  <c r="C17611"/>
  <c r="C17610"/>
  <c r="C17609"/>
  <c r="C17608"/>
  <c r="C17607"/>
  <c r="C17606"/>
  <c r="C17605"/>
  <c r="C17604"/>
  <c r="C17603"/>
  <c r="C17602"/>
  <c r="C17601"/>
  <c r="C17600"/>
  <c r="C17599"/>
  <c r="C17598"/>
  <c r="C17597"/>
  <c r="C17596"/>
  <c r="C17595"/>
  <c r="C17594"/>
  <c r="C17593"/>
  <c r="C17592"/>
  <c r="C17591"/>
  <c r="C17590"/>
  <c r="C17589"/>
  <c r="C17588"/>
  <c r="C17587"/>
  <c r="C17586"/>
  <c r="C17585"/>
  <c r="C17584"/>
  <c r="C17583"/>
  <c r="C17582"/>
  <c r="C17581"/>
  <c r="C17580"/>
  <c r="C17579"/>
  <c r="C17578"/>
  <c r="C17577"/>
  <c r="C17576"/>
  <c r="C17575"/>
  <c r="C17574"/>
  <c r="C17573"/>
  <c r="C17572"/>
  <c r="C17571"/>
  <c r="C17570"/>
  <c r="C17569"/>
  <c r="C17568"/>
  <c r="C17567"/>
  <c r="C17566"/>
  <c r="C17565"/>
  <c r="C17564"/>
  <c r="C17563"/>
  <c r="C17562"/>
  <c r="C17561"/>
  <c r="C17560"/>
  <c r="C17559"/>
  <c r="C17558"/>
  <c r="C17557"/>
  <c r="C17556"/>
  <c r="C17555"/>
  <c r="C17554"/>
  <c r="C17553"/>
  <c r="C17552"/>
  <c r="C17551"/>
  <c r="C17550"/>
  <c r="C17549"/>
  <c r="C17548"/>
  <c r="C17547"/>
  <c r="C17546"/>
  <c r="C17545"/>
  <c r="C17544"/>
  <c r="C17543"/>
  <c r="C17542"/>
  <c r="C17541"/>
  <c r="C17540"/>
  <c r="C17539"/>
  <c r="C17538"/>
  <c r="C17537"/>
  <c r="C17536"/>
  <c r="C17535"/>
  <c r="C17534"/>
  <c r="C17533"/>
  <c r="C17532"/>
  <c r="C17531"/>
  <c r="C17530"/>
  <c r="C17529"/>
  <c r="C17528"/>
  <c r="C17527"/>
  <c r="C17526"/>
  <c r="C17525"/>
  <c r="C17524"/>
  <c r="C17523"/>
  <c r="C17522"/>
  <c r="C17521"/>
  <c r="C17520"/>
  <c r="C17519"/>
  <c r="C17518"/>
  <c r="C17517"/>
  <c r="C17516"/>
  <c r="C17515"/>
  <c r="C17514"/>
  <c r="C17513"/>
  <c r="C17512"/>
  <c r="C17511"/>
  <c r="C17510"/>
  <c r="C17509"/>
  <c r="C17508"/>
  <c r="C17507"/>
  <c r="C17506"/>
  <c r="C17505"/>
  <c r="C17504"/>
  <c r="C17503"/>
  <c r="C17502"/>
  <c r="C17501"/>
  <c r="C17500"/>
  <c r="C17499"/>
  <c r="C17498"/>
  <c r="C17497"/>
  <c r="C17496"/>
  <c r="C17495"/>
  <c r="C17494"/>
  <c r="C17493"/>
  <c r="C17492"/>
  <c r="C17491"/>
  <c r="C17490"/>
  <c r="C17489"/>
  <c r="C17488"/>
  <c r="C17487"/>
  <c r="C17486"/>
  <c r="C17485"/>
  <c r="C17484"/>
  <c r="C17483"/>
  <c r="C17482"/>
  <c r="C17481"/>
  <c r="C17480"/>
  <c r="C17479"/>
  <c r="C17478"/>
  <c r="C17477"/>
  <c r="C17476"/>
  <c r="C17475"/>
  <c r="C17474"/>
  <c r="C17473"/>
  <c r="C17472"/>
  <c r="C17471"/>
  <c r="C17470"/>
  <c r="C17469"/>
  <c r="C17468"/>
  <c r="C17467"/>
  <c r="C17466"/>
  <c r="C17465"/>
  <c r="C17464"/>
  <c r="C17463"/>
  <c r="C17462"/>
  <c r="C17461"/>
  <c r="C17460"/>
  <c r="C17459"/>
  <c r="C17458"/>
  <c r="C17457"/>
  <c r="C17456"/>
  <c r="C17455"/>
  <c r="C17454"/>
  <c r="C17453"/>
  <c r="C17452"/>
  <c r="C17451"/>
  <c r="C17450"/>
  <c r="C17449"/>
  <c r="C17448"/>
  <c r="C17447"/>
  <c r="C17446"/>
  <c r="C17445"/>
  <c r="C17444"/>
  <c r="C17443"/>
  <c r="C17442"/>
  <c r="C17441"/>
  <c r="C17440"/>
  <c r="C17439"/>
  <c r="C17438"/>
  <c r="C17437"/>
  <c r="C17436"/>
  <c r="C17435"/>
  <c r="C17434"/>
  <c r="C17433"/>
  <c r="C17432"/>
  <c r="C17431"/>
  <c r="C17430"/>
  <c r="C17429"/>
  <c r="C17428"/>
  <c r="C17427"/>
  <c r="C17426"/>
  <c r="C17425"/>
  <c r="C17424"/>
  <c r="C17423"/>
  <c r="C17422"/>
  <c r="C17421"/>
  <c r="C17420"/>
  <c r="C17419"/>
  <c r="C17418"/>
  <c r="C17417"/>
  <c r="C17416"/>
  <c r="C17415"/>
  <c r="C17414"/>
  <c r="C17413"/>
  <c r="C17412"/>
  <c r="C17411"/>
  <c r="C17410"/>
  <c r="C17409"/>
  <c r="C17408"/>
  <c r="C17407"/>
  <c r="C17406"/>
  <c r="C17405"/>
  <c r="C17404"/>
  <c r="C17403"/>
  <c r="C17402"/>
  <c r="C17401"/>
  <c r="C17400"/>
  <c r="C17399"/>
  <c r="C17398"/>
  <c r="C17397"/>
  <c r="C17396"/>
  <c r="C17395"/>
  <c r="C17394"/>
  <c r="C17393"/>
  <c r="C17392"/>
  <c r="C17391"/>
  <c r="C17390"/>
  <c r="C17389"/>
  <c r="C17388"/>
  <c r="C17387"/>
  <c r="C17386"/>
  <c r="C17385"/>
  <c r="C17384"/>
  <c r="C17383"/>
  <c r="C17382"/>
  <c r="C17381"/>
  <c r="C17380"/>
  <c r="C17379"/>
  <c r="C17378"/>
  <c r="C17377"/>
  <c r="C17376"/>
  <c r="C17375"/>
  <c r="C17374"/>
  <c r="C17373"/>
  <c r="C17372"/>
  <c r="C17371"/>
  <c r="C17370"/>
  <c r="C17369"/>
  <c r="C17368"/>
  <c r="C17367"/>
  <c r="C17366"/>
  <c r="C17365"/>
  <c r="C17364"/>
  <c r="C17363"/>
  <c r="C17362"/>
  <c r="C17361"/>
  <c r="C17360"/>
  <c r="C17359"/>
  <c r="C17358"/>
  <c r="C17357"/>
  <c r="C17356"/>
  <c r="C17355"/>
  <c r="C17354"/>
  <c r="C17353"/>
  <c r="C17352"/>
  <c r="C17351"/>
  <c r="C17350"/>
  <c r="C17349"/>
  <c r="C17348"/>
  <c r="C17347"/>
  <c r="C17346"/>
  <c r="C17345"/>
  <c r="C17344"/>
  <c r="C17343"/>
  <c r="C17342"/>
  <c r="C17341"/>
  <c r="C17340"/>
  <c r="C17339"/>
  <c r="C17338"/>
  <c r="C17337"/>
  <c r="C17336"/>
  <c r="C17335"/>
  <c r="C17334"/>
  <c r="C17333"/>
  <c r="C17332"/>
  <c r="C17331"/>
  <c r="C17330"/>
  <c r="C17329"/>
  <c r="C17328"/>
  <c r="C17327"/>
  <c r="C17326"/>
  <c r="C17325"/>
  <c r="C17324"/>
  <c r="C17323"/>
  <c r="C17322"/>
  <c r="C17321"/>
  <c r="C17320"/>
  <c r="C17319"/>
  <c r="C17318"/>
  <c r="C17317"/>
  <c r="C17316"/>
  <c r="C17315"/>
  <c r="C17314"/>
  <c r="C17313"/>
  <c r="C17312"/>
  <c r="C17311"/>
  <c r="C17310"/>
  <c r="C17309"/>
  <c r="C17308"/>
  <c r="C17307"/>
  <c r="C17306"/>
  <c r="C17305"/>
  <c r="C17304"/>
  <c r="C17303"/>
  <c r="C17302"/>
  <c r="C17301"/>
  <c r="C17300"/>
  <c r="C17299"/>
  <c r="C17298"/>
  <c r="C17297"/>
  <c r="C17296"/>
  <c r="C17295"/>
  <c r="C17294"/>
  <c r="C17293"/>
  <c r="C17292"/>
  <c r="C17291"/>
  <c r="C17290"/>
  <c r="C17289"/>
  <c r="C17288"/>
  <c r="C17287"/>
  <c r="C17286"/>
  <c r="C17285"/>
  <c r="C17284"/>
  <c r="C17283"/>
  <c r="C17282"/>
  <c r="C17281"/>
  <c r="C17280"/>
  <c r="C17279"/>
  <c r="C17278"/>
  <c r="C17277"/>
  <c r="C17276"/>
  <c r="C17275"/>
  <c r="C17274"/>
  <c r="C17273"/>
  <c r="C17272"/>
  <c r="C17271"/>
  <c r="C17270"/>
  <c r="C17269"/>
  <c r="C17268"/>
  <c r="C17267"/>
  <c r="C17266"/>
  <c r="C17265"/>
  <c r="C17264"/>
  <c r="C17263"/>
  <c r="C17262"/>
  <c r="C17261"/>
  <c r="C17260"/>
  <c r="C17259"/>
  <c r="C17258"/>
  <c r="C17257"/>
  <c r="C17256"/>
  <c r="C17255"/>
  <c r="C17254"/>
  <c r="C17253"/>
  <c r="C17252"/>
  <c r="C17251"/>
  <c r="C17250"/>
  <c r="C17249"/>
  <c r="C17248"/>
  <c r="C17247"/>
  <c r="C17246"/>
  <c r="C17245"/>
  <c r="C17244"/>
  <c r="C17243"/>
  <c r="C17242"/>
  <c r="C17241"/>
  <c r="C17240"/>
  <c r="C17239"/>
  <c r="C17238"/>
  <c r="C17237"/>
  <c r="C17236"/>
  <c r="C17235"/>
  <c r="C17234"/>
  <c r="C17233"/>
  <c r="C17232"/>
  <c r="C17231"/>
  <c r="C17230"/>
  <c r="C17229"/>
  <c r="C17228"/>
  <c r="C17227"/>
  <c r="C17226"/>
  <c r="C17225"/>
  <c r="C17224"/>
  <c r="C17223"/>
  <c r="C17222"/>
  <c r="C17221"/>
  <c r="C17220"/>
  <c r="C17219"/>
  <c r="C17218"/>
  <c r="C17217"/>
  <c r="C17216"/>
  <c r="C17215"/>
  <c r="C17214"/>
  <c r="C17213"/>
  <c r="C17212"/>
  <c r="C17211"/>
  <c r="C17210"/>
  <c r="C17209"/>
  <c r="C17208"/>
  <c r="C17207"/>
  <c r="C17206"/>
  <c r="C17205"/>
  <c r="C17204"/>
  <c r="C17203"/>
  <c r="C17202"/>
  <c r="C17201"/>
  <c r="C17200"/>
  <c r="C17199"/>
  <c r="C17198"/>
  <c r="C17197"/>
  <c r="C17196"/>
  <c r="C17195"/>
  <c r="C17194"/>
  <c r="C17193"/>
  <c r="C17192"/>
  <c r="C17191"/>
  <c r="C17190"/>
  <c r="C17189"/>
  <c r="C17188"/>
  <c r="C17187"/>
  <c r="C17186"/>
  <c r="C17185"/>
  <c r="C17184"/>
  <c r="C17183"/>
  <c r="C17182"/>
  <c r="C17181"/>
  <c r="C17180"/>
  <c r="C17179"/>
  <c r="C17178"/>
  <c r="C17177"/>
  <c r="C17176"/>
  <c r="C17175"/>
  <c r="C17174"/>
  <c r="C17173"/>
  <c r="C17172"/>
  <c r="C17171"/>
  <c r="C17170"/>
  <c r="C17169"/>
  <c r="C17168"/>
  <c r="C17167"/>
  <c r="C17166"/>
  <c r="C17165"/>
  <c r="C17164"/>
  <c r="C17163"/>
  <c r="C17162"/>
  <c r="C17161"/>
  <c r="C17160"/>
  <c r="C17159"/>
  <c r="C17158"/>
  <c r="C17157"/>
  <c r="C17156"/>
  <c r="C17155"/>
  <c r="C17154"/>
  <c r="C17153"/>
  <c r="C17152"/>
  <c r="C17151"/>
  <c r="C17150"/>
  <c r="C17149"/>
  <c r="C17148"/>
  <c r="C17147"/>
  <c r="C17146"/>
  <c r="C17145"/>
  <c r="C17144"/>
  <c r="C17143"/>
  <c r="C17142"/>
  <c r="C17141"/>
  <c r="C17140"/>
  <c r="C17139"/>
  <c r="C17138"/>
  <c r="C17137"/>
  <c r="C17136"/>
  <c r="C17135"/>
  <c r="C17134"/>
  <c r="C17133"/>
  <c r="C17132"/>
  <c r="C17131"/>
  <c r="C17130"/>
  <c r="C17129"/>
  <c r="C17128"/>
  <c r="C17127"/>
  <c r="C17126"/>
  <c r="C17125"/>
  <c r="C17124"/>
  <c r="C17123"/>
  <c r="C17122"/>
  <c r="C17121"/>
  <c r="C17120"/>
  <c r="C17119"/>
  <c r="C17118"/>
  <c r="C17117"/>
  <c r="C17116"/>
  <c r="C17115"/>
  <c r="C17114"/>
  <c r="C17113"/>
  <c r="C17112"/>
  <c r="C17111"/>
  <c r="C17110"/>
  <c r="C17109"/>
  <c r="C17108"/>
  <c r="C17107"/>
  <c r="C17106"/>
  <c r="C17105"/>
  <c r="C17104"/>
  <c r="C17103"/>
  <c r="C17102"/>
  <c r="C17101"/>
  <c r="C17100"/>
  <c r="C17099"/>
  <c r="C17098"/>
  <c r="C17097"/>
  <c r="C17096"/>
  <c r="C17095"/>
  <c r="C17094"/>
  <c r="C17093"/>
  <c r="C17092"/>
  <c r="C17091"/>
  <c r="C17090"/>
  <c r="C17089"/>
  <c r="C17088"/>
  <c r="C17087"/>
  <c r="C17086"/>
  <c r="C17085"/>
  <c r="C17084"/>
  <c r="C17083"/>
  <c r="C17082"/>
  <c r="C17081"/>
  <c r="C17080"/>
  <c r="C17079"/>
  <c r="C17078"/>
  <c r="C17077"/>
  <c r="C17076"/>
  <c r="C17075"/>
  <c r="C17074"/>
  <c r="C17073"/>
  <c r="C17072"/>
  <c r="C17071"/>
  <c r="C17070"/>
  <c r="C17069"/>
  <c r="C17068"/>
  <c r="C17067"/>
  <c r="C17066"/>
  <c r="C17065"/>
  <c r="C17064"/>
  <c r="C17063"/>
  <c r="C17062"/>
  <c r="C17061"/>
  <c r="C17060"/>
  <c r="C17059"/>
  <c r="C17058"/>
  <c r="C17057"/>
  <c r="C17056"/>
  <c r="C17055"/>
  <c r="C17054"/>
  <c r="C17053"/>
  <c r="C17052"/>
  <c r="C17051"/>
  <c r="C17050"/>
  <c r="C17049"/>
  <c r="C17048"/>
  <c r="C17047"/>
  <c r="C17046"/>
  <c r="C17045"/>
  <c r="C17044"/>
  <c r="C17043"/>
  <c r="C17042"/>
  <c r="C17041"/>
  <c r="C17040"/>
  <c r="C17039"/>
  <c r="C17038"/>
  <c r="C17037"/>
  <c r="C17036"/>
  <c r="C17035"/>
  <c r="C17034"/>
  <c r="C17033"/>
  <c r="C17032"/>
  <c r="C17031"/>
  <c r="C17030"/>
  <c r="C17029"/>
  <c r="C17028"/>
  <c r="C17027"/>
  <c r="C17026"/>
  <c r="C17025"/>
  <c r="C17024"/>
  <c r="C17023"/>
  <c r="C17022"/>
  <c r="C17021"/>
  <c r="C17020"/>
  <c r="C17019"/>
  <c r="C17018"/>
  <c r="C17017"/>
  <c r="C17016"/>
  <c r="C17015"/>
  <c r="C17014"/>
  <c r="C17013"/>
  <c r="C17012"/>
  <c r="C17011"/>
  <c r="C17010"/>
  <c r="C17009"/>
  <c r="C17008"/>
  <c r="C17007"/>
  <c r="C17006"/>
  <c r="C17005"/>
  <c r="C17004"/>
  <c r="C17003"/>
  <c r="C17002"/>
  <c r="C17001"/>
  <c r="C17000"/>
  <c r="C16999"/>
  <c r="C16998"/>
  <c r="C16997"/>
  <c r="C16996"/>
  <c r="C16995"/>
  <c r="C16994"/>
  <c r="C16993"/>
  <c r="C16992"/>
  <c r="C16991"/>
  <c r="C16990"/>
  <c r="C16989"/>
  <c r="C16988"/>
  <c r="C16987"/>
  <c r="C16986"/>
  <c r="C16985"/>
  <c r="C16984"/>
  <c r="C16983"/>
  <c r="C16982"/>
  <c r="C16981"/>
  <c r="C16980"/>
  <c r="C16979"/>
  <c r="C16978"/>
  <c r="C16977"/>
  <c r="C16976"/>
  <c r="C16975"/>
  <c r="C16974"/>
  <c r="C16973"/>
  <c r="C16972"/>
  <c r="C16971"/>
  <c r="C16970"/>
  <c r="C16969"/>
  <c r="C16968"/>
  <c r="C16967"/>
  <c r="C16966"/>
  <c r="C16965"/>
  <c r="C16964"/>
  <c r="C16963"/>
  <c r="C16962"/>
  <c r="C16961"/>
  <c r="C16960"/>
  <c r="C16959"/>
  <c r="C16958"/>
  <c r="C16957"/>
  <c r="C16956"/>
  <c r="C16955"/>
  <c r="C16954"/>
  <c r="C16953"/>
  <c r="C16952"/>
  <c r="C16951"/>
  <c r="C16950"/>
  <c r="C16949"/>
  <c r="C16948"/>
  <c r="C16947"/>
  <c r="C16946"/>
  <c r="C16945"/>
  <c r="C16944"/>
  <c r="C16943"/>
  <c r="C16942"/>
  <c r="C16941"/>
  <c r="C16940"/>
  <c r="C16939"/>
  <c r="C16938"/>
  <c r="C16937"/>
  <c r="C16936"/>
  <c r="C16935"/>
  <c r="C16934"/>
  <c r="C16933"/>
  <c r="C16932"/>
  <c r="C16931"/>
  <c r="C16930"/>
  <c r="C16929"/>
  <c r="C16928"/>
  <c r="C16927"/>
  <c r="C16926"/>
  <c r="C16925"/>
  <c r="C16924"/>
  <c r="C16923"/>
  <c r="C16922"/>
  <c r="C16921"/>
  <c r="C16920"/>
  <c r="C16919"/>
  <c r="C16918"/>
  <c r="C16917"/>
  <c r="C16916"/>
  <c r="C16915"/>
  <c r="C16914"/>
  <c r="C16913"/>
  <c r="C16912"/>
  <c r="C16911"/>
  <c r="C16910"/>
  <c r="C16909"/>
  <c r="C16908"/>
  <c r="C16907"/>
  <c r="C16906"/>
  <c r="C16905"/>
  <c r="C16904"/>
  <c r="C16903"/>
  <c r="C16902"/>
  <c r="C16901"/>
  <c r="C16900"/>
  <c r="C16899"/>
  <c r="C16898"/>
  <c r="C16897"/>
  <c r="C16896"/>
  <c r="C16895"/>
  <c r="C16894"/>
  <c r="C16893"/>
  <c r="C16892"/>
  <c r="C16891"/>
  <c r="C16890"/>
  <c r="C16889"/>
  <c r="C16888"/>
  <c r="C16887"/>
  <c r="C16886"/>
  <c r="C16885"/>
  <c r="C16884"/>
  <c r="C16883"/>
  <c r="C16882"/>
  <c r="C16881"/>
  <c r="C16880"/>
  <c r="C16879"/>
  <c r="C16878"/>
  <c r="C16877"/>
  <c r="C16876"/>
  <c r="C16875"/>
  <c r="C16874"/>
  <c r="C16873"/>
  <c r="C16872"/>
  <c r="C16871"/>
  <c r="C16870"/>
  <c r="C16869"/>
  <c r="C16868"/>
  <c r="C16867"/>
  <c r="C16866"/>
  <c r="C16865"/>
  <c r="C16864"/>
  <c r="C16863"/>
  <c r="C16862"/>
  <c r="C16861"/>
  <c r="C16860"/>
  <c r="C16859"/>
  <c r="C16858"/>
  <c r="C16857"/>
  <c r="C16856"/>
  <c r="C16855"/>
  <c r="C16854"/>
  <c r="C16853"/>
  <c r="C16852"/>
  <c r="C16851"/>
  <c r="C16850"/>
  <c r="C16849"/>
  <c r="C16848"/>
  <c r="C16847"/>
  <c r="C16846"/>
  <c r="C16845"/>
  <c r="C16844"/>
  <c r="C16843"/>
  <c r="C16842"/>
  <c r="C16841"/>
  <c r="C16840"/>
  <c r="C16839"/>
  <c r="C16838"/>
  <c r="C16837"/>
  <c r="C16836"/>
  <c r="C16835"/>
  <c r="C16834"/>
  <c r="C16833"/>
  <c r="C16832"/>
  <c r="C16831"/>
  <c r="C16830"/>
  <c r="C16829"/>
  <c r="C16828"/>
  <c r="C16827"/>
  <c r="C16826"/>
  <c r="C16825"/>
  <c r="C16824"/>
  <c r="C16823"/>
  <c r="C16822"/>
  <c r="C16821"/>
  <c r="C16820"/>
  <c r="C16819"/>
  <c r="C16818"/>
  <c r="C16817"/>
  <c r="C16816"/>
  <c r="C16815"/>
  <c r="C16814"/>
  <c r="C16813"/>
  <c r="C16812"/>
  <c r="C16811"/>
  <c r="C16810"/>
  <c r="C16809"/>
  <c r="C16808"/>
  <c r="C16807"/>
  <c r="C16806"/>
  <c r="C16805"/>
  <c r="C16804"/>
  <c r="C16803"/>
  <c r="C16802"/>
  <c r="C16801"/>
  <c r="C16800"/>
  <c r="C16799"/>
  <c r="C16798"/>
  <c r="C16797"/>
  <c r="C16796"/>
  <c r="C16795"/>
  <c r="C16794"/>
  <c r="C16793"/>
  <c r="C16792"/>
  <c r="C16791"/>
  <c r="C16790"/>
  <c r="C16789"/>
  <c r="C16788"/>
  <c r="C16787"/>
  <c r="C16786"/>
  <c r="C16785"/>
  <c r="C16784"/>
  <c r="C16783"/>
  <c r="C16782"/>
  <c r="C16781"/>
  <c r="C16780"/>
  <c r="C16779"/>
  <c r="C16778"/>
  <c r="C16777"/>
  <c r="C16776"/>
  <c r="C16775"/>
  <c r="C16774"/>
  <c r="C16773"/>
  <c r="C16772"/>
  <c r="C16771"/>
  <c r="C16770"/>
  <c r="C16769"/>
  <c r="C16768"/>
  <c r="C16767"/>
  <c r="C16766"/>
  <c r="C16765"/>
  <c r="C16764"/>
  <c r="C16763"/>
  <c r="C16762"/>
  <c r="C16761"/>
  <c r="C16760"/>
  <c r="C16759"/>
  <c r="C16758"/>
  <c r="C16757"/>
  <c r="C16756"/>
  <c r="C16755"/>
  <c r="C16754"/>
  <c r="C16753"/>
  <c r="C16752"/>
  <c r="C16751"/>
  <c r="C16750"/>
  <c r="C16749"/>
  <c r="C16748"/>
  <c r="C16747"/>
  <c r="C16746"/>
  <c r="C16745"/>
  <c r="C16744"/>
  <c r="C16743"/>
  <c r="C16742"/>
  <c r="C16741"/>
  <c r="C16740"/>
  <c r="C16739"/>
  <c r="C16738"/>
  <c r="C16737"/>
  <c r="C16736"/>
  <c r="C16735"/>
  <c r="C16734"/>
  <c r="C16733"/>
  <c r="C16732"/>
  <c r="C16731"/>
  <c r="C16730"/>
  <c r="C16729"/>
  <c r="C16728"/>
  <c r="C16727"/>
  <c r="C16726"/>
  <c r="C16725"/>
  <c r="C16724"/>
  <c r="C16723"/>
  <c r="C16722"/>
  <c r="C16721"/>
  <c r="C16720"/>
  <c r="C16719"/>
  <c r="C16718"/>
  <c r="C16717"/>
  <c r="C16716"/>
  <c r="C16715"/>
  <c r="C16714"/>
  <c r="C16713"/>
  <c r="C16712"/>
  <c r="C16711"/>
  <c r="C16710"/>
  <c r="C16709"/>
  <c r="C16708"/>
  <c r="C16707"/>
  <c r="C16706"/>
  <c r="C16705"/>
  <c r="C16704"/>
  <c r="C16703"/>
  <c r="C16702"/>
  <c r="C16701"/>
  <c r="C16700"/>
  <c r="C16699"/>
  <c r="C16698"/>
  <c r="C16697"/>
  <c r="C16696"/>
  <c r="C16695"/>
  <c r="C16694"/>
  <c r="C16693"/>
  <c r="C16692"/>
  <c r="C16691"/>
  <c r="C16690"/>
  <c r="C16689"/>
  <c r="C16688"/>
  <c r="C16687"/>
  <c r="C16686"/>
  <c r="C16685"/>
  <c r="C16684"/>
  <c r="C16683"/>
  <c r="C16682"/>
  <c r="C16681"/>
  <c r="C16680"/>
  <c r="C16679"/>
  <c r="C16678"/>
  <c r="C16677"/>
  <c r="C16676"/>
  <c r="C16675"/>
  <c r="C16674"/>
  <c r="C16673"/>
  <c r="C16672"/>
  <c r="C16671"/>
  <c r="C16670"/>
  <c r="C16669"/>
  <c r="C16668"/>
  <c r="C16667"/>
  <c r="C16666"/>
  <c r="C16665"/>
  <c r="C16664"/>
  <c r="C16663"/>
  <c r="C16662"/>
  <c r="C16661"/>
  <c r="C16660"/>
  <c r="C16659"/>
  <c r="C16658"/>
  <c r="C16657"/>
  <c r="C16656"/>
  <c r="C16655"/>
  <c r="C16654"/>
  <c r="C16653"/>
  <c r="C16652"/>
  <c r="C16651"/>
  <c r="C16650"/>
  <c r="C16649"/>
  <c r="C16648"/>
  <c r="C16647"/>
  <c r="C16646"/>
  <c r="C16645"/>
  <c r="C16644"/>
  <c r="C16643"/>
  <c r="C16642"/>
  <c r="C16641"/>
  <c r="C16640"/>
  <c r="C16639"/>
  <c r="C16638"/>
  <c r="C16637"/>
  <c r="C16636"/>
  <c r="C16635"/>
  <c r="C16634"/>
  <c r="C16633"/>
  <c r="C16632"/>
  <c r="C16631"/>
  <c r="C16630"/>
  <c r="C16629"/>
  <c r="C16628"/>
  <c r="C16627"/>
  <c r="C16626"/>
  <c r="C16625"/>
  <c r="C16624"/>
  <c r="C16623"/>
  <c r="C16622"/>
  <c r="C16621"/>
  <c r="C16620"/>
  <c r="C16619"/>
  <c r="C16618"/>
  <c r="C16617"/>
  <c r="C16616"/>
  <c r="C16615"/>
  <c r="C16614"/>
  <c r="C16613"/>
  <c r="C16612"/>
  <c r="C16611"/>
  <c r="C16610"/>
  <c r="C16609"/>
  <c r="C16608"/>
  <c r="C16607"/>
  <c r="C16606"/>
  <c r="C16605"/>
  <c r="C16604"/>
  <c r="C16603"/>
  <c r="C16602"/>
  <c r="C16601"/>
  <c r="C16600"/>
  <c r="C16599"/>
  <c r="C16598"/>
  <c r="C16597"/>
  <c r="C16596"/>
  <c r="C16595"/>
  <c r="C16594"/>
  <c r="C16593"/>
  <c r="C16592"/>
  <c r="C16591"/>
  <c r="C16590"/>
  <c r="C16589"/>
  <c r="C16588"/>
  <c r="C16587"/>
  <c r="C16586"/>
  <c r="C16585"/>
  <c r="C16584"/>
  <c r="C16583"/>
  <c r="C16582"/>
  <c r="C16581"/>
  <c r="C16580"/>
  <c r="C16579"/>
  <c r="C16578"/>
  <c r="C16577"/>
  <c r="C16576"/>
  <c r="C16575"/>
  <c r="C16574"/>
  <c r="C16573"/>
  <c r="C16572"/>
  <c r="C16571"/>
  <c r="C16570"/>
  <c r="C16569"/>
  <c r="C16568"/>
  <c r="C16567"/>
  <c r="C16566"/>
  <c r="C16565"/>
  <c r="C16564"/>
  <c r="C16563"/>
  <c r="C16562"/>
  <c r="C16561"/>
  <c r="C16560"/>
  <c r="C16559"/>
  <c r="C16558"/>
  <c r="C16557"/>
  <c r="C16556"/>
  <c r="C16555"/>
  <c r="C16554"/>
  <c r="C16553"/>
  <c r="C16552"/>
  <c r="C16551"/>
  <c r="C16550"/>
  <c r="C16549"/>
  <c r="C16548"/>
  <c r="C16547"/>
  <c r="C16546"/>
  <c r="C16545"/>
  <c r="C16544"/>
  <c r="C16543"/>
  <c r="C16542"/>
  <c r="C16541"/>
  <c r="C16540"/>
  <c r="C16539"/>
  <c r="C16538"/>
  <c r="C16537"/>
  <c r="C16536"/>
  <c r="C16535"/>
  <c r="C16534"/>
  <c r="C16533"/>
  <c r="C16532"/>
  <c r="C16531"/>
  <c r="C16530"/>
  <c r="C16529"/>
  <c r="C16528"/>
  <c r="C16527"/>
  <c r="C16526"/>
  <c r="C16525"/>
  <c r="C16524"/>
  <c r="C16523"/>
  <c r="C16522"/>
  <c r="C16521"/>
  <c r="C16520"/>
  <c r="C16519"/>
  <c r="C16518"/>
  <c r="C16517"/>
  <c r="C16516"/>
  <c r="C16515"/>
  <c r="C16514"/>
  <c r="C16513"/>
  <c r="C16512"/>
  <c r="C16511"/>
  <c r="C16510"/>
  <c r="C16509"/>
  <c r="C16508"/>
  <c r="C16507"/>
  <c r="C16506"/>
  <c r="C16505"/>
  <c r="C16504"/>
  <c r="C16503"/>
  <c r="C16502"/>
  <c r="C16501"/>
  <c r="C16500"/>
  <c r="C16499"/>
  <c r="C16498"/>
  <c r="C16497"/>
  <c r="C16496"/>
  <c r="C16495"/>
  <c r="C16494"/>
  <c r="C16493"/>
  <c r="C16492"/>
  <c r="C16491"/>
  <c r="C16490"/>
  <c r="C16489"/>
  <c r="C16488"/>
  <c r="C16487"/>
  <c r="C16486"/>
  <c r="C16485"/>
  <c r="C16484"/>
  <c r="C16483"/>
  <c r="C16482"/>
  <c r="C16481"/>
  <c r="C16480"/>
  <c r="C16479"/>
  <c r="C16478"/>
  <c r="C16477"/>
  <c r="C16476"/>
  <c r="C16475"/>
  <c r="C16474"/>
  <c r="C16473"/>
  <c r="C16472"/>
  <c r="C16471"/>
  <c r="C16470"/>
  <c r="C16469"/>
  <c r="C16468"/>
  <c r="C16467"/>
  <c r="C16466"/>
  <c r="C16465"/>
  <c r="C16464"/>
  <c r="C16463"/>
  <c r="C16462"/>
  <c r="C16461"/>
  <c r="C16460"/>
  <c r="C16459"/>
  <c r="C16458"/>
  <c r="C16457"/>
  <c r="C16456"/>
  <c r="C16455"/>
  <c r="C16454"/>
  <c r="C16453"/>
  <c r="C16452"/>
  <c r="C16451"/>
  <c r="C16450"/>
  <c r="C16449"/>
  <c r="C16448"/>
  <c r="C16447"/>
  <c r="C16446"/>
  <c r="C16445"/>
  <c r="C16444"/>
  <c r="C16443"/>
  <c r="C16442"/>
  <c r="C16441"/>
  <c r="C16440"/>
  <c r="C16439"/>
  <c r="C16438"/>
  <c r="C16437"/>
  <c r="C16436"/>
  <c r="C16435"/>
  <c r="C16434"/>
  <c r="C16433"/>
  <c r="C16432"/>
  <c r="C16431"/>
  <c r="C16430"/>
  <c r="C16429"/>
  <c r="C16428"/>
  <c r="C16427"/>
  <c r="C16426"/>
  <c r="C16425"/>
  <c r="C16424"/>
  <c r="C16423"/>
  <c r="C16422"/>
  <c r="C16421"/>
  <c r="C16420"/>
  <c r="C16419"/>
  <c r="C16418"/>
  <c r="C16417"/>
  <c r="C16416"/>
  <c r="C16415"/>
  <c r="C16414"/>
  <c r="C16413"/>
  <c r="C16412"/>
  <c r="C16411"/>
  <c r="C16410"/>
  <c r="C16409"/>
  <c r="C16408"/>
  <c r="C16407"/>
  <c r="C16406"/>
  <c r="C16405"/>
  <c r="C16404"/>
  <c r="C16403"/>
  <c r="C16402"/>
  <c r="C16401"/>
  <c r="C16400"/>
  <c r="C16399"/>
  <c r="C16398"/>
  <c r="C16397"/>
  <c r="C16396"/>
  <c r="C16395"/>
  <c r="C16394"/>
  <c r="C16393"/>
  <c r="C16392"/>
  <c r="C16391"/>
  <c r="C16390"/>
  <c r="C16389"/>
  <c r="C16388"/>
  <c r="C16387"/>
  <c r="C16386"/>
  <c r="C16385"/>
  <c r="C16384"/>
  <c r="C16383"/>
  <c r="C16382"/>
  <c r="C16381"/>
  <c r="C16380"/>
  <c r="C16379"/>
  <c r="C16378"/>
  <c r="C16377"/>
  <c r="C16376"/>
  <c r="C16375"/>
  <c r="C16374"/>
  <c r="C16373"/>
  <c r="C16372"/>
  <c r="C16371"/>
  <c r="C16370"/>
  <c r="C16369"/>
  <c r="C16368"/>
  <c r="C16367"/>
  <c r="C16366"/>
  <c r="C16365"/>
  <c r="C16364"/>
  <c r="C16363"/>
  <c r="C16362"/>
  <c r="C16361"/>
  <c r="C16360"/>
  <c r="C16359"/>
  <c r="C16358"/>
  <c r="C16357"/>
  <c r="C16356"/>
  <c r="C16355"/>
  <c r="C16354"/>
  <c r="C16353"/>
  <c r="C16352"/>
  <c r="C16351"/>
  <c r="C16350"/>
  <c r="C16349"/>
  <c r="C16348"/>
  <c r="C16347"/>
  <c r="C16346"/>
  <c r="C16345"/>
  <c r="C16344"/>
  <c r="C16343"/>
  <c r="C16342"/>
  <c r="C16341"/>
  <c r="C16340"/>
  <c r="C16339"/>
  <c r="C16338"/>
  <c r="C16337"/>
  <c r="C16336"/>
  <c r="C16335"/>
  <c r="C16334"/>
  <c r="C16333"/>
  <c r="C16332"/>
  <c r="C16331"/>
  <c r="C16330"/>
  <c r="C16329"/>
  <c r="C16328"/>
  <c r="C16327"/>
  <c r="C16326"/>
  <c r="C16325"/>
  <c r="C16324"/>
  <c r="C16323"/>
  <c r="C16322"/>
  <c r="C16321"/>
  <c r="C16320"/>
  <c r="C16319"/>
  <c r="C16318"/>
  <c r="C16317"/>
  <c r="C16316"/>
  <c r="C16315"/>
  <c r="C16314"/>
  <c r="C16313"/>
  <c r="C16312"/>
  <c r="C16311"/>
  <c r="C16310"/>
  <c r="C16309"/>
  <c r="C16308"/>
  <c r="C16307"/>
  <c r="C16306"/>
  <c r="C16305"/>
  <c r="C16304"/>
  <c r="C16303"/>
  <c r="C16302"/>
  <c r="C16301"/>
  <c r="C16300"/>
  <c r="C16299"/>
  <c r="C16298"/>
  <c r="C16297"/>
  <c r="C16296"/>
  <c r="C16295"/>
  <c r="C16294"/>
  <c r="C16293"/>
  <c r="C16292"/>
  <c r="C16291"/>
  <c r="C16290"/>
  <c r="C16289"/>
  <c r="C16288"/>
  <c r="C16287"/>
  <c r="C16286"/>
  <c r="C16285"/>
  <c r="C16284"/>
  <c r="C16283"/>
  <c r="C16282"/>
  <c r="C16281"/>
  <c r="C16280"/>
  <c r="C16279"/>
  <c r="C16278"/>
  <c r="C16277"/>
  <c r="C16276"/>
  <c r="C16275"/>
  <c r="C16274"/>
  <c r="C16273"/>
  <c r="C16272"/>
  <c r="C16271"/>
  <c r="C16270"/>
  <c r="C16269"/>
  <c r="C16268"/>
  <c r="C16267"/>
  <c r="C16266"/>
  <c r="C16265"/>
  <c r="C16264"/>
  <c r="C16263"/>
  <c r="C16262"/>
  <c r="C16261"/>
  <c r="C16260"/>
  <c r="C16259"/>
  <c r="C16258"/>
  <c r="C16257"/>
  <c r="C16256"/>
  <c r="C16255"/>
  <c r="C16254"/>
  <c r="C16253"/>
  <c r="C16252"/>
  <c r="C16251"/>
  <c r="C16250"/>
  <c r="C16249"/>
  <c r="C16248"/>
  <c r="C16247"/>
  <c r="C16246"/>
  <c r="C16245"/>
  <c r="C16244"/>
  <c r="C16243"/>
  <c r="C16242"/>
  <c r="C16241"/>
  <c r="C16240"/>
  <c r="C16239"/>
  <c r="C16238"/>
  <c r="C16237"/>
  <c r="C16236"/>
  <c r="C16235"/>
  <c r="C16234"/>
  <c r="C16233"/>
  <c r="C16232"/>
  <c r="C16231"/>
  <c r="C16230"/>
  <c r="C16229"/>
  <c r="C16228"/>
  <c r="C16227"/>
  <c r="C16226"/>
  <c r="C16225"/>
  <c r="C16224"/>
  <c r="C16223"/>
  <c r="C16222"/>
  <c r="C16221"/>
  <c r="C16220"/>
  <c r="C16219"/>
  <c r="C16218"/>
  <c r="C16217"/>
  <c r="C16216"/>
  <c r="C16215"/>
  <c r="C16214"/>
  <c r="C16213"/>
  <c r="C16212"/>
  <c r="C16211"/>
  <c r="C16210"/>
  <c r="C16209"/>
  <c r="C16208"/>
  <c r="C16207"/>
  <c r="C16206"/>
  <c r="C16205"/>
  <c r="C16204"/>
  <c r="C16203"/>
  <c r="C16202"/>
  <c r="C16201"/>
  <c r="C16200"/>
  <c r="C16199"/>
  <c r="C16198"/>
  <c r="C16197"/>
  <c r="C16196"/>
  <c r="C16195"/>
  <c r="C16194"/>
  <c r="C16193"/>
  <c r="C16192"/>
  <c r="C16191"/>
  <c r="C16190"/>
  <c r="C16189"/>
  <c r="C16188"/>
  <c r="C16187"/>
  <c r="C16186"/>
  <c r="C16185"/>
  <c r="C16184"/>
  <c r="C16183"/>
  <c r="C16182"/>
  <c r="C16181"/>
  <c r="C16180"/>
  <c r="C16179"/>
  <c r="C16178"/>
  <c r="C16177"/>
  <c r="C16176"/>
  <c r="C16175"/>
  <c r="C16174"/>
  <c r="C16173"/>
  <c r="C16172"/>
  <c r="C16171"/>
  <c r="C16170"/>
  <c r="C16169"/>
  <c r="C16168"/>
  <c r="C16167"/>
  <c r="C16166"/>
  <c r="C16165"/>
  <c r="C16164"/>
  <c r="C16163"/>
  <c r="C16162"/>
  <c r="C16161"/>
  <c r="C16160"/>
  <c r="C16159"/>
  <c r="C16158"/>
  <c r="C16157"/>
  <c r="C16156"/>
  <c r="C16155"/>
  <c r="C16154"/>
  <c r="C16153"/>
  <c r="C16152"/>
  <c r="C16151"/>
  <c r="C16150"/>
  <c r="C16149"/>
  <c r="C16148"/>
  <c r="C16147"/>
  <c r="C16146"/>
  <c r="C16145"/>
  <c r="C16144"/>
  <c r="C16143"/>
  <c r="C16142"/>
  <c r="C16141"/>
  <c r="C16140"/>
  <c r="C16139"/>
  <c r="C16138"/>
  <c r="C16137"/>
  <c r="C16136"/>
  <c r="C16135"/>
  <c r="C16134"/>
  <c r="C16133"/>
  <c r="C16132"/>
  <c r="C16131"/>
  <c r="C16130"/>
  <c r="C16129"/>
  <c r="C16128"/>
  <c r="C16127"/>
  <c r="C16126"/>
  <c r="C16125"/>
  <c r="C16124"/>
  <c r="C16123"/>
  <c r="C16122"/>
  <c r="C16121"/>
  <c r="C16120"/>
  <c r="C16119"/>
  <c r="C16118"/>
  <c r="C16117"/>
  <c r="C16116"/>
  <c r="C16115"/>
  <c r="C16114"/>
  <c r="C16113"/>
  <c r="C16112"/>
  <c r="C16111"/>
  <c r="C16110"/>
  <c r="C16109"/>
  <c r="C16108"/>
  <c r="C16107"/>
  <c r="C16106"/>
  <c r="C16105"/>
  <c r="C16104"/>
  <c r="C16103"/>
  <c r="C16102"/>
  <c r="C16101"/>
  <c r="C16100"/>
  <c r="C16099"/>
  <c r="C16098"/>
  <c r="C16097"/>
  <c r="C16096"/>
  <c r="C16095"/>
  <c r="C16094"/>
  <c r="C16093"/>
  <c r="C16092"/>
  <c r="C16091"/>
  <c r="C16090"/>
  <c r="C16089"/>
  <c r="C16088"/>
  <c r="C16087"/>
  <c r="C16086"/>
  <c r="C16085"/>
  <c r="C16084"/>
  <c r="C16083"/>
  <c r="C16082"/>
  <c r="C16081"/>
  <c r="C16080"/>
  <c r="C16079"/>
  <c r="C16078"/>
  <c r="C16077"/>
  <c r="C16076"/>
  <c r="C16075"/>
  <c r="C16074"/>
  <c r="C16073"/>
  <c r="C16072"/>
  <c r="C16071"/>
  <c r="C16070"/>
  <c r="C16069"/>
  <c r="C16068"/>
  <c r="C16067"/>
  <c r="C16066"/>
  <c r="C16065"/>
  <c r="C16064"/>
  <c r="C16063"/>
  <c r="C16062"/>
  <c r="C16061"/>
  <c r="C16060"/>
  <c r="C16059"/>
  <c r="C16058"/>
  <c r="C16057"/>
  <c r="C16056"/>
  <c r="C16055"/>
  <c r="C16054"/>
  <c r="C16053"/>
  <c r="C16052"/>
  <c r="C16051"/>
  <c r="C16050"/>
  <c r="C16049"/>
  <c r="C16048"/>
  <c r="C16047"/>
  <c r="C16046"/>
  <c r="C16045"/>
  <c r="C16044"/>
  <c r="C16043"/>
  <c r="C16042"/>
  <c r="C16041"/>
  <c r="C16040"/>
  <c r="C16039"/>
  <c r="C16038"/>
  <c r="C16037"/>
  <c r="C16036"/>
  <c r="C16035"/>
  <c r="C16034"/>
  <c r="C16033"/>
  <c r="C16032"/>
  <c r="C16031"/>
  <c r="C16030"/>
  <c r="C16029"/>
  <c r="C16028"/>
  <c r="C16027"/>
  <c r="C16026"/>
  <c r="C16025"/>
  <c r="C16024"/>
  <c r="C16023"/>
  <c r="C16022"/>
  <c r="C16021"/>
  <c r="C16020"/>
  <c r="C16019"/>
  <c r="C16018"/>
  <c r="C16017"/>
  <c r="C16016"/>
  <c r="C16015"/>
  <c r="C16014"/>
  <c r="C16013"/>
  <c r="C16012"/>
  <c r="C16011"/>
  <c r="C16010"/>
  <c r="C16009"/>
  <c r="C16008"/>
  <c r="C16007"/>
  <c r="C16006"/>
  <c r="C16005"/>
  <c r="C16004"/>
  <c r="C16003"/>
  <c r="C16002"/>
  <c r="C16001"/>
  <c r="C16000"/>
  <c r="C15999"/>
  <c r="C15998"/>
  <c r="C15997"/>
  <c r="C15996"/>
  <c r="C15995"/>
  <c r="C15994"/>
  <c r="C15993"/>
  <c r="C15992"/>
  <c r="C15991"/>
  <c r="C15990"/>
  <c r="C15989"/>
  <c r="C15988"/>
  <c r="C15987"/>
  <c r="C15986"/>
  <c r="C15985"/>
  <c r="C15984"/>
  <c r="C15983"/>
  <c r="C15982"/>
  <c r="C15981"/>
  <c r="C15980"/>
  <c r="C15979"/>
  <c r="C15978"/>
  <c r="C15977"/>
  <c r="C15976"/>
  <c r="C15975"/>
  <c r="C15974"/>
  <c r="C15973"/>
  <c r="C15972"/>
  <c r="C15971"/>
  <c r="C15970"/>
  <c r="C15969"/>
  <c r="C15968"/>
  <c r="C15967"/>
  <c r="C15966"/>
  <c r="C15965"/>
  <c r="C15964"/>
  <c r="C15963"/>
  <c r="C15962"/>
  <c r="C15961"/>
  <c r="C15960"/>
  <c r="C15959"/>
  <c r="C15958"/>
  <c r="C15957"/>
  <c r="C15956"/>
  <c r="C15955"/>
  <c r="C15954"/>
  <c r="C15953"/>
  <c r="C15952"/>
  <c r="C15951"/>
  <c r="C15950"/>
  <c r="C15949"/>
  <c r="C15948"/>
  <c r="C15947"/>
  <c r="C15946"/>
  <c r="C15945"/>
  <c r="C15944"/>
  <c r="C15943"/>
  <c r="C15942"/>
  <c r="C15941"/>
  <c r="C15940"/>
  <c r="C15939"/>
  <c r="C15938"/>
  <c r="C15937"/>
  <c r="C15936"/>
  <c r="C15935"/>
  <c r="C15934"/>
  <c r="C15933"/>
  <c r="C15932"/>
  <c r="C15931"/>
  <c r="C15930"/>
  <c r="C15929"/>
  <c r="C15928"/>
  <c r="C15927"/>
  <c r="C15926"/>
  <c r="C15925"/>
  <c r="C15924"/>
  <c r="C15923"/>
  <c r="C15922"/>
  <c r="C15921"/>
  <c r="C15920"/>
  <c r="C15919"/>
  <c r="C15918"/>
  <c r="C15917"/>
  <c r="C15916"/>
  <c r="C15915"/>
  <c r="C15914"/>
  <c r="C15913"/>
  <c r="C15912"/>
  <c r="C15911"/>
  <c r="C15910"/>
  <c r="C15909"/>
  <c r="C15908"/>
  <c r="C15907"/>
  <c r="C15906"/>
  <c r="C15905"/>
  <c r="C15904"/>
  <c r="C15903"/>
  <c r="C15902"/>
  <c r="C15901"/>
  <c r="C15900"/>
  <c r="C15899"/>
  <c r="C15898"/>
  <c r="C15897"/>
  <c r="C15896"/>
  <c r="C15895"/>
  <c r="C15894"/>
  <c r="C15893"/>
  <c r="C15892"/>
  <c r="C15891"/>
  <c r="C15890"/>
  <c r="C15889"/>
  <c r="C15888"/>
  <c r="C15887"/>
  <c r="C15886"/>
  <c r="C15885"/>
  <c r="C15884"/>
  <c r="C15883"/>
  <c r="C15882"/>
  <c r="C15881"/>
  <c r="C15880"/>
  <c r="C15879"/>
  <c r="C15878"/>
  <c r="C15877"/>
  <c r="C15876"/>
  <c r="C15875"/>
  <c r="C15874"/>
  <c r="C15873"/>
  <c r="C15872"/>
  <c r="C15871"/>
  <c r="C15870"/>
  <c r="C15869"/>
  <c r="C15868"/>
  <c r="C15867"/>
  <c r="C15866"/>
  <c r="C15865"/>
  <c r="C15864"/>
  <c r="C15863"/>
  <c r="C15862"/>
  <c r="C15861"/>
  <c r="C15860"/>
  <c r="C15859"/>
  <c r="C15858"/>
  <c r="C15857"/>
  <c r="C15856"/>
  <c r="C15855"/>
  <c r="C15854"/>
  <c r="C15853"/>
  <c r="C15852"/>
  <c r="C15851"/>
  <c r="C15850"/>
  <c r="C15849"/>
  <c r="C15848"/>
  <c r="C15847"/>
  <c r="C15846"/>
  <c r="C15845"/>
  <c r="C15844"/>
  <c r="C15843"/>
  <c r="C15842"/>
  <c r="C15841"/>
  <c r="C15840"/>
  <c r="C15839"/>
  <c r="C15838"/>
  <c r="C15837"/>
  <c r="C15836"/>
  <c r="C15835"/>
  <c r="C15834"/>
  <c r="C15833"/>
  <c r="C15832"/>
  <c r="C15831"/>
  <c r="C15830"/>
  <c r="C15829"/>
  <c r="C15828"/>
  <c r="C15827"/>
  <c r="C15826"/>
  <c r="C15825"/>
  <c r="C15824"/>
  <c r="C15823"/>
  <c r="C15822"/>
  <c r="C15821"/>
  <c r="C15820"/>
  <c r="C15819"/>
  <c r="C15818"/>
  <c r="C15817"/>
  <c r="C15816"/>
  <c r="C15815"/>
  <c r="C15814"/>
  <c r="C15813"/>
  <c r="C15812"/>
  <c r="C15811"/>
  <c r="C15810"/>
  <c r="C15809"/>
  <c r="C15808"/>
  <c r="C15807"/>
  <c r="C15806"/>
  <c r="C15805"/>
  <c r="C15804"/>
  <c r="C15803"/>
  <c r="C15802"/>
  <c r="C15801"/>
  <c r="C15800"/>
  <c r="C15799"/>
  <c r="C15798"/>
  <c r="C15797"/>
  <c r="C15796"/>
  <c r="C15795"/>
  <c r="C15794"/>
  <c r="C15793"/>
  <c r="C15792"/>
  <c r="C15791"/>
  <c r="C15790"/>
  <c r="C15789"/>
  <c r="C15788"/>
  <c r="C15787"/>
  <c r="C15786"/>
  <c r="C15785"/>
  <c r="C15784"/>
  <c r="C15783"/>
  <c r="C15782"/>
  <c r="C15781"/>
  <c r="C15780"/>
  <c r="C15779"/>
  <c r="C15778"/>
  <c r="C15777"/>
  <c r="C15776"/>
  <c r="C15775"/>
  <c r="C15774"/>
  <c r="C15773"/>
  <c r="C15772"/>
  <c r="C15771"/>
  <c r="C15770"/>
  <c r="C15769"/>
  <c r="C15768"/>
  <c r="C15767"/>
  <c r="C15766"/>
  <c r="C15765"/>
  <c r="C15764"/>
  <c r="C15763"/>
  <c r="C15762"/>
  <c r="C15761"/>
  <c r="C15760"/>
  <c r="C15759"/>
  <c r="C15758"/>
  <c r="C15757"/>
  <c r="C15756"/>
  <c r="C15755"/>
  <c r="C15754"/>
  <c r="C15753"/>
  <c r="C15752"/>
  <c r="C15751"/>
  <c r="C15750"/>
  <c r="C15749"/>
  <c r="C15748"/>
  <c r="C15747"/>
  <c r="C15746"/>
  <c r="C15745"/>
  <c r="C15744"/>
  <c r="C15743"/>
  <c r="C15742"/>
  <c r="C15741"/>
  <c r="C15740"/>
  <c r="C15739"/>
  <c r="C15738"/>
  <c r="C15737"/>
  <c r="C15736"/>
  <c r="C15735"/>
  <c r="C15734"/>
  <c r="C15733"/>
  <c r="C15732"/>
  <c r="C15731"/>
  <c r="C15730"/>
  <c r="C15729"/>
  <c r="C15728"/>
  <c r="C15727"/>
  <c r="C15726"/>
  <c r="C15725"/>
  <c r="C15724"/>
  <c r="C15723"/>
  <c r="C15722"/>
  <c r="C15721"/>
  <c r="C15720"/>
  <c r="C15719"/>
  <c r="C15718"/>
  <c r="C15717"/>
  <c r="C15716"/>
  <c r="C15715"/>
  <c r="C15714"/>
  <c r="C15713"/>
  <c r="C15712"/>
  <c r="C15711"/>
  <c r="C15710"/>
  <c r="C15709"/>
  <c r="C15708"/>
  <c r="C15707"/>
  <c r="C15706"/>
  <c r="C15705"/>
  <c r="C15704"/>
  <c r="C15703"/>
  <c r="C15702"/>
  <c r="C15701"/>
  <c r="C15700"/>
  <c r="C15699"/>
  <c r="C15698"/>
  <c r="C15697"/>
  <c r="C15696"/>
  <c r="C15695"/>
  <c r="C15694"/>
  <c r="C15693"/>
  <c r="C15692"/>
  <c r="C15691"/>
  <c r="C15690"/>
  <c r="C15689"/>
  <c r="C15688"/>
  <c r="C15687"/>
  <c r="C15686"/>
  <c r="C15685"/>
  <c r="C15684"/>
  <c r="C15683"/>
  <c r="C15682"/>
  <c r="C15681"/>
  <c r="C15680"/>
  <c r="C15679"/>
  <c r="C15678"/>
  <c r="C15677"/>
  <c r="C15676"/>
  <c r="C15675"/>
  <c r="C15674"/>
  <c r="C15673"/>
  <c r="C15672"/>
  <c r="C15671"/>
  <c r="C15670"/>
  <c r="C15669"/>
  <c r="C15668"/>
  <c r="C15667"/>
  <c r="C15666"/>
  <c r="C15665"/>
  <c r="C15664"/>
  <c r="C15663"/>
  <c r="C15662"/>
  <c r="C15661"/>
  <c r="C15660"/>
  <c r="C15659"/>
  <c r="C15658"/>
  <c r="C15657"/>
  <c r="C15656"/>
  <c r="C15655"/>
  <c r="C15654"/>
  <c r="C15653"/>
  <c r="C15652"/>
  <c r="C15651"/>
  <c r="C15650"/>
  <c r="C15649"/>
  <c r="C15648"/>
  <c r="C15647"/>
  <c r="C15646"/>
  <c r="C15645"/>
  <c r="C15644"/>
  <c r="C15643"/>
  <c r="C15642"/>
  <c r="C15641"/>
  <c r="C15640"/>
  <c r="C15639"/>
  <c r="C15638"/>
  <c r="C15637"/>
  <c r="C15636"/>
  <c r="C15635"/>
  <c r="C15634"/>
  <c r="C15633"/>
  <c r="C15632"/>
  <c r="C15631"/>
  <c r="C15630"/>
  <c r="C15629"/>
  <c r="C15628"/>
  <c r="C15627"/>
  <c r="C15626"/>
  <c r="C15625"/>
  <c r="C15624"/>
  <c r="C15623"/>
  <c r="C15622"/>
  <c r="C15621"/>
  <c r="C15620"/>
  <c r="C15619"/>
  <c r="C15618"/>
  <c r="C15617"/>
  <c r="C15616"/>
  <c r="C15615"/>
  <c r="C15614"/>
  <c r="C15613"/>
  <c r="C15612"/>
  <c r="C15611"/>
  <c r="C15610"/>
  <c r="C15609"/>
  <c r="C15608"/>
  <c r="C15607"/>
  <c r="C15606"/>
  <c r="C15605"/>
  <c r="C15604"/>
  <c r="C15603"/>
  <c r="C15602"/>
  <c r="C15601"/>
  <c r="C15600"/>
  <c r="C15599"/>
  <c r="C15598"/>
  <c r="C15597"/>
  <c r="C15596"/>
  <c r="C15595"/>
  <c r="C15594"/>
  <c r="C15593"/>
  <c r="C15592"/>
  <c r="C15591"/>
  <c r="C15590"/>
  <c r="C15589"/>
  <c r="C15588"/>
  <c r="C15587"/>
  <c r="C15586"/>
  <c r="C15585"/>
  <c r="C15584"/>
  <c r="C15583"/>
  <c r="C15582"/>
  <c r="C15581"/>
  <c r="C15580"/>
  <c r="C15579"/>
  <c r="C15578"/>
  <c r="C15577"/>
  <c r="C15576"/>
  <c r="C15575"/>
  <c r="C15574"/>
  <c r="C15573"/>
  <c r="C15572"/>
  <c r="C15571"/>
  <c r="C15570"/>
  <c r="C15569"/>
  <c r="C15568"/>
  <c r="C15567"/>
  <c r="C15566"/>
  <c r="C15565"/>
  <c r="C15564"/>
  <c r="C15563"/>
  <c r="C15562"/>
  <c r="C15561"/>
  <c r="C15560"/>
  <c r="C15559"/>
  <c r="C15558"/>
  <c r="C15557"/>
  <c r="C15556"/>
  <c r="C15555"/>
  <c r="C15554"/>
  <c r="C15553"/>
  <c r="C15552"/>
  <c r="C15551"/>
  <c r="C15550"/>
  <c r="C15549"/>
  <c r="C15548"/>
  <c r="C15547"/>
  <c r="C15546"/>
  <c r="C15545"/>
  <c r="C15544"/>
  <c r="C15543"/>
  <c r="C15542"/>
  <c r="C15541"/>
  <c r="C15540"/>
  <c r="C15539"/>
  <c r="C15538"/>
  <c r="C15537"/>
  <c r="C15536"/>
  <c r="C15535"/>
  <c r="C15534"/>
  <c r="C15533"/>
  <c r="C15532"/>
  <c r="C15531"/>
  <c r="C15530"/>
  <c r="C15529"/>
  <c r="C15528"/>
  <c r="C15527"/>
  <c r="C15526"/>
  <c r="C15525"/>
  <c r="C15524"/>
  <c r="C15523"/>
  <c r="C15522"/>
  <c r="C15521"/>
  <c r="C15520"/>
  <c r="C15519"/>
  <c r="C15518"/>
  <c r="C15517"/>
  <c r="C15516"/>
  <c r="C15515"/>
  <c r="C15514"/>
  <c r="C15513"/>
  <c r="C15512"/>
  <c r="C15511"/>
  <c r="C15510"/>
  <c r="C15509"/>
  <c r="C15508"/>
  <c r="C15507"/>
  <c r="C15506"/>
  <c r="C15505"/>
  <c r="C15504"/>
  <c r="C15503"/>
  <c r="C15502"/>
  <c r="C15501"/>
  <c r="C15500"/>
  <c r="C15499"/>
  <c r="C15498"/>
  <c r="C15497"/>
  <c r="C15496"/>
  <c r="C15495"/>
  <c r="C15494"/>
  <c r="C15493"/>
  <c r="C15492"/>
  <c r="C15491"/>
  <c r="C15490"/>
  <c r="C15489"/>
  <c r="C15488"/>
  <c r="C15487"/>
  <c r="C15486"/>
  <c r="C15485"/>
  <c r="C15484"/>
  <c r="C15483"/>
  <c r="C15482"/>
  <c r="C15481"/>
  <c r="C15480"/>
  <c r="C15479"/>
  <c r="C15478"/>
  <c r="C15477"/>
  <c r="C15476"/>
  <c r="C15475"/>
  <c r="C15474"/>
  <c r="C15473"/>
  <c r="C15472"/>
  <c r="C15471"/>
  <c r="C15470"/>
  <c r="C15469"/>
  <c r="C15468"/>
  <c r="C15467"/>
  <c r="C15466"/>
  <c r="C15465"/>
  <c r="C15464"/>
  <c r="C15463"/>
  <c r="C15462"/>
  <c r="C15461"/>
  <c r="C15460"/>
  <c r="C15459"/>
  <c r="C15458"/>
  <c r="C15457"/>
  <c r="C15456"/>
  <c r="C15455"/>
  <c r="C15454"/>
  <c r="C15453"/>
  <c r="C15452"/>
  <c r="C15451"/>
  <c r="C15450"/>
  <c r="C15449"/>
  <c r="C15448"/>
  <c r="C15447"/>
  <c r="C15446"/>
  <c r="C15445"/>
  <c r="C15444"/>
  <c r="C15443"/>
  <c r="C15442"/>
  <c r="C15441"/>
  <c r="C15440"/>
  <c r="C15439"/>
  <c r="C15438"/>
  <c r="C15437"/>
  <c r="C15436"/>
  <c r="C15435"/>
  <c r="C15434"/>
  <c r="C15433"/>
  <c r="C15432"/>
  <c r="C15431"/>
  <c r="C15430"/>
  <c r="C15429"/>
  <c r="C15428"/>
  <c r="C15427"/>
  <c r="C15426"/>
  <c r="C15425"/>
  <c r="C15424"/>
  <c r="C15423"/>
  <c r="C15422"/>
  <c r="C15421"/>
  <c r="C15420"/>
  <c r="C15419"/>
  <c r="C15418"/>
  <c r="C15417"/>
  <c r="C15416"/>
  <c r="C15415"/>
  <c r="C15414"/>
  <c r="C15413"/>
  <c r="C15412"/>
  <c r="C15411"/>
  <c r="C15410"/>
  <c r="C15409"/>
  <c r="C15408"/>
  <c r="C15407"/>
  <c r="C15406"/>
  <c r="C15405"/>
  <c r="C15404"/>
  <c r="C15403"/>
  <c r="C15402"/>
  <c r="C15401"/>
  <c r="C15400"/>
  <c r="C15399"/>
  <c r="C15398"/>
  <c r="C15397"/>
  <c r="C15396"/>
  <c r="C15395"/>
  <c r="C15394"/>
  <c r="C15393"/>
  <c r="C15392"/>
  <c r="C15391"/>
  <c r="C15390"/>
  <c r="C15389"/>
  <c r="C15388"/>
  <c r="C15387"/>
  <c r="C15386"/>
  <c r="C15385"/>
  <c r="C15384"/>
  <c r="C15383"/>
  <c r="C15382"/>
  <c r="C15381"/>
  <c r="C15380"/>
  <c r="C15379"/>
  <c r="C15378"/>
  <c r="C15377"/>
  <c r="C15376"/>
  <c r="C15375"/>
  <c r="C15374"/>
  <c r="C15373"/>
  <c r="C15372"/>
  <c r="C15371"/>
  <c r="C15370"/>
  <c r="C15369"/>
  <c r="C15368"/>
  <c r="C15367"/>
  <c r="C15366"/>
  <c r="C15365"/>
  <c r="C15364"/>
  <c r="C15363"/>
  <c r="C15362"/>
  <c r="C15361"/>
  <c r="C15360"/>
  <c r="C15359"/>
  <c r="C15358"/>
  <c r="C15357"/>
  <c r="C15356"/>
  <c r="C15355"/>
  <c r="C15354"/>
  <c r="C15353"/>
  <c r="C15352"/>
  <c r="C15351"/>
  <c r="C15350"/>
  <c r="C15349"/>
  <c r="C15348"/>
  <c r="C15347"/>
  <c r="C15346"/>
  <c r="C15345"/>
  <c r="C15344"/>
  <c r="C15343"/>
  <c r="C15342"/>
  <c r="C15341"/>
  <c r="C15340"/>
  <c r="C15339"/>
  <c r="C15338"/>
  <c r="C15337"/>
  <c r="C15336"/>
  <c r="C15335"/>
  <c r="C15334"/>
  <c r="C15333"/>
  <c r="C15332"/>
  <c r="C15331"/>
  <c r="C15330"/>
  <c r="C15329"/>
  <c r="C15328"/>
  <c r="C15327"/>
  <c r="C15326"/>
  <c r="C15325"/>
  <c r="C15324"/>
  <c r="C15323"/>
  <c r="C15322"/>
  <c r="C15321"/>
  <c r="C15320"/>
  <c r="C15319"/>
  <c r="C15318"/>
  <c r="C15317"/>
  <c r="C15316"/>
  <c r="C15315"/>
  <c r="C15314"/>
  <c r="C15313"/>
  <c r="C15312"/>
  <c r="C15311"/>
  <c r="C15310"/>
  <c r="C15309"/>
  <c r="C15308"/>
  <c r="C15307"/>
  <c r="C15306"/>
  <c r="C15305"/>
  <c r="C15304"/>
  <c r="C15303"/>
  <c r="C15302"/>
  <c r="C15301"/>
  <c r="C15300"/>
  <c r="C15299"/>
  <c r="C15298"/>
  <c r="C15297"/>
  <c r="C15296"/>
  <c r="C15295"/>
  <c r="C15294"/>
  <c r="C15293"/>
  <c r="C15292"/>
  <c r="C15291"/>
  <c r="C15290"/>
  <c r="C15289"/>
  <c r="C15288"/>
  <c r="C15287"/>
  <c r="C15286"/>
  <c r="C15285"/>
  <c r="C15284"/>
  <c r="C15283"/>
  <c r="C15282"/>
  <c r="C15281"/>
  <c r="C15280"/>
  <c r="C15279"/>
  <c r="C15278"/>
  <c r="C15277"/>
  <c r="C15276"/>
  <c r="C15275"/>
  <c r="C15274"/>
  <c r="C15273"/>
  <c r="C15272"/>
  <c r="C15271"/>
  <c r="C15270"/>
  <c r="C15269"/>
  <c r="C15268"/>
  <c r="C15267"/>
  <c r="C15266"/>
  <c r="C15265"/>
  <c r="C15264"/>
  <c r="C15263"/>
  <c r="C15262"/>
  <c r="C15261"/>
  <c r="C15260"/>
  <c r="C15259"/>
  <c r="C15258"/>
  <c r="C15257"/>
  <c r="C15256"/>
  <c r="C15255"/>
  <c r="C15254"/>
  <c r="C15253"/>
  <c r="C15252"/>
  <c r="C15251"/>
  <c r="C15250"/>
  <c r="C15249"/>
  <c r="C15248"/>
  <c r="C15247"/>
  <c r="C15246"/>
  <c r="C15245"/>
  <c r="C15244"/>
  <c r="C15243"/>
  <c r="C15242"/>
  <c r="C15241"/>
  <c r="C15240"/>
  <c r="C15239"/>
  <c r="C15238"/>
  <c r="C15237"/>
  <c r="C15236"/>
  <c r="C15235"/>
  <c r="C15234"/>
  <c r="C15233"/>
  <c r="C15232"/>
  <c r="C15231"/>
  <c r="C15230"/>
  <c r="C15229"/>
  <c r="C15228"/>
  <c r="C15227"/>
  <c r="C15226"/>
  <c r="C15225"/>
  <c r="C15224"/>
  <c r="C15223"/>
  <c r="C15222"/>
  <c r="C15221"/>
  <c r="C15220"/>
  <c r="C15219"/>
  <c r="C15218"/>
  <c r="C15217"/>
  <c r="C15216"/>
  <c r="C15215"/>
  <c r="C15214"/>
  <c r="C15213"/>
  <c r="C15212"/>
  <c r="C15211"/>
  <c r="C15210"/>
  <c r="C15209"/>
  <c r="C15208"/>
  <c r="C15207"/>
  <c r="C15206"/>
  <c r="C15205"/>
  <c r="C15204"/>
  <c r="C15203"/>
  <c r="C15202"/>
  <c r="C15201"/>
  <c r="C15200"/>
  <c r="C15199"/>
  <c r="C15198"/>
  <c r="C15197"/>
  <c r="C15196"/>
  <c r="C15195"/>
  <c r="C15194"/>
  <c r="C15193"/>
  <c r="C15192"/>
  <c r="C15191"/>
  <c r="C15190"/>
  <c r="C15189"/>
  <c r="C15188"/>
  <c r="C15187"/>
  <c r="C15186"/>
  <c r="C15185"/>
  <c r="C15184"/>
  <c r="C15183"/>
  <c r="C15182"/>
  <c r="C15181"/>
  <c r="C15180"/>
  <c r="C15179"/>
  <c r="C15178"/>
  <c r="C15177"/>
  <c r="C15176"/>
  <c r="C15175"/>
  <c r="C15174"/>
  <c r="C15173"/>
  <c r="C15172"/>
  <c r="C15171"/>
  <c r="C15170"/>
  <c r="C15169"/>
  <c r="C15168"/>
  <c r="C15167"/>
  <c r="C15166"/>
  <c r="C15165"/>
  <c r="C15164"/>
  <c r="C15163"/>
  <c r="C15162"/>
  <c r="C15161"/>
  <c r="C15160"/>
  <c r="C15159"/>
  <c r="C15158"/>
  <c r="C15157"/>
  <c r="C15156"/>
  <c r="C15155"/>
  <c r="C15154"/>
  <c r="C15153"/>
  <c r="C15152"/>
  <c r="C15151"/>
  <c r="C15150"/>
  <c r="C15149"/>
  <c r="C15148"/>
  <c r="C15147"/>
  <c r="C15146"/>
  <c r="C15145"/>
  <c r="C15144"/>
  <c r="C15143"/>
  <c r="C15142"/>
  <c r="C15141"/>
  <c r="C15140"/>
  <c r="C15139"/>
  <c r="C15138"/>
  <c r="C15137"/>
  <c r="C15136"/>
  <c r="C15135"/>
  <c r="C15134"/>
  <c r="C15133"/>
  <c r="C15132"/>
  <c r="C15131"/>
  <c r="C15130"/>
  <c r="C15129"/>
  <c r="C15128"/>
  <c r="C15127"/>
  <c r="C15126"/>
  <c r="C15125"/>
  <c r="C15124"/>
  <c r="C15123"/>
  <c r="C15122"/>
  <c r="C15121"/>
  <c r="C15120"/>
  <c r="C15119"/>
  <c r="C15118"/>
  <c r="C15117"/>
  <c r="C15116"/>
  <c r="C15115"/>
  <c r="C15114"/>
  <c r="C15113"/>
  <c r="C15112"/>
  <c r="C15111"/>
  <c r="C15110"/>
  <c r="C15109"/>
  <c r="C15108"/>
  <c r="C15107"/>
  <c r="C15106"/>
  <c r="C15105"/>
  <c r="C15104"/>
  <c r="C15103"/>
  <c r="C15102"/>
  <c r="C15101"/>
  <c r="C15100"/>
  <c r="C15099"/>
  <c r="C15098"/>
  <c r="C15097"/>
  <c r="C15096"/>
  <c r="C15095"/>
  <c r="C15094"/>
  <c r="C15093"/>
  <c r="C15092"/>
  <c r="C15091"/>
  <c r="C15090"/>
  <c r="C15089"/>
  <c r="C15088"/>
  <c r="C15087"/>
  <c r="C15086"/>
  <c r="C15085"/>
  <c r="C15084"/>
  <c r="C15083"/>
  <c r="C15082"/>
  <c r="C15081"/>
  <c r="C15080"/>
  <c r="C15079"/>
  <c r="C15078"/>
  <c r="C15077"/>
  <c r="C15076"/>
  <c r="C15075"/>
  <c r="C15074"/>
  <c r="C15073"/>
  <c r="C15072"/>
  <c r="C15071"/>
  <c r="C15070"/>
  <c r="C15069"/>
  <c r="C15068"/>
  <c r="C15067"/>
  <c r="C15066"/>
  <c r="C15065"/>
  <c r="C15064"/>
  <c r="C15063"/>
  <c r="C15062"/>
  <c r="C15061"/>
  <c r="C15060"/>
  <c r="C15059"/>
  <c r="C15058"/>
  <c r="C15057"/>
  <c r="C15056"/>
  <c r="C15055"/>
  <c r="C15054"/>
  <c r="C15053"/>
  <c r="C15052"/>
  <c r="C15051"/>
  <c r="C15050"/>
  <c r="C15049"/>
  <c r="C15048"/>
  <c r="C15047"/>
  <c r="C15046"/>
  <c r="C15045"/>
  <c r="C15044"/>
  <c r="C15043"/>
  <c r="C15042"/>
  <c r="C15041"/>
  <c r="C15040"/>
  <c r="C15039"/>
  <c r="C15038"/>
  <c r="C15037"/>
  <c r="C15036"/>
  <c r="C15035"/>
  <c r="C15034"/>
  <c r="C15033"/>
  <c r="C15032"/>
  <c r="C15031"/>
  <c r="C15030"/>
  <c r="C15029"/>
  <c r="C15028"/>
  <c r="C15027"/>
  <c r="C15026"/>
  <c r="C15025"/>
  <c r="C15024"/>
  <c r="C15023"/>
  <c r="C15022"/>
  <c r="C15021"/>
  <c r="C15020"/>
  <c r="C15019"/>
  <c r="C15018"/>
  <c r="C15017"/>
  <c r="C15016"/>
  <c r="C15015"/>
  <c r="C15014"/>
  <c r="C15013"/>
  <c r="C15012"/>
  <c r="C15011"/>
  <c r="C15010"/>
  <c r="C15009"/>
  <c r="C15008"/>
  <c r="C15007"/>
  <c r="C15006"/>
  <c r="C15005"/>
  <c r="C15004"/>
  <c r="C15003"/>
  <c r="C15002"/>
  <c r="C15001"/>
  <c r="C15000"/>
  <c r="C14999"/>
  <c r="C14998"/>
  <c r="C14997"/>
  <c r="C14996"/>
  <c r="C14995"/>
  <c r="C14994"/>
  <c r="C14993"/>
  <c r="C14992"/>
  <c r="C14991"/>
  <c r="C14990"/>
  <c r="C14989"/>
  <c r="C14988"/>
  <c r="C14987"/>
  <c r="C14986"/>
  <c r="C14985"/>
  <c r="C14984"/>
  <c r="C14983"/>
  <c r="C14982"/>
  <c r="C14981"/>
  <c r="C14980"/>
  <c r="C14979"/>
  <c r="C14978"/>
  <c r="C14977"/>
  <c r="C14976"/>
  <c r="C14975"/>
  <c r="C14974"/>
  <c r="C14973"/>
  <c r="C14972"/>
  <c r="C14971"/>
  <c r="C14970"/>
  <c r="C14969"/>
  <c r="C14968"/>
  <c r="C14967"/>
  <c r="C14966"/>
  <c r="C14965"/>
  <c r="C14964"/>
  <c r="C14963"/>
  <c r="C14962"/>
  <c r="C14961"/>
  <c r="C14960"/>
  <c r="C14959"/>
  <c r="C14958"/>
  <c r="C14957"/>
  <c r="C14956"/>
  <c r="C14955"/>
  <c r="C14954"/>
  <c r="C14953"/>
  <c r="C14952"/>
  <c r="C14951"/>
  <c r="C14950"/>
  <c r="C14949"/>
  <c r="C14948"/>
  <c r="C14947"/>
  <c r="C14946"/>
  <c r="C14945"/>
  <c r="C14944"/>
  <c r="C14943"/>
  <c r="C14942"/>
  <c r="C14941"/>
  <c r="C14940"/>
  <c r="C14939"/>
  <c r="C14938"/>
  <c r="C14937"/>
  <c r="C14936"/>
  <c r="C14935"/>
  <c r="C14934"/>
  <c r="C14933"/>
  <c r="C14932"/>
  <c r="C14931"/>
  <c r="C14930"/>
  <c r="C14929"/>
  <c r="C14928"/>
  <c r="C14927"/>
  <c r="C14926"/>
  <c r="C14925"/>
  <c r="C14924"/>
  <c r="C14923"/>
  <c r="C14922"/>
  <c r="C14921"/>
  <c r="C14920"/>
  <c r="C14919"/>
  <c r="C14918"/>
  <c r="C14917"/>
  <c r="C14916"/>
  <c r="C14915"/>
  <c r="C14914"/>
  <c r="C14913"/>
  <c r="C14912"/>
  <c r="C14911"/>
  <c r="C14910"/>
  <c r="C14909"/>
  <c r="C14908"/>
  <c r="C14907"/>
  <c r="C14906"/>
  <c r="C14905"/>
  <c r="C14904"/>
  <c r="C14903"/>
  <c r="C14902"/>
  <c r="C14901"/>
  <c r="C14900"/>
  <c r="C14899"/>
  <c r="C14898"/>
  <c r="C14897"/>
  <c r="C14896"/>
  <c r="C14895"/>
  <c r="C14894"/>
  <c r="C14893"/>
  <c r="C14892"/>
  <c r="C14891"/>
  <c r="C14890"/>
  <c r="C14889"/>
  <c r="C14888"/>
  <c r="C14887"/>
  <c r="C14886"/>
  <c r="C14885"/>
  <c r="C14884"/>
  <c r="C14883"/>
  <c r="C14882"/>
  <c r="C14881"/>
  <c r="C14880"/>
  <c r="C14879"/>
  <c r="C14878"/>
  <c r="C14877"/>
  <c r="C14876"/>
  <c r="C14875"/>
  <c r="C14874"/>
  <c r="C14873"/>
  <c r="C14872"/>
  <c r="C14871"/>
  <c r="C14870"/>
  <c r="C14869"/>
  <c r="C14868"/>
  <c r="C14867"/>
  <c r="C14866"/>
  <c r="C14865"/>
  <c r="C14864"/>
  <c r="C14863"/>
  <c r="C14862"/>
  <c r="C14861"/>
  <c r="C14860"/>
  <c r="C14859"/>
  <c r="C14858"/>
  <c r="C14857"/>
  <c r="C14856"/>
  <c r="C14855"/>
  <c r="C14854"/>
  <c r="C14853"/>
  <c r="C14852"/>
  <c r="C14851"/>
  <c r="C14850"/>
  <c r="C14849"/>
  <c r="C14848"/>
  <c r="C14847"/>
  <c r="C14846"/>
  <c r="C14845"/>
  <c r="C14844"/>
  <c r="C14843"/>
  <c r="C14842"/>
  <c r="C14841"/>
  <c r="C14840"/>
  <c r="C14839"/>
  <c r="C14838"/>
  <c r="C14837"/>
  <c r="C14836"/>
  <c r="C14835"/>
  <c r="C14834"/>
  <c r="C14833"/>
  <c r="C14832"/>
  <c r="C14831"/>
  <c r="C14830"/>
  <c r="C14829"/>
  <c r="C14828"/>
  <c r="C14827"/>
  <c r="C14826"/>
  <c r="C14825"/>
  <c r="C14824"/>
  <c r="C14823"/>
  <c r="C14822"/>
  <c r="C14821"/>
  <c r="C14820"/>
  <c r="C14819"/>
  <c r="C14818"/>
  <c r="C14817"/>
  <c r="C14816"/>
  <c r="C14815"/>
  <c r="C14814"/>
  <c r="C14813"/>
  <c r="C14812"/>
  <c r="C14811"/>
  <c r="C14810"/>
  <c r="C14809"/>
  <c r="C14808"/>
  <c r="C14807"/>
  <c r="C14806"/>
  <c r="C14805"/>
  <c r="C14804"/>
  <c r="C14803"/>
  <c r="C14802"/>
  <c r="C14801"/>
  <c r="C14800"/>
  <c r="C14799"/>
  <c r="C14798"/>
  <c r="C14797"/>
  <c r="C14796"/>
  <c r="C14795"/>
  <c r="C14794"/>
  <c r="C14793"/>
  <c r="C14792"/>
  <c r="C14791"/>
  <c r="C14790"/>
  <c r="C14789"/>
  <c r="C14788"/>
  <c r="C14787"/>
  <c r="C14786"/>
  <c r="C14785"/>
  <c r="C14784"/>
  <c r="C14783"/>
  <c r="C14782"/>
  <c r="C14781"/>
  <c r="C14780"/>
  <c r="C14779"/>
  <c r="C14778"/>
  <c r="C14777"/>
  <c r="C14776"/>
  <c r="C14775"/>
  <c r="C14774"/>
  <c r="C14773"/>
  <c r="C14772"/>
  <c r="C14771"/>
  <c r="C14770"/>
  <c r="C14769"/>
  <c r="C14768"/>
  <c r="C14767"/>
  <c r="C14766"/>
  <c r="C14765"/>
  <c r="C14764"/>
  <c r="C14763"/>
  <c r="C14762"/>
  <c r="C14761"/>
  <c r="C14760"/>
  <c r="C14759"/>
  <c r="C14758"/>
  <c r="C14757"/>
  <c r="C14756"/>
  <c r="C14755"/>
  <c r="C14754"/>
  <c r="C14753"/>
  <c r="C14752"/>
  <c r="C14751"/>
  <c r="C14750"/>
  <c r="C14749"/>
  <c r="C14748"/>
  <c r="C14747"/>
  <c r="C14746"/>
  <c r="C14745"/>
  <c r="C14744"/>
  <c r="C14743"/>
  <c r="C14742"/>
  <c r="C14741"/>
  <c r="C14740"/>
  <c r="C14739"/>
  <c r="C14738"/>
  <c r="C14737"/>
  <c r="C14736"/>
  <c r="C14735"/>
  <c r="C14734"/>
  <c r="C14733"/>
  <c r="C14732"/>
  <c r="C14731"/>
  <c r="C14730"/>
  <c r="C14729"/>
  <c r="C14728"/>
  <c r="C14727"/>
  <c r="C14726"/>
  <c r="C14725"/>
  <c r="C14724"/>
  <c r="C14723"/>
  <c r="C14722"/>
  <c r="C14721"/>
  <c r="C14720"/>
  <c r="C14719"/>
  <c r="C14718"/>
  <c r="C14717"/>
  <c r="C14716"/>
  <c r="C14715"/>
  <c r="C14714"/>
  <c r="C14713"/>
  <c r="C14712"/>
  <c r="C14711"/>
  <c r="C14710"/>
  <c r="C14709"/>
  <c r="C14708"/>
  <c r="C14707"/>
  <c r="C14706"/>
  <c r="C14705"/>
  <c r="C14704"/>
  <c r="C14703"/>
  <c r="C14702"/>
  <c r="C14701"/>
  <c r="C14700"/>
  <c r="C14699"/>
  <c r="C14698"/>
  <c r="C14697"/>
  <c r="C14696"/>
  <c r="C14695"/>
  <c r="C14694"/>
  <c r="C14693"/>
  <c r="C14692"/>
  <c r="C14691"/>
  <c r="C14690"/>
  <c r="C14689"/>
  <c r="C14688"/>
  <c r="C14687"/>
  <c r="C14686"/>
  <c r="C14685"/>
  <c r="C14684"/>
  <c r="C14683"/>
  <c r="C14682"/>
  <c r="C14681"/>
  <c r="C14680"/>
  <c r="C14679"/>
  <c r="C14678"/>
  <c r="C14677"/>
  <c r="C14676"/>
  <c r="C14675"/>
  <c r="C14674"/>
  <c r="C14673"/>
  <c r="C14672"/>
  <c r="C14671"/>
  <c r="C14670"/>
  <c r="C14669"/>
  <c r="C14668"/>
  <c r="C14667"/>
  <c r="C14666"/>
  <c r="C14665"/>
  <c r="C14664"/>
  <c r="C14663"/>
  <c r="C14662"/>
  <c r="C14661"/>
  <c r="C14660"/>
  <c r="C14659"/>
  <c r="C14658"/>
  <c r="C14657"/>
  <c r="C14656"/>
  <c r="C14655"/>
  <c r="C14654"/>
  <c r="C14653"/>
  <c r="C14652"/>
  <c r="C14651"/>
  <c r="C14650"/>
  <c r="C14649"/>
  <c r="C14648"/>
  <c r="C14647"/>
  <c r="C14646"/>
  <c r="C14645"/>
  <c r="C14644"/>
  <c r="C14643"/>
  <c r="C14642"/>
  <c r="C14641"/>
  <c r="C14640"/>
  <c r="C14639"/>
  <c r="C14638"/>
  <c r="C14637"/>
  <c r="C14636"/>
  <c r="C14635"/>
  <c r="C14634"/>
  <c r="C14633"/>
  <c r="C14632"/>
  <c r="C14631"/>
  <c r="C14630"/>
  <c r="C14629"/>
  <c r="C14628"/>
  <c r="C14627"/>
  <c r="C14626"/>
  <c r="C14625"/>
  <c r="C14624"/>
  <c r="C14623"/>
  <c r="C14622"/>
  <c r="C14621"/>
  <c r="C14620"/>
  <c r="C14619"/>
  <c r="C14618"/>
  <c r="C14617"/>
  <c r="C14616"/>
  <c r="C14615"/>
  <c r="C14614"/>
  <c r="C14613"/>
  <c r="C14612"/>
  <c r="C14611"/>
  <c r="C14610"/>
  <c r="C14609"/>
  <c r="C14608"/>
  <c r="C14607"/>
  <c r="C14606"/>
  <c r="C14605"/>
  <c r="C14604"/>
  <c r="C14603"/>
  <c r="C14602"/>
  <c r="C14601"/>
  <c r="C14600"/>
  <c r="C14599"/>
  <c r="C14598"/>
  <c r="C14597"/>
  <c r="C14596"/>
  <c r="C14595"/>
  <c r="C14594"/>
  <c r="C14593"/>
  <c r="C14592"/>
  <c r="C14591"/>
  <c r="C14590"/>
  <c r="C14589"/>
  <c r="C14588"/>
  <c r="C14587"/>
  <c r="C14586"/>
  <c r="C14585"/>
  <c r="C14584"/>
  <c r="C14583"/>
  <c r="C14582"/>
  <c r="C14581"/>
  <c r="C14580"/>
  <c r="C14579"/>
  <c r="C14578"/>
  <c r="C14577"/>
  <c r="C14576"/>
  <c r="C14575"/>
  <c r="C14574"/>
  <c r="C14573"/>
  <c r="C14572"/>
  <c r="C14571"/>
  <c r="C14570"/>
  <c r="C14569"/>
  <c r="C14568"/>
  <c r="C14567"/>
  <c r="C14566"/>
  <c r="C14565"/>
  <c r="C14564"/>
  <c r="C14563"/>
  <c r="C14562"/>
  <c r="C14561"/>
  <c r="C14560"/>
  <c r="C14559"/>
  <c r="C14558"/>
  <c r="C14557"/>
  <c r="C14556"/>
  <c r="C14555"/>
  <c r="C14554"/>
  <c r="C14553"/>
  <c r="C14552"/>
  <c r="C14551"/>
  <c r="C14550"/>
  <c r="C14549"/>
  <c r="C14548"/>
  <c r="C14547"/>
  <c r="C14546"/>
  <c r="C14545"/>
  <c r="C14544"/>
  <c r="C14543"/>
  <c r="C14542"/>
  <c r="C14541"/>
  <c r="C14540"/>
  <c r="C14539"/>
  <c r="C14538"/>
  <c r="C14537"/>
  <c r="C14536"/>
  <c r="C14535"/>
  <c r="C14534"/>
  <c r="C14533"/>
  <c r="C14532"/>
  <c r="C14531"/>
  <c r="C14530"/>
  <c r="C14529"/>
  <c r="C14528"/>
  <c r="C14527"/>
  <c r="C14526"/>
  <c r="C14525"/>
  <c r="C14524"/>
  <c r="C14523"/>
  <c r="C14522"/>
  <c r="C14521"/>
  <c r="C14520"/>
  <c r="C14519"/>
  <c r="C14518"/>
  <c r="C14517"/>
  <c r="C14516"/>
  <c r="C14515"/>
  <c r="C14514"/>
  <c r="C14513"/>
  <c r="C14512"/>
  <c r="C14511"/>
  <c r="C14510"/>
  <c r="C14509"/>
  <c r="C14508"/>
  <c r="C14507"/>
  <c r="C14506"/>
  <c r="C14505"/>
  <c r="C14504"/>
  <c r="C14503"/>
  <c r="C14502"/>
  <c r="C14501"/>
  <c r="C14500"/>
  <c r="C14499"/>
  <c r="C14498"/>
  <c r="C14497"/>
  <c r="C14496"/>
  <c r="C14495"/>
  <c r="C14494"/>
  <c r="C14493"/>
  <c r="C14492"/>
  <c r="C14491"/>
  <c r="C14490"/>
  <c r="C14489"/>
  <c r="C14488"/>
  <c r="C14487"/>
  <c r="C14486"/>
  <c r="C14485"/>
  <c r="C14484"/>
  <c r="C14483"/>
  <c r="C14482"/>
  <c r="C14481"/>
  <c r="C14480"/>
  <c r="C14479"/>
  <c r="C14478"/>
  <c r="C14477"/>
  <c r="C14476"/>
  <c r="C14475"/>
  <c r="C14474"/>
  <c r="C14473"/>
  <c r="C14472"/>
  <c r="C14471"/>
  <c r="C14470"/>
  <c r="C14469"/>
  <c r="C14468"/>
  <c r="C14467"/>
  <c r="C14466"/>
  <c r="C14465"/>
  <c r="C14464"/>
  <c r="C14463"/>
  <c r="C14462"/>
  <c r="C14461"/>
  <c r="C14460"/>
  <c r="C14459"/>
  <c r="C14458"/>
  <c r="C14457"/>
  <c r="C14456"/>
  <c r="C14455"/>
  <c r="C14454"/>
  <c r="C14453"/>
  <c r="C14452"/>
  <c r="C14451"/>
  <c r="C14450"/>
  <c r="C14449"/>
  <c r="C14448"/>
  <c r="C14447"/>
  <c r="C14446"/>
  <c r="C14445"/>
  <c r="C14444"/>
  <c r="C14443"/>
  <c r="C14442"/>
  <c r="C14441"/>
  <c r="C14440"/>
  <c r="C14439"/>
  <c r="C14438"/>
  <c r="C14437"/>
  <c r="C14436"/>
  <c r="C14435"/>
  <c r="C14434"/>
  <c r="C14433"/>
  <c r="C14432"/>
  <c r="C14431"/>
  <c r="C14430"/>
  <c r="C14429"/>
  <c r="C14428"/>
  <c r="C14427"/>
  <c r="C14426"/>
  <c r="C14425"/>
  <c r="C14424"/>
  <c r="C14423"/>
  <c r="C14422"/>
  <c r="C14421"/>
  <c r="C14420"/>
  <c r="C14419"/>
  <c r="C14418"/>
  <c r="C14417"/>
  <c r="C14416"/>
  <c r="C14415"/>
  <c r="C14414"/>
  <c r="C14413"/>
  <c r="C14412"/>
  <c r="C14411"/>
  <c r="C14410"/>
  <c r="C14409"/>
  <c r="C14408"/>
  <c r="C14407"/>
  <c r="C14406"/>
  <c r="C14405"/>
  <c r="C14404"/>
  <c r="C14403"/>
  <c r="C14402"/>
  <c r="C14401"/>
  <c r="C14400"/>
  <c r="C14399"/>
  <c r="C14398"/>
  <c r="C14397"/>
  <c r="C14396"/>
  <c r="C14395"/>
  <c r="C14394"/>
  <c r="C14393"/>
  <c r="C14392"/>
  <c r="C14391"/>
  <c r="C14390"/>
  <c r="C14389"/>
  <c r="C14388"/>
  <c r="C14387"/>
  <c r="C14386"/>
  <c r="C14385"/>
  <c r="C14384"/>
  <c r="C14383"/>
  <c r="C14382"/>
  <c r="C14381"/>
  <c r="C14380"/>
  <c r="C14379"/>
  <c r="C14378"/>
  <c r="C14377"/>
  <c r="C14376"/>
  <c r="C14375"/>
  <c r="C14374"/>
  <c r="C14373"/>
  <c r="C14372"/>
  <c r="C14371"/>
  <c r="C14370"/>
  <c r="C14369"/>
  <c r="C14368"/>
  <c r="C14367"/>
  <c r="C14366"/>
  <c r="C14365"/>
  <c r="C14364"/>
  <c r="C14363"/>
  <c r="C14362"/>
  <c r="C14361"/>
  <c r="C14360"/>
  <c r="C14359"/>
  <c r="C14358"/>
  <c r="C14357"/>
  <c r="C14356"/>
  <c r="C14355"/>
  <c r="C14354"/>
  <c r="C14353"/>
  <c r="C14352"/>
  <c r="C14351"/>
  <c r="C14350"/>
  <c r="C14349"/>
  <c r="C14348"/>
  <c r="C14347"/>
  <c r="C14346"/>
  <c r="C14345"/>
  <c r="C14344"/>
  <c r="C14343"/>
  <c r="C14342"/>
  <c r="C14341"/>
  <c r="C14340"/>
  <c r="C14339"/>
  <c r="C14338"/>
  <c r="C14337"/>
  <c r="C14336"/>
  <c r="C14335"/>
  <c r="C14334"/>
  <c r="C14333"/>
  <c r="C14332"/>
  <c r="C14331"/>
  <c r="C14330"/>
  <c r="C14329"/>
  <c r="C14328"/>
  <c r="C14327"/>
  <c r="C14326"/>
  <c r="C14325"/>
  <c r="C14324"/>
  <c r="C14323"/>
  <c r="C14322"/>
  <c r="C14321"/>
  <c r="C14320"/>
  <c r="C14319"/>
  <c r="C14318"/>
  <c r="C14317"/>
  <c r="C14316"/>
  <c r="C14315"/>
  <c r="C14314"/>
  <c r="C14313"/>
  <c r="C14312"/>
  <c r="C14311"/>
  <c r="C14310"/>
  <c r="C14309"/>
  <c r="C14308"/>
  <c r="C14307"/>
  <c r="C14306"/>
  <c r="C14305"/>
  <c r="C14304"/>
  <c r="C14303"/>
  <c r="C14302"/>
  <c r="C14301"/>
  <c r="C14300"/>
  <c r="C14299"/>
  <c r="C14298"/>
  <c r="C14297"/>
  <c r="C14296"/>
  <c r="C14295"/>
  <c r="C14294"/>
  <c r="C14293"/>
  <c r="C14292"/>
  <c r="C14291"/>
  <c r="C14290"/>
  <c r="C14289"/>
  <c r="C14288"/>
  <c r="C14287"/>
  <c r="C14286"/>
  <c r="C14285"/>
  <c r="C14284"/>
  <c r="C14283"/>
  <c r="C14282"/>
  <c r="C14281"/>
  <c r="C14280"/>
  <c r="C14279"/>
  <c r="C14278"/>
  <c r="C14277"/>
  <c r="C14276"/>
  <c r="C14275"/>
  <c r="C14274"/>
  <c r="C14273"/>
  <c r="C14272"/>
  <c r="C14271"/>
  <c r="C14270"/>
  <c r="C14269"/>
  <c r="C14268"/>
  <c r="C14267"/>
  <c r="C14266"/>
  <c r="C14265"/>
  <c r="C14264"/>
  <c r="C14263"/>
  <c r="C14262"/>
  <c r="C14261"/>
  <c r="C14260"/>
  <c r="C14259"/>
  <c r="C14258"/>
  <c r="C14257"/>
  <c r="C14256"/>
  <c r="C14255"/>
  <c r="C14254"/>
  <c r="C14253"/>
  <c r="C14252"/>
  <c r="C14251"/>
  <c r="C14250"/>
  <c r="C14249"/>
  <c r="C14248"/>
  <c r="C14247"/>
  <c r="C14246"/>
  <c r="C14245"/>
  <c r="C14244"/>
  <c r="C14243"/>
  <c r="C14242"/>
  <c r="C14241"/>
  <c r="C14240"/>
  <c r="C14239"/>
  <c r="C14238"/>
  <c r="C14237"/>
  <c r="C14236"/>
  <c r="C14235"/>
  <c r="C14234"/>
  <c r="C14233"/>
  <c r="C14232"/>
  <c r="C14231"/>
  <c r="C14230"/>
  <c r="C14229"/>
  <c r="C14228"/>
  <c r="C14227"/>
  <c r="C14226"/>
  <c r="C14225"/>
  <c r="C14224"/>
  <c r="C14223"/>
  <c r="C14222"/>
  <c r="C14221"/>
  <c r="C14220"/>
  <c r="C14219"/>
  <c r="C14218"/>
  <c r="C14217"/>
  <c r="C14216"/>
  <c r="C14215"/>
  <c r="C14214"/>
  <c r="C14213"/>
  <c r="C14212"/>
  <c r="C14211"/>
  <c r="C14210"/>
  <c r="C14209"/>
  <c r="C14208"/>
  <c r="C14207"/>
  <c r="C14206"/>
  <c r="C14205"/>
  <c r="C14204"/>
  <c r="C14203"/>
  <c r="C14202"/>
  <c r="C14201"/>
  <c r="C14200"/>
  <c r="C14199"/>
  <c r="C14198"/>
  <c r="C14197"/>
  <c r="C14196"/>
  <c r="C14195"/>
  <c r="C14194"/>
  <c r="C14193"/>
  <c r="C14192"/>
  <c r="C14191"/>
  <c r="C14190"/>
  <c r="C14189"/>
  <c r="C14188"/>
  <c r="C14187"/>
  <c r="C14186"/>
  <c r="C14185"/>
  <c r="C14184"/>
  <c r="C14183"/>
  <c r="C14182"/>
  <c r="C14181"/>
  <c r="C14180"/>
  <c r="C14179"/>
  <c r="C14178"/>
  <c r="C14177"/>
  <c r="C14176"/>
  <c r="C14175"/>
  <c r="C14174"/>
  <c r="C14173"/>
  <c r="C14172"/>
  <c r="C14171"/>
  <c r="C14170"/>
  <c r="C14169"/>
  <c r="C14168"/>
  <c r="C14167"/>
  <c r="C14166"/>
  <c r="C14165"/>
  <c r="C14164"/>
  <c r="C14163"/>
  <c r="C14162"/>
  <c r="C14161"/>
  <c r="C14160"/>
  <c r="C14159"/>
  <c r="C14158"/>
  <c r="C14157"/>
  <c r="C14156"/>
  <c r="C14155"/>
  <c r="C14154"/>
  <c r="C14153"/>
  <c r="C14152"/>
  <c r="C14151"/>
  <c r="C14150"/>
  <c r="C14149"/>
  <c r="C14148"/>
  <c r="C14147"/>
  <c r="C14146"/>
  <c r="C14145"/>
  <c r="C14144"/>
  <c r="C14143"/>
  <c r="C14142"/>
  <c r="C14141"/>
  <c r="C14140"/>
  <c r="C14139"/>
  <c r="C14138"/>
  <c r="C14137"/>
  <c r="C14136"/>
  <c r="C14135"/>
  <c r="C14134"/>
  <c r="C14133"/>
  <c r="C14132"/>
  <c r="C14131"/>
  <c r="C14130"/>
  <c r="C14129"/>
  <c r="C14128"/>
  <c r="C14127"/>
  <c r="C14126"/>
  <c r="C14125"/>
  <c r="C14124"/>
  <c r="C14123"/>
  <c r="C14122"/>
  <c r="C14121"/>
  <c r="C14120"/>
  <c r="C14119"/>
  <c r="C14118"/>
  <c r="C14117"/>
  <c r="C14116"/>
  <c r="C14115"/>
  <c r="C14114"/>
  <c r="C14113"/>
  <c r="C14112"/>
  <c r="C14111"/>
  <c r="C14110"/>
  <c r="C14109"/>
  <c r="C14108"/>
  <c r="C14107"/>
  <c r="C14106"/>
  <c r="C14105"/>
  <c r="C14104"/>
  <c r="C14103"/>
  <c r="C14102"/>
  <c r="C14101"/>
  <c r="C14100"/>
  <c r="C14099"/>
  <c r="C14098"/>
  <c r="C14097"/>
  <c r="C14096"/>
  <c r="C14095"/>
  <c r="C14094"/>
  <c r="C14093"/>
  <c r="C14092"/>
  <c r="C14091"/>
  <c r="C14090"/>
  <c r="C14089"/>
  <c r="C14088"/>
  <c r="C14087"/>
  <c r="C14086"/>
  <c r="C14085"/>
  <c r="C14084"/>
  <c r="C14083"/>
  <c r="C14082"/>
  <c r="C14081"/>
  <c r="C14080"/>
  <c r="C14079"/>
  <c r="C14078"/>
  <c r="C14077"/>
  <c r="C14076"/>
  <c r="C14075"/>
  <c r="C14074"/>
  <c r="C14073"/>
  <c r="C14072"/>
  <c r="C14071"/>
  <c r="C14070"/>
  <c r="C14069"/>
  <c r="C14068"/>
  <c r="C14067"/>
  <c r="C14066"/>
  <c r="C14065"/>
  <c r="C14064"/>
  <c r="C14063"/>
  <c r="C14062"/>
  <c r="C14061"/>
  <c r="C14060"/>
  <c r="C14059"/>
  <c r="C14058"/>
  <c r="C14057"/>
  <c r="C14056"/>
  <c r="C14055"/>
  <c r="C14054"/>
  <c r="C14053"/>
  <c r="C14052"/>
  <c r="C14051"/>
  <c r="C14050"/>
  <c r="C14049"/>
  <c r="C14048"/>
  <c r="C14047"/>
  <c r="C14046"/>
  <c r="C14045"/>
  <c r="C14044"/>
  <c r="C14043"/>
  <c r="C14042"/>
  <c r="C14041"/>
  <c r="C14040"/>
  <c r="C14039"/>
  <c r="C14038"/>
  <c r="C14037"/>
  <c r="C14036"/>
  <c r="C14035"/>
  <c r="C14034"/>
  <c r="C14033"/>
  <c r="C14032"/>
  <c r="C14031"/>
  <c r="C14030"/>
  <c r="C14029"/>
  <c r="C14028"/>
  <c r="C14027"/>
  <c r="C14026"/>
  <c r="C14025"/>
  <c r="C14024"/>
  <c r="C14023"/>
  <c r="C14022"/>
  <c r="C14021"/>
  <c r="C14020"/>
  <c r="C14019"/>
  <c r="C14018"/>
  <c r="C14017"/>
  <c r="C14016"/>
  <c r="C14015"/>
  <c r="C14014"/>
  <c r="C14013"/>
  <c r="C14012"/>
  <c r="C14011"/>
  <c r="C14010"/>
  <c r="C14009"/>
  <c r="C14008"/>
  <c r="C14007"/>
  <c r="C14006"/>
  <c r="C14005"/>
  <c r="C14004"/>
  <c r="C14003"/>
  <c r="C14002"/>
  <c r="C14001"/>
  <c r="C14000"/>
  <c r="C13999"/>
  <c r="C13998"/>
  <c r="C13997"/>
  <c r="C13996"/>
  <c r="C13995"/>
  <c r="C13994"/>
  <c r="C13993"/>
  <c r="C13992"/>
  <c r="C13991"/>
  <c r="C13990"/>
  <c r="C13989"/>
  <c r="C13988"/>
  <c r="C13987"/>
  <c r="C13986"/>
  <c r="C13985"/>
  <c r="C13984"/>
  <c r="C13983"/>
  <c r="C13982"/>
  <c r="C13981"/>
  <c r="C13980"/>
  <c r="C13979"/>
  <c r="C13978"/>
  <c r="C13977"/>
  <c r="C13976"/>
  <c r="C13975"/>
  <c r="C13974"/>
  <c r="C13973"/>
  <c r="C13972"/>
  <c r="C13971"/>
  <c r="C13970"/>
  <c r="C13969"/>
  <c r="C13968"/>
  <c r="C13967"/>
  <c r="C13966"/>
  <c r="C13965"/>
  <c r="C13964"/>
  <c r="C13963"/>
  <c r="C13962"/>
  <c r="C13961"/>
  <c r="C13960"/>
  <c r="C13959"/>
  <c r="C13958"/>
  <c r="C13957"/>
  <c r="C13956"/>
  <c r="C13955"/>
  <c r="C13954"/>
  <c r="C13953"/>
  <c r="C13952"/>
  <c r="C13951"/>
  <c r="C13950"/>
  <c r="C13949"/>
  <c r="C13948"/>
  <c r="C13947"/>
  <c r="C13946"/>
  <c r="C13945"/>
  <c r="C13944"/>
  <c r="C13943"/>
  <c r="C13942"/>
  <c r="C13941"/>
  <c r="C13940"/>
  <c r="C13939"/>
  <c r="C13938"/>
  <c r="C13937"/>
  <c r="C13936"/>
  <c r="C13935"/>
  <c r="C13934"/>
  <c r="C13933"/>
  <c r="C13932"/>
  <c r="C13931"/>
  <c r="C13930"/>
  <c r="C13929"/>
  <c r="C13928"/>
  <c r="C13927"/>
  <c r="C13926"/>
  <c r="C13925"/>
  <c r="C13924"/>
  <c r="C13923"/>
  <c r="C13922"/>
  <c r="C13921"/>
  <c r="C13920"/>
  <c r="C13919"/>
  <c r="C13918"/>
  <c r="C13917"/>
  <c r="C13916"/>
  <c r="C13915"/>
  <c r="C13914"/>
  <c r="C13913"/>
  <c r="C13912"/>
  <c r="C13911"/>
  <c r="C13910"/>
  <c r="C13909"/>
  <c r="C13908"/>
  <c r="C13907"/>
  <c r="C13906"/>
  <c r="C13905"/>
  <c r="C13904"/>
  <c r="C13903"/>
  <c r="C13902"/>
  <c r="C13901"/>
  <c r="C13900"/>
  <c r="C13899"/>
  <c r="C13898"/>
  <c r="C13897"/>
  <c r="C13896"/>
  <c r="C13895"/>
  <c r="C13894"/>
  <c r="C13893"/>
  <c r="C13892"/>
  <c r="C13891"/>
  <c r="C13890"/>
  <c r="C13889"/>
  <c r="C13888"/>
  <c r="C13887"/>
  <c r="C13886"/>
  <c r="C13885"/>
  <c r="C13884"/>
  <c r="C13883"/>
  <c r="C13882"/>
  <c r="C13881"/>
  <c r="C13880"/>
  <c r="C13879"/>
  <c r="C13878"/>
  <c r="C13877"/>
  <c r="C13876"/>
  <c r="C13875"/>
  <c r="C13874"/>
  <c r="C13873"/>
  <c r="C13872"/>
  <c r="C13871"/>
  <c r="C13870"/>
  <c r="C13869"/>
  <c r="C13868"/>
  <c r="C13867"/>
  <c r="C13866"/>
  <c r="C13865"/>
  <c r="C13864"/>
  <c r="C13863"/>
  <c r="C13862"/>
  <c r="C13861"/>
  <c r="C13860"/>
  <c r="C13859"/>
  <c r="C13858"/>
  <c r="C13857"/>
  <c r="C13856"/>
  <c r="C13855"/>
  <c r="C13854"/>
  <c r="C13853"/>
  <c r="C13852"/>
  <c r="C13851"/>
  <c r="C13850"/>
  <c r="C13849"/>
  <c r="C13848"/>
  <c r="C13847"/>
  <c r="C13846"/>
  <c r="C13845"/>
  <c r="C13844"/>
  <c r="C13843"/>
  <c r="C13842"/>
  <c r="C13841"/>
  <c r="C13840"/>
  <c r="C13839"/>
  <c r="C13838"/>
  <c r="C13837"/>
  <c r="C13836"/>
  <c r="C13835"/>
  <c r="C13834"/>
  <c r="C13833"/>
  <c r="C13832"/>
  <c r="C13831"/>
  <c r="C13830"/>
  <c r="C13829"/>
  <c r="C13828"/>
  <c r="C13827"/>
  <c r="C13826"/>
  <c r="C13825"/>
  <c r="C13824"/>
  <c r="C13823"/>
  <c r="C13822"/>
  <c r="C13821"/>
  <c r="C13820"/>
  <c r="C13819"/>
  <c r="C13818"/>
  <c r="C13817"/>
  <c r="C13816"/>
  <c r="C13815"/>
  <c r="C13814"/>
  <c r="C13813"/>
  <c r="C13812"/>
  <c r="C13811"/>
  <c r="C13810"/>
  <c r="C13809"/>
  <c r="C13808"/>
  <c r="C13807"/>
  <c r="C13806"/>
  <c r="C13805"/>
  <c r="C13804"/>
  <c r="C13803"/>
  <c r="C13802"/>
  <c r="C13801"/>
  <c r="C13800"/>
  <c r="C13799"/>
  <c r="C13798"/>
  <c r="C13797"/>
  <c r="C13796"/>
  <c r="C13795"/>
  <c r="C13794"/>
  <c r="C13793"/>
  <c r="C13792"/>
  <c r="C13791"/>
  <c r="C13790"/>
  <c r="C13789"/>
  <c r="C13788"/>
  <c r="C13787"/>
  <c r="C13786"/>
  <c r="C13785"/>
  <c r="C13784"/>
  <c r="C13783"/>
  <c r="C13782"/>
  <c r="C13781"/>
  <c r="C13780"/>
  <c r="C13779"/>
  <c r="C13778"/>
  <c r="C13777"/>
  <c r="C13776"/>
  <c r="C13775"/>
  <c r="C13774"/>
  <c r="C13773"/>
  <c r="C13772"/>
  <c r="C13771"/>
  <c r="C13770"/>
  <c r="C13769"/>
  <c r="C13768"/>
  <c r="C13767"/>
  <c r="C13766"/>
  <c r="C13765"/>
  <c r="C13764"/>
  <c r="C13763"/>
  <c r="C13762"/>
  <c r="C13761"/>
  <c r="C13760"/>
  <c r="C13759"/>
  <c r="C13758"/>
  <c r="C13757"/>
  <c r="C13756"/>
  <c r="C13755"/>
  <c r="C13754"/>
  <c r="C13753"/>
  <c r="C13752"/>
  <c r="C13751"/>
  <c r="C13750"/>
  <c r="C13749"/>
  <c r="C13748"/>
  <c r="C13747"/>
  <c r="C13746"/>
  <c r="C13745"/>
  <c r="C13744"/>
  <c r="C13743"/>
  <c r="C13742"/>
  <c r="C13741"/>
  <c r="C13740"/>
  <c r="C13739"/>
  <c r="C13738"/>
  <c r="C13737"/>
  <c r="C13736"/>
  <c r="C13735"/>
  <c r="C13734"/>
  <c r="C13733"/>
  <c r="C13732"/>
  <c r="C13731"/>
  <c r="C13730"/>
  <c r="C13729"/>
  <c r="C13728"/>
  <c r="C13727"/>
  <c r="C13726"/>
  <c r="C13725"/>
  <c r="C13724"/>
  <c r="C13723"/>
  <c r="C13722"/>
  <c r="C13721"/>
  <c r="C13720"/>
  <c r="C13719"/>
  <c r="C13718"/>
  <c r="C13717"/>
  <c r="C13716"/>
  <c r="C13715"/>
  <c r="C13714"/>
  <c r="C13713"/>
  <c r="C13712"/>
  <c r="C13711"/>
  <c r="C13710"/>
  <c r="C13709"/>
  <c r="C13708"/>
  <c r="C13707"/>
  <c r="C13706"/>
  <c r="C13705"/>
  <c r="C13704"/>
  <c r="C13703"/>
  <c r="C13702"/>
  <c r="C13701"/>
  <c r="C13700"/>
  <c r="C13699"/>
  <c r="C13698"/>
  <c r="C13697"/>
  <c r="C13696"/>
  <c r="C13695"/>
  <c r="C13694"/>
  <c r="C13693"/>
  <c r="C13692"/>
  <c r="C13691"/>
  <c r="C13690"/>
  <c r="C13689"/>
  <c r="C13688"/>
  <c r="C13687"/>
  <c r="C13686"/>
  <c r="C13685"/>
  <c r="C13684"/>
  <c r="C13683"/>
  <c r="C13682"/>
  <c r="C13681"/>
  <c r="C13680"/>
  <c r="C13679"/>
  <c r="C13678"/>
  <c r="C13677"/>
  <c r="C13676"/>
  <c r="C13675"/>
  <c r="C13674"/>
  <c r="C13673"/>
  <c r="C13672"/>
  <c r="C13671"/>
  <c r="C13670"/>
  <c r="C13669"/>
  <c r="C13668"/>
  <c r="C13667"/>
  <c r="C13666"/>
  <c r="C13665"/>
  <c r="C13664"/>
  <c r="C13663"/>
  <c r="C13662"/>
  <c r="C13661"/>
  <c r="C13660"/>
  <c r="C13659"/>
  <c r="C13658"/>
  <c r="C13657"/>
  <c r="C13656"/>
  <c r="C13655"/>
  <c r="C13654"/>
  <c r="C13653"/>
  <c r="C13652"/>
  <c r="C13651"/>
  <c r="C13650"/>
  <c r="C13649"/>
  <c r="C13648"/>
  <c r="C13647"/>
  <c r="C13646"/>
  <c r="C13645"/>
  <c r="C13644"/>
  <c r="C13643"/>
  <c r="C13642"/>
  <c r="C13641"/>
  <c r="C13640"/>
  <c r="C13639"/>
  <c r="C13638"/>
  <c r="C13637"/>
  <c r="C13636"/>
  <c r="C13635"/>
  <c r="C13634"/>
  <c r="C13633"/>
  <c r="C13632"/>
  <c r="C13631"/>
  <c r="C13630"/>
  <c r="C13629"/>
  <c r="C13628"/>
  <c r="C13627"/>
  <c r="C13626"/>
  <c r="C13625"/>
  <c r="C13624"/>
  <c r="C13623"/>
  <c r="C13622"/>
  <c r="C13621"/>
  <c r="C13620"/>
  <c r="C13619"/>
  <c r="C13618"/>
  <c r="C13617"/>
  <c r="C13616"/>
  <c r="C13615"/>
  <c r="C13614"/>
  <c r="C13613"/>
  <c r="C13612"/>
  <c r="C13611"/>
  <c r="C13610"/>
  <c r="C13609"/>
  <c r="C13608"/>
  <c r="C13607"/>
  <c r="C13606"/>
  <c r="C13605"/>
  <c r="C13604"/>
  <c r="C13603"/>
  <c r="C13602"/>
  <c r="C13601"/>
  <c r="C13600"/>
  <c r="C13599"/>
  <c r="C13598"/>
  <c r="C13597"/>
  <c r="C13596"/>
  <c r="C13595"/>
  <c r="C13594"/>
  <c r="C13593"/>
  <c r="C13592"/>
  <c r="C13591"/>
  <c r="C13590"/>
  <c r="C13589"/>
  <c r="C13588"/>
  <c r="C13587"/>
  <c r="C13586"/>
  <c r="C13585"/>
  <c r="C13584"/>
  <c r="C13583"/>
  <c r="C13582"/>
  <c r="C13581"/>
  <c r="C13580"/>
  <c r="C13579"/>
  <c r="C13578"/>
  <c r="C13577"/>
  <c r="C13576"/>
  <c r="C13575"/>
  <c r="C13574"/>
  <c r="C13573"/>
  <c r="C13572"/>
  <c r="C13571"/>
  <c r="C13570"/>
  <c r="C13569"/>
  <c r="C13568"/>
  <c r="C13567"/>
  <c r="C13566"/>
  <c r="C13565"/>
  <c r="C13564"/>
  <c r="C13563"/>
  <c r="C13562"/>
  <c r="C13561"/>
  <c r="C13560"/>
  <c r="C13559"/>
  <c r="C13558"/>
  <c r="C13557"/>
  <c r="C13556"/>
  <c r="C13555"/>
  <c r="C13554"/>
  <c r="C13553"/>
  <c r="C13552"/>
  <c r="C13551"/>
  <c r="C13550"/>
  <c r="C13549"/>
  <c r="C13548"/>
  <c r="C13547"/>
  <c r="C13546"/>
  <c r="C13545"/>
  <c r="C13544"/>
  <c r="C13543"/>
  <c r="C13542"/>
  <c r="C13541"/>
  <c r="C13540"/>
  <c r="C13539"/>
  <c r="C13538"/>
  <c r="C13537"/>
  <c r="C13536"/>
  <c r="C13535"/>
  <c r="C13534"/>
  <c r="C13533"/>
  <c r="C13532"/>
  <c r="C13531"/>
  <c r="C13530"/>
  <c r="C13529"/>
  <c r="C13528"/>
  <c r="C13527"/>
  <c r="C13526"/>
  <c r="C13525"/>
  <c r="C13524"/>
  <c r="C13523"/>
  <c r="C13522"/>
  <c r="C13521"/>
  <c r="C13520"/>
  <c r="C13519"/>
  <c r="C13518"/>
  <c r="C13517"/>
  <c r="C13516"/>
  <c r="C13515"/>
  <c r="C13514"/>
  <c r="C13513"/>
  <c r="C13512"/>
  <c r="C13511"/>
  <c r="C13510"/>
  <c r="C13509"/>
  <c r="C13508"/>
  <c r="C13507"/>
  <c r="C13506"/>
  <c r="C13505"/>
  <c r="C13504"/>
  <c r="C13503"/>
  <c r="C13502"/>
  <c r="C13501"/>
  <c r="C13500"/>
  <c r="C13499"/>
  <c r="C13498"/>
  <c r="C13497"/>
  <c r="C13496"/>
  <c r="C13495"/>
  <c r="C13494"/>
  <c r="C13493"/>
  <c r="C13492"/>
  <c r="C13491"/>
  <c r="C13490"/>
  <c r="C13489"/>
  <c r="C13488"/>
  <c r="C13487"/>
  <c r="C13486"/>
  <c r="C13485"/>
  <c r="C13484"/>
  <c r="C13483"/>
  <c r="C13482"/>
  <c r="C13481"/>
  <c r="C13480"/>
  <c r="C13479"/>
  <c r="C13478"/>
  <c r="C13477"/>
  <c r="C13476"/>
  <c r="C13475"/>
  <c r="C13474"/>
  <c r="C13473"/>
  <c r="C13472"/>
  <c r="C13471"/>
  <c r="C13470"/>
  <c r="C13469"/>
  <c r="C13468"/>
  <c r="C13467"/>
  <c r="C13466"/>
  <c r="C13465"/>
  <c r="C13464"/>
  <c r="C13463"/>
  <c r="C13462"/>
  <c r="C13461"/>
  <c r="C13460"/>
  <c r="C13459"/>
  <c r="C13458"/>
  <c r="C13457"/>
  <c r="C13456"/>
  <c r="C13455"/>
  <c r="C13454"/>
  <c r="C13453"/>
  <c r="C13452"/>
  <c r="C13451"/>
  <c r="C13450"/>
  <c r="C13449"/>
  <c r="C13448"/>
  <c r="C13447"/>
  <c r="C13446"/>
  <c r="C13445"/>
  <c r="C13444"/>
  <c r="C13443"/>
  <c r="C13442"/>
  <c r="C13441"/>
  <c r="C13440"/>
  <c r="C13439"/>
  <c r="C13438"/>
  <c r="C13437"/>
  <c r="C13436"/>
  <c r="C13435"/>
  <c r="C13434"/>
  <c r="C13433"/>
  <c r="C13432"/>
  <c r="C13431"/>
  <c r="C13430"/>
  <c r="C13429"/>
  <c r="C13428"/>
  <c r="C13427"/>
  <c r="C13426"/>
  <c r="C13425"/>
  <c r="C13424"/>
  <c r="C13423"/>
  <c r="C13422"/>
  <c r="C13421"/>
  <c r="C13420"/>
  <c r="C13419"/>
  <c r="C13418"/>
  <c r="C13417"/>
  <c r="C13416"/>
  <c r="C13415"/>
  <c r="C13414"/>
  <c r="C13413"/>
  <c r="C13412"/>
  <c r="C13411"/>
  <c r="C13410"/>
  <c r="C13409"/>
  <c r="C13408"/>
  <c r="C13407"/>
  <c r="C13406"/>
  <c r="C13405"/>
  <c r="C13404"/>
  <c r="C13403"/>
  <c r="C13402"/>
  <c r="C13401"/>
  <c r="C13400"/>
  <c r="C13399"/>
  <c r="C13398"/>
  <c r="C13397"/>
  <c r="C13396"/>
  <c r="C13395"/>
  <c r="C13394"/>
  <c r="C13393"/>
  <c r="C13392"/>
  <c r="C13391"/>
  <c r="C13390"/>
  <c r="C13389"/>
  <c r="C13388"/>
  <c r="C13387"/>
  <c r="C13386"/>
  <c r="C13385"/>
  <c r="C13384"/>
  <c r="C13383"/>
  <c r="C13382"/>
  <c r="C13381"/>
  <c r="C13380"/>
  <c r="C13379"/>
  <c r="C13378"/>
  <c r="C13377"/>
  <c r="C13376"/>
  <c r="C13375"/>
  <c r="C13374"/>
  <c r="C13373"/>
  <c r="C13372"/>
  <c r="C13371"/>
  <c r="C13370"/>
  <c r="C13369"/>
  <c r="C13368"/>
  <c r="C13367"/>
  <c r="C13366"/>
  <c r="C13365"/>
  <c r="C13364"/>
  <c r="C13363"/>
  <c r="C13362"/>
  <c r="C13361"/>
  <c r="C13360"/>
  <c r="C13359"/>
  <c r="C13358"/>
  <c r="C13357"/>
  <c r="C13356"/>
  <c r="C13355"/>
  <c r="C13354"/>
  <c r="C13353"/>
  <c r="C13352"/>
  <c r="C13351"/>
  <c r="C13350"/>
  <c r="C13349"/>
  <c r="C13348"/>
  <c r="C13347"/>
  <c r="C13346"/>
  <c r="C13345"/>
  <c r="C13344"/>
  <c r="C13343"/>
  <c r="C13342"/>
  <c r="C13341"/>
  <c r="C13340"/>
  <c r="C13339"/>
  <c r="C13338"/>
  <c r="C13337"/>
  <c r="C13336"/>
  <c r="C13335"/>
  <c r="C13334"/>
  <c r="C13333"/>
  <c r="C13332"/>
  <c r="C13331"/>
  <c r="C13330"/>
  <c r="C13329"/>
  <c r="C13328"/>
  <c r="C13327"/>
  <c r="C13326"/>
  <c r="C13325"/>
  <c r="C13324"/>
  <c r="C13323"/>
  <c r="C13322"/>
  <c r="C13321"/>
  <c r="C13320"/>
  <c r="C13319"/>
  <c r="C13318"/>
  <c r="C13317"/>
  <c r="C13316"/>
  <c r="C13315"/>
  <c r="C13314"/>
  <c r="C13313"/>
  <c r="C13312"/>
  <c r="C13311"/>
  <c r="C13310"/>
  <c r="C13309"/>
  <c r="C13308"/>
  <c r="C13307"/>
  <c r="C13306"/>
  <c r="C13305"/>
  <c r="C13304"/>
  <c r="C13303"/>
  <c r="C13302"/>
  <c r="C13301"/>
  <c r="C13300"/>
  <c r="C13299"/>
  <c r="C13298"/>
  <c r="C13297"/>
  <c r="C13296"/>
  <c r="C13295"/>
  <c r="C13294"/>
  <c r="C13293"/>
  <c r="C13292"/>
  <c r="C13291"/>
  <c r="C13290"/>
  <c r="C13289"/>
  <c r="C13288"/>
  <c r="C13287"/>
  <c r="C13286"/>
  <c r="C13285"/>
  <c r="C13284"/>
  <c r="C13283"/>
  <c r="C13282"/>
  <c r="C13281"/>
  <c r="C13280"/>
  <c r="C13279"/>
  <c r="C13278"/>
  <c r="C13277"/>
  <c r="C13276"/>
  <c r="C13275"/>
  <c r="C13274"/>
  <c r="C13273"/>
  <c r="C13272"/>
  <c r="C13271"/>
  <c r="C13270"/>
  <c r="C13269"/>
  <c r="C13268"/>
  <c r="C13267"/>
  <c r="C13266"/>
  <c r="C13265"/>
  <c r="C13264"/>
  <c r="C13263"/>
  <c r="C13262"/>
  <c r="C13261"/>
  <c r="C13260"/>
  <c r="C13259"/>
  <c r="C13258"/>
  <c r="C13257"/>
  <c r="C13256"/>
  <c r="C13255"/>
  <c r="C13254"/>
  <c r="C13253"/>
  <c r="C13252"/>
  <c r="C13251"/>
  <c r="C13250"/>
  <c r="C13249"/>
  <c r="C13248"/>
  <c r="C13247"/>
  <c r="C13246"/>
  <c r="C13245"/>
  <c r="C13244"/>
  <c r="C13243"/>
  <c r="C13242"/>
  <c r="C13241"/>
  <c r="C13240"/>
  <c r="C13239"/>
  <c r="C13238"/>
  <c r="C13237"/>
  <c r="C13236"/>
  <c r="C13235"/>
  <c r="C13234"/>
  <c r="C13233"/>
  <c r="C13232"/>
  <c r="C13231"/>
  <c r="C13230"/>
  <c r="C13229"/>
  <c r="C13228"/>
  <c r="C13227"/>
  <c r="C13226"/>
  <c r="C13225"/>
  <c r="C13224"/>
  <c r="C13223"/>
  <c r="C13222"/>
  <c r="C13221"/>
  <c r="C13220"/>
  <c r="C13219"/>
  <c r="C13218"/>
  <c r="C13217"/>
  <c r="C13216"/>
  <c r="C13215"/>
  <c r="C13214"/>
  <c r="C13213"/>
  <c r="C13212"/>
  <c r="C13211"/>
  <c r="C13210"/>
  <c r="C13209"/>
  <c r="C13208"/>
  <c r="C13207"/>
  <c r="C13206"/>
  <c r="C13205"/>
  <c r="C13204"/>
  <c r="C13203"/>
  <c r="C13202"/>
  <c r="C13201"/>
  <c r="C13200"/>
  <c r="C13199"/>
  <c r="C13198"/>
  <c r="C13197"/>
  <c r="C13196"/>
  <c r="C13195"/>
  <c r="C13194"/>
  <c r="C13193"/>
  <c r="C13192"/>
  <c r="C13191"/>
  <c r="C13190"/>
  <c r="C13189"/>
  <c r="C13188"/>
  <c r="C13187"/>
  <c r="C13186"/>
  <c r="C13185"/>
  <c r="C13184"/>
  <c r="C13183"/>
  <c r="C13182"/>
  <c r="C13181"/>
  <c r="C13180"/>
  <c r="C13179"/>
  <c r="C13178"/>
  <c r="C13177"/>
  <c r="C13176"/>
  <c r="C13175"/>
  <c r="C13174"/>
  <c r="C13173"/>
  <c r="C13172"/>
  <c r="C13171"/>
  <c r="C13170"/>
  <c r="C13169"/>
  <c r="C13168"/>
  <c r="C13167"/>
  <c r="C13166"/>
  <c r="C13165"/>
  <c r="C13164"/>
  <c r="C13163"/>
  <c r="C13162"/>
  <c r="C13161"/>
  <c r="C13160"/>
  <c r="C13159"/>
  <c r="C13158"/>
  <c r="C13157"/>
  <c r="C13156"/>
  <c r="C13155"/>
  <c r="C13154"/>
  <c r="C13153"/>
  <c r="C13152"/>
  <c r="C13151"/>
  <c r="C13150"/>
  <c r="C13149"/>
  <c r="C13148"/>
  <c r="C13147"/>
  <c r="C13146"/>
  <c r="C13145"/>
  <c r="C13144"/>
  <c r="C13143"/>
  <c r="C13142"/>
  <c r="C13141"/>
  <c r="C13140"/>
  <c r="C13139"/>
  <c r="C13138"/>
  <c r="C13137"/>
  <c r="C13136"/>
  <c r="C13135"/>
  <c r="C13134"/>
  <c r="C13133"/>
  <c r="C13132"/>
  <c r="C13131"/>
  <c r="C13130"/>
  <c r="C13129"/>
  <c r="C13128"/>
  <c r="C13127"/>
  <c r="C13126"/>
  <c r="C13125"/>
  <c r="C13124"/>
  <c r="C13123"/>
  <c r="C13122"/>
  <c r="C13121"/>
  <c r="C13120"/>
  <c r="C13119"/>
  <c r="C13118"/>
  <c r="C13117"/>
  <c r="C13116"/>
  <c r="C13115"/>
  <c r="C13114"/>
  <c r="C13113"/>
  <c r="C13112"/>
  <c r="C13111"/>
  <c r="C13110"/>
  <c r="C13109"/>
  <c r="C13108"/>
  <c r="C13107"/>
  <c r="C13106"/>
  <c r="C13105"/>
  <c r="C13104"/>
  <c r="C13103"/>
  <c r="C13102"/>
  <c r="C13101"/>
  <c r="C13100"/>
  <c r="C13099"/>
  <c r="C13098"/>
  <c r="C13097"/>
  <c r="C13096"/>
  <c r="C13095"/>
  <c r="C13094"/>
  <c r="C13093"/>
  <c r="C13092"/>
  <c r="C13091"/>
  <c r="C13090"/>
  <c r="C13089"/>
  <c r="C13088"/>
  <c r="C13087"/>
  <c r="C13086"/>
  <c r="C13085"/>
  <c r="C13084"/>
  <c r="C13083"/>
  <c r="C13082"/>
  <c r="C13081"/>
  <c r="C13080"/>
  <c r="C13079"/>
  <c r="C13078"/>
  <c r="C13077"/>
  <c r="C13076"/>
  <c r="C13075"/>
  <c r="C13074"/>
  <c r="C13073"/>
  <c r="C13072"/>
  <c r="C13071"/>
  <c r="C13070"/>
  <c r="C13069"/>
  <c r="C13068"/>
  <c r="C13067"/>
  <c r="C13066"/>
  <c r="C13065"/>
  <c r="C13064"/>
  <c r="C13063"/>
  <c r="C13062"/>
  <c r="C13061"/>
  <c r="C13060"/>
  <c r="C13059"/>
  <c r="C13058"/>
  <c r="C13057"/>
  <c r="C13056"/>
  <c r="C13055"/>
  <c r="C13054"/>
  <c r="C13053"/>
  <c r="C13052"/>
  <c r="C13051"/>
  <c r="C13050"/>
  <c r="C13049"/>
  <c r="C13048"/>
  <c r="C13047"/>
  <c r="C13046"/>
  <c r="C13045"/>
  <c r="C13044"/>
  <c r="C13043"/>
  <c r="C13042"/>
  <c r="C13041"/>
  <c r="C13040"/>
  <c r="C13039"/>
  <c r="C13038"/>
  <c r="C13037"/>
  <c r="C13036"/>
  <c r="C13035"/>
  <c r="C13034"/>
  <c r="C13033"/>
  <c r="C13032"/>
  <c r="C13031"/>
  <c r="C13030"/>
  <c r="C13029"/>
  <c r="C13028"/>
  <c r="C13027"/>
  <c r="C13026"/>
  <c r="C13025"/>
  <c r="C13024"/>
  <c r="C13023"/>
  <c r="C13022"/>
  <c r="C13021"/>
  <c r="C13020"/>
  <c r="C13019"/>
  <c r="C13018"/>
  <c r="C13017"/>
  <c r="C13016"/>
  <c r="C13015"/>
  <c r="C13014"/>
  <c r="C13013"/>
  <c r="C13012"/>
  <c r="C13011"/>
  <c r="C13010"/>
  <c r="C13009"/>
  <c r="C13008"/>
  <c r="C13007"/>
  <c r="C13006"/>
  <c r="C13005"/>
  <c r="C13004"/>
  <c r="C13003"/>
  <c r="C13002"/>
  <c r="C13001"/>
  <c r="C13000"/>
  <c r="C12999"/>
  <c r="C12998"/>
  <c r="C12997"/>
  <c r="C12996"/>
  <c r="C12995"/>
  <c r="C12994"/>
  <c r="C12993"/>
  <c r="C12992"/>
  <c r="C12991"/>
  <c r="C12990"/>
  <c r="C12989"/>
  <c r="C12988"/>
  <c r="C12987"/>
  <c r="C12986"/>
  <c r="C12985"/>
  <c r="C12984"/>
  <c r="C12983"/>
  <c r="C12982"/>
  <c r="C12981"/>
  <c r="C12980"/>
  <c r="C12979"/>
  <c r="C12978"/>
  <c r="C12977"/>
  <c r="C12976"/>
  <c r="C12975"/>
  <c r="C12974"/>
  <c r="C12973"/>
  <c r="C12972"/>
  <c r="C12971"/>
  <c r="C12970"/>
  <c r="C12969"/>
  <c r="C12968"/>
  <c r="C12967"/>
  <c r="C12966"/>
  <c r="C12965"/>
  <c r="C12964"/>
  <c r="C12963"/>
  <c r="C12962"/>
  <c r="C12961"/>
  <c r="C12960"/>
  <c r="C12959"/>
  <c r="C12958"/>
  <c r="C12957"/>
  <c r="C12956"/>
  <c r="C12955"/>
  <c r="C12954"/>
  <c r="C12953"/>
  <c r="C12952"/>
  <c r="C12951"/>
  <c r="C12950"/>
  <c r="C12949"/>
  <c r="C12948"/>
  <c r="C12947"/>
  <c r="C12946"/>
  <c r="C12945"/>
  <c r="C12944"/>
  <c r="C12943"/>
  <c r="C12942"/>
  <c r="C12941"/>
  <c r="C12940"/>
  <c r="C12939"/>
  <c r="C12938"/>
  <c r="C12937"/>
  <c r="C12936"/>
  <c r="C12935"/>
  <c r="C12934"/>
  <c r="C12933"/>
  <c r="C12932"/>
  <c r="C12931"/>
  <c r="C12930"/>
  <c r="C12929"/>
  <c r="C12928"/>
  <c r="C12927"/>
  <c r="C12926"/>
  <c r="C12925"/>
  <c r="C12924"/>
  <c r="C12923"/>
  <c r="C12922"/>
  <c r="C12921"/>
  <c r="C12920"/>
  <c r="C12919"/>
  <c r="C12918"/>
  <c r="C12917"/>
  <c r="C12916"/>
  <c r="C12915"/>
  <c r="C12914"/>
  <c r="C12913"/>
  <c r="C12912"/>
  <c r="C12911"/>
  <c r="C12910"/>
  <c r="C12909"/>
  <c r="C12908"/>
  <c r="C12907"/>
  <c r="C12906"/>
  <c r="C12905"/>
  <c r="C12904"/>
  <c r="C12903"/>
  <c r="C12902"/>
  <c r="C12901"/>
  <c r="C12900"/>
  <c r="C12899"/>
  <c r="C12898"/>
  <c r="C12897"/>
  <c r="C12896"/>
  <c r="C12895"/>
  <c r="C12894"/>
  <c r="C12893"/>
  <c r="C12892"/>
  <c r="C12891"/>
  <c r="C12890"/>
  <c r="C12889"/>
  <c r="C12888"/>
  <c r="C12887"/>
  <c r="C12886"/>
  <c r="C12885"/>
  <c r="C12884"/>
  <c r="C12883"/>
  <c r="C12882"/>
  <c r="C12881"/>
  <c r="C12880"/>
  <c r="C12879"/>
  <c r="C12878"/>
  <c r="C12877"/>
  <c r="C12876"/>
  <c r="C12875"/>
  <c r="C12874"/>
  <c r="C12873"/>
  <c r="C12872"/>
  <c r="C12871"/>
  <c r="C12870"/>
  <c r="C12869"/>
  <c r="C12868"/>
  <c r="C12867"/>
  <c r="C12866"/>
  <c r="C12865"/>
  <c r="C12864"/>
  <c r="C12863"/>
  <c r="C12862"/>
  <c r="C12861"/>
  <c r="C12860"/>
  <c r="C12859"/>
  <c r="C12858"/>
  <c r="C12857"/>
  <c r="C12856"/>
  <c r="C12855"/>
  <c r="C12854"/>
  <c r="C12853"/>
  <c r="C12852"/>
  <c r="C12851"/>
  <c r="C12850"/>
  <c r="C12849"/>
  <c r="C12848"/>
  <c r="C12847"/>
  <c r="C12846"/>
  <c r="C12845"/>
  <c r="C12844"/>
  <c r="C12843"/>
  <c r="C12842"/>
  <c r="C12841"/>
  <c r="C12840"/>
  <c r="C12839"/>
  <c r="C12838"/>
  <c r="C12837"/>
  <c r="C12836"/>
  <c r="C12835"/>
  <c r="C12834"/>
  <c r="C12833"/>
  <c r="C12832"/>
  <c r="C12831"/>
  <c r="C12830"/>
  <c r="C12829"/>
  <c r="C12828"/>
  <c r="C12827"/>
  <c r="C12826"/>
  <c r="C12825"/>
  <c r="C12824"/>
  <c r="C12823"/>
  <c r="C12822"/>
  <c r="C12821"/>
  <c r="C12820"/>
  <c r="C12819"/>
  <c r="C12818"/>
  <c r="C12817"/>
  <c r="C12816"/>
  <c r="C12815"/>
  <c r="C12814"/>
  <c r="C12813"/>
  <c r="C12812"/>
  <c r="C12811"/>
  <c r="C12810"/>
  <c r="C12809"/>
  <c r="C12808"/>
  <c r="C12807"/>
  <c r="C12806"/>
  <c r="C12805"/>
  <c r="C12804"/>
  <c r="C12803"/>
  <c r="C12802"/>
  <c r="C12801"/>
  <c r="C12800"/>
  <c r="C12799"/>
  <c r="C12798"/>
  <c r="C12797"/>
  <c r="C12796"/>
  <c r="C12795"/>
  <c r="C12794"/>
  <c r="C12793"/>
  <c r="C12792"/>
  <c r="C12791"/>
  <c r="C12790"/>
  <c r="C12789"/>
  <c r="C12788"/>
  <c r="C12787"/>
  <c r="C12786"/>
  <c r="C12785"/>
  <c r="C12784"/>
  <c r="C12783"/>
  <c r="C12782"/>
  <c r="C12781"/>
  <c r="C12780"/>
  <c r="C12779"/>
  <c r="C12778"/>
  <c r="C12777"/>
  <c r="C12776"/>
  <c r="C12775"/>
  <c r="C12774"/>
  <c r="C12773"/>
  <c r="C12772"/>
  <c r="C12771"/>
  <c r="C12770"/>
  <c r="C12769"/>
  <c r="C12768"/>
  <c r="C12767"/>
  <c r="C12766"/>
  <c r="C12765"/>
  <c r="C12764"/>
  <c r="C12763"/>
  <c r="C12762"/>
  <c r="C12761"/>
  <c r="C12760"/>
  <c r="C12759"/>
  <c r="C12758"/>
  <c r="C12757"/>
  <c r="C12756"/>
  <c r="C12755"/>
  <c r="C12754"/>
  <c r="C12753"/>
  <c r="C12752"/>
  <c r="C12751"/>
  <c r="C12750"/>
  <c r="C12749"/>
  <c r="C12748"/>
  <c r="C12747"/>
  <c r="C12746"/>
  <c r="C12745"/>
  <c r="C12744"/>
  <c r="C12743"/>
  <c r="C12742"/>
  <c r="C12741"/>
  <c r="C12740"/>
  <c r="C12739"/>
  <c r="C12738"/>
  <c r="C12737"/>
  <c r="C12736"/>
  <c r="C12735"/>
  <c r="C12734"/>
  <c r="C12733"/>
  <c r="C12732"/>
  <c r="C12731"/>
  <c r="C12730"/>
  <c r="C12729"/>
  <c r="C12728"/>
  <c r="C12727"/>
  <c r="C12726"/>
  <c r="C12725"/>
  <c r="C12724"/>
  <c r="C12723"/>
  <c r="C12722"/>
  <c r="C12721"/>
  <c r="C12720"/>
  <c r="C12719"/>
  <c r="C12718"/>
  <c r="C12717"/>
  <c r="C12716"/>
  <c r="C12715"/>
  <c r="C12714"/>
  <c r="C12713"/>
  <c r="C12712"/>
  <c r="C12711"/>
  <c r="C12710"/>
  <c r="C12709"/>
  <c r="C12708"/>
  <c r="C12707"/>
  <c r="C12706"/>
  <c r="C12705"/>
  <c r="C12704"/>
  <c r="C12703"/>
  <c r="C12702"/>
  <c r="C12701"/>
  <c r="C12700"/>
  <c r="C12699"/>
  <c r="C12698"/>
  <c r="C12697"/>
  <c r="C12696"/>
  <c r="C12695"/>
  <c r="C12694"/>
  <c r="C12693"/>
  <c r="C12692"/>
  <c r="C12691"/>
  <c r="C12690"/>
  <c r="C12689"/>
  <c r="C12688"/>
  <c r="C12687"/>
  <c r="C12686"/>
  <c r="C12685"/>
  <c r="C12684"/>
  <c r="C12683"/>
  <c r="C12682"/>
  <c r="C12681"/>
  <c r="C12680"/>
  <c r="C12679"/>
  <c r="C12678"/>
  <c r="C12677"/>
  <c r="C12676"/>
  <c r="C12675"/>
  <c r="C12674"/>
  <c r="C12673"/>
  <c r="C12672"/>
  <c r="C12671"/>
  <c r="C12670"/>
  <c r="C12669"/>
  <c r="C12668"/>
  <c r="C12667"/>
  <c r="C12666"/>
  <c r="C12665"/>
  <c r="C12664"/>
  <c r="C12663"/>
  <c r="C12662"/>
  <c r="C12661"/>
  <c r="C12660"/>
  <c r="C12659"/>
  <c r="C12658"/>
  <c r="C12657"/>
  <c r="C12656"/>
  <c r="C12655"/>
  <c r="C12654"/>
  <c r="C12653"/>
  <c r="C12652"/>
  <c r="C12651"/>
  <c r="C12650"/>
  <c r="C12649"/>
  <c r="C12648"/>
  <c r="C12647"/>
  <c r="C12646"/>
  <c r="C12645"/>
  <c r="C12644"/>
  <c r="C12643"/>
  <c r="C12642"/>
  <c r="C12641"/>
  <c r="C12640"/>
  <c r="C12639"/>
  <c r="C12638"/>
  <c r="C12637"/>
  <c r="C12636"/>
  <c r="C12635"/>
  <c r="C12634"/>
  <c r="C12633"/>
  <c r="C12632"/>
  <c r="C12631"/>
  <c r="C12630"/>
  <c r="C12629"/>
  <c r="C12628"/>
  <c r="C12627"/>
  <c r="C12626"/>
  <c r="C12625"/>
  <c r="C12624"/>
  <c r="C12623"/>
  <c r="C12622"/>
  <c r="C12621"/>
  <c r="C12620"/>
  <c r="C12619"/>
  <c r="C12618"/>
  <c r="C12617"/>
  <c r="C12616"/>
  <c r="C12615"/>
  <c r="C12614"/>
  <c r="C12613"/>
  <c r="C12612"/>
  <c r="C12611"/>
  <c r="C12610"/>
  <c r="C12609"/>
  <c r="C12608"/>
  <c r="C12607"/>
  <c r="C12606"/>
  <c r="C12605"/>
  <c r="C12604"/>
  <c r="C12603"/>
  <c r="C12602"/>
  <c r="C12601"/>
  <c r="C12600"/>
  <c r="C12599"/>
  <c r="C12598"/>
  <c r="C12597"/>
  <c r="C12596"/>
  <c r="C12595"/>
  <c r="C12594"/>
  <c r="C12593"/>
  <c r="C12592"/>
  <c r="C12591"/>
  <c r="C12590"/>
  <c r="C12589"/>
  <c r="C12588"/>
  <c r="C12587"/>
  <c r="C12586"/>
  <c r="C12585"/>
  <c r="C12584"/>
  <c r="C12583"/>
  <c r="C12582"/>
  <c r="C12581"/>
  <c r="C12580"/>
  <c r="C12579"/>
  <c r="C12578"/>
  <c r="C12577"/>
  <c r="C12576"/>
  <c r="C12575"/>
  <c r="C12574"/>
  <c r="C12573"/>
  <c r="C12572"/>
  <c r="C12571"/>
  <c r="C12570"/>
  <c r="C12569"/>
  <c r="C12568"/>
  <c r="C12567"/>
  <c r="C12566"/>
  <c r="C12565"/>
  <c r="C12564"/>
  <c r="C12563"/>
  <c r="C12562"/>
  <c r="C12561"/>
  <c r="C12560"/>
  <c r="C12559"/>
  <c r="C12558"/>
  <c r="C12557"/>
  <c r="C12556"/>
  <c r="C12555"/>
  <c r="C12554"/>
  <c r="C12553"/>
  <c r="C12552"/>
  <c r="C12551"/>
  <c r="C12550"/>
  <c r="C12549"/>
  <c r="C12548"/>
  <c r="C12547"/>
  <c r="C12546"/>
  <c r="C12545"/>
  <c r="C12544"/>
  <c r="C12543"/>
  <c r="C12542"/>
  <c r="C12541"/>
  <c r="C12540"/>
  <c r="C12539"/>
  <c r="C12538"/>
  <c r="C12537"/>
  <c r="C12536"/>
  <c r="C12535"/>
  <c r="C12534"/>
  <c r="C12533"/>
  <c r="C12532"/>
  <c r="C12531"/>
  <c r="C12530"/>
  <c r="C12529"/>
  <c r="C12528"/>
  <c r="C12527"/>
  <c r="C12526"/>
  <c r="C12525"/>
  <c r="C12524"/>
  <c r="C12523"/>
  <c r="C12522"/>
  <c r="C12521"/>
  <c r="C12520"/>
  <c r="C12519"/>
  <c r="C12518"/>
  <c r="C12517"/>
  <c r="C12516"/>
  <c r="C12515"/>
  <c r="C12514"/>
  <c r="C12513"/>
  <c r="C12512"/>
  <c r="C12511"/>
  <c r="C12510"/>
  <c r="C12509"/>
  <c r="C12508"/>
  <c r="C12507"/>
  <c r="C12506"/>
  <c r="C12505"/>
  <c r="C12504"/>
  <c r="C12503"/>
  <c r="C12502"/>
  <c r="C12501"/>
  <c r="C12500"/>
  <c r="C12499"/>
  <c r="C12498"/>
  <c r="C12497"/>
  <c r="C12496"/>
  <c r="C12495"/>
  <c r="C12494"/>
  <c r="C12493"/>
  <c r="C12492"/>
  <c r="C12491"/>
  <c r="C12490"/>
  <c r="C12489"/>
  <c r="C12488"/>
  <c r="C12487"/>
  <c r="C12486"/>
  <c r="C12485"/>
  <c r="C12484"/>
  <c r="C12483"/>
  <c r="C12482"/>
  <c r="C12481"/>
  <c r="C12480"/>
  <c r="C12479"/>
  <c r="C12478"/>
  <c r="C12477"/>
  <c r="C12476"/>
  <c r="C12475"/>
  <c r="C12474"/>
  <c r="C12473"/>
  <c r="C12472"/>
  <c r="C12471"/>
  <c r="C12470"/>
  <c r="C12469"/>
  <c r="C12468"/>
  <c r="C12467"/>
  <c r="C12466"/>
  <c r="C12465"/>
  <c r="C12464"/>
  <c r="C12463"/>
  <c r="C12462"/>
  <c r="C12461"/>
  <c r="C12460"/>
  <c r="C12459"/>
  <c r="C12458"/>
  <c r="C12457"/>
  <c r="C12456"/>
  <c r="C12455"/>
  <c r="C12454"/>
  <c r="C12453"/>
  <c r="C12452"/>
  <c r="C12451"/>
  <c r="C12450"/>
  <c r="C12449"/>
  <c r="C12448"/>
  <c r="C12447"/>
  <c r="C12446"/>
  <c r="C12445"/>
  <c r="C12444"/>
  <c r="C12443"/>
  <c r="C12442"/>
  <c r="C12441"/>
  <c r="C12440"/>
  <c r="C12439"/>
  <c r="C12438"/>
  <c r="C12437"/>
  <c r="C12436"/>
  <c r="C12435"/>
  <c r="C12434"/>
  <c r="C12433"/>
  <c r="C12432"/>
  <c r="C12431"/>
  <c r="C12430"/>
  <c r="C12429"/>
  <c r="C12428"/>
  <c r="C12427"/>
  <c r="C12426"/>
  <c r="C12425"/>
  <c r="C12424"/>
  <c r="C12423"/>
  <c r="C12422"/>
  <c r="C12421"/>
  <c r="C12420"/>
  <c r="C12419"/>
  <c r="C12418"/>
  <c r="C12417"/>
  <c r="C12416"/>
  <c r="C12415"/>
  <c r="C12414"/>
  <c r="C12413"/>
  <c r="C12412"/>
  <c r="C12411"/>
  <c r="C12410"/>
  <c r="C12409"/>
  <c r="C12408"/>
  <c r="C12407"/>
  <c r="C12406"/>
  <c r="C12405"/>
  <c r="C12404"/>
  <c r="C12403"/>
  <c r="C12402"/>
  <c r="C12401"/>
  <c r="C12400"/>
  <c r="C12399"/>
  <c r="C12398"/>
  <c r="C12397"/>
  <c r="C12396"/>
  <c r="C12395"/>
  <c r="C12394"/>
  <c r="C12393"/>
  <c r="C12392"/>
  <c r="C12391"/>
  <c r="C12390"/>
  <c r="C12389"/>
  <c r="C12388"/>
  <c r="C12387"/>
  <c r="C12386"/>
  <c r="C12385"/>
  <c r="C12384"/>
  <c r="C12383"/>
  <c r="C12382"/>
  <c r="C12381"/>
  <c r="C12380"/>
  <c r="C12379"/>
  <c r="C12378"/>
  <c r="C12377"/>
  <c r="C12376"/>
  <c r="C12375"/>
  <c r="C12374"/>
  <c r="C12373"/>
  <c r="C12372"/>
  <c r="C12371"/>
  <c r="C12370"/>
  <c r="C12369"/>
  <c r="C12368"/>
  <c r="C12367"/>
  <c r="C12366"/>
  <c r="C12365"/>
  <c r="C12364"/>
  <c r="C12363"/>
  <c r="C12362"/>
  <c r="C12361"/>
  <c r="C12360"/>
  <c r="C12359"/>
  <c r="C12358"/>
  <c r="C12357"/>
  <c r="C12356"/>
  <c r="C12355"/>
  <c r="C12354"/>
  <c r="C12353"/>
  <c r="C12352"/>
  <c r="C12351"/>
  <c r="C12350"/>
  <c r="C12349"/>
  <c r="C12348"/>
  <c r="C12347"/>
  <c r="C12346"/>
  <c r="C12345"/>
  <c r="C12344"/>
  <c r="C12343"/>
  <c r="C12342"/>
  <c r="C12341"/>
  <c r="C12340"/>
  <c r="C12339"/>
  <c r="C12338"/>
  <c r="C12337"/>
  <c r="C12336"/>
  <c r="C12335"/>
  <c r="C12334"/>
  <c r="C12333"/>
  <c r="C12332"/>
  <c r="C12331"/>
  <c r="C12330"/>
  <c r="C12329"/>
  <c r="C12328"/>
  <c r="C12327"/>
  <c r="C12326"/>
  <c r="C12325"/>
  <c r="C12324"/>
  <c r="C12323"/>
  <c r="C12322"/>
  <c r="C12321"/>
  <c r="C12320"/>
  <c r="C12319"/>
  <c r="C12318"/>
  <c r="C12317"/>
  <c r="C12316"/>
  <c r="C12315"/>
  <c r="C12314"/>
  <c r="C12313"/>
  <c r="C12312"/>
  <c r="C12311"/>
  <c r="C12310"/>
  <c r="C12309"/>
  <c r="C12308"/>
  <c r="C12307"/>
  <c r="C12306"/>
  <c r="C12305"/>
  <c r="C12304"/>
  <c r="C12303"/>
  <c r="C12302"/>
  <c r="C12301"/>
  <c r="C12300"/>
  <c r="C12299"/>
  <c r="C12298"/>
  <c r="C12297"/>
  <c r="C12296"/>
  <c r="C12295"/>
  <c r="C12294"/>
  <c r="C12293"/>
  <c r="C12292"/>
  <c r="C12291"/>
  <c r="C12290"/>
  <c r="C12289"/>
  <c r="C12288"/>
  <c r="C12287"/>
  <c r="C12286"/>
  <c r="C12285"/>
  <c r="C12284"/>
  <c r="C12283"/>
  <c r="C12282"/>
  <c r="C12281"/>
  <c r="C12280"/>
  <c r="C12279"/>
  <c r="C12278"/>
  <c r="C12277"/>
  <c r="C12276"/>
  <c r="C12275"/>
  <c r="C12274"/>
  <c r="C12273"/>
  <c r="C12272"/>
  <c r="C12271"/>
  <c r="C12270"/>
  <c r="C12269"/>
  <c r="C12268"/>
  <c r="C12267"/>
  <c r="C12266"/>
  <c r="C12265"/>
  <c r="C12264"/>
  <c r="C12263"/>
  <c r="C12262"/>
  <c r="C12261"/>
  <c r="C12260"/>
  <c r="C12259"/>
  <c r="C12258"/>
  <c r="C12257"/>
  <c r="C12256"/>
  <c r="C12255"/>
  <c r="C12254"/>
  <c r="C12253"/>
  <c r="C12252"/>
  <c r="C12251"/>
  <c r="C12250"/>
  <c r="C12249"/>
  <c r="C12248"/>
  <c r="C12247"/>
  <c r="C12246"/>
  <c r="C12245"/>
  <c r="C12244"/>
  <c r="C12243"/>
  <c r="C12242"/>
  <c r="C12241"/>
  <c r="C12240"/>
  <c r="C12239"/>
  <c r="C12238"/>
  <c r="C12237"/>
  <c r="C12236"/>
  <c r="C12235"/>
  <c r="C12234"/>
  <c r="C12233"/>
  <c r="C12232"/>
  <c r="C12231"/>
  <c r="C12230"/>
  <c r="C12229"/>
  <c r="C12228"/>
  <c r="C12227"/>
  <c r="C12226"/>
  <c r="C12225"/>
  <c r="C12224"/>
  <c r="C12223"/>
  <c r="C12222"/>
  <c r="C12221"/>
  <c r="C12220"/>
  <c r="C12219"/>
  <c r="C12218"/>
  <c r="C12217"/>
  <c r="C12216"/>
  <c r="C12215"/>
  <c r="C12214"/>
  <c r="C12213"/>
  <c r="C12212"/>
  <c r="C12211"/>
  <c r="C12210"/>
  <c r="C12209"/>
  <c r="C12208"/>
  <c r="C12207"/>
  <c r="C12206"/>
  <c r="C12205"/>
  <c r="C12204"/>
  <c r="C12203"/>
  <c r="C12202"/>
  <c r="C12201"/>
  <c r="C12200"/>
  <c r="C12199"/>
  <c r="C12198"/>
  <c r="C12197"/>
  <c r="C12196"/>
  <c r="C12195"/>
  <c r="C12194"/>
  <c r="C12193"/>
  <c r="C12192"/>
  <c r="C12191"/>
  <c r="C12190"/>
  <c r="C12189"/>
  <c r="C12188"/>
  <c r="C12187"/>
  <c r="C12186"/>
  <c r="C12185"/>
  <c r="C12184"/>
  <c r="C12183"/>
  <c r="C12182"/>
  <c r="C12181"/>
  <c r="C12180"/>
  <c r="C12179"/>
  <c r="C12178"/>
  <c r="C12177"/>
  <c r="C12176"/>
  <c r="C12175"/>
  <c r="C12174"/>
  <c r="C12173"/>
  <c r="C12172"/>
  <c r="C12171"/>
  <c r="C12170"/>
  <c r="C12169"/>
  <c r="C12168"/>
  <c r="C12167"/>
  <c r="C12166"/>
  <c r="C12165"/>
  <c r="C12164"/>
  <c r="C12163"/>
  <c r="C12162"/>
  <c r="C12161"/>
  <c r="C12160"/>
  <c r="C12159"/>
  <c r="C12158"/>
  <c r="C12157"/>
  <c r="C12156"/>
  <c r="C12155"/>
  <c r="C12154"/>
  <c r="C12153"/>
  <c r="C12152"/>
  <c r="C12151"/>
  <c r="C12150"/>
  <c r="C12149"/>
  <c r="C12148"/>
  <c r="C12147"/>
  <c r="C12146"/>
  <c r="C12145"/>
  <c r="C12144"/>
  <c r="C12143"/>
  <c r="C12142"/>
  <c r="C12141"/>
  <c r="C12140"/>
  <c r="C12139"/>
  <c r="C12138"/>
  <c r="C12137"/>
  <c r="C12136"/>
  <c r="C12135"/>
  <c r="C12134"/>
  <c r="C12133"/>
  <c r="C12132"/>
  <c r="C12131"/>
  <c r="C12130"/>
  <c r="C12129"/>
  <c r="C12128"/>
  <c r="C12127"/>
  <c r="C12126"/>
  <c r="C12125"/>
  <c r="C12124"/>
  <c r="C12123"/>
  <c r="C12122"/>
  <c r="C12121"/>
  <c r="C12120"/>
  <c r="C12119"/>
  <c r="C12118"/>
  <c r="C12117"/>
  <c r="C12116"/>
  <c r="C12115"/>
  <c r="C12114"/>
  <c r="C12113"/>
  <c r="C12112"/>
  <c r="C12111"/>
  <c r="C12110"/>
  <c r="C12109"/>
  <c r="C12108"/>
  <c r="C12107"/>
  <c r="C12106"/>
  <c r="C12105"/>
  <c r="C12104"/>
  <c r="C12103"/>
  <c r="C12102"/>
  <c r="C12101"/>
  <c r="C12100"/>
  <c r="C12099"/>
  <c r="C12098"/>
  <c r="C12097"/>
  <c r="C12096"/>
  <c r="C12095"/>
  <c r="C12094"/>
  <c r="C12093"/>
  <c r="C12092"/>
  <c r="C12091"/>
  <c r="C12090"/>
  <c r="C12089"/>
  <c r="C12088"/>
  <c r="C12087"/>
  <c r="C12086"/>
  <c r="C12085"/>
  <c r="C12084"/>
  <c r="C12083"/>
  <c r="C12082"/>
  <c r="C12081"/>
  <c r="C12080"/>
  <c r="C12079"/>
  <c r="C12078"/>
  <c r="C12077"/>
  <c r="C12076"/>
  <c r="C12075"/>
  <c r="C12074"/>
  <c r="C12073"/>
  <c r="C12072"/>
  <c r="C12071"/>
  <c r="C12070"/>
  <c r="C12069"/>
  <c r="C12068"/>
  <c r="C12067"/>
  <c r="C12066"/>
  <c r="C12065"/>
  <c r="C12064"/>
  <c r="C12063"/>
  <c r="C12062"/>
  <c r="C12061"/>
  <c r="C12060"/>
  <c r="C12059"/>
  <c r="C12058"/>
  <c r="C12057"/>
  <c r="C12056"/>
  <c r="C12055"/>
  <c r="C12054"/>
  <c r="C12053"/>
  <c r="C12052"/>
  <c r="C12051"/>
  <c r="C12050"/>
  <c r="C12049"/>
  <c r="C12048"/>
  <c r="C12047"/>
  <c r="C12046"/>
  <c r="C12045"/>
  <c r="C12044"/>
  <c r="C12043"/>
  <c r="C12042"/>
  <c r="C12041"/>
  <c r="C12040"/>
  <c r="C12039"/>
  <c r="C12038"/>
  <c r="C12037"/>
  <c r="C12036"/>
  <c r="C12035"/>
  <c r="C12034"/>
  <c r="C12033"/>
  <c r="C12032"/>
  <c r="C12031"/>
  <c r="C12030"/>
  <c r="C12029"/>
  <c r="C12028"/>
  <c r="C12027"/>
  <c r="C12026"/>
  <c r="C12025"/>
  <c r="C12024"/>
  <c r="C12023"/>
  <c r="C12022"/>
  <c r="C12021"/>
  <c r="C12020"/>
  <c r="C12019"/>
  <c r="C12018"/>
  <c r="C12017"/>
  <c r="C12016"/>
  <c r="C12015"/>
  <c r="C12014"/>
  <c r="C12013"/>
  <c r="C12012"/>
  <c r="C12011"/>
  <c r="C12010"/>
  <c r="C12009"/>
  <c r="C12008"/>
  <c r="C12007"/>
  <c r="C12006"/>
  <c r="C12005"/>
  <c r="C12004"/>
  <c r="C12003"/>
  <c r="C12002"/>
  <c r="C12001"/>
  <c r="C12000"/>
  <c r="C11999"/>
  <c r="C11998"/>
  <c r="C11997"/>
  <c r="C11996"/>
  <c r="C11995"/>
  <c r="C11994"/>
  <c r="C11993"/>
  <c r="C11992"/>
  <c r="C11991"/>
  <c r="C11990"/>
  <c r="C11989"/>
  <c r="C11988"/>
  <c r="C11987"/>
  <c r="C11986"/>
  <c r="C11985"/>
  <c r="C11984"/>
  <c r="C11983"/>
  <c r="C11982"/>
  <c r="C11981"/>
  <c r="C11980"/>
  <c r="C11979"/>
  <c r="C11978"/>
  <c r="C11977"/>
  <c r="C11976"/>
  <c r="C11975"/>
  <c r="C11974"/>
  <c r="C11973"/>
  <c r="C11972"/>
  <c r="C11971"/>
  <c r="C11970"/>
  <c r="C11969"/>
  <c r="C11968"/>
  <c r="C11967"/>
  <c r="C11966"/>
  <c r="C11965"/>
  <c r="C11964"/>
  <c r="C11963"/>
  <c r="C11962"/>
  <c r="C11961"/>
  <c r="C11960"/>
  <c r="C11959"/>
  <c r="C11958"/>
  <c r="C11957"/>
  <c r="C11956"/>
  <c r="C11955"/>
  <c r="C11954"/>
  <c r="C11953"/>
  <c r="C11952"/>
  <c r="C11951"/>
  <c r="C11950"/>
  <c r="C11949"/>
  <c r="C11948"/>
  <c r="C11947"/>
  <c r="C11946"/>
  <c r="C11945"/>
  <c r="C11944"/>
  <c r="C11943"/>
  <c r="C11942"/>
  <c r="C11941"/>
  <c r="C11940"/>
  <c r="C11939"/>
  <c r="C11938"/>
  <c r="C11937"/>
  <c r="C11936"/>
  <c r="C11935"/>
  <c r="C11934"/>
  <c r="C11933"/>
  <c r="C11932"/>
  <c r="C11931"/>
  <c r="C11930"/>
  <c r="C11929"/>
  <c r="C11928"/>
  <c r="C11927"/>
  <c r="C11926"/>
  <c r="C11925"/>
  <c r="C11924"/>
  <c r="C11923"/>
  <c r="C11922"/>
  <c r="C11921"/>
  <c r="C11920"/>
  <c r="C11919"/>
  <c r="C11918"/>
  <c r="C11917"/>
  <c r="C11916"/>
  <c r="C11915"/>
  <c r="C11914"/>
  <c r="C11913"/>
  <c r="C11912"/>
  <c r="C11911"/>
  <c r="C11910"/>
  <c r="C11909"/>
  <c r="C11908"/>
  <c r="C11907"/>
  <c r="C11906"/>
  <c r="C11905"/>
  <c r="C11904"/>
  <c r="C11903"/>
  <c r="C11902"/>
  <c r="C11901"/>
  <c r="C11900"/>
  <c r="C11899"/>
  <c r="C11898"/>
  <c r="C11897"/>
  <c r="C11896"/>
  <c r="C11895"/>
  <c r="C11894"/>
  <c r="C11893"/>
  <c r="C11892"/>
  <c r="C11891"/>
  <c r="C11890"/>
  <c r="C11889"/>
  <c r="C11888"/>
  <c r="C11887"/>
  <c r="C11886"/>
  <c r="C11885"/>
  <c r="C11884"/>
  <c r="C11883"/>
  <c r="C11882"/>
  <c r="C11881"/>
  <c r="C11880"/>
  <c r="C11879"/>
  <c r="C11878"/>
  <c r="C11877"/>
  <c r="C11876"/>
  <c r="C11875"/>
  <c r="C11874"/>
  <c r="C11873"/>
  <c r="C11872"/>
  <c r="C11871"/>
  <c r="C11870"/>
  <c r="C11869"/>
  <c r="C11868"/>
  <c r="C11867"/>
  <c r="C11866"/>
  <c r="C11865"/>
  <c r="C11864"/>
  <c r="C11863"/>
  <c r="C11862"/>
  <c r="C11861"/>
  <c r="C11860"/>
  <c r="C11859"/>
  <c r="C11858"/>
  <c r="C11857"/>
  <c r="C11856"/>
  <c r="C11855"/>
  <c r="C11854"/>
  <c r="C11853"/>
  <c r="C11852"/>
  <c r="C11851"/>
  <c r="C11850"/>
  <c r="C11849"/>
  <c r="C11848"/>
  <c r="C11847"/>
  <c r="C11846"/>
  <c r="C11845"/>
  <c r="C11844"/>
  <c r="C11843"/>
  <c r="C11842"/>
  <c r="C11841"/>
  <c r="C11840"/>
  <c r="C11839"/>
  <c r="C11838"/>
  <c r="C11837"/>
  <c r="C11836"/>
  <c r="C11835"/>
  <c r="C11834"/>
  <c r="C11833"/>
  <c r="C11832"/>
  <c r="C11831"/>
  <c r="C11830"/>
  <c r="C11829"/>
  <c r="C11828"/>
  <c r="C11827"/>
  <c r="C11826"/>
  <c r="C11825"/>
  <c r="C11824"/>
  <c r="C11823"/>
  <c r="C11822"/>
  <c r="C11821"/>
  <c r="C11820"/>
  <c r="C11819"/>
  <c r="C11818"/>
  <c r="C11817"/>
  <c r="C11816"/>
  <c r="C11815"/>
  <c r="C11814"/>
  <c r="C11813"/>
  <c r="C11812"/>
  <c r="C11811"/>
  <c r="C11810"/>
  <c r="C11809"/>
  <c r="C11808"/>
  <c r="C11807"/>
  <c r="C11806"/>
  <c r="C11805"/>
  <c r="C11804"/>
  <c r="C11803"/>
  <c r="C11802"/>
  <c r="C11801"/>
  <c r="C11800"/>
  <c r="C11799"/>
  <c r="C11798"/>
  <c r="C11797"/>
  <c r="C11796"/>
  <c r="C11795"/>
  <c r="C11794"/>
  <c r="C11793"/>
  <c r="C11792"/>
  <c r="C11791"/>
  <c r="C11790"/>
  <c r="C11789"/>
  <c r="C11788"/>
  <c r="C11787"/>
  <c r="C11786"/>
  <c r="C11785"/>
  <c r="C11784"/>
  <c r="C11783"/>
  <c r="C11782"/>
  <c r="C11781"/>
  <c r="C11780"/>
  <c r="C11779"/>
  <c r="C11778"/>
  <c r="C11777"/>
  <c r="C11776"/>
  <c r="C11775"/>
  <c r="C11774"/>
  <c r="C11773"/>
  <c r="C11772"/>
  <c r="C11771"/>
  <c r="C11770"/>
  <c r="C11769"/>
  <c r="C11768"/>
  <c r="C11767"/>
  <c r="C11766"/>
  <c r="C11765"/>
  <c r="C11764"/>
  <c r="C11763"/>
  <c r="C11762"/>
  <c r="C11761"/>
  <c r="C11760"/>
  <c r="C11759"/>
  <c r="C11758"/>
  <c r="C11757"/>
  <c r="C11756"/>
  <c r="C11755"/>
  <c r="C11754"/>
  <c r="C11753"/>
  <c r="C11752"/>
  <c r="C11751"/>
  <c r="C11750"/>
  <c r="C11749"/>
  <c r="C11748"/>
  <c r="C11747"/>
  <c r="C11746"/>
  <c r="C11745"/>
  <c r="C11744"/>
  <c r="C11743"/>
  <c r="C11742"/>
  <c r="C11741"/>
  <c r="C11740"/>
  <c r="C11739"/>
  <c r="C11738"/>
  <c r="C11737"/>
  <c r="C11736"/>
  <c r="C11735"/>
  <c r="C11734"/>
  <c r="C11733"/>
  <c r="C11732"/>
  <c r="C11731"/>
  <c r="C11730"/>
  <c r="C11729"/>
  <c r="C11728"/>
  <c r="C11727"/>
  <c r="C11726"/>
  <c r="C11725"/>
  <c r="C11724"/>
  <c r="C11723"/>
  <c r="C11722"/>
  <c r="C11721"/>
  <c r="C11720"/>
  <c r="C11719"/>
  <c r="C11718"/>
  <c r="C11717"/>
  <c r="C11716"/>
  <c r="C11715"/>
  <c r="C11714"/>
  <c r="C11713"/>
  <c r="C11712"/>
  <c r="C11711"/>
  <c r="C11710"/>
  <c r="C11709"/>
  <c r="C11708"/>
  <c r="C11707"/>
  <c r="C11706"/>
  <c r="C11705"/>
  <c r="C11704"/>
  <c r="C11703"/>
  <c r="C11702"/>
  <c r="C11701"/>
  <c r="C11700"/>
  <c r="C11699"/>
  <c r="C11698"/>
  <c r="C11697"/>
  <c r="C11696"/>
  <c r="C11695"/>
  <c r="C11694"/>
  <c r="C11693"/>
  <c r="C11692"/>
  <c r="C11691"/>
  <c r="C11690"/>
  <c r="C11689"/>
  <c r="C11688"/>
  <c r="C11687"/>
  <c r="C11686"/>
  <c r="C11685"/>
  <c r="C11684"/>
  <c r="C11683"/>
  <c r="C11682"/>
  <c r="C11681"/>
  <c r="C11680"/>
  <c r="C11679"/>
  <c r="C11678"/>
  <c r="C11677"/>
  <c r="C11676"/>
  <c r="C11675"/>
  <c r="C11674"/>
  <c r="C11673"/>
  <c r="C11672"/>
  <c r="C11671"/>
  <c r="C11670"/>
  <c r="C11669"/>
  <c r="C11668"/>
  <c r="C11667"/>
  <c r="C11666"/>
  <c r="C11665"/>
  <c r="C11664"/>
  <c r="C11663"/>
  <c r="C11662"/>
  <c r="C11661"/>
  <c r="C11660"/>
  <c r="C11659"/>
  <c r="C11658"/>
  <c r="C11657"/>
  <c r="C11656"/>
  <c r="C11655"/>
  <c r="C11654"/>
  <c r="C11653"/>
  <c r="C11652"/>
  <c r="C11651"/>
  <c r="C11650"/>
  <c r="C11649"/>
  <c r="C11648"/>
  <c r="C11647"/>
  <c r="C11646"/>
  <c r="C11645"/>
  <c r="C11644"/>
  <c r="C11643"/>
  <c r="C11642"/>
  <c r="C11641"/>
  <c r="C11640"/>
  <c r="C11639"/>
  <c r="C11638"/>
  <c r="C11637"/>
  <c r="C11636"/>
  <c r="C11635"/>
  <c r="C11634"/>
  <c r="C11633"/>
  <c r="C11632"/>
  <c r="C11631"/>
  <c r="C11630"/>
  <c r="C11629"/>
  <c r="C11628"/>
  <c r="C11627"/>
  <c r="C11626"/>
  <c r="C11625"/>
  <c r="C11624"/>
  <c r="C11623"/>
  <c r="C11622"/>
  <c r="C11621"/>
  <c r="C11620"/>
  <c r="C11619"/>
  <c r="C11618"/>
  <c r="C11617"/>
  <c r="C11616"/>
  <c r="C11615"/>
  <c r="C11614"/>
  <c r="C11613"/>
  <c r="C11612"/>
  <c r="C11611"/>
  <c r="C11610"/>
  <c r="C11609"/>
  <c r="C11608"/>
  <c r="C11607"/>
  <c r="C11606"/>
  <c r="C11605"/>
  <c r="C11604"/>
  <c r="C11603"/>
  <c r="C11602"/>
  <c r="C11601"/>
  <c r="C11600"/>
  <c r="C11599"/>
  <c r="C11598"/>
  <c r="C11597"/>
  <c r="C11596"/>
  <c r="C11595"/>
  <c r="C11594"/>
  <c r="C11593"/>
  <c r="C11592"/>
  <c r="C11591"/>
  <c r="C11590"/>
  <c r="C11589"/>
  <c r="C11588"/>
  <c r="C11587"/>
  <c r="C11586"/>
  <c r="C11585"/>
  <c r="C11584"/>
  <c r="C11583"/>
  <c r="C11582"/>
  <c r="C11581"/>
  <c r="C11580"/>
  <c r="C11579"/>
  <c r="C11578"/>
  <c r="C11577"/>
  <c r="C11576"/>
  <c r="C11575"/>
  <c r="C11574"/>
  <c r="C11573"/>
  <c r="C11572"/>
  <c r="C11571"/>
  <c r="C11570"/>
  <c r="C11569"/>
  <c r="C11568"/>
  <c r="C11567"/>
  <c r="C11566"/>
  <c r="C11565"/>
  <c r="C11564"/>
  <c r="C11563"/>
  <c r="C11562"/>
  <c r="C11561"/>
  <c r="C11560"/>
  <c r="C11559"/>
  <c r="C11558"/>
  <c r="C11557"/>
  <c r="C11556"/>
  <c r="C11555"/>
  <c r="C11554"/>
  <c r="C11553"/>
  <c r="C11552"/>
  <c r="C11551"/>
  <c r="C11550"/>
  <c r="C11549"/>
  <c r="C11548"/>
  <c r="C11547"/>
  <c r="C11546"/>
  <c r="C11545"/>
  <c r="C11544"/>
  <c r="C11543"/>
  <c r="C11542"/>
  <c r="C11541"/>
  <c r="C11540"/>
  <c r="C11539"/>
  <c r="C11538"/>
  <c r="C11537"/>
  <c r="C11536"/>
  <c r="C11535"/>
  <c r="C11534"/>
  <c r="C11533"/>
  <c r="C11532"/>
  <c r="C11531"/>
  <c r="C11530"/>
  <c r="C11529"/>
  <c r="C11528"/>
  <c r="C11527"/>
  <c r="C11526"/>
  <c r="C11525"/>
  <c r="C11524"/>
  <c r="C11523"/>
  <c r="C11522"/>
  <c r="C11521"/>
  <c r="C11520"/>
  <c r="C11519"/>
  <c r="C11518"/>
  <c r="C11517"/>
  <c r="C11516"/>
  <c r="C11515"/>
  <c r="C11514"/>
  <c r="C11513"/>
  <c r="C11512"/>
  <c r="C11511"/>
  <c r="C11510"/>
  <c r="C11509"/>
  <c r="C11508"/>
  <c r="C11507"/>
  <c r="C11506"/>
  <c r="C11505"/>
  <c r="C11504"/>
  <c r="C11503"/>
  <c r="C11502"/>
  <c r="C11501"/>
  <c r="C11500"/>
  <c r="C11499"/>
  <c r="C11498"/>
  <c r="C11497"/>
  <c r="C11496"/>
  <c r="C11495"/>
  <c r="C11494"/>
  <c r="C11493"/>
  <c r="C11492"/>
  <c r="C11491"/>
  <c r="C11490"/>
  <c r="C11489"/>
  <c r="C11488"/>
  <c r="C11487"/>
  <c r="C11486"/>
  <c r="C11485"/>
  <c r="C11484"/>
  <c r="C11483"/>
  <c r="C11482"/>
  <c r="C11481"/>
  <c r="C11480"/>
  <c r="C11479"/>
  <c r="C11478"/>
  <c r="C11477"/>
  <c r="C11476"/>
  <c r="C11475"/>
  <c r="C11474"/>
  <c r="C11473"/>
  <c r="C11472"/>
  <c r="C11471"/>
  <c r="C11470"/>
  <c r="C11469"/>
  <c r="C11468"/>
  <c r="C11467"/>
  <c r="C11466"/>
  <c r="C11465"/>
  <c r="C11464"/>
  <c r="C11463"/>
  <c r="C11462"/>
  <c r="C11461"/>
  <c r="C11460"/>
  <c r="C11459"/>
  <c r="C11458"/>
  <c r="C11457"/>
  <c r="C11456"/>
  <c r="C11455"/>
  <c r="C11454"/>
  <c r="C11453"/>
  <c r="C11452"/>
  <c r="C11451"/>
  <c r="C11450"/>
  <c r="C11449"/>
  <c r="C11448"/>
  <c r="C11447"/>
  <c r="C11446"/>
  <c r="C11445"/>
  <c r="C11444"/>
  <c r="C11443"/>
  <c r="C11442"/>
  <c r="C11441"/>
  <c r="C11440"/>
  <c r="C11439"/>
  <c r="C11438"/>
  <c r="C11437"/>
  <c r="C11436"/>
  <c r="C11435"/>
  <c r="C11434"/>
  <c r="C11433"/>
  <c r="C11432"/>
  <c r="C11431"/>
  <c r="C11430"/>
  <c r="C11429"/>
  <c r="C11428"/>
  <c r="C11427"/>
  <c r="C11426"/>
  <c r="C11425"/>
  <c r="C11424"/>
  <c r="C11423"/>
  <c r="C11422"/>
  <c r="C11421"/>
  <c r="C11420"/>
  <c r="C11419"/>
  <c r="C11418"/>
  <c r="C11417"/>
  <c r="C11416"/>
  <c r="C11415"/>
  <c r="C11414"/>
  <c r="C11413"/>
  <c r="C11412"/>
  <c r="C11411"/>
  <c r="C11410"/>
  <c r="C11409"/>
  <c r="C11408"/>
  <c r="C11407"/>
  <c r="C11406"/>
  <c r="C11405"/>
  <c r="C11404"/>
  <c r="C11403"/>
  <c r="C11402"/>
  <c r="C11401"/>
  <c r="C11400"/>
  <c r="C11399"/>
  <c r="C11398"/>
  <c r="C11397"/>
  <c r="C11396"/>
  <c r="C11395"/>
  <c r="C11394"/>
  <c r="C11393"/>
  <c r="C11392"/>
  <c r="C11391"/>
  <c r="C11390"/>
  <c r="C11389"/>
  <c r="C11388"/>
  <c r="C11387"/>
  <c r="C11386"/>
  <c r="C11385"/>
  <c r="C11384"/>
  <c r="C11383"/>
  <c r="C11382"/>
  <c r="C11381"/>
  <c r="C11380"/>
  <c r="C11379"/>
  <c r="C11378"/>
  <c r="C11377"/>
  <c r="C11376"/>
  <c r="C11375"/>
  <c r="C11374"/>
  <c r="C11373"/>
  <c r="C11372"/>
  <c r="C11371"/>
  <c r="C11370"/>
  <c r="C11369"/>
  <c r="C11368"/>
  <c r="C11367"/>
  <c r="C11366"/>
  <c r="C11365"/>
  <c r="C11364"/>
  <c r="C11363"/>
  <c r="C11362"/>
  <c r="C11361"/>
  <c r="C11360"/>
  <c r="C11359"/>
  <c r="C11358"/>
  <c r="C11357"/>
  <c r="C11356"/>
  <c r="C11355"/>
  <c r="C11354"/>
  <c r="C11353"/>
  <c r="C11352"/>
  <c r="C11351"/>
  <c r="C11350"/>
  <c r="C11349"/>
  <c r="C11348"/>
  <c r="C11347"/>
  <c r="C11346"/>
  <c r="C11345"/>
  <c r="C11344"/>
  <c r="C11343"/>
  <c r="C11342"/>
  <c r="C11341"/>
  <c r="C11340"/>
  <c r="C11339"/>
  <c r="C11338"/>
  <c r="C11337"/>
  <c r="C11336"/>
  <c r="C11335"/>
  <c r="C11334"/>
  <c r="C11333"/>
  <c r="C11332"/>
  <c r="C11331"/>
  <c r="C11330"/>
  <c r="C11329"/>
  <c r="C11328"/>
  <c r="C11327"/>
  <c r="C11326"/>
  <c r="C11325"/>
  <c r="C11324"/>
  <c r="C11323"/>
  <c r="C11322"/>
  <c r="C11321"/>
  <c r="C11320"/>
  <c r="C11319"/>
  <c r="C11318"/>
  <c r="C11317"/>
  <c r="C11316"/>
  <c r="C11315"/>
  <c r="C11314"/>
  <c r="C11313"/>
  <c r="C11312"/>
  <c r="C11311"/>
  <c r="C11310"/>
  <c r="C11309"/>
  <c r="C11308"/>
  <c r="C11307"/>
  <c r="C11306"/>
  <c r="C11305"/>
  <c r="C11304"/>
  <c r="C11303"/>
  <c r="C11302"/>
  <c r="C11301"/>
  <c r="C11300"/>
  <c r="C11299"/>
  <c r="C11298"/>
  <c r="C11297"/>
  <c r="C11296"/>
  <c r="C11295"/>
  <c r="C11294"/>
  <c r="C11293"/>
  <c r="C11292"/>
  <c r="C11291"/>
  <c r="C11290"/>
  <c r="C11289"/>
  <c r="C11288"/>
  <c r="C11287"/>
  <c r="C11286"/>
  <c r="C11285"/>
  <c r="C11284"/>
  <c r="C11283"/>
  <c r="C11282"/>
  <c r="C11281"/>
  <c r="C11280"/>
  <c r="C11279"/>
  <c r="C11278"/>
  <c r="C11277"/>
  <c r="C11276"/>
  <c r="C11275"/>
  <c r="C11274"/>
  <c r="C11273"/>
  <c r="C11272"/>
  <c r="C11271"/>
  <c r="C11270"/>
  <c r="C11269"/>
  <c r="C11268"/>
  <c r="C11267"/>
  <c r="C11266"/>
  <c r="C11265"/>
  <c r="C11264"/>
  <c r="C11263"/>
  <c r="C11262"/>
  <c r="C11261"/>
  <c r="C11260"/>
  <c r="C11259"/>
  <c r="C11258"/>
  <c r="C11257"/>
  <c r="C11256"/>
  <c r="C11255"/>
  <c r="C11254"/>
  <c r="C11253"/>
  <c r="C11252"/>
  <c r="C11251"/>
  <c r="C11250"/>
  <c r="C11249"/>
  <c r="C11248"/>
  <c r="C11247"/>
  <c r="C11246"/>
  <c r="C11245"/>
  <c r="C11244"/>
  <c r="C11243"/>
  <c r="C11242"/>
  <c r="C11241"/>
  <c r="C11240"/>
  <c r="C11239"/>
  <c r="C11238"/>
  <c r="C11237"/>
  <c r="C11236"/>
  <c r="C11235"/>
  <c r="C11234"/>
  <c r="C11233"/>
  <c r="C11232"/>
  <c r="C11231"/>
  <c r="C11230"/>
  <c r="C11229"/>
  <c r="C11228"/>
  <c r="C11227"/>
  <c r="C11226"/>
  <c r="C11225"/>
  <c r="C11224"/>
  <c r="C11223"/>
  <c r="C11222"/>
  <c r="C11221"/>
  <c r="C11220"/>
  <c r="C11219"/>
  <c r="C11218"/>
  <c r="C11217"/>
  <c r="C11216"/>
  <c r="C11215"/>
  <c r="C11214"/>
  <c r="C11213"/>
  <c r="C11212"/>
  <c r="C11211"/>
  <c r="C11210"/>
  <c r="C11209"/>
  <c r="C11208"/>
  <c r="C11207"/>
  <c r="C11206"/>
  <c r="C11205"/>
  <c r="C11204"/>
  <c r="C11203"/>
  <c r="C11202"/>
  <c r="C11201"/>
  <c r="C11200"/>
  <c r="C11199"/>
  <c r="C11198"/>
  <c r="C11197"/>
  <c r="C11196"/>
  <c r="C11195"/>
  <c r="C11194"/>
  <c r="C11193"/>
  <c r="C11192"/>
  <c r="C11191"/>
  <c r="C11190"/>
  <c r="C11189"/>
  <c r="C11188"/>
  <c r="C11187"/>
  <c r="C11186"/>
  <c r="C11185"/>
  <c r="C11184"/>
  <c r="C11183"/>
  <c r="C11182"/>
  <c r="C11181"/>
  <c r="C11180"/>
  <c r="C11179"/>
  <c r="C11178"/>
  <c r="C11177"/>
  <c r="C11176"/>
  <c r="C11175"/>
  <c r="C11174"/>
  <c r="C11173"/>
  <c r="C11172"/>
  <c r="C11171"/>
  <c r="C11170"/>
  <c r="C11169"/>
  <c r="C11168"/>
  <c r="C11167"/>
  <c r="C11166"/>
  <c r="C11165"/>
  <c r="C11164"/>
  <c r="C11163"/>
  <c r="C11162"/>
  <c r="C11161"/>
  <c r="C11160"/>
  <c r="C11159"/>
  <c r="C11158"/>
  <c r="C11157"/>
  <c r="C11156"/>
  <c r="C11155"/>
  <c r="C11154"/>
  <c r="C11153"/>
  <c r="C11152"/>
  <c r="C11151"/>
  <c r="C11150"/>
  <c r="C11149"/>
  <c r="C11148"/>
  <c r="C11147"/>
  <c r="C11146"/>
  <c r="C11145"/>
  <c r="C11144"/>
  <c r="C11143"/>
  <c r="C11142"/>
  <c r="C11141"/>
  <c r="C11140"/>
  <c r="C11139"/>
  <c r="C11138"/>
  <c r="C11137"/>
  <c r="C11136"/>
  <c r="C11135"/>
  <c r="C11134"/>
  <c r="C11133"/>
  <c r="C11132"/>
  <c r="C11131"/>
  <c r="C11130"/>
  <c r="C11129"/>
  <c r="C11128"/>
  <c r="C11127"/>
  <c r="C11126"/>
  <c r="C11125"/>
  <c r="C11124"/>
  <c r="C11123"/>
  <c r="C11122"/>
  <c r="C11121"/>
  <c r="C11120"/>
  <c r="C11119"/>
  <c r="C11118"/>
  <c r="C11117"/>
  <c r="C11116"/>
  <c r="C11115"/>
  <c r="C11114"/>
  <c r="C11113"/>
  <c r="C11112"/>
  <c r="C11111"/>
  <c r="C11110"/>
  <c r="C11109"/>
  <c r="C11108"/>
  <c r="C11107"/>
  <c r="C11106"/>
  <c r="C11105"/>
  <c r="C11104"/>
  <c r="C11103"/>
  <c r="C11102"/>
  <c r="C11101"/>
  <c r="C11100"/>
  <c r="C11099"/>
  <c r="C11098"/>
  <c r="C11097"/>
  <c r="C11096"/>
  <c r="C11095"/>
  <c r="C11094"/>
  <c r="C11093"/>
  <c r="C11092"/>
  <c r="C11091"/>
  <c r="C11090"/>
  <c r="C11089"/>
  <c r="C11088"/>
  <c r="C11087"/>
  <c r="C11086"/>
  <c r="C11085"/>
  <c r="C11084"/>
  <c r="C11083"/>
  <c r="C11082"/>
  <c r="C11081"/>
  <c r="C11080"/>
  <c r="C11079"/>
  <c r="C11078"/>
  <c r="C11077"/>
  <c r="C11076"/>
  <c r="C11075"/>
  <c r="C11074"/>
  <c r="C11073"/>
  <c r="C11072"/>
  <c r="C11071"/>
  <c r="C11070"/>
  <c r="C11069"/>
  <c r="C11068"/>
  <c r="C11067"/>
  <c r="C11066"/>
  <c r="C11065"/>
  <c r="C11064"/>
  <c r="C11063"/>
  <c r="C11062"/>
  <c r="C11061"/>
  <c r="C11060"/>
  <c r="C11059"/>
  <c r="C11058"/>
  <c r="C11057"/>
  <c r="C11056"/>
  <c r="C11055"/>
  <c r="C11054"/>
  <c r="C11053"/>
  <c r="C11052"/>
  <c r="C11051"/>
  <c r="C11050"/>
  <c r="C11049"/>
  <c r="C11048"/>
  <c r="C11047"/>
  <c r="C11046"/>
  <c r="C11045"/>
  <c r="C11044"/>
  <c r="C11043"/>
  <c r="C11042"/>
  <c r="C11041"/>
  <c r="C11040"/>
  <c r="C11039"/>
  <c r="C11038"/>
  <c r="C11037"/>
  <c r="C11036"/>
  <c r="C11035"/>
  <c r="C11034"/>
  <c r="C11033"/>
  <c r="C11032"/>
  <c r="C11031"/>
  <c r="C11030"/>
  <c r="C11029"/>
  <c r="C11028"/>
  <c r="C11027"/>
  <c r="C11026"/>
  <c r="C11025"/>
  <c r="C11024"/>
  <c r="C11023"/>
  <c r="C11022"/>
  <c r="C11021"/>
  <c r="C11020"/>
  <c r="C11019"/>
  <c r="C11018"/>
  <c r="C11017"/>
  <c r="C11016"/>
  <c r="C11015"/>
  <c r="C11014"/>
  <c r="C11013"/>
  <c r="C11012"/>
  <c r="C11011"/>
  <c r="C11010"/>
  <c r="C11009"/>
  <c r="C11008"/>
  <c r="C11007"/>
  <c r="C11006"/>
  <c r="C11005"/>
  <c r="C11004"/>
  <c r="C11003"/>
  <c r="C11002"/>
  <c r="C11001"/>
  <c r="C11000"/>
  <c r="C10999"/>
  <c r="C10998"/>
  <c r="C10997"/>
  <c r="C10996"/>
  <c r="C10995"/>
  <c r="C10994"/>
  <c r="C10993"/>
  <c r="C10992"/>
  <c r="C10991"/>
  <c r="C10990"/>
  <c r="C10989"/>
  <c r="C10988"/>
  <c r="C10987"/>
  <c r="C10986"/>
  <c r="C10985"/>
  <c r="C10984"/>
  <c r="C10983"/>
  <c r="C10982"/>
  <c r="C10981"/>
  <c r="C10980"/>
  <c r="C10979"/>
  <c r="C10978"/>
  <c r="C10977"/>
  <c r="C10976"/>
  <c r="C10975"/>
  <c r="C10974"/>
  <c r="C10973"/>
  <c r="C10972"/>
  <c r="C10971"/>
  <c r="C10970"/>
  <c r="C10969"/>
  <c r="C10968"/>
  <c r="C10967"/>
  <c r="C10966"/>
  <c r="C10965"/>
  <c r="C10964"/>
  <c r="C10963"/>
  <c r="C10962"/>
  <c r="C10961"/>
  <c r="C10960"/>
  <c r="C10959"/>
  <c r="C10958"/>
  <c r="C10957"/>
  <c r="C10956"/>
  <c r="C10955"/>
  <c r="C10954"/>
  <c r="C10953"/>
  <c r="C10952"/>
  <c r="C10951"/>
  <c r="C10950"/>
  <c r="C10949"/>
  <c r="C10948"/>
  <c r="C10947"/>
  <c r="C10946"/>
  <c r="C10945"/>
  <c r="C10944"/>
  <c r="C10943"/>
  <c r="C10942"/>
  <c r="C10941"/>
  <c r="C10940"/>
  <c r="C10939"/>
  <c r="C10938"/>
  <c r="C10937"/>
  <c r="C10936"/>
  <c r="C10935"/>
  <c r="C10934"/>
  <c r="C10933"/>
  <c r="C10932"/>
  <c r="C10931"/>
  <c r="C10930"/>
  <c r="C10929"/>
  <c r="C10928"/>
  <c r="C10927"/>
  <c r="C10926"/>
  <c r="C10925"/>
  <c r="C10924"/>
  <c r="C10923"/>
  <c r="C10922"/>
  <c r="C10921"/>
  <c r="C10920"/>
  <c r="C10919"/>
  <c r="C10918"/>
  <c r="C10917"/>
  <c r="C10916"/>
  <c r="C10915"/>
  <c r="C10914"/>
  <c r="C10913"/>
  <c r="C10912"/>
  <c r="C10911"/>
  <c r="C10910"/>
  <c r="C10909"/>
  <c r="C10908"/>
  <c r="C10907"/>
  <c r="C10906"/>
  <c r="C10905"/>
  <c r="C10904"/>
  <c r="C10903"/>
  <c r="C10902"/>
  <c r="C10901"/>
  <c r="C10900"/>
  <c r="C10899"/>
  <c r="C10898"/>
  <c r="C10897"/>
  <c r="C10896"/>
  <c r="C10895"/>
  <c r="C10894"/>
  <c r="C10893"/>
  <c r="C10892"/>
  <c r="C10891"/>
  <c r="C10890"/>
  <c r="C10889"/>
  <c r="C10888"/>
  <c r="C10887"/>
  <c r="C10886"/>
  <c r="C10885"/>
  <c r="C10884"/>
  <c r="C10883"/>
  <c r="C10882"/>
  <c r="C10881"/>
  <c r="C10880"/>
  <c r="C10879"/>
  <c r="C10878"/>
  <c r="C10877"/>
  <c r="C10876"/>
  <c r="C10875"/>
  <c r="C10874"/>
  <c r="C10873"/>
  <c r="C10872"/>
  <c r="C10871"/>
  <c r="C10870"/>
  <c r="C10869"/>
  <c r="C10868"/>
  <c r="C10867"/>
  <c r="C10866"/>
  <c r="C10865"/>
  <c r="C10864"/>
  <c r="C10863"/>
  <c r="C10862"/>
  <c r="C10861"/>
  <c r="C10860"/>
  <c r="C10859"/>
  <c r="C10858"/>
  <c r="C10857"/>
  <c r="C10856"/>
  <c r="C10855"/>
  <c r="C10854"/>
  <c r="C10853"/>
  <c r="C10852"/>
  <c r="C10851"/>
  <c r="C10850"/>
  <c r="C10849"/>
  <c r="C10848"/>
  <c r="C10847"/>
  <c r="C10846"/>
  <c r="C10845"/>
  <c r="C10844"/>
  <c r="C10843"/>
  <c r="C10842"/>
  <c r="C10841"/>
  <c r="C10840"/>
  <c r="C10839"/>
  <c r="C10838"/>
  <c r="C10837"/>
  <c r="C10836"/>
  <c r="C10835"/>
  <c r="C10834"/>
  <c r="C10833"/>
  <c r="C10832"/>
  <c r="C10831"/>
  <c r="C10830"/>
  <c r="C10829"/>
  <c r="C10828"/>
  <c r="C10827"/>
  <c r="C10826"/>
  <c r="C10825"/>
  <c r="C10824"/>
  <c r="C10823"/>
  <c r="C10822"/>
  <c r="C10821"/>
  <c r="C10820"/>
  <c r="C10819"/>
  <c r="C10818"/>
  <c r="C10817"/>
  <c r="C10816"/>
  <c r="C10815"/>
  <c r="C10814"/>
  <c r="C10813"/>
  <c r="C10812"/>
  <c r="C10811"/>
  <c r="C10810"/>
  <c r="C10809"/>
  <c r="C10808"/>
  <c r="C10807"/>
  <c r="C10806"/>
  <c r="C10805"/>
  <c r="C10804"/>
  <c r="C10803"/>
  <c r="C10802"/>
  <c r="C10801"/>
  <c r="C10800"/>
  <c r="C10799"/>
  <c r="C10798"/>
  <c r="C10797"/>
  <c r="C10796"/>
  <c r="C10795"/>
  <c r="C10794"/>
  <c r="C10793"/>
  <c r="C10792"/>
  <c r="C10791"/>
  <c r="C10790"/>
  <c r="C10789"/>
  <c r="C10788"/>
  <c r="C10787"/>
  <c r="C10786"/>
  <c r="C10785"/>
  <c r="C10784"/>
  <c r="C10783"/>
  <c r="C10782"/>
  <c r="C10781"/>
  <c r="C10780"/>
  <c r="C10779"/>
  <c r="C10778"/>
  <c r="C10777"/>
  <c r="C10776"/>
  <c r="C10775"/>
  <c r="C10774"/>
  <c r="C10773"/>
  <c r="C10772"/>
  <c r="C10771"/>
  <c r="C10770"/>
  <c r="C10769"/>
  <c r="C10768"/>
  <c r="C10767"/>
  <c r="C10766"/>
  <c r="C10765"/>
  <c r="C10764"/>
  <c r="C10763"/>
  <c r="C10762"/>
  <c r="C10761"/>
  <c r="C10760"/>
  <c r="C10759"/>
  <c r="C10758"/>
  <c r="C10757"/>
  <c r="C10756"/>
  <c r="C10755"/>
  <c r="C10754"/>
  <c r="C10753"/>
  <c r="C10752"/>
  <c r="C10751"/>
  <c r="C10750"/>
  <c r="C10749"/>
  <c r="C10748"/>
  <c r="C10747"/>
  <c r="C10746"/>
  <c r="C10745"/>
  <c r="C10744"/>
  <c r="C10743"/>
  <c r="C10742"/>
  <c r="C10741"/>
  <c r="C10740"/>
  <c r="C10739"/>
  <c r="C10738"/>
  <c r="C10737"/>
  <c r="C10736"/>
  <c r="C10735"/>
  <c r="C10734"/>
  <c r="C10733"/>
  <c r="C10732"/>
  <c r="C10731"/>
  <c r="C10730"/>
  <c r="C10729"/>
  <c r="C10728"/>
  <c r="C10727"/>
  <c r="C10726"/>
  <c r="C10725"/>
  <c r="C10724"/>
  <c r="C10723"/>
  <c r="C10722"/>
  <c r="C10721"/>
  <c r="C10720"/>
  <c r="C10719"/>
  <c r="C10718"/>
  <c r="C10717"/>
  <c r="C10716"/>
  <c r="C10715"/>
  <c r="C10714"/>
  <c r="C10713"/>
  <c r="C10712"/>
  <c r="C10711"/>
  <c r="C10710"/>
  <c r="C10709"/>
  <c r="C10708"/>
  <c r="C10707"/>
  <c r="C10706"/>
  <c r="C10705"/>
  <c r="C10704"/>
  <c r="C10703"/>
  <c r="C10702"/>
  <c r="C10701"/>
  <c r="C10700"/>
  <c r="C10699"/>
  <c r="C10698"/>
  <c r="C10697"/>
  <c r="C10696"/>
  <c r="C10695"/>
  <c r="C10694"/>
  <c r="C10693"/>
  <c r="C10692"/>
  <c r="C10691"/>
  <c r="C10690"/>
  <c r="C10689"/>
  <c r="C10688"/>
  <c r="C10687"/>
  <c r="C10686"/>
  <c r="C10685"/>
  <c r="C10684"/>
  <c r="C10683"/>
  <c r="C10682"/>
  <c r="C10681"/>
  <c r="C10680"/>
  <c r="C10679"/>
  <c r="C10678"/>
  <c r="C10677"/>
  <c r="C10676"/>
  <c r="C10675"/>
  <c r="C10674"/>
  <c r="C10673"/>
  <c r="C10672"/>
  <c r="C10671"/>
  <c r="C10670"/>
  <c r="C10669"/>
  <c r="C10668"/>
  <c r="C10667"/>
  <c r="C10666"/>
  <c r="C10665"/>
  <c r="C10664"/>
  <c r="C10663"/>
  <c r="C10662"/>
  <c r="C10661"/>
  <c r="C10660"/>
  <c r="C10659"/>
  <c r="C10658"/>
  <c r="C10657"/>
  <c r="C10656"/>
  <c r="C10655"/>
  <c r="C10654"/>
  <c r="C10653"/>
  <c r="C10652"/>
  <c r="C10651"/>
  <c r="C10650"/>
  <c r="C10649"/>
  <c r="C10648"/>
  <c r="C10647"/>
  <c r="C10646"/>
  <c r="C10645"/>
  <c r="C10644"/>
  <c r="C10643"/>
  <c r="C10642"/>
  <c r="C10641"/>
  <c r="C10640"/>
  <c r="C10639"/>
  <c r="C10638"/>
  <c r="C10637"/>
  <c r="C10636"/>
  <c r="C10635"/>
  <c r="C10634"/>
  <c r="C10633"/>
  <c r="C10632"/>
  <c r="C10631"/>
  <c r="C10630"/>
  <c r="C10629"/>
  <c r="C10628"/>
  <c r="C10627"/>
  <c r="C10626"/>
  <c r="C10625"/>
  <c r="C10624"/>
  <c r="C10623"/>
  <c r="C10622"/>
  <c r="C10621"/>
  <c r="C10620"/>
  <c r="C10619"/>
  <c r="C10618"/>
  <c r="C10617"/>
  <c r="C10616"/>
  <c r="C10615"/>
  <c r="C10614"/>
  <c r="C10613"/>
  <c r="C10612"/>
  <c r="C10611"/>
  <c r="C10610"/>
  <c r="C10609"/>
  <c r="C10608"/>
  <c r="C10607"/>
  <c r="C10606"/>
  <c r="C10605"/>
  <c r="C10604"/>
  <c r="C10603"/>
  <c r="C10602"/>
  <c r="C10601"/>
  <c r="C10600"/>
  <c r="C10599"/>
  <c r="C10598"/>
  <c r="C10597"/>
  <c r="C10596"/>
  <c r="C10595"/>
  <c r="C10594"/>
  <c r="C10593"/>
  <c r="C10592"/>
  <c r="C10591"/>
  <c r="C10590"/>
  <c r="C10589"/>
  <c r="C10588"/>
  <c r="C10587"/>
  <c r="C10586"/>
  <c r="C10585"/>
  <c r="C10584"/>
  <c r="C10583"/>
  <c r="C10582"/>
  <c r="C10581"/>
  <c r="C10580"/>
  <c r="C10579"/>
  <c r="C10578"/>
  <c r="C10577"/>
  <c r="C10576"/>
  <c r="C10575"/>
  <c r="C10574"/>
  <c r="C10573"/>
  <c r="C10572"/>
  <c r="C10571"/>
  <c r="C10570"/>
  <c r="C10569"/>
  <c r="C10568"/>
  <c r="C10567"/>
  <c r="C10566"/>
  <c r="C10565"/>
  <c r="C10564"/>
  <c r="C10563"/>
  <c r="C10562"/>
  <c r="C10561"/>
  <c r="C10560"/>
  <c r="C10559"/>
  <c r="C10558"/>
  <c r="C10557"/>
  <c r="C10556"/>
  <c r="C10555"/>
  <c r="C10554"/>
  <c r="C10553"/>
  <c r="C10552"/>
  <c r="C10551"/>
  <c r="C10550"/>
  <c r="C10549"/>
  <c r="C10548"/>
  <c r="C10547"/>
  <c r="C10546"/>
  <c r="C10545"/>
  <c r="C10544"/>
  <c r="C10543"/>
  <c r="C10542"/>
  <c r="C10541"/>
  <c r="C10540"/>
  <c r="C10539"/>
  <c r="C10538"/>
  <c r="C10537"/>
  <c r="C10536"/>
  <c r="C10535"/>
  <c r="C10534"/>
  <c r="C10533"/>
  <c r="C10532"/>
  <c r="C10531"/>
  <c r="C10530"/>
  <c r="C10529"/>
  <c r="C10528"/>
  <c r="C10527"/>
  <c r="C10526"/>
  <c r="C10525"/>
  <c r="C10524"/>
  <c r="C10523"/>
  <c r="C10522"/>
  <c r="C10521"/>
  <c r="C10520"/>
  <c r="C10519"/>
  <c r="C10518"/>
  <c r="C10517"/>
  <c r="C10516"/>
  <c r="C10515"/>
  <c r="C10514"/>
  <c r="C10513"/>
  <c r="C10512"/>
  <c r="C10511"/>
  <c r="C10510"/>
  <c r="C10509"/>
  <c r="C10508"/>
  <c r="C10507"/>
  <c r="C10506"/>
  <c r="C10505"/>
  <c r="C10504"/>
  <c r="C10503"/>
  <c r="C10502"/>
  <c r="C10501"/>
  <c r="C10500"/>
  <c r="C10499"/>
  <c r="C10498"/>
  <c r="C10497"/>
  <c r="C10496"/>
  <c r="C10495"/>
  <c r="C10494"/>
  <c r="C10493"/>
  <c r="C10492"/>
  <c r="C10491"/>
  <c r="C10490"/>
  <c r="C10489"/>
  <c r="C10488"/>
  <c r="C10487"/>
  <c r="C10486"/>
  <c r="C10485"/>
  <c r="C10484"/>
  <c r="C10483"/>
  <c r="C10482"/>
  <c r="C10481"/>
  <c r="C10480"/>
  <c r="C10479"/>
  <c r="C10478"/>
  <c r="C10477"/>
  <c r="C10476"/>
  <c r="C10475"/>
  <c r="C10474"/>
  <c r="C10473"/>
  <c r="C10472"/>
  <c r="C10471"/>
  <c r="C10470"/>
  <c r="C10469"/>
  <c r="C10468"/>
  <c r="C10467"/>
  <c r="C10466"/>
  <c r="C10465"/>
  <c r="C10464"/>
  <c r="C10463"/>
  <c r="C10462"/>
  <c r="C10461"/>
  <c r="C10460"/>
  <c r="C10459"/>
  <c r="C10458"/>
  <c r="C10457"/>
  <c r="C10456"/>
  <c r="C10455"/>
  <c r="C10454"/>
  <c r="C10453"/>
  <c r="C10452"/>
  <c r="C10451"/>
  <c r="C10450"/>
  <c r="C10449"/>
  <c r="C10448"/>
  <c r="C10447"/>
  <c r="C10446"/>
  <c r="C10445"/>
  <c r="C10444"/>
  <c r="C10443"/>
  <c r="C10442"/>
  <c r="C10441"/>
  <c r="C10440"/>
  <c r="C10439"/>
  <c r="C10438"/>
  <c r="C10437"/>
  <c r="C10436"/>
  <c r="C10435"/>
  <c r="C10434"/>
  <c r="C10433"/>
  <c r="C10432"/>
  <c r="C10431"/>
  <c r="C10430"/>
  <c r="C10429"/>
  <c r="C10428"/>
  <c r="C10427"/>
  <c r="C10426"/>
  <c r="C10425"/>
  <c r="C10424"/>
  <c r="C10423"/>
  <c r="C10422"/>
  <c r="C10421"/>
  <c r="C10420"/>
  <c r="C10419"/>
  <c r="C10418"/>
  <c r="C10417"/>
  <c r="C10416"/>
  <c r="C10415"/>
  <c r="C10414"/>
  <c r="C10413"/>
  <c r="C10412"/>
  <c r="C10411"/>
  <c r="C10410"/>
  <c r="C10409"/>
  <c r="C10408"/>
  <c r="C10407"/>
  <c r="C10406"/>
  <c r="C10405"/>
  <c r="C10404"/>
  <c r="C10403"/>
  <c r="C10402"/>
  <c r="C10401"/>
  <c r="C10400"/>
  <c r="C10399"/>
  <c r="C10398"/>
  <c r="C10397"/>
  <c r="C10396"/>
  <c r="C10395"/>
  <c r="C10394"/>
  <c r="C10393"/>
  <c r="C10392"/>
  <c r="C10391"/>
  <c r="C10390"/>
  <c r="C10389"/>
  <c r="C10388"/>
  <c r="C10387"/>
  <c r="C10386"/>
  <c r="C10385"/>
  <c r="C10384"/>
  <c r="C10383"/>
  <c r="C10382"/>
  <c r="C10381"/>
  <c r="C10380"/>
  <c r="C10379"/>
  <c r="C10378"/>
  <c r="C10377"/>
  <c r="C10376"/>
  <c r="C10375"/>
  <c r="C10374"/>
  <c r="C10373"/>
  <c r="C10372"/>
  <c r="C10371"/>
  <c r="C10370"/>
  <c r="C10369"/>
  <c r="C10368"/>
  <c r="C10367"/>
  <c r="C10366"/>
  <c r="C10365"/>
  <c r="C10364"/>
  <c r="C10363"/>
  <c r="C10362"/>
  <c r="C10361"/>
  <c r="C10360"/>
  <c r="C10359"/>
  <c r="C10358"/>
  <c r="C10357"/>
  <c r="C10356"/>
  <c r="C10355"/>
  <c r="C10354"/>
  <c r="C10353"/>
  <c r="C10352"/>
  <c r="C10351"/>
  <c r="C10350"/>
  <c r="C10349"/>
  <c r="C10348"/>
  <c r="C10347"/>
  <c r="C10346"/>
  <c r="C10345"/>
  <c r="C10344"/>
  <c r="C10343"/>
  <c r="C10342"/>
  <c r="C10341"/>
  <c r="C10340"/>
  <c r="C10339"/>
  <c r="C10338"/>
  <c r="C10337"/>
  <c r="C10336"/>
  <c r="C10335"/>
  <c r="C10334"/>
  <c r="C10333"/>
  <c r="C10332"/>
  <c r="C10331"/>
  <c r="C10330"/>
  <c r="C10329"/>
  <c r="C10328"/>
  <c r="C10327"/>
  <c r="C10326"/>
  <c r="C10325"/>
  <c r="C10324"/>
  <c r="C10323"/>
  <c r="C10322"/>
  <c r="C10321"/>
  <c r="C10320"/>
  <c r="C10319"/>
  <c r="C10318"/>
  <c r="C10317"/>
  <c r="C10316"/>
  <c r="C10315"/>
  <c r="C10314"/>
  <c r="C10313"/>
  <c r="C10312"/>
  <c r="C10311"/>
  <c r="C10310"/>
  <c r="C10309"/>
  <c r="C10308"/>
  <c r="C10307"/>
  <c r="C10306"/>
  <c r="C10305"/>
  <c r="C10304"/>
  <c r="C10303"/>
  <c r="C10302"/>
  <c r="C10301"/>
  <c r="C10300"/>
  <c r="C10299"/>
  <c r="C10298"/>
  <c r="C10297"/>
  <c r="C10296"/>
  <c r="C10295"/>
  <c r="C10294"/>
  <c r="C10293"/>
  <c r="C10292"/>
  <c r="C10291"/>
  <c r="C10290"/>
  <c r="C10289"/>
  <c r="C10288"/>
  <c r="C10287"/>
  <c r="C10286"/>
  <c r="C10285"/>
  <c r="C10284"/>
  <c r="C10283"/>
  <c r="C10282"/>
  <c r="C10281"/>
  <c r="C10280"/>
  <c r="C10279"/>
  <c r="C10278"/>
  <c r="C10277"/>
  <c r="C10276"/>
  <c r="C10275"/>
  <c r="C10274"/>
  <c r="C10273"/>
  <c r="C10272"/>
  <c r="C10271"/>
  <c r="C10270"/>
  <c r="C10269"/>
  <c r="C10268"/>
  <c r="C10267"/>
  <c r="C10266"/>
  <c r="C10265"/>
  <c r="C10264"/>
  <c r="C10263"/>
  <c r="C10262"/>
  <c r="C10261"/>
  <c r="C10260"/>
  <c r="C10259"/>
  <c r="C10258"/>
  <c r="C10257"/>
  <c r="C10256"/>
  <c r="C10255"/>
  <c r="C10254"/>
  <c r="C10253"/>
  <c r="C10252"/>
  <c r="C10251"/>
  <c r="C10250"/>
  <c r="C10249"/>
  <c r="C10248"/>
  <c r="C10247"/>
  <c r="C10246"/>
  <c r="C10245"/>
  <c r="C10244"/>
  <c r="C10243"/>
  <c r="C10242"/>
  <c r="C10241"/>
  <c r="C10240"/>
  <c r="C10239"/>
  <c r="C10238"/>
  <c r="C10237"/>
  <c r="C10236"/>
  <c r="C10235"/>
  <c r="C10234"/>
  <c r="C10233"/>
  <c r="C10232"/>
  <c r="C10231"/>
  <c r="C10230"/>
  <c r="C10229"/>
  <c r="C10228"/>
  <c r="C10227"/>
  <c r="C10226"/>
  <c r="C10225"/>
  <c r="C10224"/>
  <c r="C10223"/>
  <c r="C10222"/>
  <c r="C10221"/>
  <c r="C10220"/>
  <c r="C10219"/>
  <c r="C10218"/>
  <c r="C10217"/>
  <c r="C10216"/>
  <c r="C10215"/>
  <c r="C10214"/>
  <c r="C10213"/>
  <c r="C10212"/>
  <c r="C10211"/>
  <c r="C10210"/>
  <c r="C10209"/>
  <c r="C10208"/>
  <c r="C10207"/>
  <c r="C10206"/>
  <c r="C10205"/>
  <c r="C10204"/>
  <c r="C10203"/>
  <c r="C10202"/>
  <c r="C10201"/>
  <c r="C10200"/>
  <c r="C10199"/>
  <c r="C10198"/>
  <c r="C10197"/>
  <c r="C10196"/>
  <c r="C10195"/>
  <c r="C10194"/>
  <c r="C10193"/>
  <c r="C10192"/>
  <c r="C10191"/>
  <c r="C10190"/>
  <c r="C10189"/>
  <c r="C10188"/>
  <c r="C10187"/>
  <c r="C10186"/>
  <c r="C10185"/>
  <c r="C10184"/>
  <c r="C10183"/>
  <c r="C10182"/>
  <c r="C10181"/>
  <c r="C10180"/>
  <c r="C10179"/>
  <c r="C10178"/>
  <c r="C10177"/>
  <c r="C10176"/>
  <c r="C10175"/>
  <c r="C10174"/>
  <c r="C10173"/>
  <c r="C10172"/>
  <c r="C10171"/>
  <c r="C10170"/>
  <c r="C10169"/>
  <c r="C10168"/>
  <c r="C10167"/>
  <c r="C10166"/>
  <c r="C10165"/>
  <c r="C10164"/>
  <c r="C10163"/>
  <c r="C10162"/>
  <c r="C10161"/>
  <c r="C10160"/>
  <c r="C10159"/>
  <c r="C10158"/>
  <c r="C10157"/>
  <c r="C10156"/>
  <c r="C10155"/>
  <c r="C10154"/>
  <c r="C10153"/>
  <c r="C10152"/>
  <c r="C10151"/>
  <c r="C10150"/>
  <c r="C10149"/>
  <c r="C10148"/>
  <c r="C10147"/>
  <c r="C10146"/>
  <c r="C10145"/>
  <c r="C10144"/>
  <c r="C10143"/>
  <c r="C10142"/>
  <c r="C10141"/>
  <c r="C10140"/>
  <c r="C10139"/>
  <c r="C10138"/>
  <c r="C10137"/>
  <c r="C10136"/>
  <c r="C10135"/>
  <c r="C10134"/>
  <c r="C10133"/>
  <c r="C10132"/>
  <c r="C10131"/>
  <c r="C10130"/>
  <c r="C10129"/>
  <c r="C10128"/>
  <c r="C10127"/>
  <c r="C10126"/>
  <c r="C10125"/>
  <c r="C10124"/>
  <c r="C10123"/>
  <c r="C10122"/>
  <c r="C10121"/>
  <c r="C10120"/>
  <c r="C10119"/>
  <c r="C10118"/>
  <c r="C10117"/>
  <c r="C10116"/>
  <c r="C10115"/>
  <c r="C10114"/>
  <c r="C10113"/>
  <c r="C10112"/>
  <c r="C10111"/>
  <c r="C10110"/>
  <c r="C10109"/>
  <c r="C10108"/>
  <c r="C10107"/>
  <c r="C10106"/>
  <c r="C10105"/>
  <c r="C10104"/>
  <c r="C10103"/>
  <c r="C10102"/>
  <c r="C10101"/>
  <c r="C10100"/>
  <c r="C10099"/>
  <c r="C10098"/>
  <c r="C10097"/>
  <c r="C10096"/>
  <c r="C10095"/>
  <c r="C10094"/>
  <c r="C10093"/>
  <c r="C10092"/>
  <c r="C10091"/>
  <c r="C10090"/>
  <c r="C10089"/>
  <c r="C10088"/>
  <c r="C10087"/>
  <c r="C10086"/>
  <c r="C10085"/>
  <c r="C10084"/>
  <c r="C10083"/>
  <c r="C10082"/>
  <c r="C10081"/>
  <c r="C10080"/>
  <c r="C10079"/>
  <c r="C10078"/>
  <c r="C10077"/>
  <c r="C10076"/>
  <c r="C10075"/>
  <c r="C10074"/>
  <c r="C10073"/>
  <c r="C10072"/>
  <c r="C10071"/>
  <c r="C10070"/>
  <c r="C10069"/>
  <c r="C10068"/>
  <c r="C10067"/>
  <c r="C10066"/>
  <c r="C10065"/>
  <c r="C10064"/>
  <c r="C10063"/>
  <c r="C10062"/>
  <c r="C10061"/>
  <c r="C10060"/>
  <c r="C10059"/>
  <c r="C10058"/>
  <c r="C10057"/>
  <c r="C10056"/>
  <c r="C10055"/>
  <c r="C10054"/>
  <c r="C10053"/>
  <c r="C10052"/>
  <c r="C10051"/>
  <c r="C10050"/>
  <c r="C10049"/>
  <c r="C10048"/>
  <c r="C10047"/>
  <c r="C10046"/>
  <c r="C10045"/>
  <c r="C10044"/>
  <c r="C10043"/>
  <c r="C10042"/>
  <c r="C10041"/>
  <c r="C10040"/>
  <c r="C10039"/>
  <c r="C10038"/>
  <c r="C10037"/>
  <c r="C10036"/>
  <c r="C10035"/>
  <c r="C10034"/>
  <c r="C10033"/>
  <c r="C10032"/>
  <c r="C10031"/>
  <c r="C10030"/>
  <c r="C10029"/>
  <c r="C10028"/>
  <c r="C10027"/>
  <c r="C10026"/>
  <c r="C10025"/>
  <c r="C10024"/>
  <c r="C10023"/>
  <c r="C10022"/>
  <c r="C10021"/>
  <c r="C10020"/>
  <c r="C10019"/>
  <c r="C10018"/>
  <c r="C10017"/>
  <c r="C10016"/>
  <c r="C10015"/>
  <c r="C10014"/>
  <c r="C10013"/>
  <c r="C10012"/>
  <c r="C10011"/>
  <c r="C10010"/>
  <c r="C10009"/>
  <c r="C10008"/>
  <c r="C10007"/>
  <c r="C10006"/>
  <c r="C10005"/>
  <c r="C10004"/>
  <c r="C10003"/>
  <c r="C10002"/>
  <c r="C10001"/>
  <c r="C10000"/>
  <c r="C9999"/>
  <c r="C9998"/>
  <c r="C9997"/>
  <c r="C9996"/>
  <c r="C9995"/>
  <c r="C9994"/>
  <c r="C9993"/>
  <c r="C9992"/>
  <c r="C9991"/>
  <c r="C9990"/>
  <c r="C9989"/>
  <c r="C9988"/>
  <c r="C9987"/>
  <c r="C9986"/>
  <c r="C9985"/>
  <c r="C9984"/>
  <c r="C9983"/>
  <c r="C9982"/>
  <c r="C9981"/>
  <c r="C9980"/>
  <c r="C9979"/>
  <c r="C9978"/>
  <c r="C9977"/>
  <c r="C9976"/>
  <c r="C9975"/>
  <c r="C9974"/>
  <c r="C9973"/>
  <c r="C9972"/>
  <c r="C9971"/>
  <c r="C9970"/>
  <c r="C9969"/>
  <c r="C9968"/>
  <c r="C9967"/>
  <c r="C9966"/>
  <c r="C9965"/>
  <c r="C9964"/>
  <c r="C9963"/>
  <c r="C9962"/>
  <c r="C9961"/>
  <c r="C9960"/>
  <c r="C9959"/>
  <c r="C9958"/>
  <c r="C9957"/>
  <c r="C9956"/>
  <c r="C9955"/>
  <c r="C9954"/>
  <c r="C9953"/>
  <c r="C9952"/>
  <c r="C9951"/>
  <c r="C9950"/>
  <c r="C9949"/>
  <c r="C9948"/>
  <c r="C9947"/>
  <c r="C9946"/>
  <c r="C9945"/>
  <c r="C9944"/>
  <c r="C9943"/>
  <c r="C9942"/>
  <c r="C9941"/>
  <c r="C9940"/>
  <c r="C9939"/>
  <c r="C9938"/>
  <c r="C9937"/>
  <c r="C9936"/>
  <c r="C9935"/>
  <c r="C9934"/>
  <c r="C9933"/>
  <c r="C9932"/>
  <c r="C9931"/>
  <c r="C9930"/>
  <c r="C9929"/>
  <c r="C9928"/>
  <c r="C9927"/>
  <c r="C9926"/>
  <c r="C9925"/>
  <c r="C9924"/>
  <c r="C9923"/>
  <c r="C9922"/>
  <c r="C9921"/>
  <c r="C9920"/>
  <c r="C9919"/>
  <c r="C9918"/>
  <c r="C9917"/>
  <c r="C9916"/>
  <c r="C9915"/>
  <c r="C9914"/>
  <c r="C9913"/>
  <c r="C9912"/>
  <c r="C9911"/>
  <c r="C9910"/>
  <c r="C9909"/>
  <c r="C9908"/>
  <c r="C9907"/>
  <c r="C9906"/>
  <c r="C9905"/>
  <c r="C9904"/>
  <c r="C9903"/>
  <c r="C9902"/>
  <c r="C9901"/>
  <c r="C9900"/>
  <c r="C9899"/>
  <c r="C9898"/>
  <c r="C9897"/>
  <c r="C9896"/>
  <c r="C9895"/>
  <c r="C9894"/>
  <c r="C9893"/>
  <c r="C9892"/>
  <c r="C9891"/>
  <c r="C9890"/>
  <c r="C9889"/>
  <c r="C9888"/>
  <c r="C9887"/>
  <c r="C9886"/>
  <c r="C9885"/>
  <c r="C9884"/>
  <c r="C9883"/>
  <c r="C9882"/>
  <c r="C9881"/>
  <c r="C9880"/>
  <c r="C9879"/>
  <c r="C9878"/>
  <c r="C9877"/>
  <c r="C9876"/>
  <c r="C9875"/>
  <c r="C9874"/>
  <c r="C9873"/>
  <c r="C9872"/>
  <c r="C9871"/>
  <c r="C9870"/>
  <c r="C9869"/>
  <c r="C9868"/>
  <c r="C9867"/>
  <c r="C9866"/>
  <c r="C9865"/>
  <c r="C9864"/>
  <c r="C9863"/>
  <c r="C9862"/>
  <c r="C9861"/>
  <c r="C9860"/>
  <c r="C9859"/>
  <c r="C9858"/>
  <c r="C9857"/>
  <c r="C9856"/>
  <c r="C9855"/>
  <c r="C9854"/>
  <c r="C9853"/>
  <c r="C9852"/>
  <c r="C9851"/>
  <c r="C9850"/>
  <c r="C9849"/>
  <c r="C9848"/>
  <c r="C9847"/>
  <c r="C9846"/>
  <c r="C9845"/>
  <c r="C9844"/>
  <c r="C9843"/>
  <c r="C9842"/>
  <c r="C9841"/>
  <c r="C9840"/>
  <c r="C9839"/>
  <c r="C9838"/>
  <c r="C9837"/>
  <c r="C9836"/>
  <c r="C9835"/>
  <c r="C9834"/>
  <c r="C9833"/>
  <c r="C9832"/>
  <c r="C9831"/>
  <c r="C9830"/>
  <c r="C9829"/>
  <c r="C9828"/>
  <c r="C9827"/>
  <c r="C9826"/>
  <c r="C9825"/>
  <c r="C9824"/>
  <c r="C9823"/>
  <c r="C9822"/>
  <c r="C9821"/>
  <c r="C9820"/>
  <c r="C9819"/>
  <c r="C9818"/>
  <c r="C9817"/>
  <c r="C9816"/>
  <c r="C9815"/>
  <c r="C9814"/>
  <c r="C9813"/>
  <c r="C9812"/>
  <c r="C9811"/>
  <c r="C9810"/>
  <c r="C9809"/>
  <c r="C9808"/>
  <c r="C9807"/>
  <c r="C9806"/>
  <c r="C9805"/>
  <c r="C9804"/>
  <c r="C9803"/>
  <c r="C9802"/>
  <c r="C9801"/>
  <c r="C9800"/>
  <c r="C9799"/>
  <c r="C9798"/>
  <c r="C9797"/>
  <c r="C9796"/>
  <c r="C9795"/>
  <c r="C9794"/>
  <c r="C9793"/>
  <c r="C9792"/>
  <c r="C9791"/>
  <c r="C9790"/>
  <c r="C9789"/>
  <c r="C9788"/>
  <c r="C9787"/>
  <c r="C9786"/>
  <c r="C9785"/>
  <c r="C9784"/>
  <c r="C9783"/>
  <c r="C9782"/>
  <c r="C9781"/>
  <c r="C9780"/>
  <c r="C9779"/>
  <c r="C9778"/>
  <c r="C9777"/>
  <c r="C9776"/>
  <c r="C9775"/>
  <c r="C9774"/>
  <c r="C9773"/>
  <c r="C9772"/>
  <c r="C9771"/>
  <c r="C9770"/>
  <c r="C9769"/>
  <c r="C9768"/>
  <c r="C9767"/>
  <c r="C9766"/>
  <c r="C9765"/>
  <c r="C9764"/>
  <c r="C9763"/>
  <c r="C9762"/>
  <c r="C9761"/>
  <c r="C9760"/>
  <c r="C9759"/>
  <c r="C9758"/>
  <c r="C9757"/>
  <c r="C9756"/>
  <c r="C9755"/>
  <c r="C9754"/>
  <c r="C9753"/>
  <c r="C9752"/>
  <c r="C9751"/>
  <c r="C9750"/>
  <c r="C9749"/>
  <c r="C9748"/>
  <c r="C9747"/>
  <c r="C9746"/>
  <c r="C9745"/>
  <c r="C9744"/>
  <c r="C9743"/>
  <c r="C9742"/>
  <c r="C9741"/>
  <c r="C9740"/>
  <c r="C9739"/>
  <c r="C9738"/>
  <c r="C9737"/>
  <c r="C9736"/>
  <c r="C9735"/>
  <c r="C9734"/>
  <c r="C9733"/>
  <c r="C9732"/>
  <c r="C9731"/>
  <c r="C9730"/>
  <c r="C9729"/>
  <c r="C9728"/>
  <c r="C9727"/>
  <c r="C9726"/>
  <c r="C9725"/>
  <c r="C9724"/>
  <c r="C9723"/>
  <c r="C9722"/>
  <c r="C9721"/>
  <c r="C9720"/>
  <c r="C9719"/>
  <c r="C9718"/>
  <c r="C9717"/>
  <c r="C9716"/>
  <c r="C9715"/>
  <c r="C9714"/>
  <c r="C9713"/>
  <c r="C9712"/>
  <c r="C9711"/>
  <c r="C9710"/>
  <c r="C9709"/>
  <c r="C9708"/>
  <c r="C9707"/>
  <c r="C9706"/>
  <c r="C9705"/>
  <c r="C9704"/>
  <c r="C9703"/>
  <c r="C9702"/>
  <c r="C9701"/>
  <c r="C9700"/>
  <c r="C9699"/>
  <c r="C9698"/>
  <c r="C9697"/>
  <c r="C9696"/>
  <c r="C9695"/>
  <c r="C9694"/>
  <c r="C9693"/>
  <c r="C9692"/>
  <c r="C9691"/>
  <c r="C9690"/>
  <c r="C9689"/>
  <c r="C9688"/>
  <c r="C9687"/>
  <c r="C9686"/>
  <c r="C9685"/>
  <c r="C9684"/>
  <c r="C9683"/>
  <c r="C9682"/>
  <c r="C9681"/>
  <c r="C9680"/>
  <c r="C9679"/>
  <c r="C9678"/>
  <c r="C9677"/>
  <c r="C9676"/>
  <c r="C9675"/>
  <c r="C9674"/>
  <c r="C9673"/>
  <c r="C9672"/>
  <c r="C9671"/>
  <c r="C9670"/>
  <c r="C9669"/>
  <c r="C9668"/>
  <c r="C9667"/>
  <c r="C9666"/>
  <c r="C9665"/>
  <c r="C9664"/>
  <c r="C9663"/>
  <c r="C9662"/>
  <c r="C9661"/>
  <c r="C9660"/>
  <c r="C9659"/>
  <c r="C9658"/>
  <c r="C9657"/>
  <c r="C9656"/>
  <c r="C9655"/>
  <c r="C9654"/>
  <c r="C9653"/>
  <c r="C9652"/>
  <c r="C9651"/>
  <c r="C9650"/>
  <c r="C9649"/>
  <c r="C9648"/>
  <c r="C9647"/>
  <c r="C9646"/>
  <c r="C9645"/>
  <c r="C9644"/>
  <c r="C9643"/>
  <c r="C9642"/>
  <c r="C9641"/>
  <c r="C9640"/>
  <c r="C9639"/>
  <c r="C9638"/>
  <c r="C9637"/>
  <c r="C9636"/>
  <c r="C9635"/>
  <c r="C9634"/>
  <c r="C9633"/>
  <c r="C9632"/>
  <c r="C9631"/>
  <c r="C9630"/>
  <c r="C9629"/>
  <c r="C9628"/>
  <c r="C9627"/>
  <c r="C9626"/>
  <c r="C9625"/>
  <c r="C9624"/>
  <c r="C9623"/>
  <c r="C9622"/>
  <c r="C9621"/>
  <c r="C9620"/>
  <c r="C9619"/>
  <c r="C9618"/>
  <c r="C9617"/>
  <c r="C9616"/>
  <c r="C9615"/>
  <c r="C9614"/>
  <c r="C9613"/>
  <c r="C9612"/>
  <c r="C9611"/>
  <c r="C9610"/>
  <c r="C9609"/>
  <c r="C9608"/>
  <c r="C9607"/>
  <c r="C9606"/>
  <c r="C9605"/>
  <c r="C9604"/>
  <c r="C9603"/>
  <c r="C9602"/>
  <c r="C9601"/>
  <c r="C9600"/>
  <c r="C9599"/>
  <c r="C9598"/>
  <c r="C9597"/>
  <c r="C9596"/>
  <c r="C9595"/>
  <c r="C9594"/>
  <c r="C9593"/>
  <c r="C9592"/>
  <c r="C9591"/>
  <c r="C9590"/>
  <c r="C9589"/>
  <c r="C9588"/>
  <c r="C9587"/>
  <c r="C9586"/>
  <c r="C9585"/>
  <c r="C9584"/>
  <c r="C9583"/>
  <c r="C9582"/>
  <c r="C9581"/>
  <c r="C9580"/>
  <c r="C9579"/>
  <c r="C9578"/>
  <c r="C9577"/>
  <c r="C9576"/>
  <c r="C9575"/>
  <c r="C9574"/>
  <c r="C9573"/>
  <c r="C9572"/>
  <c r="C9571"/>
  <c r="C9570"/>
  <c r="C9569"/>
  <c r="C9568"/>
  <c r="C9567"/>
  <c r="C9566"/>
  <c r="C9565"/>
  <c r="C9564"/>
  <c r="C9563"/>
  <c r="C9562"/>
  <c r="C9561"/>
  <c r="C9560"/>
  <c r="C9559"/>
  <c r="C9558"/>
  <c r="C9557"/>
  <c r="C9556"/>
  <c r="C9555"/>
  <c r="C9554"/>
  <c r="C9553"/>
  <c r="C9552"/>
  <c r="C9551"/>
  <c r="C9550"/>
  <c r="C9549"/>
  <c r="C9548"/>
  <c r="C9547"/>
  <c r="C9546"/>
  <c r="C9545"/>
  <c r="C9544"/>
  <c r="C9543"/>
  <c r="C9542"/>
  <c r="C9541"/>
  <c r="C9540"/>
  <c r="C9539"/>
  <c r="C9538"/>
  <c r="C9537"/>
  <c r="C9536"/>
  <c r="C9535"/>
  <c r="C9534"/>
  <c r="C9533"/>
  <c r="C9532"/>
  <c r="C9531"/>
  <c r="C9530"/>
  <c r="C9529"/>
  <c r="C9528"/>
  <c r="C9527"/>
  <c r="C9526"/>
  <c r="C9525"/>
  <c r="C9524"/>
  <c r="C9523"/>
  <c r="C9522"/>
  <c r="C9521"/>
  <c r="C9520"/>
  <c r="C9519"/>
  <c r="C9518"/>
  <c r="C9517"/>
  <c r="C9516"/>
  <c r="C9515"/>
  <c r="C9514"/>
  <c r="C9513"/>
  <c r="C9512"/>
  <c r="C9511"/>
  <c r="C9510"/>
  <c r="C9509"/>
  <c r="C9508"/>
  <c r="C9507"/>
  <c r="C9506"/>
  <c r="C9505"/>
  <c r="C9504"/>
  <c r="C9503"/>
  <c r="C9502"/>
  <c r="C9501"/>
  <c r="C9500"/>
  <c r="C9499"/>
  <c r="C9498"/>
  <c r="C9497"/>
  <c r="C9496"/>
  <c r="C9495"/>
  <c r="C9494"/>
  <c r="C9493"/>
  <c r="C9492"/>
  <c r="C9491"/>
  <c r="C9490"/>
  <c r="C9489"/>
  <c r="C9488"/>
  <c r="C9487"/>
  <c r="C9486"/>
  <c r="C9485"/>
  <c r="C9484"/>
  <c r="C9483"/>
  <c r="C9482"/>
  <c r="C9481"/>
  <c r="C9480"/>
  <c r="C9479"/>
  <c r="C9478"/>
  <c r="C9477"/>
  <c r="C9476"/>
  <c r="C9475"/>
  <c r="C9474"/>
  <c r="C9473"/>
  <c r="C9472"/>
  <c r="C9471"/>
  <c r="C9470"/>
  <c r="C9469"/>
  <c r="C9468"/>
  <c r="C9467"/>
  <c r="C9466"/>
  <c r="C9465"/>
  <c r="C9464"/>
  <c r="C9463"/>
  <c r="C9462"/>
  <c r="C9461"/>
  <c r="C9460"/>
  <c r="C9459"/>
  <c r="C9458"/>
  <c r="C9457"/>
  <c r="C9456"/>
  <c r="C9455"/>
  <c r="C9454"/>
  <c r="C9453"/>
  <c r="C9452"/>
  <c r="C9451"/>
  <c r="C9450"/>
  <c r="C9449"/>
  <c r="C9448"/>
  <c r="C9447"/>
  <c r="C9446"/>
  <c r="C9445"/>
  <c r="C9444"/>
  <c r="C9443"/>
  <c r="C9442"/>
  <c r="C9441"/>
  <c r="C9440"/>
  <c r="C9439"/>
  <c r="C9438"/>
  <c r="C9437"/>
  <c r="C9436"/>
  <c r="C9435"/>
  <c r="C9434"/>
  <c r="C9433"/>
  <c r="C9432"/>
  <c r="C9431"/>
  <c r="C9430"/>
  <c r="C9429"/>
  <c r="C9428"/>
  <c r="C9427"/>
  <c r="C9426"/>
  <c r="C9425"/>
  <c r="C9424"/>
  <c r="C9423"/>
  <c r="C9422"/>
  <c r="C9421"/>
  <c r="C9420"/>
  <c r="C9419"/>
  <c r="C9418"/>
  <c r="C9417"/>
  <c r="C9416"/>
  <c r="C9415"/>
  <c r="C9414"/>
  <c r="C9413"/>
  <c r="C9412"/>
  <c r="C9411"/>
  <c r="C9410"/>
  <c r="C9409"/>
  <c r="C9408"/>
  <c r="C9407"/>
  <c r="C9406"/>
  <c r="C9405"/>
  <c r="C9404"/>
  <c r="C9403"/>
  <c r="C9402"/>
  <c r="C9401"/>
  <c r="C9400"/>
  <c r="C9399"/>
  <c r="C9398"/>
  <c r="C9397"/>
  <c r="C9396"/>
  <c r="C9395"/>
  <c r="C9394"/>
  <c r="C9393"/>
  <c r="C9392"/>
  <c r="C9391"/>
  <c r="C9390"/>
  <c r="C9389"/>
  <c r="C9388"/>
  <c r="C9387"/>
  <c r="C9386"/>
  <c r="C9385"/>
  <c r="C9384"/>
  <c r="C9383"/>
  <c r="C9382"/>
  <c r="C9381"/>
  <c r="C9380"/>
  <c r="C9379"/>
  <c r="C9378"/>
  <c r="C9377"/>
  <c r="C9376"/>
  <c r="C9375"/>
  <c r="C9374"/>
  <c r="C9373"/>
  <c r="C9372"/>
  <c r="C9371"/>
  <c r="C9370"/>
  <c r="C9369"/>
  <c r="C9368"/>
  <c r="C9367"/>
  <c r="C9366"/>
  <c r="C9365"/>
  <c r="C9364"/>
  <c r="C9363"/>
  <c r="C9362"/>
  <c r="C9361"/>
  <c r="C9360"/>
  <c r="C9359"/>
  <c r="C9358"/>
  <c r="C9357"/>
  <c r="C9356"/>
  <c r="C9355"/>
  <c r="C9354"/>
  <c r="C9353"/>
  <c r="C9352"/>
  <c r="C9351"/>
  <c r="C9350"/>
  <c r="C9349"/>
  <c r="C9348"/>
  <c r="C9347"/>
  <c r="C9346"/>
  <c r="C9345"/>
  <c r="C9344"/>
  <c r="C9343"/>
  <c r="C9342"/>
  <c r="C9341"/>
  <c r="C9340"/>
  <c r="C9339"/>
  <c r="C9338"/>
  <c r="C9337"/>
  <c r="C9336"/>
  <c r="C9335"/>
  <c r="C9334"/>
  <c r="C9333"/>
  <c r="C9332"/>
  <c r="C9331"/>
  <c r="C9330"/>
  <c r="C9329"/>
  <c r="C9328"/>
  <c r="C9327"/>
  <c r="C9326"/>
  <c r="C9325"/>
  <c r="C9324"/>
  <c r="C9323"/>
  <c r="C9322"/>
  <c r="C9321"/>
  <c r="C9320"/>
  <c r="C9319"/>
  <c r="C9318"/>
  <c r="C9317"/>
  <c r="C9316"/>
  <c r="C9315"/>
  <c r="C9314"/>
  <c r="C9313"/>
  <c r="C9312"/>
  <c r="C9311"/>
  <c r="C9310"/>
  <c r="C9309"/>
  <c r="C9308"/>
  <c r="C9307"/>
  <c r="C9306"/>
  <c r="C9305"/>
  <c r="C9304"/>
  <c r="C9303"/>
  <c r="C9302"/>
  <c r="C9301"/>
  <c r="C9300"/>
  <c r="C9299"/>
  <c r="C9298"/>
  <c r="C9297"/>
  <c r="C9296"/>
  <c r="C9295"/>
  <c r="C9294"/>
  <c r="C9293"/>
  <c r="C9292"/>
  <c r="C9291"/>
  <c r="C9290"/>
  <c r="C9289"/>
  <c r="C9288"/>
  <c r="C9287"/>
  <c r="C9286"/>
  <c r="C9285"/>
  <c r="C9284"/>
  <c r="C9283"/>
  <c r="C9282"/>
  <c r="C9281"/>
  <c r="C9280"/>
  <c r="C9279"/>
  <c r="C9278"/>
  <c r="C9277"/>
  <c r="C9276"/>
  <c r="C9275"/>
  <c r="C9274"/>
  <c r="C9273"/>
  <c r="C9272"/>
  <c r="C9271"/>
  <c r="C9270"/>
  <c r="C9269"/>
  <c r="C9268"/>
  <c r="C9267"/>
  <c r="C9266"/>
  <c r="C9265"/>
  <c r="C9264"/>
  <c r="C9263"/>
  <c r="C9262"/>
  <c r="C9261"/>
  <c r="C9260"/>
  <c r="C9259"/>
  <c r="C9258"/>
  <c r="C9257"/>
  <c r="C9256"/>
  <c r="C9255"/>
  <c r="C9254"/>
  <c r="C9253"/>
  <c r="C9252"/>
  <c r="C9251"/>
  <c r="C9250"/>
  <c r="C9249"/>
  <c r="C9248"/>
  <c r="C9247"/>
  <c r="C9246"/>
  <c r="C9245"/>
  <c r="C9244"/>
  <c r="C9243"/>
  <c r="C9242"/>
  <c r="C9241"/>
  <c r="C9240"/>
  <c r="C9239"/>
  <c r="C9238"/>
  <c r="C9237"/>
  <c r="C9236"/>
  <c r="C9235"/>
  <c r="C9234"/>
  <c r="C9233"/>
  <c r="C9232"/>
  <c r="C9231"/>
  <c r="C9230"/>
  <c r="C9229"/>
  <c r="C9228"/>
  <c r="C9227"/>
  <c r="C9226"/>
  <c r="C9225"/>
  <c r="C9224"/>
  <c r="C9223"/>
  <c r="C9222"/>
  <c r="C9221"/>
  <c r="C9220"/>
  <c r="C9219"/>
  <c r="C9218"/>
  <c r="C9217"/>
  <c r="C9216"/>
  <c r="C9215"/>
  <c r="C9214"/>
  <c r="C9213"/>
  <c r="C9212"/>
  <c r="C9211"/>
  <c r="C9210"/>
  <c r="C9209"/>
  <c r="C9208"/>
  <c r="C9207"/>
  <c r="C9206"/>
  <c r="C9205"/>
  <c r="C9204"/>
  <c r="C9203"/>
  <c r="C9202"/>
  <c r="C9201"/>
  <c r="C9200"/>
  <c r="C9199"/>
  <c r="C9198"/>
  <c r="C9197"/>
  <c r="C9196"/>
  <c r="C9195"/>
  <c r="C9194"/>
  <c r="C9193"/>
  <c r="C9192"/>
  <c r="C9191"/>
  <c r="C9190"/>
  <c r="C9189"/>
  <c r="C9188"/>
  <c r="C9187"/>
  <c r="C9186"/>
  <c r="C9185"/>
  <c r="C9184"/>
  <c r="C9183"/>
  <c r="C9182"/>
  <c r="C9181"/>
  <c r="C9180"/>
  <c r="C9179"/>
  <c r="C9178"/>
  <c r="C9177"/>
  <c r="C9176"/>
  <c r="C9175"/>
  <c r="C9174"/>
  <c r="C9173"/>
  <c r="C9172"/>
  <c r="C9171"/>
  <c r="C9170"/>
  <c r="C9169"/>
  <c r="C9168"/>
  <c r="C9167"/>
  <c r="C9166"/>
  <c r="C9165"/>
  <c r="C9164"/>
  <c r="C9163"/>
  <c r="C9162"/>
  <c r="C9161"/>
  <c r="C9160"/>
  <c r="C9159"/>
  <c r="C9158"/>
  <c r="C9157"/>
  <c r="C9156"/>
  <c r="C9155"/>
  <c r="C9154"/>
  <c r="C9153"/>
  <c r="C9152"/>
  <c r="C9151"/>
  <c r="C9150"/>
  <c r="C9149"/>
  <c r="C9148"/>
  <c r="C9147"/>
  <c r="C9146"/>
  <c r="C9145"/>
  <c r="C9144"/>
  <c r="C9143"/>
  <c r="C9142"/>
  <c r="C9141"/>
  <c r="C9140"/>
  <c r="C9139"/>
  <c r="C9138"/>
  <c r="C9137"/>
  <c r="C9136"/>
  <c r="C9135"/>
  <c r="C9134"/>
  <c r="C9133"/>
  <c r="C9132"/>
  <c r="C9131"/>
  <c r="C9130"/>
  <c r="C9129"/>
  <c r="C9128"/>
  <c r="C9127"/>
  <c r="C9126"/>
  <c r="C9125"/>
  <c r="C9124"/>
  <c r="C9123"/>
  <c r="C9122"/>
  <c r="C9121"/>
  <c r="C9120"/>
  <c r="C9119"/>
  <c r="C9118"/>
  <c r="C9117"/>
  <c r="C9116"/>
  <c r="C9115"/>
  <c r="C9114"/>
  <c r="C9113"/>
  <c r="C9112"/>
  <c r="C9111"/>
  <c r="C9110"/>
  <c r="C9109"/>
  <c r="C9108"/>
  <c r="C9107"/>
  <c r="C9106"/>
  <c r="C9105"/>
  <c r="C9104"/>
  <c r="C9103"/>
  <c r="C9102"/>
  <c r="C9101"/>
  <c r="C9100"/>
  <c r="C9099"/>
  <c r="C9098"/>
  <c r="C9097"/>
  <c r="C9096"/>
  <c r="C9095"/>
  <c r="C9094"/>
  <c r="C9093"/>
  <c r="C9092"/>
  <c r="C9091"/>
  <c r="C9090"/>
  <c r="C9089"/>
  <c r="C9088"/>
  <c r="C9087"/>
  <c r="C9086"/>
  <c r="C9085"/>
  <c r="C9084"/>
  <c r="C9083"/>
  <c r="C9082"/>
  <c r="C9081"/>
  <c r="C9080"/>
  <c r="C9079"/>
  <c r="C9078"/>
  <c r="C9077"/>
  <c r="C9076"/>
  <c r="C9075"/>
  <c r="C9074"/>
  <c r="C9073"/>
  <c r="C9072"/>
  <c r="C9071"/>
  <c r="C9070"/>
  <c r="C9069"/>
  <c r="C9068"/>
  <c r="C9067"/>
  <c r="C9066"/>
  <c r="C9065"/>
  <c r="C9064"/>
  <c r="C9063"/>
  <c r="C9062"/>
  <c r="C9061"/>
  <c r="C9060"/>
  <c r="C9059"/>
  <c r="C9058"/>
  <c r="C9057"/>
  <c r="C9056"/>
  <c r="C9055"/>
  <c r="C9054"/>
  <c r="C9053"/>
  <c r="C9052"/>
  <c r="C9051"/>
  <c r="C9050"/>
  <c r="C9049"/>
  <c r="C9048"/>
  <c r="C9047"/>
  <c r="C9046"/>
  <c r="C9045"/>
  <c r="C9044"/>
  <c r="C9043"/>
  <c r="C9042"/>
  <c r="C9041"/>
  <c r="C9040"/>
  <c r="C9039"/>
  <c r="C9038"/>
  <c r="C9037"/>
  <c r="C9036"/>
  <c r="C9035"/>
  <c r="C9034"/>
  <c r="C9033"/>
  <c r="C9032"/>
  <c r="C9031"/>
  <c r="C9030"/>
  <c r="C9029"/>
  <c r="C9028"/>
  <c r="C9027"/>
  <c r="C9026"/>
  <c r="C9025"/>
  <c r="C9024"/>
  <c r="C9023"/>
  <c r="C9022"/>
  <c r="C9021"/>
  <c r="C9020"/>
  <c r="C9019"/>
  <c r="C9018"/>
  <c r="C9017"/>
  <c r="C9016"/>
  <c r="C9015"/>
  <c r="C9014"/>
  <c r="C9013"/>
  <c r="C9012"/>
  <c r="C9011"/>
  <c r="C9010"/>
  <c r="C9009"/>
  <c r="C9008"/>
  <c r="C9007"/>
  <c r="C9006"/>
  <c r="C9005"/>
  <c r="C9004"/>
  <c r="C9003"/>
  <c r="C9002"/>
  <c r="C9001"/>
  <c r="C9000"/>
  <c r="C8999"/>
  <c r="C8998"/>
  <c r="C8997"/>
  <c r="C8996"/>
  <c r="C8995"/>
  <c r="C8994"/>
  <c r="C8993"/>
  <c r="C8992"/>
  <c r="C8991"/>
  <c r="C8990"/>
  <c r="C8989"/>
  <c r="C8988"/>
  <c r="C8987"/>
  <c r="C8986"/>
  <c r="C8985"/>
  <c r="C8984"/>
  <c r="C8983"/>
  <c r="C8982"/>
  <c r="C8981"/>
  <c r="C8980"/>
  <c r="C8979"/>
  <c r="C8978"/>
  <c r="C8977"/>
  <c r="C8976"/>
  <c r="C8975"/>
  <c r="C8974"/>
  <c r="C8973"/>
  <c r="C8972"/>
  <c r="C8971"/>
  <c r="C8970"/>
  <c r="C8969"/>
  <c r="C8968"/>
  <c r="C8967"/>
  <c r="C8966"/>
  <c r="C8965"/>
  <c r="C8964"/>
  <c r="C8963"/>
  <c r="C8962"/>
  <c r="C8961"/>
  <c r="C8960"/>
  <c r="C8959"/>
  <c r="C8958"/>
  <c r="C8957"/>
  <c r="C8956"/>
  <c r="C8955"/>
  <c r="C8954"/>
  <c r="C8953"/>
  <c r="C8952"/>
  <c r="C8951"/>
  <c r="C8950"/>
  <c r="C8949"/>
  <c r="C8948"/>
  <c r="C8947"/>
  <c r="C8946"/>
  <c r="C8945"/>
  <c r="C8944"/>
  <c r="C8943"/>
  <c r="C8942"/>
  <c r="C8941"/>
  <c r="C8940"/>
  <c r="C8939"/>
  <c r="C8938"/>
  <c r="C8937"/>
  <c r="C8936"/>
  <c r="C8935"/>
  <c r="C8934"/>
  <c r="C8933"/>
  <c r="C8932"/>
  <c r="C8931"/>
  <c r="C8930"/>
  <c r="C8929"/>
  <c r="C8928"/>
  <c r="C8927"/>
  <c r="C8926"/>
  <c r="C8925"/>
  <c r="C8924"/>
  <c r="C8923"/>
  <c r="C8922"/>
  <c r="C8921"/>
  <c r="C8920"/>
  <c r="C8919"/>
  <c r="C8918"/>
  <c r="C8917"/>
  <c r="C8916"/>
  <c r="C8915"/>
  <c r="C8914"/>
  <c r="C8913"/>
  <c r="C8912"/>
  <c r="C8911"/>
  <c r="C8910"/>
  <c r="C8909"/>
  <c r="C8908"/>
  <c r="C8907"/>
  <c r="C8906"/>
  <c r="C8905"/>
  <c r="C8904"/>
  <c r="C8903"/>
  <c r="C8902"/>
  <c r="C8901"/>
  <c r="C8900"/>
  <c r="C8899"/>
  <c r="C8898"/>
  <c r="C8897"/>
  <c r="C8896"/>
  <c r="C8895"/>
  <c r="C8894"/>
  <c r="C8893"/>
  <c r="C8892"/>
  <c r="C8891"/>
  <c r="C8890"/>
  <c r="C8889"/>
  <c r="C8888"/>
  <c r="C8887"/>
  <c r="C8886"/>
  <c r="C8885"/>
  <c r="C8884"/>
  <c r="C8883"/>
  <c r="C8882"/>
  <c r="C8881"/>
  <c r="C8880"/>
  <c r="C8879"/>
  <c r="C8878"/>
  <c r="C8877"/>
  <c r="C8876"/>
  <c r="C8875"/>
  <c r="C8874"/>
  <c r="C8873"/>
  <c r="C8872"/>
  <c r="C8871"/>
  <c r="C8870"/>
  <c r="C8869"/>
  <c r="C8868"/>
  <c r="C8867"/>
  <c r="C8866"/>
  <c r="C8865"/>
  <c r="C8864"/>
  <c r="C8863"/>
  <c r="C8862"/>
  <c r="C8861"/>
  <c r="C8860"/>
  <c r="C8859"/>
  <c r="C8858"/>
  <c r="C8857"/>
  <c r="C8856"/>
  <c r="C8855"/>
  <c r="C8854"/>
  <c r="C8853"/>
  <c r="C8852"/>
  <c r="C8851"/>
  <c r="C8850"/>
  <c r="C8849"/>
  <c r="C8848"/>
  <c r="C8847"/>
  <c r="C8846"/>
  <c r="C8845"/>
  <c r="C8844"/>
  <c r="C8843"/>
  <c r="C8842"/>
  <c r="C8841"/>
  <c r="C8840"/>
  <c r="C8839"/>
  <c r="C8838"/>
  <c r="C8837"/>
  <c r="C8836"/>
  <c r="C8835"/>
  <c r="C8834"/>
  <c r="C8833"/>
  <c r="C8832"/>
  <c r="C8831"/>
  <c r="C8830"/>
  <c r="C8829"/>
  <c r="C8828"/>
  <c r="C8827"/>
  <c r="C8826"/>
  <c r="C8825"/>
  <c r="C8824"/>
  <c r="C8823"/>
  <c r="C8822"/>
  <c r="C8821"/>
  <c r="C8820"/>
  <c r="C8819"/>
  <c r="C8818"/>
  <c r="C8817"/>
  <c r="C8816"/>
  <c r="C8815"/>
  <c r="C8814"/>
  <c r="C8813"/>
  <c r="C8812"/>
  <c r="C8811"/>
  <c r="C8810"/>
  <c r="C8809"/>
  <c r="C8808"/>
  <c r="C8807"/>
  <c r="C8806"/>
  <c r="C8805"/>
  <c r="C8804"/>
  <c r="C8803"/>
  <c r="C8802"/>
  <c r="C8801"/>
  <c r="C8800"/>
  <c r="C8799"/>
  <c r="C8798"/>
  <c r="C8797"/>
  <c r="C8796"/>
  <c r="C8795"/>
  <c r="C8794"/>
  <c r="C8793"/>
  <c r="C8792"/>
  <c r="C8791"/>
  <c r="C8790"/>
  <c r="C8789"/>
  <c r="C8788"/>
  <c r="C8787"/>
  <c r="C8786"/>
  <c r="C8785"/>
  <c r="C8784"/>
  <c r="C8783"/>
  <c r="C8782"/>
  <c r="C8781"/>
  <c r="C8780"/>
  <c r="C8779"/>
  <c r="C8778"/>
  <c r="C8777"/>
  <c r="C8776"/>
  <c r="C8775"/>
  <c r="C8774"/>
  <c r="C8773"/>
  <c r="C8772"/>
  <c r="C8771"/>
  <c r="C8770"/>
  <c r="C8769"/>
  <c r="C8768"/>
  <c r="C8767"/>
  <c r="C8766"/>
  <c r="C8765"/>
  <c r="C8764"/>
  <c r="C8763"/>
  <c r="C8762"/>
  <c r="C8761"/>
  <c r="C8760"/>
  <c r="C8759"/>
  <c r="C8758"/>
  <c r="C8757"/>
  <c r="C8756"/>
  <c r="C8755"/>
  <c r="C8754"/>
  <c r="C8753"/>
  <c r="C8752"/>
  <c r="C8751"/>
  <c r="C8750"/>
  <c r="C8749"/>
  <c r="C8748"/>
  <c r="C8747"/>
  <c r="C8746"/>
  <c r="C8745"/>
  <c r="C8744"/>
  <c r="C8743"/>
  <c r="C8742"/>
  <c r="C8741"/>
  <c r="C8740"/>
  <c r="C8739"/>
  <c r="C8738"/>
  <c r="C8737"/>
  <c r="C8736"/>
  <c r="C8735"/>
  <c r="C8734"/>
  <c r="C8733"/>
  <c r="C8732"/>
  <c r="C8731"/>
  <c r="C8730"/>
  <c r="C8729"/>
  <c r="C8728"/>
  <c r="C8727"/>
  <c r="C8726"/>
  <c r="C8725"/>
  <c r="C8724"/>
  <c r="C8723"/>
  <c r="C8722"/>
  <c r="C8721"/>
  <c r="C8720"/>
  <c r="C8719"/>
  <c r="C8718"/>
  <c r="C8717"/>
  <c r="C8716"/>
  <c r="C8715"/>
  <c r="C8714"/>
  <c r="C8713"/>
  <c r="C8712"/>
  <c r="C8711"/>
  <c r="C8710"/>
  <c r="C8709"/>
  <c r="C8708"/>
  <c r="C8707"/>
  <c r="C8706"/>
  <c r="C8705"/>
  <c r="C8704"/>
  <c r="C8703"/>
  <c r="C8702"/>
  <c r="C8701"/>
  <c r="C8700"/>
  <c r="C8699"/>
  <c r="C8698"/>
  <c r="C8697"/>
  <c r="C8696"/>
  <c r="C8695"/>
  <c r="C8694"/>
  <c r="C8693"/>
  <c r="C8692"/>
  <c r="C8691"/>
  <c r="C8690"/>
  <c r="C8689"/>
  <c r="C8688"/>
  <c r="C8687"/>
  <c r="C8686"/>
  <c r="C8685"/>
  <c r="C8684"/>
  <c r="C8683"/>
  <c r="C8682"/>
  <c r="C8681"/>
  <c r="C8680"/>
  <c r="C8679"/>
  <c r="C8678"/>
  <c r="C8677"/>
  <c r="C8676"/>
  <c r="C8675"/>
  <c r="C8674"/>
  <c r="C8673"/>
  <c r="C8672"/>
  <c r="C8671"/>
  <c r="C8670"/>
  <c r="C8669"/>
  <c r="C8668"/>
  <c r="C8667"/>
  <c r="C8666"/>
  <c r="C8665"/>
  <c r="C8664"/>
  <c r="C8663"/>
  <c r="C8662"/>
  <c r="C8661"/>
  <c r="C8660"/>
  <c r="C8659"/>
  <c r="C8658"/>
  <c r="C8657"/>
  <c r="C8656"/>
  <c r="C8655"/>
  <c r="C8654"/>
  <c r="C8653"/>
  <c r="C8652"/>
  <c r="C8651"/>
  <c r="C8650"/>
  <c r="C8649"/>
  <c r="C8648"/>
  <c r="C8647"/>
  <c r="C8646"/>
  <c r="C8645"/>
  <c r="C8644"/>
  <c r="C8643"/>
  <c r="C8642"/>
  <c r="C8641"/>
  <c r="C8640"/>
  <c r="C8639"/>
  <c r="C8638"/>
  <c r="C8637"/>
  <c r="C8636"/>
  <c r="C8635"/>
  <c r="C8634"/>
  <c r="C8633"/>
  <c r="C8632"/>
  <c r="C8631"/>
  <c r="C8630"/>
  <c r="C8629"/>
  <c r="C8628"/>
  <c r="C8627"/>
  <c r="C8626"/>
  <c r="C8625"/>
  <c r="C8624"/>
  <c r="C8623"/>
  <c r="C8622"/>
  <c r="C8621"/>
  <c r="C8620"/>
  <c r="C8619"/>
  <c r="C8618"/>
  <c r="C8617"/>
  <c r="C8616"/>
  <c r="C8615"/>
  <c r="C8614"/>
  <c r="C8613"/>
  <c r="C8612"/>
  <c r="C8611"/>
  <c r="C8610"/>
  <c r="C8609"/>
  <c r="C8608"/>
  <c r="C8607"/>
  <c r="C8606"/>
  <c r="C8605"/>
  <c r="C8604"/>
  <c r="C8603"/>
  <c r="C8602"/>
  <c r="C8601"/>
  <c r="C8600"/>
  <c r="C8599"/>
  <c r="C8598"/>
  <c r="C8597"/>
  <c r="C8596"/>
  <c r="C8595"/>
  <c r="C8594"/>
  <c r="C8593"/>
  <c r="C8592"/>
  <c r="C8591"/>
  <c r="C8590"/>
  <c r="C8589"/>
  <c r="C8588"/>
  <c r="C8587"/>
  <c r="C8586"/>
  <c r="C8585"/>
  <c r="C8584"/>
  <c r="C8583"/>
  <c r="C8582"/>
  <c r="C8581"/>
  <c r="C8580"/>
  <c r="C8579"/>
  <c r="C8578"/>
  <c r="C8577"/>
  <c r="C8576"/>
  <c r="C8575"/>
  <c r="C8574"/>
  <c r="C8573"/>
  <c r="C8572"/>
  <c r="C8571"/>
  <c r="C8570"/>
  <c r="C8569"/>
  <c r="C8568"/>
  <c r="C8567"/>
  <c r="C8566"/>
  <c r="C8565"/>
  <c r="C8564"/>
  <c r="C8563"/>
  <c r="C8562"/>
  <c r="C8561"/>
  <c r="C8560"/>
  <c r="C8559"/>
  <c r="C8558"/>
  <c r="C8557"/>
  <c r="C8556"/>
  <c r="C8555"/>
  <c r="C8554"/>
  <c r="C8553"/>
  <c r="C8552"/>
  <c r="C8551"/>
  <c r="C8550"/>
  <c r="C8549"/>
  <c r="C8548"/>
  <c r="C8547"/>
  <c r="C8546"/>
  <c r="C8545"/>
  <c r="C8544"/>
  <c r="C8543"/>
  <c r="C8542"/>
  <c r="C8541"/>
  <c r="C8540"/>
  <c r="C8539"/>
  <c r="C8538"/>
  <c r="C8537"/>
  <c r="C8536"/>
  <c r="C8535"/>
  <c r="C8534"/>
  <c r="C8533"/>
  <c r="C8532"/>
  <c r="C8531"/>
  <c r="C8530"/>
  <c r="C8529"/>
  <c r="C8528"/>
  <c r="C8527"/>
  <c r="C8526"/>
  <c r="C8525"/>
  <c r="C8524"/>
  <c r="C8523"/>
  <c r="C8522"/>
  <c r="C8521"/>
  <c r="C8520"/>
  <c r="C8519"/>
  <c r="C8518"/>
  <c r="C8517"/>
  <c r="C8516"/>
  <c r="C8515"/>
  <c r="C8514"/>
  <c r="C8513"/>
  <c r="C8512"/>
  <c r="C8511"/>
  <c r="C8510"/>
  <c r="C8509"/>
  <c r="C8508"/>
  <c r="C8507"/>
  <c r="C8506"/>
  <c r="C8505"/>
  <c r="C8504"/>
  <c r="C8503"/>
  <c r="C8502"/>
  <c r="C8501"/>
  <c r="C8500"/>
  <c r="C8499"/>
  <c r="C8498"/>
  <c r="C8497"/>
  <c r="C8496"/>
  <c r="C8495"/>
  <c r="C8494"/>
  <c r="C8493"/>
  <c r="C8492"/>
  <c r="C8491"/>
  <c r="C8490"/>
  <c r="C8489"/>
  <c r="C8488"/>
  <c r="C8487"/>
  <c r="C8486"/>
  <c r="C8485"/>
  <c r="C8484"/>
  <c r="C8483"/>
  <c r="C8482"/>
  <c r="C8481"/>
  <c r="C8480"/>
  <c r="C8479"/>
  <c r="C8478"/>
  <c r="C8477"/>
  <c r="C8476"/>
  <c r="C8475"/>
  <c r="C8474"/>
  <c r="C8473"/>
  <c r="C8472"/>
  <c r="C8471"/>
  <c r="C8470"/>
  <c r="C8469"/>
  <c r="C8468"/>
  <c r="C8467"/>
  <c r="C8466"/>
  <c r="C8465"/>
  <c r="C8464"/>
  <c r="C8463"/>
  <c r="C8462"/>
  <c r="C8461"/>
  <c r="C8460"/>
  <c r="C8459"/>
  <c r="C8458"/>
  <c r="C8457"/>
  <c r="C8456"/>
  <c r="C8455"/>
  <c r="C8454"/>
  <c r="C8453"/>
  <c r="C8452"/>
  <c r="C8451"/>
  <c r="C8450"/>
  <c r="C8449"/>
  <c r="C8448"/>
  <c r="C8447"/>
  <c r="C8446"/>
  <c r="C8445"/>
  <c r="C8444"/>
  <c r="C8443"/>
  <c r="C8442"/>
  <c r="C8441"/>
  <c r="C8440"/>
  <c r="C8439"/>
  <c r="C8438"/>
  <c r="C8437"/>
  <c r="C8436"/>
  <c r="C8435"/>
  <c r="C8434"/>
  <c r="C8433"/>
  <c r="C8432"/>
  <c r="C8431"/>
  <c r="C8430"/>
  <c r="C8429"/>
  <c r="C8428"/>
  <c r="C8427"/>
  <c r="C8426"/>
  <c r="C8425"/>
  <c r="C8424"/>
  <c r="C8423"/>
  <c r="C8422"/>
  <c r="C8421"/>
  <c r="C8420"/>
  <c r="C8419"/>
  <c r="C8418"/>
  <c r="C8417"/>
  <c r="C8416"/>
  <c r="C8415"/>
  <c r="C8414"/>
  <c r="C8413"/>
  <c r="C8412"/>
  <c r="C8411"/>
  <c r="C8410"/>
  <c r="C8409"/>
  <c r="C8408"/>
  <c r="C8407"/>
  <c r="C8406"/>
  <c r="C8405"/>
  <c r="C8404"/>
  <c r="C8403"/>
  <c r="C8402"/>
  <c r="C8401"/>
  <c r="C8400"/>
  <c r="C8399"/>
  <c r="C8398"/>
  <c r="C8397"/>
  <c r="C8396"/>
  <c r="C8395"/>
  <c r="C8394"/>
  <c r="C8393"/>
  <c r="C8392"/>
  <c r="C8391"/>
  <c r="C8390"/>
  <c r="C8389"/>
  <c r="C8388"/>
  <c r="C8387"/>
  <c r="C8386"/>
  <c r="C8385"/>
  <c r="C8384"/>
  <c r="C8383"/>
  <c r="C8382"/>
  <c r="C8381"/>
  <c r="C8380"/>
  <c r="C8379"/>
  <c r="C8378"/>
  <c r="C8377"/>
  <c r="C8376"/>
  <c r="C8375"/>
  <c r="C8374"/>
  <c r="C8373"/>
  <c r="C8372"/>
  <c r="C8371"/>
  <c r="C8370"/>
  <c r="C8369"/>
  <c r="C8368"/>
  <c r="C8367"/>
  <c r="C8366"/>
  <c r="C8365"/>
  <c r="C8364"/>
  <c r="C8363"/>
  <c r="C8362"/>
  <c r="C8361"/>
  <c r="C8360"/>
  <c r="C8359"/>
  <c r="C8358"/>
  <c r="C8357"/>
  <c r="C8356"/>
  <c r="C8355"/>
  <c r="C8354"/>
  <c r="C8353"/>
  <c r="C8352"/>
  <c r="C8351"/>
  <c r="C8350"/>
  <c r="C8349"/>
  <c r="C8348"/>
  <c r="C8347"/>
  <c r="C8346"/>
  <c r="C8345"/>
  <c r="C8344"/>
  <c r="C8343"/>
  <c r="C8342"/>
  <c r="C8341"/>
  <c r="C8340"/>
  <c r="C8339"/>
  <c r="C8338"/>
  <c r="C8337"/>
  <c r="C8336"/>
  <c r="C8335"/>
  <c r="C8334"/>
  <c r="C8333"/>
  <c r="C8332"/>
  <c r="C8331"/>
  <c r="C8330"/>
  <c r="C8329"/>
  <c r="C8328"/>
  <c r="C8327"/>
  <c r="C8326"/>
  <c r="C8325"/>
  <c r="C8324"/>
  <c r="C8323"/>
  <c r="C8322"/>
  <c r="C8321"/>
  <c r="C8320"/>
  <c r="C8319"/>
  <c r="C8318"/>
  <c r="C8317"/>
  <c r="C8316"/>
  <c r="C8315"/>
  <c r="C8314"/>
  <c r="C8313"/>
  <c r="C8312"/>
  <c r="C8311"/>
  <c r="C8310"/>
  <c r="C8309"/>
  <c r="C8308"/>
  <c r="C8307"/>
  <c r="C8306"/>
  <c r="C8305"/>
  <c r="C8304"/>
  <c r="C8303"/>
  <c r="C8302"/>
  <c r="C8301"/>
  <c r="C8300"/>
  <c r="C8299"/>
  <c r="C8298"/>
  <c r="C8297"/>
  <c r="C8296"/>
  <c r="C8295"/>
  <c r="C8294"/>
  <c r="C8293"/>
  <c r="C8292"/>
  <c r="C8291"/>
  <c r="C8290"/>
  <c r="C8289"/>
  <c r="C8288"/>
  <c r="C8287"/>
  <c r="C8286"/>
  <c r="C8285"/>
  <c r="C8284"/>
  <c r="C8283"/>
  <c r="C8282"/>
  <c r="C8281"/>
  <c r="C8280"/>
  <c r="C8279"/>
  <c r="C8278"/>
  <c r="C8277"/>
  <c r="C8276"/>
  <c r="C8275"/>
  <c r="C8274"/>
  <c r="C8273"/>
  <c r="C8272"/>
  <c r="C8271"/>
  <c r="C8270"/>
  <c r="C8269"/>
  <c r="C8268"/>
  <c r="C8267"/>
  <c r="C8266"/>
  <c r="C8265"/>
  <c r="C8264"/>
  <c r="C8263"/>
  <c r="C8262"/>
  <c r="C8261"/>
  <c r="C8260"/>
  <c r="C8259"/>
  <c r="C8258"/>
  <c r="C8257"/>
  <c r="C8256"/>
  <c r="C8255"/>
  <c r="C8254"/>
  <c r="C8253"/>
  <c r="C8252"/>
  <c r="C8251"/>
  <c r="C8250"/>
  <c r="C8249"/>
  <c r="C8248"/>
  <c r="C8247"/>
  <c r="C8246"/>
  <c r="C8245"/>
  <c r="C8244"/>
  <c r="C8243"/>
  <c r="C8242"/>
  <c r="C8241"/>
  <c r="C8240"/>
  <c r="C8239"/>
  <c r="C8238"/>
  <c r="C8237"/>
  <c r="C8236"/>
  <c r="C8235"/>
  <c r="C8234"/>
  <c r="C8233"/>
  <c r="C8232"/>
  <c r="C8231"/>
  <c r="C8230"/>
  <c r="C8229"/>
  <c r="C8228"/>
  <c r="C8227"/>
  <c r="C8226"/>
  <c r="C8225"/>
  <c r="C8224"/>
  <c r="C8223"/>
  <c r="C8222"/>
  <c r="C8221"/>
  <c r="C8220"/>
  <c r="C8219"/>
  <c r="C8218"/>
  <c r="C8217"/>
  <c r="C8216"/>
  <c r="C8215"/>
  <c r="C8214"/>
  <c r="C8213"/>
  <c r="C8212"/>
  <c r="C8211"/>
  <c r="C8210"/>
  <c r="C8209"/>
  <c r="C8208"/>
  <c r="C8207"/>
  <c r="C8206"/>
  <c r="C8205"/>
  <c r="C8204"/>
  <c r="C8203"/>
  <c r="C8202"/>
  <c r="C8201"/>
  <c r="C8200"/>
  <c r="C8199"/>
  <c r="C8198"/>
  <c r="C8197"/>
  <c r="C8196"/>
  <c r="C8195"/>
  <c r="C8194"/>
  <c r="C8193"/>
  <c r="C8192"/>
  <c r="C8191"/>
  <c r="C8190"/>
  <c r="C8189"/>
  <c r="C8188"/>
  <c r="C8187"/>
  <c r="C8186"/>
  <c r="C8185"/>
  <c r="C8184"/>
  <c r="C8183"/>
  <c r="C8182"/>
  <c r="C8181"/>
  <c r="C8180"/>
  <c r="C8179"/>
  <c r="C8178"/>
  <c r="C8177"/>
  <c r="C8176"/>
  <c r="C8175"/>
  <c r="C8174"/>
  <c r="C8173"/>
  <c r="C8172"/>
  <c r="C8171"/>
  <c r="C8170"/>
  <c r="C8169"/>
  <c r="C8168"/>
  <c r="C8167"/>
  <c r="C8166"/>
  <c r="C8165"/>
  <c r="C8164"/>
  <c r="C8163"/>
  <c r="C8162"/>
  <c r="C8161"/>
  <c r="C8160"/>
  <c r="C8159"/>
  <c r="C8158"/>
  <c r="C8157"/>
  <c r="C8156"/>
  <c r="C8155"/>
  <c r="C8154"/>
  <c r="C8153"/>
  <c r="C8152"/>
  <c r="C8151"/>
  <c r="C8150"/>
  <c r="C8149"/>
  <c r="C8148"/>
  <c r="C8147"/>
  <c r="C8146"/>
  <c r="C8145"/>
  <c r="C8144"/>
  <c r="C8143"/>
  <c r="C8142"/>
  <c r="C8141"/>
  <c r="C8140"/>
  <c r="C8139"/>
  <c r="C8138"/>
  <c r="C8137"/>
  <c r="C8136"/>
  <c r="C8135"/>
  <c r="C8134"/>
  <c r="C8133"/>
  <c r="C8132"/>
  <c r="C8131"/>
  <c r="C8130"/>
  <c r="C8129"/>
  <c r="C8128"/>
  <c r="C8127"/>
  <c r="C8126"/>
  <c r="C8125"/>
  <c r="C8124"/>
  <c r="C8123"/>
  <c r="C8122"/>
  <c r="C8121"/>
  <c r="C8120"/>
  <c r="C8119"/>
  <c r="C8118"/>
  <c r="C8117"/>
  <c r="C8116"/>
  <c r="C8115"/>
  <c r="C8114"/>
  <c r="C8113"/>
  <c r="C8112"/>
  <c r="C8111"/>
  <c r="C8110"/>
  <c r="C8109"/>
  <c r="C8108"/>
  <c r="C8107"/>
  <c r="C8106"/>
  <c r="C8105"/>
  <c r="C8104"/>
  <c r="C8103"/>
  <c r="C8102"/>
  <c r="C8101"/>
  <c r="C8100"/>
  <c r="C8099"/>
  <c r="C8098"/>
  <c r="C8097"/>
  <c r="C8096"/>
  <c r="C8095"/>
  <c r="C8094"/>
  <c r="C8093"/>
  <c r="C8092"/>
  <c r="C8091"/>
  <c r="C8090"/>
  <c r="C8089"/>
  <c r="C8088"/>
  <c r="C8087"/>
  <c r="C8086"/>
  <c r="C8085"/>
  <c r="C8084"/>
  <c r="C8083"/>
  <c r="C8082"/>
  <c r="C8081"/>
  <c r="C8080"/>
  <c r="C8079"/>
  <c r="C8078"/>
  <c r="C8077"/>
  <c r="C8076"/>
  <c r="C8075"/>
  <c r="C8074"/>
  <c r="C8073"/>
  <c r="C8072"/>
  <c r="C8071"/>
  <c r="C8070"/>
  <c r="C8069"/>
  <c r="C8068"/>
  <c r="C8067"/>
  <c r="C8066"/>
  <c r="C8065"/>
  <c r="C8064"/>
  <c r="C8063"/>
  <c r="C8062"/>
  <c r="C8061"/>
  <c r="C8060"/>
  <c r="C8059"/>
  <c r="C8058"/>
  <c r="C8057"/>
  <c r="C8056"/>
  <c r="C8055"/>
  <c r="C8054"/>
  <c r="C8053"/>
  <c r="C8052"/>
  <c r="C8051"/>
  <c r="C8050"/>
  <c r="C8049"/>
  <c r="C8048"/>
  <c r="C8047"/>
  <c r="C8046"/>
  <c r="C8045"/>
  <c r="C8044"/>
  <c r="C8043"/>
  <c r="C8042"/>
  <c r="C8041"/>
  <c r="C8040"/>
  <c r="C8039"/>
  <c r="C8038"/>
  <c r="C8037"/>
  <c r="C8036"/>
  <c r="C8035"/>
  <c r="C8034"/>
  <c r="C8033"/>
  <c r="C8032"/>
  <c r="C8031"/>
  <c r="C8030"/>
  <c r="C8029"/>
  <c r="C8028"/>
  <c r="C8027"/>
  <c r="C8026"/>
  <c r="C8025"/>
  <c r="C8024"/>
  <c r="C8023"/>
  <c r="C8022"/>
  <c r="C8021"/>
  <c r="C8020"/>
  <c r="C8019"/>
  <c r="C8018"/>
  <c r="C8017"/>
  <c r="C8016"/>
  <c r="C8015"/>
  <c r="C8014"/>
  <c r="C8013"/>
  <c r="C8012"/>
  <c r="C8011"/>
  <c r="C8010"/>
  <c r="C8009"/>
  <c r="C8008"/>
  <c r="C8007"/>
  <c r="C8006"/>
  <c r="C8005"/>
  <c r="C8004"/>
  <c r="C8003"/>
  <c r="C8002"/>
  <c r="C8001"/>
  <c r="C8000"/>
  <c r="C7999"/>
  <c r="C7998"/>
  <c r="C7997"/>
  <c r="C7996"/>
  <c r="C7995"/>
  <c r="C7994"/>
  <c r="C7993"/>
  <c r="C7992"/>
  <c r="C7991"/>
  <c r="C7990"/>
  <c r="C7989"/>
  <c r="C7988"/>
  <c r="C7987"/>
  <c r="C7986"/>
  <c r="C7985"/>
  <c r="C7984"/>
  <c r="C7983"/>
  <c r="C7982"/>
  <c r="C7981"/>
  <c r="C7980"/>
  <c r="C7979"/>
  <c r="C7978"/>
  <c r="C7977"/>
  <c r="C7976"/>
  <c r="C7975"/>
  <c r="C7974"/>
  <c r="C7973"/>
  <c r="C7972"/>
  <c r="C7971"/>
  <c r="C7970"/>
  <c r="C7969"/>
  <c r="C7968"/>
  <c r="C7967"/>
  <c r="C7966"/>
  <c r="C7965"/>
  <c r="C7964"/>
  <c r="C7963"/>
  <c r="C7962"/>
  <c r="C7961"/>
  <c r="C7960"/>
  <c r="C7959"/>
  <c r="C7958"/>
  <c r="C7957"/>
  <c r="C7956"/>
  <c r="C7955"/>
  <c r="C7954"/>
  <c r="C7953"/>
  <c r="C7952"/>
  <c r="C7951"/>
  <c r="C7950"/>
  <c r="C7949"/>
  <c r="C7948"/>
  <c r="C7947"/>
  <c r="C7946"/>
  <c r="C7945"/>
  <c r="C7944"/>
  <c r="C7943"/>
  <c r="C7942"/>
  <c r="C7941"/>
  <c r="C7940"/>
  <c r="C7939"/>
  <c r="C7938"/>
  <c r="C7937"/>
  <c r="C7936"/>
  <c r="C7935"/>
  <c r="C7934"/>
  <c r="C7933"/>
  <c r="C7932"/>
  <c r="C7931"/>
  <c r="C7930"/>
  <c r="C7929"/>
  <c r="C7928"/>
  <c r="C7927"/>
  <c r="C7926"/>
  <c r="C7925"/>
  <c r="C7924"/>
  <c r="C7923"/>
  <c r="C7922"/>
  <c r="C7921"/>
  <c r="C7920"/>
  <c r="C7919"/>
  <c r="C7918"/>
  <c r="C7917"/>
  <c r="C7916"/>
  <c r="C7915"/>
  <c r="C7914"/>
  <c r="C7913"/>
  <c r="C7912"/>
  <c r="C7911"/>
  <c r="C7910"/>
  <c r="C7909"/>
  <c r="C7908"/>
  <c r="C7907"/>
  <c r="C7906"/>
  <c r="C7905"/>
  <c r="C7904"/>
  <c r="C7903"/>
  <c r="C7902"/>
  <c r="C7901"/>
  <c r="C7900"/>
  <c r="C7899"/>
  <c r="C7898"/>
  <c r="C7897"/>
  <c r="C7896"/>
  <c r="C7895"/>
  <c r="C7894"/>
  <c r="C7893"/>
  <c r="C7892"/>
  <c r="C7891"/>
  <c r="C7890"/>
  <c r="C7889"/>
  <c r="C7888"/>
  <c r="C7887"/>
  <c r="C7886"/>
  <c r="C7885"/>
  <c r="C7884"/>
  <c r="C7883"/>
  <c r="C7882"/>
  <c r="C7881"/>
  <c r="C7880"/>
  <c r="C7879"/>
  <c r="C7878"/>
  <c r="C7877"/>
  <c r="C7876"/>
  <c r="C7875"/>
  <c r="C7874"/>
  <c r="C7873"/>
  <c r="C7872"/>
  <c r="C7871"/>
  <c r="C7870"/>
  <c r="C7869"/>
  <c r="C7868"/>
  <c r="C7867"/>
  <c r="C7866"/>
  <c r="C7865"/>
  <c r="C7864"/>
  <c r="C7863"/>
  <c r="C7862"/>
  <c r="C7861"/>
  <c r="C7860"/>
  <c r="C7859"/>
  <c r="C7858"/>
  <c r="C7857"/>
  <c r="C7856"/>
  <c r="C7855"/>
  <c r="C7854"/>
  <c r="C7853"/>
  <c r="C7852"/>
  <c r="C7851"/>
  <c r="C7850"/>
  <c r="C7849"/>
  <c r="C7848"/>
  <c r="C7847"/>
  <c r="C7846"/>
  <c r="C7845"/>
  <c r="C7844"/>
  <c r="C7843"/>
  <c r="C7842"/>
  <c r="C7841"/>
  <c r="C7840"/>
  <c r="C7839"/>
  <c r="C7838"/>
  <c r="C7837"/>
  <c r="C7836"/>
  <c r="C7835"/>
  <c r="C7834"/>
  <c r="C7833"/>
  <c r="C7832"/>
  <c r="C7831"/>
  <c r="C7830"/>
  <c r="C7829"/>
  <c r="C7828"/>
  <c r="C7827"/>
  <c r="C7826"/>
  <c r="C7825"/>
  <c r="C7824"/>
  <c r="C7823"/>
  <c r="C7822"/>
  <c r="C7821"/>
  <c r="C7820"/>
  <c r="C7819"/>
  <c r="C7818"/>
  <c r="C7817"/>
  <c r="C7816"/>
  <c r="C7815"/>
  <c r="C7814"/>
  <c r="C7813"/>
  <c r="C7812"/>
  <c r="C7811"/>
  <c r="C7810"/>
  <c r="C7809"/>
  <c r="C7808"/>
  <c r="C7807"/>
  <c r="C7806"/>
  <c r="C7805"/>
  <c r="C7804"/>
  <c r="C7803"/>
  <c r="C7802"/>
  <c r="C7801"/>
  <c r="C7800"/>
  <c r="C7799"/>
  <c r="C7798"/>
  <c r="C7797"/>
  <c r="C7796"/>
  <c r="C7795"/>
  <c r="C7794"/>
  <c r="C7793"/>
  <c r="C7792"/>
  <c r="C7791"/>
  <c r="C7790"/>
  <c r="C7789"/>
  <c r="C7788"/>
  <c r="C7787"/>
  <c r="C7786"/>
  <c r="C7785"/>
  <c r="C7784"/>
  <c r="C7783"/>
  <c r="C7782"/>
  <c r="C7781"/>
  <c r="C7780"/>
  <c r="C7779"/>
  <c r="C7778"/>
  <c r="C7777"/>
  <c r="C7776"/>
  <c r="C7775"/>
  <c r="C7774"/>
  <c r="C7773"/>
  <c r="C7772"/>
  <c r="C7771"/>
  <c r="C7770"/>
  <c r="C7769"/>
  <c r="C7768"/>
  <c r="C7767"/>
  <c r="C7766"/>
  <c r="C7765"/>
  <c r="C7764"/>
  <c r="C7763"/>
  <c r="C7762"/>
  <c r="C7761"/>
  <c r="C7760"/>
  <c r="C7759"/>
  <c r="C7758"/>
  <c r="C7757"/>
  <c r="C7756"/>
  <c r="C7755"/>
  <c r="C7754"/>
  <c r="C7753"/>
  <c r="C7752"/>
  <c r="C7751"/>
  <c r="C7750"/>
  <c r="C7749"/>
  <c r="C7748"/>
  <c r="C7747"/>
  <c r="C7746"/>
  <c r="C7745"/>
  <c r="C7744"/>
  <c r="C7743"/>
  <c r="C7742"/>
  <c r="C7741"/>
  <c r="C7740"/>
  <c r="C7739"/>
  <c r="C7738"/>
  <c r="C7737"/>
  <c r="C7736"/>
  <c r="C7735"/>
  <c r="C7734"/>
  <c r="C7733"/>
  <c r="C7732"/>
  <c r="C7731"/>
  <c r="C7730"/>
  <c r="C7729"/>
  <c r="C7728"/>
  <c r="C7727"/>
  <c r="C7726"/>
  <c r="C7725"/>
  <c r="C7724"/>
  <c r="C7723"/>
  <c r="C7722"/>
  <c r="C7721"/>
  <c r="C7720"/>
  <c r="C7719"/>
  <c r="C7718"/>
  <c r="C7717"/>
  <c r="C7716"/>
  <c r="C7715"/>
  <c r="C7714"/>
  <c r="C7713"/>
  <c r="C7712"/>
  <c r="C7711"/>
  <c r="C7710"/>
  <c r="C7709"/>
  <c r="C7708"/>
  <c r="C7707"/>
  <c r="C7706"/>
  <c r="C7705"/>
  <c r="C7704"/>
  <c r="C7703"/>
  <c r="C7702"/>
  <c r="C7701"/>
  <c r="C7700"/>
  <c r="C7699"/>
  <c r="C7698"/>
  <c r="C7697"/>
  <c r="C7696"/>
  <c r="C7695"/>
  <c r="C7694"/>
  <c r="C7693"/>
  <c r="C7692"/>
  <c r="C7691"/>
  <c r="C7690"/>
  <c r="C7689"/>
  <c r="C7688"/>
  <c r="C7687"/>
  <c r="C7686"/>
  <c r="C7685"/>
  <c r="C7684"/>
  <c r="C7683"/>
  <c r="C7682"/>
  <c r="C7681"/>
  <c r="C7680"/>
  <c r="C7679"/>
  <c r="C7678"/>
  <c r="C7677"/>
  <c r="C7676"/>
  <c r="C7675"/>
  <c r="C7674"/>
  <c r="C7673"/>
  <c r="C7672"/>
  <c r="C7671"/>
  <c r="C7670"/>
  <c r="C7669"/>
  <c r="C7668"/>
  <c r="C7667"/>
  <c r="C7666"/>
  <c r="C7665"/>
  <c r="C7664"/>
  <c r="C7663"/>
  <c r="C7662"/>
  <c r="C7661"/>
  <c r="C7660"/>
  <c r="C7659"/>
  <c r="C7658"/>
  <c r="C7657"/>
  <c r="C7656"/>
  <c r="C7655"/>
  <c r="C7654"/>
  <c r="C7653"/>
  <c r="C7652"/>
  <c r="C7651"/>
  <c r="C7650"/>
  <c r="C7649"/>
  <c r="C7648"/>
  <c r="C7647"/>
  <c r="C7646"/>
  <c r="C7645"/>
  <c r="C7644"/>
  <c r="C7643"/>
  <c r="C7642"/>
  <c r="C7641"/>
  <c r="C7640"/>
  <c r="C7639"/>
  <c r="C7638"/>
  <c r="C7637"/>
  <c r="C7636"/>
  <c r="C7635"/>
  <c r="C7634"/>
  <c r="C7633"/>
  <c r="C7632"/>
  <c r="C7631"/>
  <c r="C7630"/>
  <c r="C7629"/>
  <c r="C7628"/>
  <c r="C7627"/>
  <c r="C7626"/>
  <c r="C7625"/>
  <c r="C7624"/>
  <c r="C7623"/>
  <c r="C7622"/>
  <c r="C7621"/>
  <c r="C7620"/>
  <c r="C7619"/>
  <c r="C7618"/>
  <c r="C7617"/>
  <c r="C7616"/>
  <c r="C7615"/>
  <c r="C7614"/>
  <c r="C7613"/>
  <c r="C7612"/>
  <c r="C7611"/>
  <c r="C7610"/>
  <c r="C7609"/>
  <c r="C7608"/>
  <c r="C7607"/>
  <c r="C7606"/>
  <c r="C7605"/>
  <c r="C7604"/>
  <c r="C7603"/>
  <c r="C7602"/>
  <c r="C7601"/>
  <c r="C7600"/>
  <c r="C7599"/>
  <c r="C7598"/>
  <c r="C7597"/>
  <c r="C7596"/>
  <c r="C7595"/>
  <c r="C7594"/>
  <c r="C7593"/>
  <c r="C7592"/>
  <c r="C7591"/>
  <c r="C7590"/>
  <c r="C7589"/>
  <c r="C7588"/>
  <c r="C7587"/>
  <c r="C7586"/>
  <c r="C7585"/>
  <c r="C7584"/>
  <c r="C7583"/>
  <c r="C7582"/>
  <c r="C7581"/>
  <c r="C7580"/>
  <c r="C7579"/>
  <c r="C7578"/>
  <c r="C7577"/>
  <c r="C7576"/>
  <c r="C7575"/>
  <c r="C7574"/>
  <c r="C7573"/>
  <c r="C7572"/>
  <c r="C7571"/>
  <c r="C7570"/>
  <c r="C7569"/>
  <c r="C7568"/>
  <c r="C7567"/>
  <c r="C7566"/>
  <c r="C7565"/>
  <c r="C7564"/>
  <c r="C7563"/>
  <c r="C7562"/>
  <c r="C7561"/>
  <c r="C7560"/>
  <c r="C7559"/>
  <c r="C7558"/>
  <c r="C7557"/>
  <c r="C7556"/>
  <c r="C7555"/>
  <c r="C7554"/>
  <c r="C7553"/>
  <c r="C7552"/>
  <c r="C7551"/>
  <c r="C7550"/>
  <c r="C7549"/>
  <c r="C7548"/>
  <c r="C7547"/>
  <c r="C7546"/>
  <c r="C7545"/>
  <c r="C7544"/>
  <c r="C7543"/>
  <c r="C7542"/>
  <c r="C7541"/>
  <c r="C7540"/>
  <c r="C7539"/>
  <c r="C7538"/>
  <c r="C7537"/>
  <c r="C7536"/>
  <c r="C7535"/>
  <c r="C7534"/>
  <c r="C7533"/>
  <c r="C7532"/>
  <c r="C7531"/>
  <c r="C7530"/>
  <c r="C7529"/>
  <c r="C7528"/>
  <c r="C7527"/>
  <c r="C7526"/>
  <c r="C7525"/>
  <c r="C7524"/>
  <c r="C7523"/>
  <c r="C7522"/>
  <c r="C7521"/>
  <c r="C7520"/>
  <c r="C7519"/>
  <c r="C7518"/>
  <c r="C7517"/>
  <c r="C7516"/>
  <c r="C7515"/>
  <c r="C7514"/>
  <c r="C7513"/>
  <c r="C7512"/>
  <c r="C7511"/>
  <c r="C7510"/>
  <c r="C7509"/>
  <c r="C7508"/>
  <c r="C7507"/>
  <c r="C7506"/>
  <c r="C7505"/>
  <c r="C7504"/>
  <c r="C7503"/>
  <c r="C7502"/>
  <c r="C7501"/>
  <c r="C7500"/>
  <c r="C7499"/>
  <c r="C7498"/>
  <c r="C7497"/>
  <c r="C7496"/>
  <c r="C7495"/>
  <c r="C7494"/>
  <c r="C7493"/>
  <c r="C7492"/>
  <c r="C7491"/>
  <c r="C7490"/>
  <c r="C7489"/>
  <c r="C7488"/>
  <c r="C7487"/>
  <c r="C7486"/>
  <c r="C7485"/>
  <c r="C7484"/>
  <c r="C7483"/>
  <c r="C7482"/>
  <c r="C7481"/>
  <c r="C7480"/>
  <c r="C7479"/>
  <c r="C7478"/>
  <c r="C7477"/>
  <c r="C7476"/>
  <c r="C7475"/>
  <c r="C7474"/>
  <c r="C7473"/>
  <c r="C7472"/>
  <c r="C7471"/>
  <c r="C7470"/>
  <c r="C7469"/>
  <c r="C7468"/>
  <c r="C7467"/>
  <c r="C7466"/>
  <c r="C7465"/>
  <c r="C7464"/>
  <c r="C7463"/>
  <c r="C7462"/>
  <c r="C7461"/>
  <c r="C7460"/>
  <c r="C7459"/>
  <c r="C7458"/>
  <c r="C7457"/>
  <c r="C7456"/>
  <c r="C7455"/>
  <c r="C7454"/>
  <c r="C7453"/>
  <c r="C7452"/>
  <c r="C7451"/>
  <c r="C7450"/>
  <c r="C7449"/>
  <c r="C7448"/>
  <c r="C7447"/>
  <c r="C7446"/>
  <c r="C7445"/>
  <c r="C7444"/>
  <c r="C7443"/>
  <c r="C7442"/>
  <c r="C7441"/>
  <c r="C7440"/>
  <c r="C7439"/>
  <c r="C7438"/>
  <c r="C7437"/>
  <c r="C7436"/>
  <c r="C7435"/>
  <c r="C7434"/>
  <c r="C7433"/>
  <c r="C7432"/>
  <c r="C7431"/>
  <c r="C7430"/>
  <c r="C7429"/>
  <c r="C7428"/>
  <c r="C7427"/>
  <c r="C7426"/>
  <c r="C7425"/>
  <c r="C7424"/>
  <c r="C7423"/>
  <c r="C7422"/>
  <c r="C7421"/>
  <c r="C7420"/>
  <c r="C7419"/>
  <c r="C7418"/>
  <c r="C7417"/>
  <c r="C7416"/>
  <c r="C7415"/>
  <c r="C7414"/>
  <c r="C7413"/>
  <c r="C7412"/>
  <c r="C7411"/>
  <c r="C7410"/>
  <c r="C7409"/>
  <c r="C7408"/>
  <c r="C7407"/>
  <c r="C7406"/>
  <c r="C7405"/>
  <c r="C7404"/>
  <c r="C7403"/>
  <c r="C7402"/>
  <c r="C7401"/>
  <c r="C7400"/>
  <c r="C7399"/>
  <c r="C7398"/>
  <c r="C7397"/>
  <c r="C7396"/>
  <c r="C7395"/>
  <c r="C7394"/>
  <c r="C7393"/>
  <c r="C7392"/>
  <c r="C7391"/>
  <c r="C7390"/>
  <c r="C7389"/>
  <c r="C7388"/>
  <c r="C7387"/>
  <c r="C7386"/>
  <c r="C7385"/>
  <c r="C7384"/>
  <c r="C7383"/>
  <c r="C7382"/>
  <c r="C7381"/>
  <c r="C7380"/>
  <c r="C7379"/>
  <c r="C7378"/>
  <c r="C7377"/>
  <c r="C7376"/>
  <c r="C7375"/>
  <c r="C7374"/>
  <c r="C7373"/>
  <c r="C7372"/>
  <c r="C7371"/>
  <c r="C7370"/>
  <c r="C7369"/>
  <c r="C7368"/>
  <c r="C7367"/>
  <c r="C7366"/>
  <c r="C7365"/>
  <c r="C7364"/>
  <c r="C7363"/>
  <c r="C7362"/>
  <c r="C7361"/>
  <c r="C7360"/>
  <c r="C7359"/>
  <c r="C7358"/>
  <c r="C7357"/>
  <c r="C7356"/>
  <c r="C7355"/>
  <c r="C7354"/>
  <c r="C7353"/>
  <c r="C7352"/>
  <c r="C7351"/>
  <c r="C7350"/>
  <c r="C7349"/>
  <c r="C7348"/>
  <c r="C7347"/>
  <c r="C7346"/>
  <c r="C7345"/>
  <c r="C7344"/>
  <c r="C7343"/>
  <c r="C7342"/>
  <c r="C7341"/>
  <c r="C7340"/>
  <c r="C7339"/>
  <c r="C7338"/>
  <c r="C7337"/>
  <c r="C7336"/>
  <c r="C7335"/>
  <c r="C7334"/>
  <c r="C7333"/>
  <c r="C7332"/>
  <c r="C7331"/>
  <c r="C7330"/>
  <c r="C7329"/>
  <c r="C7328"/>
  <c r="C7327"/>
  <c r="C7326"/>
  <c r="C7325"/>
  <c r="C7324"/>
  <c r="C7323"/>
  <c r="C7322"/>
  <c r="C7321"/>
  <c r="C7320"/>
  <c r="C7319"/>
  <c r="C7318"/>
  <c r="C7317"/>
  <c r="C7316"/>
  <c r="C7315"/>
  <c r="C7314"/>
  <c r="C7313"/>
  <c r="C7312"/>
  <c r="C7311"/>
  <c r="C7310"/>
  <c r="C7309"/>
  <c r="C7308"/>
  <c r="C7307"/>
  <c r="C7306"/>
  <c r="C7305"/>
  <c r="C7304"/>
  <c r="C7303"/>
  <c r="C7302"/>
  <c r="C7301"/>
  <c r="C7300"/>
  <c r="C7299"/>
  <c r="C7298"/>
  <c r="C7297"/>
  <c r="C7296"/>
  <c r="C7295"/>
  <c r="C7294"/>
  <c r="C7293"/>
  <c r="C7292"/>
  <c r="C7291"/>
  <c r="C7290"/>
  <c r="C7289"/>
  <c r="C7288"/>
  <c r="C7287"/>
  <c r="C7286"/>
  <c r="C7285"/>
  <c r="C7284"/>
  <c r="C7283"/>
  <c r="C7282"/>
  <c r="C7281"/>
  <c r="C7280"/>
  <c r="C7279"/>
  <c r="C7278"/>
  <c r="C7277"/>
  <c r="C7276"/>
  <c r="C7275"/>
  <c r="C7274"/>
  <c r="C7273"/>
  <c r="C7272"/>
  <c r="C7271"/>
  <c r="C7270"/>
  <c r="C7269"/>
  <c r="C7268"/>
  <c r="C7267"/>
  <c r="C7266"/>
  <c r="C7265"/>
  <c r="C7264"/>
  <c r="C7263"/>
  <c r="C7262"/>
  <c r="C7261"/>
  <c r="C7260"/>
  <c r="C7259"/>
  <c r="C7258"/>
  <c r="C7257"/>
  <c r="C7256"/>
  <c r="C7255"/>
  <c r="C7254"/>
  <c r="C7253"/>
  <c r="C7252"/>
  <c r="C7251"/>
  <c r="C7250"/>
  <c r="C7249"/>
  <c r="C7248"/>
  <c r="C7247"/>
  <c r="C7246"/>
  <c r="C7245"/>
  <c r="C7244"/>
  <c r="C7243"/>
  <c r="C7242"/>
  <c r="C7241"/>
  <c r="C7240"/>
  <c r="C7239"/>
  <c r="C7238"/>
  <c r="C7237"/>
  <c r="C7236"/>
  <c r="C7235"/>
  <c r="C7234"/>
  <c r="C7233"/>
  <c r="C7232"/>
  <c r="C7231"/>
  <c r="C7230"/>
  <c r="C7229"/>
  <c r="C7228"/>
  <c r="C7227"/>
  <c r="C7226"/>
  <c r="C7225"/>
  <c r="C7224"/>
  <c r="C7223"/>
  <c r="C7222"/>
  <c r="C7221"/>
  <c r="C7220"/>
  <c r="C7219"/>
  <c r="C7218"/>
  <c r="C7217"/>
  <c r="C7216"/>
  <c r="C7215"/>
  <c r="C7214"/>
  <c r="C7213"/>
  <c r="C7212"/>
  <c r="C7211"/>
  <c r="C7210"/>
  <c r="C7209"/>
  <c r="C7208"/>
  <c r="C7207"/>
  <c r="C7206"/>
  <c r="C7205"/>
  <c r="C7204"/>
  <c r="C7203"/>
  <c r="C7202"/>
  <c r="C7201"/>
  <c r="C7200"/>
  <c r="C7199"/>
  <c r="C7198"/>
  <c r="C7197"/>
  <c r="C7196"/>
  <c r="C7195"/>
  <c r="C7194"/>
  <c r="C7193"/>
  <c r="C7192"/>
  <c r="C7191"/>
  <c r="C7190"/>
  <c r="C7189"/>
  <c r="C7188"/>
  <c r="C7187"/>
  <c r="C7186"/>
  <c r="C7185"/>
  <c r="C7184"/>
  <c r="C7183"/>
  <c r="C7182"/>
  <c r="C7181"/>
  <c r="C7180"/>
  <c r="C7179"/>
  <c r="C7178"/>
  <c r="C7177"/>
  <c r="C7176"/>
  <c r="C7175"/>
  <c r="C7174"/>
  <c r="C7173"/>
  <c r="C7172"/>
  <c r="C7171"/>
  <c r="C7170"/>
  <c r="C7169"/>
  <c r="C7168"/>
  <c r="C7167"/>
  <c r="C7166"/>
  <c r="C7165"/>
  <c r="C7164"/>
  <c r="C7163"/>
  <c r="C7162"/>
  <c r="C7161"/>
  <c r="C7160"/>
  <c r="C7159"/>
  <c r="C7158"/>
  <c r="C7157"/>
  <c r="C7156"/>
  <c r="C7155"/>
  <c r="C7154"/>
  <c r="C7153"/>
  <c r="C7152"/>
  <c r="C7151"/>
  <c r="C7150"/>
  <c r="C7149"/>
  <c r="C7148"/>
  <c r="C7147"/>
  <c r="C7146"/>
  <c r="C7145"/>
  <c r="C7144"/>
  <c r="C7143"/>
  <c r="C7142"/>
  <c r="C7141"/>
  <c r="C7140"/>
  <c r="C7139"/>
  <c r="C7138"/>
  <c r="C7137"/>
  <c r="C7136"/>
  <c r="C7135"/>
  <c r="C7134"/>
  <c r="C7133"/>
  <c r="C7132"/>
  <c r="C7131"/>
  <c r="C7130"/>
  <c r="C7129"/>
  <c r="C7128"/>
  <c r="C7127"/>
  <c r="C7126"/>
  <c r="C7125"/>
  <c r="C7124"/>
  <c r="C7123"/>
  <c r="C7122"/>
  <c r="C7121"/>
  <c r="C7120"/>
  <c r="C7119"/>
  <c r="C7118"/>
  <c r="C7117"/>
  <c r="C7116"/>
  <c r="C7115"/>
  <c r="C7114"/>
  <c r="C7113"/>
  <c r="C7112"/>
  <c r="C7111"/>
  <c r="C7110"/>
  <c r="C7109"/>
  <c r="C7108"/>
  <c r="C7107"/>
  <c r="C7106"/>
  <c r="C7105"/>
  <c r="C7104"/>
  <c r="C7103"/>
  <c r="C7102"/>
  <c r="C7101"/>
  <c r="C7100"/>
  <c r="C7099"/>
  <c r="C7098"/>
  <c r="C7097"/>
  <c r="C7096"/>
  <c r="C7095"/>
  <c r="C7094"/>
  <c r="C7093"/>
  <c r="C7092"/>
  <c r="C7091"/>
  <c r="C7090"/>
  <c r="C7089"/>
  <c r="C7088"/>
  <c r="C7087"/>
  <c r="C7086"/>
  <c r="C7085"/>
  <c r="C7084"/>
  <c r="C7083"/>
  <c r="C7082"/>
  <c r="C7081"/>
  <c r="C7080"/>
  <c r="C7079"/>
  <c r="C7078"/>
  <c r="C7077"/>
  <c r="C7076"/>
  <c r="C7075"/>
  <c r="C7074"/>
  <c r="C7073"/>
  <c r="C7072"/>
  <c r="C7071"/>
  <c r="C7070"/>
  <c r="C7069"/>
  <c r="C7068"/>
  <c r="C7067"/>
  <c r="C7066"/>
  <c r="C7065"/>
  <c r="C7064"/>
  <c r="C7063"/>
  <c r="C7062"/>
  <c r="C7061"/>
  <c r="C7060"/>
  <c r="C7059"/>
  <c r="C7058"/>
  <c r="C7057"/>
  <c r="C7056"/>
  <c r="C7055"/>
  <c r="C7054"/>
  <c r="C7053"/>
  <c r="C7052"/>
  <c r="C7051"/>
  <c r="C7050"/>
  <c r="C7049"/>
  <c r="C7048"/>
  <c r="C7047"/>
  <c r="C7046"/>
  <c r="C7045"/>
  <c r="C7044"/>
  <c r="C7043"/>
  <c r="C7042"/>
  <c r="C7041"/>
  <c r="C7040"/>
  <c r="C7039"/>
  <c r="C7038"/>
  <c r="C7037"/>
  <c r="C7036"/>
  <c r="C7035"/>
  <c r="C7034"/>
  <c r="C7033"/>
  <c r="C7032"/>
  <c r="C7031"/>
  <c r="C7030"/>
  <c r="C7029"/>
  <c r="C7028"/>
  <c r="C7027"/>
  <c r="C7026"/>
  <c r="C7025"/>
  <c r="C7024"/>
  <c r="C7023"/>
  <c r="C7022"/>
  <c r="C7021"/>
  <c r="C7020"/>
  <c r="C7019"/>
  <c r="C7018"/>
  <c r="C7017"/>
  <c r="C7016"/>
  <c r="C7015"/>
  <c r="C7014"/>
  <c r="C7013"/>
  <c r="C7012"/>
  <c r="C7011"/>
  <c r="C7010"/>
  <c r="C7009"/>
  <c r="C7008"/>
  <c r="C7007"/>
  <c r="C7006"/>
  <c r="C7005"/>
  <c r="C7004"/>
  <c r="C7003"/>
  <c r="C7002"/>
  <c r="C7001"/>
  <c r="C7000"/>
  <c r="C6999"/>
  <c r="C6998"/>
  <c r="C6997"/>
  <c r="C6996"/>
  <c r="C6995"/>
  <c r="C6994"/>
  <c r="C6993"/>
  <c r="C6992"/>
  <c r="C6991"/>
  <c r="C6990"/>
  <c r="C6989"/>
  <c r="C6988"/>
  <c r="C6987"/>
  <c r="C6986"/>
  <c r="C6985"/>
  <c r="C6984"/>
  <c r="C6983"/>
  <c r="C6982"/>
  <c r="C6981"/>
  <c r="C6980"/>
  <c r="C6979"/>
  <c r="C6978"/>
  <c r="C6977"/>
  <c r="C6976"/>
  <c r="C6975"/>
  <c r="C6974"/>
  <c r="C6973"/>
  <c r="C6972"/>
  <c r="C6971"/>
  <c r="C6970"/>
  <c r="C6969"/>
  <c r="C6968"/>
  <c r="C6967"/>
  <c r="C6966"/>
  <c r="C6965"/>
  <c r="C6964"/>
  <c r="C6963"/>
  <c r="C6962"/>
  <c r="C6961"/>
  <c r="C6960"/>
  <c r="C6959"/>
  <c r="C6958"/>
  <c r="C6957"/>
  <c r="C6956"/>
  <c r="C6955"/>
  <c r="C6954"/>
  <c r="C6953"/>
  <c r="C6952"/>
  <c r="C6951"/>
  <c r="C6950"/>
  <c r="C6949"/>
  <c r="C6948"/>
  <c r="C6947"/>
  <c r="C6946"/>
  <c r="C6945"/>
  <c r="C6944"/>
  <c r="C6943"/>
  <c r="C6942"/>
  <c r="C6941"/>
  <c r="C6940"/>
  <c r="C6939"/>
  <c r="C6938"/>
  <c r="C6937"/>
  <c r="C6936"/>
  <c r="C6935"/>
  <c r="C6934"/>
  <c r="C6933"/>
  <c r="C6932"/>
  <c r="C6931"/>
  <c r="C6930"/>
  <c r="C6929"/>
  <c r="C6928"/>
  <c r="C6927"/>
  <c r="C6926"/>
  <c r="C6925"/>
  <c r="C6924"/>
  <c r="C6923"/>
  <c r="C6922"/>
  <c r="C6921"/>
  <c r="C6920"/>
  <c r="C6919"/>
  <c r="C6918"/>
  <c r="C6917"/>
  <c r="C6916"/>
  <c r="C6915"/>
  <c r="C6914"/>
  <c r="C6913"/>
  <c r="C6912"/>
  <c r="C6911"/>
  <c r="C6910"/>
  <c r="C6909"/>
  <c r="C6908"/>
  <c r="C6907"/>
  <c r="C6906"/>
  <c r="C6905"/>
  <c r="C6904"/>
  <c r="C6903"/>
  <c r="C6902"/>
  <c r="C6901"/>
  <c r="C6900"/>
  <c r="C6899"/>
  <c r="C6898"/>
  <c r="C6897"/>
  <c r="C6896"/>
  <c r="C6895"/>
  <c r="C6894"/>
  <c r="C6893"/>
  <c r="C6892"/>
  <c r="C6891"/>
  <c r="C6890"/>
  <c r="C6889"/>
  <c r="C6888"/>
  <c r="C6887"/>
  <c r="C6886"/>
  <c r="C6885"/>
  <c r="C6884"/>
  <c r="C6883"/>
  <c r="C6882"/>
  <c r="C6881"/>
  <c r="C6880"/>
  <c r="C6879"/>
  <c r="C6878"/>
  <c r="C6877"/>
  <c r="C6876"/>
  <c r="C6875"/>
  <c r="C6874"/>
  <c r="C6873"/>
  <c r="C6872"/>
  <c r="C6871"/>
  <c r="C6870"/>
  <c r="C6869"/>
  <c r="C6868"/>
  <c r="C6867"/>
  <c r="C6866"/>
  <c r="C6865"/>
  <c r="C6864"/>
  <c r="C6863"/>
  <c r="C6862"/>
  <c r="C6861"/>
  <c r="C6860"/>
  <c r="C6859"/>
  <c r="C6858"/>
  <c r="C6857"/>
  <c r="C6856"/>
  <c r="C6855"/>
  <c r="C6854"/>
  <c r="C6853"/>
  <c r="C6852"/>
  <c r="C6851"/>
  <c r="C6850"/>
  <c r="C6849"/>
  <c r="C6848"/>
  <c r="C6847"/>
  <c r="C6846"/>
  <c r="C6845"/>
  <c r="C6844"/>
  <c r="C6843"/>
  <c r="C6842"/>
  <c r="C6841"/>
  <c r="C6840"/>
  <c r="C6839"/>
  <c r="C6838"/>
  <c r="C6837"/>
  <c r="C6836"/>
  <c r="C6835"/>
  <c r="C6834"/>
  <c r="C6833"/>
  <c r="C6832"/>
  <c r="C6831"/>
  <c r="C6830"/>
  <c r="C6829"/>
  <c r="C6828"/>
  <c r="C6827"/>
  <c r="C6826"/>
  <c r="C6825"/>
  <c r="C6824"/>
  <c r="C6823"/>
  <c r="C6822"/>
  <c r="C6821"/>
  <c r="C6820"/>
  <c r="C6819"/>
  <c r="C6818"/>
  <c r="C6817"/>
  <c r="C6816"/>
  <c r="C6815"/>
  <c r="C6814"/>
  <c r="C6813"/>
  <c r="C6812"/>
  <c r="C6811"/>
  <c r="C6810"/>
  <c r="C6809"/>
  <c r="C6808"/>
  <c r="C6807"/>
  <c r="C6806"/>
  <c r="C6805"/>
  <c r="C6804"/>
  <c r="C6803"/>
  <c r="C6802"/>
  <c r="C6801"/>
  <c r="C6800"/>
  <c r="C6799"/>
  <c r="C6798"/>
  <c r="C6797"/>
  <c r="C6796"/>
  <c r="C6795"/>
  <c r="C6794"/>
  <c r="C6793"/>
  <c r="C6792"/>
  <c r="C6791"/>
  <c r="C6790"/>
  <c r="C6789"/>
  <c r="C6788"/>
  <c r="C6787"/>
  <c r="C6786"/>
  <c r="C6785"/>
  <c r="C6784"/>
  <c r="C6783"/>
  <c r="C6782"/>
  <c r="C6781"/>
  <c r="C6780"/>
  <c r="C6779"/>
  <c r="C6778"/>
  <c r="C6777"/>
  <c r="C6776"/>
  <c r="C6775"/>
  <c r="C6774"/>
  <c r="C6773"/>
  <c r="C6772"/>
  <c r="C6771"/>
  <c r="C6770"/>
  <c r="C6769"/>
  <c r="C6768"/>
  <c r="C6767"/>
  <c r="C6766"/>
  <c r="C6765"/>
  <c r="C6764"/>
  <c r="C6763"/>
  <c r="C6762"/>
  <c r="C6761"/>
  <c r="C6760"/>
  <c r="C6759"/>
  <c r="C6758"/>
  <c r="C6757"/>
  <c r="C6756"/>
  <c r="C6755"/>
  <c r="C6754"/>
  <c r="C6753"/>
  <c r="C6752"/>
  <c r="C6751"/>
  <c r="C6750"/>
  <c r="C6749"/>
  <c r="C6748"/>
  <c r="C6747"/>
  <c r="C6746"/>
  <c r="C6745"/>
  <c r="C6744"/>
  <c r="C6743"/>
  <c r="C6742"/>
  <c r="C6741"/>
  <c r="C6740"/>
  <c r="C6739"/>
  <c r="C6738"/>
  <c r="C6737"/>
  <c r="C6736"/>
  <c r="C6735"/>
  <c r="C6734"/>
  <c r="C6733"/>
  <c r="C6732"/>
  <c r="C6731"/>
  <c r="C6730"/>
  <c r="C6729"/>
  <c r="C6728"/>
  <c r="C6727"/>
  <c r="C6726"/>
  <c r="C6725"/>
  <c r="C6724"/>
  <c r="C6723"/>
  <c r="C6722"/>
  <c r="C6721"/>
  <c r="C6720"/>
  <c r="C6719"/>
  <c r="C6718"/>
  <c r="C6717"/>
  <c r="C6716"/>
  <c r="C6715"/>
  <c r="C6714"/>
  <c r="C6713"/>
  <c r="C6712"/>
  <c r="C6711"/>
  <c r="C6710"/>
  <c r="C6709"/>
  <c r="C6708"/>
  <c r="C6707"/>
  <c r="C6706"/>
  <c r="C6705"/>
  <c r="C6704"/>
  <c r="C6703"/>
  <c r="C6702"/>
  <c r="C6701"/>
  <c r="C6700"/>
  <c r="C6699"/>
  <c r="C6698"/>
  <c r="C6697"/>
  <c r="C6696"/>
  <c r="C6695"/>
  <c r="C6694"/>
  <c r="C6693"/>
  <c r="C6692"/>
  <c r="C6691"/>
  <c r="C6690"/>
  <c r="C6689"/>
  <c r="C6688"/>
  <c r="C6687"/>
  <c r="C6686"/>
  <c r="C6685"/>
  <c r="C6684"/>
  <c r="C6683"/>
  <c r="C6682"/>
  <c r="C6681"/>
  <c r="C6680"/>
  <c r="C6679"/>
  <c r="C6678"/>
  <c r="C6677"/>
  <c r="C6676"/>
  <c r="C6675"/>
  <c r="C6674"/>
  <c r="C6673"/>
  <c r="C6672"/>
  <c r="C6671"/>
  <c r="C6670"/>
  <c r="C6669"/>
  <c r="C6668"/>
  <c r="C6667"/>
  <c r="C6666"/>
  <c r="C6665"/>
  <c r="C6664"/>
  <c r="C6663"/>
  <c r="C6662"/>
  <c r="C6661"/>
  <c r="C6660"/>
  <c r="C6659"/>
  <c r="C6658"/>
  <c r="C6657"/>
  <c r="C6656"/>
  <c r="C6655"/>
  <c r="C6654"/>
  <c r="C6653"/>
  <c r="C6652"/>
  <c r="C6651"/>
  <c r="C6650"/>
  <c r="C6649"/>
  <c r="C6648"/>
  <c r="C6647"/>
  <c r="C6646"/>
  <c r="C6645"/>
  <c r="C6644"/>
  <c r="C6643"/>
  <c r="C6642"/>
  <c r="C6641"/>
  <c r="C6640"/>
  <c r="C6639"/>
  <c r="C6638"/>
  <c r="C6637"/>
  <c r="C6636"/>
  <c r="C6635"/>
  <c r="C6634"/>
  <c r="C6633"/>
  <c r="C6632"/>
  <c r="C6631"/>
  <c r="C6630"/>
  <c r="C6629"/>
  <c r="C6628"/>
  <c r="C6627"/>
  <c r="C6626"/>
  <c r="C6625"/>
  <c r="C6624"/>
  <c r="C6623"/>
  <c r="C6622"/>
  <c r="C6621"/>
  <c r="C6620"/>
  <c r="C6619"/>
  <c r="C6618"/>
  <c r="C6617"/>
  <c r="C6616"/>
  <c r="C6615"/>
  <c r="C6614"/>
  <c r="C6613"/>
  <c r="C6612"/>
  <c r="C6611"/>
  <c r="C6610"/>
  <c r="C6609"/>
  <c r="C6608"/>
  <c r="C6607"/>
  <c r="C6606"/>
  <c r="C6605"/>
  <c r="C6604"/>
  <c r="C6603"/>
  <c r="C6602"/>
  <c r="C6601"/>
  <c r="C6600"/>
  <c r="C6599"/>
  <c r="C6598"/>
  <c r="C6597"/>
  <c r="C6596"/>
  <c r="C6595"/>
  <c r="C6594"/>
  <c r="C6593"/>
  <c r="C6592"/>
  <c r="C6591"/>
  <c r="C6590"/>
  <c r="C6589"/>
  <c r="C6588"/>
  <c r="C6587"/>
  <c r="C6586"/>
  <c r="C6585"/>
  <c r="C6584"/>
  <c r="C6583"/>
  <c r="C6582"/>
  <c r="C6581"/>
  <c r="C6580"/>
  <c r="C6579"/>
  <c r="C6578"/>
  <c r="C6577"/>
  <c r="C6576"/>
  <c r="C6575"/>
  <c r="C6574"/>
  <c r="C6573"/>
  <c r="C6572"/>
  <c r="C6571"/>
  <c r="C6570"/>
  <c r="C6569"/>
  <c r="C6568"/>
  <c r="C6567"/>
  <c r="C6566"/>
  <c r="C6565"/>
  <c r="C6564"/>
  <c r="C6563"/>
  <c r="C6562"/>
  <c r="C6561"/>
  <c r="C6560"/>
  <c r="C6559"/>
  <c r="C6558"/>
  <c r="C6557"/>
  <c r="C6556"/>
  <c r="C6555"/>
  <c r="C6554"/>
  <c r="C6553"/>
  <c r="C6552"/>
  <c r="C6551"/>
  <c r="C6550"/>
  <c r="C6549"/>
  <c r="C6548"/>
  <c r="C6547"/>
  <c r="C6546"/>
  <c r="C6545"/>
  <c r="C6544"/>
  <c r="C6543"/>
  <c r="C6542"/>
  <c r="C6541"/>
  <c r="C6540"/>
  <c r="C6539"/>
  <c r="C6538"/>
  <c r="C6537"/>
  <c r="C6536"/>
  <c r="C6535"/>
  <c r="C6534"/>
  <c r="C6533"/>
  <c r="C6532"/>
  <c r="C6531"/>
  <c r="C6530"/>
  <c r="C6529"/>
  <c r="C6528"/>
  <c r="C6527"/>
  <c r="C6526"/>
  <c r="C6525"/>
  <c r="C6524"/>
  <c r="C6523"/>
  <c r="C6522"/>
  <c r="C6521"/>
  <c r="C6520"/>
  <c r="C6519"/>
  <c r="C6518"/>
  <c r="C6517"/>
  <c r="C6516"/>
  <c r="C6515"/>
  <c r="C6514"/>
  <c r="C6513"/>
  <c r="C6512"/>
  <c r="C6511"/>
  <c r="C6510"/>
  <c r="C6509"/>
  <c r="C6508"/>
  <c r="C6507"/>
  <c r="C6506"/>
  <c r="C6505"/>
  <c r="C6504"/>
  <c r="C6503"/>
  <c r="C6502"/>
  <c r="C6501"/>
  <c r="C6500"/>
  <c r="C6499"/>
  <c r="C6498"/>
  <c r="C6497"/>
  <c r="C6496"/>
  <c r="C6495"/>
  <c r="C6494"/>
  <c r="C6493"/>
  <c r="C6492"/>
  <c r="C6491"/>
  <c r="C6490"/>
  <c r="C6489"/>
  <c r="C6488"/>
  <c r="C6487"/>
  <c r="C6486"/>
  <c r="C6485"/>
  <c r="C6484"/>
  <c r="C6483"/>
  <c r="C6482"/>
  <c r="C6481"/>
  <c r="C6480"/>
  <c r="C6479"/>
  <c r="C6478"/>
  <c r="C6477"/>
  <c r="C6476"/>
  <c r="C6475"/>
  <c r="C6474"/>
  <c r="C6473"/>
  <c r="C6472"/>
  <c r="C6471"/>
  <c r="C6470"/>
  <c r="C6469"/>
  <c r="C6468"/>
  <c r="C6467"/>
  <c r="C6466"/>
  <c r="C6465"/>
  <c r="C6464"/>
  <c r="C6463"/>
  <c r="C6462"/>
  <c r="C6461"/>
  <c r="C6460"/>
  <c r="C6459"/>
  <c r="C6458"/>
  <c r="C6457"/>
  <c r="C6456"/>
  <c r="C6455"/>
  <c r="C6454"/>
  <c r="C6453"/>
  <c r="C6452"/>
  <c r="C6451"/>
  <c r="C6450"/>
  <c r="C6449"/>
  <c r="C6448"/>
  <c r="C6447"/>
  <c r="C6446"/>
  <c r="C6445"/>
  <c r="C6444"/>
  <c r="C6443"/>
  <c r="C6442"/>
  <c r="C6441"/>
  <c r="C6440"/>
  <c r="C6439"/>
  <c r="C6438"/>
  <c r="C6437"/>
  <c r="C6436"/>
  <c r="C6435"/>
  <c r="C6434"/>
  <c r="C6433"/>
  <c r="C6432"/>
  <c r="C6431"/>
  <c r="C6430"/>
  <c r="C6429"/>
  <c r="C6428"/>
  <c r="C6427"/>
  <c r="C6426"/>
  <c r="C6425"/>
  <c r="C6424"/>
  <c r="C6423"/>
  <c r="C6422"/>
  <c r="C6421"/>
  <c r="C6420"/>
  <c r="C6419"/>
  <c r="C6418"/>
  <c r="C6417"/>
  <c r="C6416"/>
  <c r="C6415"/>
  <c r="C6414"/>
  <c r="C6413"/>
  <c r="C6412"/>
  <c r="C6411"/>
  <c r="C6410"/>
  <c r="C6409"/>
  <c r="C6408"/>
  <c r="C6407"/>
  <c r="C6406"/>
  <c r="C6405"/>
  <c r="C6404"/>
  <c r="C6403"/>
  <c r="C6402"/>
  <c r="C6401"/>
  <c r="C6400"/>
  <c r="C6399"/>
  <c r="C6398"/>
  <c r="C6397"/>
  <c r="C6396"/>
  <c r="C6395"/>
  <c r="C6394"/>
  <c r="C6393"/>
  <c r="C6392"/>
  <c r="C6391"/>
  <c r="C6390"/>
  <c r="C6389"/>
  <c r="C6388"/>
  <c r="C6387"/>
  <c r="C6386"/>
  <c r="C6385"/>
  <c r="C6384"/>
  <c r="C6383"/>
  <c r="C6382"/>
  <c r="C6381"/>
  <c r="C6380"/>
  <c r="C6379"/>
  <c r="C6378"/>
  <c r="C6377"/>
  <c r="C6376"/>
  <c r="C6375"/>
  <c r="C6374"/>
  <c r="C6373"/>
  <c r="C6372"/>
  <c r="C6371"/>
  <c r="C6370"/>
  <c r="C6369"/>
  <c r="C6368"/>
  <c r="C6367"/>
  <c r="C6366"/>
  <c r="C6365"/>
  <c r="C6364"/>
  <c r="C6363"/>
  <c r="C6362"/>
  <c r="C6361"/>
  <c r="C6360"/>
  <c r="C6359"/>
  <c r="C6358"/>
  <c r="C6357"/>
  <c r="C6356"/>
  <c r="C6355"/>
  <c r="C6354"/>
  <c r="C6353"/>
  <c r="C6352"/>
  <c r="C6351"/>
  <c r="C6350"/>
  <c r="C6349"/>
  <c r="C6348"/>
  <c r="C6347"/>
  <c r="C6346"/>
  <c r="C6345"/>
  <c r="C6344"/>
  <c r="C6343"/>
  <c r="C6342"/>
  <c r="C6341"/>
  <c r="C6340"/>
  <c r="C6339"/>
  <c r="C6338"/>
  <c r="C6337"/>
  <c r="C6336"/>
  <c r="C6335"/>
  <c r="C6334"/>
  <c r="C6333"/>
  <c r="C6332"/>
  <c r="C6331"/>
  <c r="C6330"/>
  <c r="C6329"/>
  <c r="C6328"/>
  <c r="C6327"/>
  <c r="C6326"/>
  <c r="C6325"/>
  <c r="C6324"/>
  <c r="C6323"/>
  <c r="C6322"/>
  <c r="C6321"/>
  <c r="C6320"/>
  <c r="C6319"/>
  <c r="C6318"/>
  <c r="C6317"/>
  <c r="C6316"/>
  <c r="C6315"/>
  <c r="C6314"/>
  <c r="C6313"/>
  <c r="C6312"/>
  <c r="C6311"/>
  <c r="C6310"/>
  <c r="C6309"/>
  <c r="C6308"/>
  <c r="C6307"/>
  <c r="C6306"/>
  <c r="C6305"/>
  <c r="C6304"/>
  <c r="C6303"/>
  <c r="C6302"/>
  <c r="C6301"/>
  <c r="C6300"/>
  <c r="C6299"/>
  <c r="C6298"/>
  <c r="C6297"/>
  <c r="C6296"/>
  <c r="C6295"/>
  <c r="C6294"/>
  <c r="C6293"/>
  <c r="C6292"/>
  <c r="C6291"/>
  <c r="C6290"/>
  <c r="C6289"/>
  <c r="C6288"/>
  <c r="C6287"/>
  <c r="C6286"/>
  <c r="C6285"/>
  <c r="C6284"/>
  <c r="C6283"/>
  <c r="C6282"/>
  <c r="C6281"/>
  <c r="C6280"/>
  <c r="C6279"/>
  <c r="C6278"/>
  <c r="C6277"/>
  <c r="C6276"/>
  <c r="C6275"/>
  <c r="C6274"/>
  <c r="C6273"/>
  <c r="C6272"/>
  <c r="C6271"/>
  <c r="C6270"/>
  <c r="C6269"/>
  <c r="C6268"/>
  <c r="C6267"/>
  <c r="C6266"/>
  <c r="C6265"/>
  <c r="C6264"/>
  <c r="C6263"/>
  <c r="C6262"/>
  <c r="C6261"/>
  <c r="C6260"/>
  <c r="C6259"/>
  <c r="C6258"/>
  <c r="C6257"/>
  <c r="C6256"/>
  <c r="C6255"/>
  <c r="C6254"/>
  <c r="C6253"/>
  <c r="C6252"/>
  <c r="C6251"/>
  <c r="C6250"/>
  <c r="C6249"/>
  <c r="C6248"/>
  <c r="C6247"/>
  <c r="C6246"/>
  <c r="C6245"/>
  <c r="C6244"/>
  <c r="C6243"/>
  <c r="C6242"/>
  <c r="C6241"/>
  <c r="C6240"/>
  <c r="C6239"/>
  <c r="C6238"/>
  <c r="C6237"/>
  <c r="C6236"/>
  <c r="C6235"/>
  <c r="C6234"/>
  <c r="C6233"/>
  <c r="C6232"/>
  <c r="C6231"/>
  <c r="C6230"/>
  <c r="C6229"/>
  <c r="C6228"/>
  <c r="C6227"/>
  <c r="C6226"/>
  <c r="C6225"/>
  <c r="C6224"/>
  <c r="C6223"/>
  <c r="C6222"/>
  <c r="C6221"/>
  <c r="C6220"/>
  <c r="C6219"/>
  <c r="C6218"/>
  <c r="C6217"/>
  <c r="C6216"/>
  <c r="C6215"/>
  <c r="C6214"/>
  <c r="C6213"/>
  <c r="C6212"/>
  <c r="C6211"/>
  <c r="C6210"/>
  <c r="C6209"/>
  <c r="C6208"/>
  <c r="C6207"/>
  <c r="C6206"/>
  <c r="C6205"/>
  <c r="C6204"/>
  <c r="C6203"/>
  <c r="C6202"/>
  <c r="C6201"/>
  <c r="C6200"/>
  <c r="C6199"/>
  <c r="C6198"/>
  <c r="C6197"/>
  <c r="C6196"/>
  <c r="C6195"/>
  <c r="C6194"/>
  <c r="C6193"/>
  <c r="C6192"/>
  <c r="C6191"/>
  <c r="C6190"/>
  <c r="C6189"/>
  <c r="C6188"/>
  <c r="C6187"/>
  <c r="C6186"/>
  <c r="C6185"/>
  <c r="C6184"/>
  <c r="C6183"/>
  <c r="C6182"/>
  <c r="C6181"/>
  <c r="C6180"/>
  <c r="C6179"/>
  <c r="C6178"/>
  <c r="C6177"/>
  <c r="C6176"/>
  <c r="C6175"/>
  <c r="C6174"/>
  <c r="C6173"/>
  <c r="C6172"/>
  <c r="C6171"/>
  <c r="C6170"/>
  <c r="C6169"/>
  <c r="C6168"/>
  <c r="C6167"/>
  <c r="C6166"/>
  <c r="C6165"/>
  <c r="C6164"/>
  <c r="C6163"/>
  <c r="C6162"/>
  <c r="C6161"/>
  <c r="C6160"/>
  <c r="C6159"/>
  <c r="C6158"/>
  <c r="C6157"/>
  <c r="C6156"/>
  <c r="C6155"/>
  <c r="C6154"/>
  <c r="C6153"/>
  <c r="C6152"/>
  <c r="C6151"/>
  <c r="C6150"/>
  <c r="C6149"/>
  <c r="C6148"/>
  <c r="C6147"/>
  <c r="C6146"/>
  <c r="C6145"/>
  <c r="C6144"/>
  <c r="C6143"/>
  <c r="C6142"/>
  <c r="C6141"/>
  <c r="C6140"/>
  <c r="C6139"/>
  <c r="C6138"/>
  <c r="C6137"/>
  <c r="C6136"/>
  <c r="C6135"/>
  <c r="C6134"/>
  <c r="C6133"/>
  <c r="C6132"/>
  <c r="C6131"/>
  <c r="C6130"/>
  <c r="C6129"/>
  <c r="C6128"/>
  <c r="C6127"/>
  <c r="C6126"/>
  <c r="C6125"/>
  <c r="C6124"/>
  <c r="C6123"/>
  <c r="C6122"/>
  <c r="C6121"/>
  <c r="C6120"/>
  <c r="C6119"/>
  <c r="C6118"/>
  <c r="C6117"/>
  <c r="C6116"/>
  <c r="C6115"/>
  <c r="C6114"/>
  <c r="C6113"/>
  <c r="C6112"/>
  <c r="C6111"/>
  <c r="C6110"/>
  <c r="C6109"/>
  <c r="C6108"/>
  <c r="C6107"/>
  <c r="C6106"/>
  <c r="C6105"/>
  <c r="C6104"/>
  <c r="C6103"/>
  <c r="C6102"/>
  <c r="C6101"/>
  <c r="C6100"/>
  <c r="C6099"/>
  <c r="C6098"/>
  <c r="C6097"/>
  <c r="C6096"/>
  <c r="C6095"/>
  <c r="C6094"/>
  <c r="C6093"/>
  <c r="C6092"/>
  <c r="C6091"/>
  <c r="C6090"/>
  <c r="C6089"/>
  <c r="C6088"/>
  <c r="C6087"/>
  <c r="C6086"/>
  <c r="C6085"/>
  <c r="C6084"/>
  <c r="C6083"/>
  <c r="C6082"/>
  <c r="C6081"/>
  <c r="C6080"/>
  <c r="C6079"/>
  <c r="C6078"/>
  <c r="C6077"/>
  <c r="C6076"/>
  <c r="C6075"/>
  <c r="C6074"/>
  <c r="C6073"/>
  <c r="C6072"/>
  <c r="C6071"/>
  <c r="C6070"/>
  <c r="C6069"/>
  <c r="C6068"/>
  <c r="C6067"/>
  <c r="C6066"/>
  <c r="C6065"/>
  <c r="C6064"/>
  <c r="C6063"/>
  <c r="C6062"/>
  <c r="C6061"/>
  <c r="C6060"/>
  <c r="C6059"/>
  <c r="C6058"/>
  <c r="C6057"/>
  <c r="C6056"/>
  <c r="C6055"/>
  <c r="C6054"/>
  <c r="C6053"/>
  <c r="C6052"/>
  <c r="C6051"/>
  <c r="C6050"/>
  <c r="C6049"/>
  <c r="C6048"/>
  <c r="C6047"/>
  <c r="C6046"/>
  <c r="C6045"/>
  <c r="C6044"/>
  <c r="C6043"/>
  <c r="C6042"/>
  <c r="C6041"/>
  <c r="C6040"/>
  <c r="C6039"/>
  <c r="C6038"/>
  <c r="C6037"/>
  <c r="C6036"/>
  <c r="C6035"/>
  <c r="C6034"/>
  <c r="C6033"/>
  <c r="C6032"/>
  <c r="C6031"/>
  <c r="C6030"/>
  <c r="C6029"/>
  <c r="C6028"/>
  <c r="C6027"/>
  <c r="C6026"/>
  <c r="C6025"/>
  <c r="C6024"/>
  <c r="C6023"/>
  <c r="C6022"/>
  <c r="C6021"/>
  <c r="C6020"/>
  <c r="C6019"/>
  <c r="C6018"/>
  <c r="C6017"/>
  <c r="C6016"/>
  <c r="C6015"/>
  <c r="C6014"/>
  <c r="C6013"/>
  <c r="C6012"/>
  <c r="C6011"/>
  <c r="C6010"/>
  <c r="C6009"/>
  <c r="C6008"/>
  <c r="C6007"/>
  <c r="C6006"/>
  <c r="C6005"/>
  <c r="C6004"/>
  <c r="C6003"/>
  <c r="C6002"/>
  <c r="C6001"/>
  <c r="C6000"/>
  <c r="C5999"/>
  <c r="C5998"/>
  <c r="C5997"/>
  <c r="C5996"/>
  <c r="C5995"/>
  <c r="C5994"/>
  <c r="C5993"/>
  <c r="C5992"/>
  <c r="C5991"/>
  <c r="C5990"/>
  <c r="C5989"/>
  <c r="C5988"/>
  <c r="C5987"/>
  <c r="C5986"/>
  <c r="C5985"/>
  <c r="C5984"/>
  <c r="C5983"/>
  <c r="C5982"/>
  <c r="C5981"/>
  <c r="C5980"/>
  <c r="C5979"/>
  <c r="C5978"/>
  <c r="C5977"/>
  <c r="C5976"/>
  <c r="C5975"/>
  <c r="C5974"/>
  <c r="C5973"/>
  <c r="C5972"/>
  <c r="C5971"/>
  <c r="C5970"/>
  <c r="C5969"/>
  <c r="C5968"/>
  <c r="C5967"/>
  <c r="C5966"/>
  <c r="C5965"/>
  <c r="C5964"/>
  <c r="C5963"/>
  <c r="C5962"/>
  <c r="C5961"/>
  <c r="C5960"/>
  <c r="C5959"/>
  <c r="C5958"/>
  <c r="C5957"/>
  <c r="C5956"/>
  <c r="C5955"/>
  <c r="C5954"/>
  <c r="C5953"/>
  <c r="C5952"/>
  <c r="C5951"/>
  <c r="C5950"/>
  <c r="C5949"/>
  <c r="C5948"/>
  <c r="C5947"/>
  <c r="C5946"/>
  <c r="C5945"/>
  <c r="C5944"/>
  <c r="C5943"/>
  <c r="C5942"/>
  <c r="C5941"/>
  <c r="C5940"/>
  <c r="C5939"/>
  <c r="C5938"/>
  <c r="C5937"/>
  <c r="C5936"/>
  <c r="C5935"/>
  <c r="C5934"/>
  <c r="C5933"/>
  <c r="C5932"/>
  <c r="C5931"/>
  <c r="C5930"/>
  <c r="C5929"/>
  <c r="C5928"/>
  <c r="C5927"/>
  <c r="C5926"/>
  <c r="C5925"/>
  <c r="C5924"/>
  <c r="C5923"/>
  <c r="C5922"/>
  <c r="C5921"/>
  <c r="C5920"/>
  <c r="C5919"/>
  <c r="C5918"/>
  <c r="C5917"/>
  <c r="C5916"/>
  <c r="C5915"/>
  <c r="C5914"/>
  <c r="C5913"/>
  <c r="C5912"/>
  <c r="C5911"/>
  <c r="C5910"/>
  <c r="C5909"/>
  <c r="C5908"/>
  <c r="C5907"/>
  <c r="C5906"/>
  <c r="C5905"/>
  <c r="C5904"/>
  <c r="C5903"/>
  <c r="C5902"/>
  <c r="C5901"/>
  <c r="C5900"/>
  <c r="C5899"/>
  <c r="C5898"/>
  <c r="C5897"/>
  <c r="C5896"/>
  <c r="C5895"/>
  <c r="C5894"/>
  <c r="C5893"/>
  <c r="C5892"/>
  <c r="C5891"/>
  <c r="C5890"/>
  <c r="C5889"/>
  <c r="C5888"/>
  <c r="C5887"/>
  <c r="C5886"/>
  <c r="C5885"/>
  <c r="C5884"/>
  <c r="C5883"/>
  <c r="C5882"/>
  <c r="C5881"/>
  <c r="C5880"/>
  <c r="C5879"/>
  <c r="C5878"/>
  <c r="C5877"/>
  <c r="C5876"/>
  <c r="C5875"/>
  <c r="C5874"/>
  <c r="C5873"/>
  <c r="C5872"/>
  <c r="C5871"/>
  <c r="C5870"/>
  <c r="C5869"/>
  <c r="C5868"/>
  <c r="C5867"/>
  <c r="C5866"/>
  <c r="C5865"/>
  <c r="C5864"/>
  <c r="C5863"/>
  <c r="C5862"/>
  <c r="C5861"/>
  <c r="C5860"/>
  <c r="C5859"/>
  <c r="C5858"/>
  <c r="C5857"/>
  <c r="C5856"/>
  <c r="C5855"/>
  <c r="C5854"/>
  <c r="C5853"/>
  <c r="C5852"/>
  <c r="C5851"/>
  <c r="C5850"/>
  <c r="C5849"/>
  <c r="C5848"/>
  <c r="C5847"/>
  <c r="C5846"/>
  <c r="C5845"/>
  <c r="C5844"/>
  <c r="C5843"/>
  <c r="C5842"/>
  <c r="C5841"/>
  <c r="C5840"/>
  <c r="C5839"/>
  <c r="C5838"/>
  <c r="C5837"/>
  <c r="C5836"/>
  <c r="C5835"/>
  <c r="C5834"/>
  <c r="C5833"/>
  <c r="C5832"/>
  <c r="C5831"/>
  <c r="C5830"/>
  <c r="C5829"/>
  <c r="C5828"/>
  <c r="C5827"/>
  <c r="C5826"/>
  <c r="C5825"/>
  <c r="C5824"/>
  <c r="C5823"/>
  <c r="C5822"/>
  <c r="C5821"/>
  <c r="C5820"/>
  <c r="C5819"/>
  <c r="C5818"/>
  <c r="C5817"/>
  <c r="C5816"/>
  <c r="C5815"/>
  <c r="C5814"/>
  <c r="C5813"/>
  <c r="C5812"/>
  <c r="C5811"/>
  <c r="C5810"/>
  <c r="C5809"/>
  <c r="C5808"/>
  <c r="C5807"/>
  <c r="C5806"/>
  <c r="C5805"/>
  <c r="C5804"/>
  <c r="C5803"/>
  <c r="C5802"/>
  <c r="C5801"/>
  <c r="C5800"/>
  <c r="C5799"/>
  <c r="C5798"/>
  <c r="C5797"/>
  <c r="C5796"/>
  <c r="C5795"/>
  <c r="C5794"/>
  <c r="C5793"/>
  <c r="C5792"/>
  <c r="C5791"/>
  <c r="C5790"/>
  <c r="C5789"/>
  <c r="C5788"/>
  <c r="C5787"/>
  <c r="C5786"/>
  <c r="C5785"/>
  <c r="C5784"/>
  <c r="C5783"/>
  <c r="C5782"/>
  <c r="C5781"/>
  <c r="C5780"/>
  <c r="C5779"/>
  <c r="C5778"/>
  <c r="C5777"/>
  <c r="C5776"/>
  <c r="C5775"/>
  <c r="C5774"/>
  <c r="C5773"/>
  <c r="C5772"/>
  <c r="C5771"/>
  <c r="C5770"/>
  <c r="C5769"/>
  <c r="C5768"/>
  <c r="C5767"/>
  <c r="C5766"/>
  <c r="C5765"/>
  <c r="C5764"/>
  <c r="C5763"/>
  <c r="C5762"/>
  <c r="C5761"/>
  <c r="C5760"/>
  <c r="C5759"/>
  <c r="C5758"/>
  <c r="C5757"/>
  <c r="C5756"/>
  <c r="C5755"/>
  <c r="C5754"/>
  <c r="C5753"/>
  <c r="C5752"/>
  <c r="C5751"/>
  <c r="C5750"/>
  <c r="C5749"/>
  <c r="C5748"/>
  <c r="C5747"/>
  <c r="C5746"/>
  <c r="C5745"/>
  <c r="C5744"/>
  <c r="C5743"/>
  <c r="C5742"/>
  <c r="C5741"/>
  <c r="C5740"/>
  <c r="C5739"/>
  <c r="C5738"/>
  <c r="C5737"/>
  <c r="C5736"/>
  <c r="C5735"/>
  <c r="C5734"/>
  <c r="C5733"/>
  <c r="C5732"/>
  <c r="C5731"/>
  <c r="C5730"/>
  <c r="C5729"/>
  <c r="C5728"/>
  <c r="C5727"/>
  <c r="C5726"/>
  <c r="C5725"/>
  <c r="C5724"/>
  <c r="C5723"/>
  <c r="C5722"/>
  <c r="C5721"/>
  <c r="C5720"/>
  <c r="C5719"/>
  <c r="C5718"/>
  <c r="C5717"/>
  <c r="C5716"/>
  <c r="C5715"/>
  <c r="C5714"/>
  <c r="C5713"/>
  <c r="C5712"/>
  <c r="C5711"/>
  <c r="C5710"/>
  <c r="C5709"/>
  <c r="C5708"/>
  <c r="C5707"/>
  <c r="C5706"/>
  <c r="C5705"/>
  <c r="C5704"/>
  <c r="C5703"/>
  <c r="C5702"/>
  <c r="C5701"/>
  <c r="C5700"/>
  <c r="C5699"/>
  <c r="C5698"/>
  <c r="C5697"/>
  <c r="C5696"/>
  <c r="C5695"/>
  <c r="C5694"/>
  <c r="C5693"/>
  <c r="C5692"/>
  <c r="C5691"/>
  <c r="C5690"/>
  <c r="C5689"/>
  <c r="C5688"/>
  <c r="C5687"/>
  <c r="C5686"/>
  <c r="C5685"/>
  <c r="C5684"/>
  <c r="C5683"/>
  <c r="C5682"/>
  <c r="C5681"/>
  <c r="C5680"/>
  <c r="C5679"/>
  <c r="C5678"/>
  <c r="C5677"/>
  <c r="C5676"/>
  <c r="C5675"/>
  <c r="C5674"/>
  <c r="C5673"/>
  <c r="C5672"/>
  <c r="C5671"/>
  <c r="C5670"/>
  <c r="C5669"/>
  <c r="C5668"/>
  <c r="C5667"/>
  <c r="C5666"/>
  <c r="C5665"/>
  <c r="C5664"/>
  <c r="C5663"/>
  <c r="C5662"/>
  <c r="C5661"/>
  <c r="C5660"/>
  <c r="C5659"/>
  <c r="C5658"/>
  <c r="C5657"/>
  <c r="C5656"/>
  <c r="C5655"/>
  <c r="C5654"/>
  <c r="C5653"/>
  <c r="C5652"/>
  <c r="C5651"/>
  <c r="C5650"/>
  <c r="C5649"/>
  <c r="C5648"/>
  <c r="C5647"/>
  <c r="C5646"/>
  <c r="C5645"/>
  <c r="C5644"/>
  <c r="C5643"/>
  <c r="C5642"/>
  <c r="C5641"/>
  <c r="C5640"/>
  <c r="C5639"/>
  <c r="C5638"/>
  <c r="C5637"/>
  <c r="C5636"/>
  <c r="C5635"/>
  <c r="C5634"/>
  <c r="C5633"/>
  <c r="C5632"/>
  <c r="C5631"/>
  <c r="C5630"/>
  <c r="C5629"/>
  <c r="C5628"/>
  <c r="C5627"/>
  <c r="C5626"/>
  <c r="C5625"/>
  <c r="C5624"/>
  <c r="C5623"/>
  <c r="C5622"/>
  <c r="C5621"/>
  <c r="C5620"/>
  <c r="C5619"/>
  <c r="C5618"/>
  <c r="C5617"/>
  <c r="C5616"/>
  <c r="C5615"/>
  <c r="C5614"/>
  <c r="C5613"/>
  <c r="C5612"/>
  <c r="C5611"/>
  <c r="C5610"/>
  <c r="C5609"/>
  <c r="C5608"/>
  <c r="C5607"/>
  <c r="C5606"/>
  <c r="C5605"/>
  <c r="C5604"/>
  <c r="C5603"/>
  <c r="C5602"/>
  <c r="C5601"/>
  <c r="C5600"/>
  <c r="C5599"/>
  <c r="C5598"/>
  <c r="C5597"/>
  <c r="C5596"/>
  <c r="C5595"/>
  <c r="C5594"/>
  <c r="C5593"/>
  <c r="C5592"/>
  <c r="C5591"/>
  <c r="C5590"/>
  <c r="C5589"/>
  <c r="C5588"/>
  <c r="C5587"/>
  <c r="C5586"/>
  <c r="C5585"/>
  <c r="C5584"/>
  <c r="C5583"/>
  <c r="C5582"/>
  <c r="C5581"/>
  <c r="C5580"/>
  <c r="C5579"/>
  <c r="C5578"/>
  <c r="C5577"/>
  <c r="C5576"/>
  <c r="C5575"/>
  <c r="C5574"/>
  <c r="C5573"/>
  <c r="C5572"/>
  <c r="C5571"/>
  <c r="C5570"/>
  <c r="C5569"/>
  <c r="C5568"/>
  <c r="C5567"/>
  <c r="C5566"/>
  <c r="C5565"/>
  <c r="C5564"/>
  <c r="C5563"/>
  <c r="C5562"/>
  <c r="C5561"/>
  <c r="C5560"/>
  <c r="C5559"/>
  <c r="C5558"/>
  <c r="C5557"/>
  <c r="C5556"/>
  <c r="C5555"/>
  <c r="C5554"/>
  <c r="C5553"/>
  <c r="C5552"/>
  <c r="C5551"/>
  <c r="C5550"/>
  <c r="C5549"/>
  <c r="C5548"/>
  <c r="C5547"/>
  <c r="C5546"/>
  <c r="C5545"/>
  <c r="C5544"/>
  <c r="C5543"/>
  <c r="C5542"/>
  <c r="C5541"/>
  <c r="C5540"/>
  <c r="C5539"/>
  <c r="C5538"/>
  <c r="C5537"/>
  <c r="C5536"/>
  <c r="C5535"/>
  <c r="C5534"/>
  <c r="C5533"/>
  <c r="C5532"/>
  <c r="C5531"/>
  <c r="C5530"/>
  <c r="C5529"/>
  <c r="C5528"/>
  <c r="C5527"/>
  <c r="C5526"/>
  <c r="C5525"/>
  <c r="C5524"/>
  <c r="C5523"/>
  <c r="C5522"/>
  <c r="C5521"/>
  <c r="C5520"/>
  <c r="C5519"/>
  <c r="C5518"/>
  <c r="C5517"/>
  <c r="C5516"/>
  <c r="C5515"/>
  <c r="C5514"/>
  <c r="C5513"/>
  <c r="C5512"/>
  <c r="C5511"/>
  <c r="C5510"/>
  <c r="C5509"/>
  <c r="C5508"/>
  <c r="C5507"/>
  <c r="C5506"/>
  <c r="C5505"/>
  <c r="C5504"/>
  <c r="C5503"/>
  <c r="C5502"/>
  <c r="C5501"/>
  <c r="C5500"/>
  <c r="C5499"/>
  <c r="C5498"/>
  <c r="C5497"/>
  <c r="C5496"/>
  <c r="C5495"/>
  <c r="C5494"/>
  <c r="C5493"/>
  <c r="C5492"/>
  <c r="C5491"/>
  <c r="C5490"/>
  <c r="C5489"/>
  <c r="C5488"/>
  <c r="C5487"/>
  <c r="C5486"/>
  <c r="C5485"/>
  <c r="C5484"/>
  <c r="C5483"/>
  <c r="C5482"/>
  <c r="C5481"/>
  <c r="C5480"/>
  <c r="C5479"/>
  <c r="C5478"/>
  <c r="C5477"/>
  <c r="C5476"/>
  <c r="C5475"/>
  <c r="C5474"/>
  <c r="C5473"/>
  <c r="C5472"/>
  <c r="C5471"/>
  <c r="C5470"/>
  <c r="C5469"/>
  <c r="C5468"/>
  <c r="C5467"/>
  <c r="C5466"/>
  <c r="C5465"/>
  <c r="C5464"/>
  <c r="C5463"/>
  <c r="C5462"/>
  <c r="C5461"/>
  <c r="C5460"/>
  <c r="C5459"/>
  <c r="C5458"/>
  <c r="C5457"/>
  <c r="C5456"/>
  <c r="C5455"/>
  <c r="C5454"/>
  <c r="C5453"/>
  <c r="C5452"/>
  <c r="C5451"/>
  <c r="C5450"/>
  <c r="C5449"/>
  <c r="C5448"/>
  <c r="C5447"/>
  <c r="C5446"/>
  <c r="C5445"/>
  <c r="C5444"/>
  <c r="C5443"/>
  <c r="C5442"/>
  <c r="C5441"/>
  <c r="C5440"/>
  <c r="C5439"/>
  <c r="C5438"/>
  <c r="C5437"/>
  <c r="C5436"/>
  <c r="C5435"/>
  <c r="C5434"/>
  <c r="C5433"/>
  <c r="C5432"/>
  <c r="C5431"/>
  <c r="C5430"/>
  <c r="C5429"/>
  <c r="C5428"/>
  <c r="C5427"/>
  <c r="C5426"/>
  <c r="C5425"/>
  <c r="C5424"/>
  <c r="C5423"/>
  <c r="C5422"/>
  <c r="C5421"/>
  <c r="C5420"/>
  <c r="C5419"/>
  <c r="C5418"/>
  <c r="C5417"/>
  <c r="C5416"/>
  <c r="C5415"/>
  <c r="C5414"/>
  <c r="C5413"/>
  <c r="C5412"/>
  <c r="C5411"/>
  <c r="C5410"/>
  <c r="C5409"/>
  <c r="C5408"/>
  <c r="C5407"/>
  <c r="C5406"/>
  <c r="C5405"/>
  <c r="C5404"/>
  <c r="C5403"/>
  <c r="C5402"/>
  <c r="C5401"/>
  <c r="C5400"/>
  <c r="C5399"/>
  <c r="C5398"/>
  <c r="C5397"/>
  <c r="C5396"/>
  <c r="C5395"/>
  <c r="C5394"/>
  <c r="C5393"/>
  <c r="C5392"/>
  <c r="C5391"/>
  <c r="C5390"/>
  <c r="C5389"/>
  <c r="C5388"/>
  <c r="C5387"/>
  <c r="C5386"/>
  <c r="C5385"/>
  <c r="C5384"/>
  <c r="C5383"/>
  <c r="C5382"/>
  <c r="C5381"/>
  <c r="C5380"/>
  <c r="C5379"/>
  <c r="C5378"/>
  <c r="C5377"/>
  <c r="C5376"/>
  <c r="C5375"/>
  <c r="C5374"/>
  <c r="C5373"/>
  <c r="C5372"/>
  <c r="C5371"/>
  <c r="C5370"/>
  <c r="C5369"/>
  <c r="C5368"/>
  <c r="C5367"/>
  <c r="C5366"/>
  <c r="C5365"/>
  <c r="C5364"/>
  <c r="C5363"/>
  <c r="C5362"/>
  <c r="C5361"/>
  <c r="C5360"/>
  <c r="C5359"/>
  <c r="C5358"/>
  <c r="C5357"/>
  <c r="C5356"/>
  <c r="C5355"/>
  <c r="C5354"/>
  <c r="C5353"/>
  <c r="C5352"/>
  <c r="C5351"/>
  <c r="C5350"/>
  <c r="C5349"/>
  <c r="C5348"/>
  <c r="C5347"/>
  <c r="C5346"/>
  <c r="C5345"/>
  <c r="C5344"/>
  <c r="C5343"/>
  <c r="C5342"/>
  <c r="C5341"/>
  <c r="C5340"/>
  <c r="C5339"/>
  <c r="C5338"/>
  <c r="C5337"/>
  <c r="C5336"/>
  <c r="C5335"/>
  <c r="C5334"/>
  <c r="C5333"/>
  <c r="C5332"/>
  <c r="C5331"/>
  <c r="C5330"/>
  <c r="C5329"/>
  <c r="C5328"/>
  <c r="C5327"/>
  <c r="C5326"/>
  <c r="C5325"/>
  <c r="C5324"/>
  <c r="C5323"/>
  <c r="C5322"/>
  <c r="C5321"/>
  <c r="C5320"/>
  <c r="C5319"/>
  <c r="C5318"/>
  <c r="C5317"/>
  <c r="C5316"/>
  <c r="C5315"/>
  <c r="C5314"/>
  <c r="C5313"/>
  <c r="C5312"/>
  <c r="C5311"/>
  <c r="C5310"/>
  <c r="C5309"/>
  <c r="C5308"/>
  <c r="C5307"/>
  <c r="C5306"/>
  <c r="C5305"/>
  <c r="C5304"/>
  <c r="C5303"/>
  <c r="C5302"/>
  <c r="C5301"/>
  <c r="C5300"/>
  <c r="C5299"/>
  <c r="C5298"/>
  <c r="C5297"/>
  <c r="C5296"/>
  <c r="C5295"/>
  <c r="C5294"/>
  <c r="C5293"/>
  <c r="C5292"/>
  <c r="C5291"/>
  <c r="C5290"/>
  <c r="C5289"/>
  <c r="C5288"/>
  <c r="C5287"/>
  <c r="C5286"/>
  <c r="C5285"/>
  <c r="C5284"/>
  <c r="C5283"/>
  <c r="C5282"/>
  <c r="C5281"/>
  <c r="C5280"/>
  <c r="C5279"/>
  <c r="C5278"/>
  <c r="C5277"/>
  <c r="C5276"/>
  <c r="C5275"/>
  <c r="C5274"/>
  <c r="C5273"/>
  <c r="C5272"/>
  <c r="C5271"/>
  <c r="C5270"/>
  <c r="C5269"/>
  <c r="C5268"/>
  <c r="C5267"/>
  <c r="C5266"/>
  <c r="C5265"/>
  <c r="C5264"/>
  <c r="C5263"/>
  <c r="C5262"/>
  <c r="C5261"/>
  <c r="C5260"/>
  <c r="C5259"/>
  <c r="C5258"/>
  <c r="C5257"/>
  <c r="C5256"/>
  <c r="C5255"/>
  <c r="C5254"/>
  <c r="C5253"/>
  <c r="C5252"/>
  <c r="C5251"/>
  <c r="C5250"/>
  <c r="C5249"/>
  <c r="C5248"/>
  <c r="C5247"/>
  <c r="C5246"/>
  <c r="C5245"/>
  <c r="C5244"/>
  <c r="C5243"/>
  <c r="C5242"/>
  <c r="C5241"/>
  <c r="C5240"/>
  <c r="C5239"/>
  <c r="C5238"/>
  <c r="C5237"/>
  <c r="C5236"/>
  <c r="C5235"/>
  <c r="C5234"/>
  <c r="C5233"/>
  <c r="C5232"/>
  <c r="C5231"/>
  <c r="C5230"/>
  <c r="C5229"/>
  <c r="C5228"/>
  <c r="C5227"/>
  <c r="C5226"/>
  <c r="C5225"/>
  <c r="C5224"/>
  <c r="C5223"/>
  <c r="C5222"/>
  <c r="C5221"/>
  <c r="C5220"/>
  <c r="C5219"/>
  <c r="C5218"/>
  <c r="C5217"/>
  <c r="C5216"/>
  <c r="C5215"/>
  <c r="C5214"/>
  <c r="C5213"/>
  <c r="C5212"/>
  <c r="C5211"/>
  <c r="C5210"/>
  <c r="C5209"/>
  <c r="C5208"/>
  <c r="C5207"/>
  <c r="C5206"/>
  <c r="C5205"/>
  <c r="C5204"/>
  <c r="C5203"/>
  <c r="C5202"/>
  <c r="C5201"/>
  <c r="C5200"/>
  <c r="C5199"/>
  <c r="C5198"/>
  <c r="C5197"/>
  <c r="C5196"/>
  <c r="C5195"/>
  <c r="C5194"/>
  <c r="C5193"/>
  <c r="C5192"/>
  <c r="C5191"/>
  <c r="C5190"/>
  <c r="C5189"/>
  <c r="C5188"/>
  <c r="C5187"/>
  <c r="C5186"/>
  <c r="C5185"/>
  <c r="C5184"/>
  <c r="C5183"/>
  <c r="C5182"/>
  <c r="C5181"/>
  <c r="C5180"/>
  <c r="C5179"/>
  <c r="C5178"/>
  <c r="C5177"/>
  <c r="C5176"/>
  <c r="C5175"/>
  <c r="C5174"/>
  <c r="C5173"/>
  <c r="C5172"/>
  <c r="C5171"/>
  <c r="C5170"/>
  <c r="C5169"/>
  <c r="C5168"/>
  <c r="C5167"/>
  <c r="C5166"/>
  <c r="C5165"/>
  <c r="C5164"/>
  <c r="C5163"/>
  <c r="C5162"/>
  <c r="C5161"/>
  <c r="C5160"/>
  <c r="C5159"/>
  <c r="C5158"/>
  <c r="C5157"/>
  <c r="C5156"/>
  <c r="C5155"/>
  <c r="C5154"/>
  <c r="C5153"/>
  <c r="C5152"/>
  <c r="C5151"/>
  <c r="C5150"/>
  <c r="C5149"/>
  <c r="C5148"/>
  <c r="C5147"/>
  <c r="C5146"/>
  <c r="C5145"/>
  <c r="C5144"/>
  <c r="C5143"/>
  <c r="C5142"/>
  <c r="C5141"/>
  <c r="C5140"/>
  <c r="C5139"/>
  <c r="C5138"/>
  <c r="C5137"/>
  <c r="C5136"/>
  <c r="C5135"/>
  <c r="C5134"/>
  <c r="C5133"/>
  <c r="C5132"/>
  <c r="C5131"/>
  <c r="C5130"/>
  <c r="C5129"/>
  <c r="C5128"/>
  <c r="C5127"/>
  <c r="C5126"/>
  <c r="C5125"/>
  <c r="C5124"/>
  <c r="C5123"/>
  <c r="C5122"/>
  <c r="C5121"/>
  <c r="C5120"/>
  <c r="C5119"/>
  <c r="C5118"/>
  <c r="C5117"/>
  <c r="C5116"/>
  <c r="C5115"/>
  <c r="C5114"/>
  <c r="C5113"/>
  <c r="C5112"/>
  <c r="C5111"/>
  <c r="C5110"/>
  <c r="C5109"/>
  <c r="C5108"/>
  <c r="C5107"/>
  <c r="C5106"/>
  <c r="C5105"/>
  <c r="C5104"/>
  <c r="C5103"/>
  <c r="C5102"/>
  <c r="C5101"/>
  <c r="C5100"/>
  <c r="C5099"/>
  <c r="C5098"/>
  <c r="C5097"/>
  <c r="C5096"/>
  <c r="C5095"/>
  <c r="C5094"/>
  <c r="C5093"/>
  <c r="C5092"/>
  <c r="C5091"/>
  <c r="C5090"/>
  <c r="C5089"/>
  <c r="C5088"/>
  <c r="C5087"/>
  <c r="C5086"/>
  <c r="C5085"/>
  <c r="C5084"/>
  <c r="C5083"/>
  <c r="C5082"/>
  <c r="C5081"/>
  <c r="C5080"/>
  <c r="C5079"/>
  <c r="C5078"/>
  <c r="C5077"/>
  <c r="C5076"/>
  <c r="C5075"/>
  <c r="C5074"/>
  <c r="C5073"/>
  <c r="C5072"/>
  <c r="C5071"/>
  <c r="C5070"/>
  <c r="C5069"/>
  <c r="C5068"/>
  <c r="C5067"/>
  <c r="C5066"/>
  <c r="C5065"/>
  <c r="C5064"/>
  <c r="C5063"/>
  <c r="C5062"/>
  <c r="C5061"/>
  <c r="C5060"/>
  <c r="C5059"/>
  <c r="C5058"/>
  <c r="C5057"/>
  <c r="C5056"/>
  <c r="C5055"/>
  <c r="C5054"/>
  <c r="C5053"/>
  <c r="C5052"/>
  <c r="C5051"/>
  <c r="C5050"/>
  <c r="C5049"/>
  <c r="C5048"/>
  <c r="C5047"/>
  <c r="C5046"/>
  <c r="C5045"/>
  <c r="C5044"/>
  <c r="C5043"/>
  <c r="C5042"/>
  <c r="C5041"/>
  <c r="C5040"/>
  <c r="C5039"/>
  <c r="C5038"/>
  <c r="C5037"/>
  <c r="C5036"/>
  <c r="C5035"/>
  <c r="C5034"/>
  <c r="C5033"/>
  <c r="C5032"/>
  <c r="C5031"/>
  <c r="C5030"/>
  <c r="C5029"/>
  <c r="C5028"/>
  <c r="C5027"/>
  <c r="C5026"/>
  <c r="C5025"/>
  <c r="C5024"/>
  <c r="C5023"/>
  <c r="C5022"/>
  <c r="C5021"/>
  <c r="C5020"/>
  <c r="C5019"/>
  <c r="C5018"/>
  <c r="C5017"/>
  <c r="C5016"/>
  <c r="C5015"/>
  <c r="C5014"/>
  <c r="C5013"/>
  <c r="C5012"/>
  <c r="C5011"/>
  <c r="C5010"/>
  <c r="C5009"/>
  <c r="C5008"/>
  <c r="C5007"/>
  <c r="C5006"/>
  <c r="C5005"/>
  <c r="C5004"/>
  <c r="C5003"/>
  <c r="C5002"/>
  <c r="C5001"/>
  <c r="C5000"/>
  <c r="C4999"/>
  <c r="C4998"/>
  <c r="C4997"/>
  <c r="C4996"/>
  <c r="C4995"/>
  <c r="C4994"/>
  <c r="C4993"/>
  <c r="C4992"/>
  <c r="C4991"/>
  <c r="C4990"/>
  <c r="C4989"/>
  <c r="C4988"/>
  <c r="C4987"/>
  <c r="C4986"/>
  <c r="C4985"/>
  <c r="C4984"/>
  <c r="C4983"/>
  <c r="C4982"/>
  <c r="C4981"/>
  <c r="C4980"/>
  <c r="C4979"/>
  <c r="C4978"/>
  <c r="C4977"/>
  <c r="C4976"/>
  <c r="C4975"/>
  <c r="C4974"/>
  <c r="C4973"/>
  <c r="C4972"/>
  <c r="C4971"/>
  <c r="C4970"/>
  <c r="C4969"/>
  <c r="C4968"/>
  <c r="C4967"/>
  <c r="C4966"/>
  <c r="C4965"/>
  <c r="C4964"/>
  <c r="C4963"/>
  <c r="C4962"/>
  <c r="C4961"/>
  <c r="C4960"/>
  <c r="C4959"/>
  <c r="C4958"/>
  <c r="C4957"/>
  <c r="C4956"/>
  <c r="C4955"/>
  <c r="C4954"/>
  <c r="C4953"/>
  <c r="C4952"/>
  <c r="C4951"/>
  <c r="C4950"/>
  <c r="C4949"/>
  <c r="C4948"/>
  <c r="C4947"/>
  <c r="C4946"/>
  <c r="C4945"/>
  <c r="C4944"/>
  <c r="C4943"/>
  <c r="C4942"/>
  <c r="C4941"/>
  <c r="C4940"/>
  <c r="C4939"/>
  <c r="C4938"/>
  <c r="C4937"/>
  <c r="C4936"/>
  <c r="C4935"/>
  <c r="C4934"/>
  <c r="C4933"/>
  <c r="C4932"/>
  <c r="C4931"/>
  <c r="C4930"/>
  <c r="C4929"/>
  <c r="C4928"/>
  <c r="C4927"/>
  <c r="C4926"/>
  <c r="C4925"/>
  <c r="C4924"/>
  <c r="C4923"/>
  <c r="C4922"/>
  <c r="C4921"/>
  <c r="C4920"/>
  <c r="C4919"/>
  <c r="C4918"/>
  <c r="C4917"/>
  <c r="C4916"/>
  <c r="C4915"/>
  <c r="C4914"/>
  <c r="C4913"/>
  <c r="C4912"/>
  <c r="C4911"/>
  <c r="C4910"/>
  <c r="C4909"/>
  <c r="C4908"/>
  <c r="C4907"/>
  <c r="C4906"/>
  <c r="C4905"/>
  <c r="C4904"/>
  <c r="C4903"/>
  <c r="C4902"/>
  <c r="C4901"/>
  <c r="C4900"/>
  <c r="C4899"/>
  <c r="C4898"/>
  <c r="C4897"/>
  <c r="C4896"/>
  <c r="C4895"/>
  <c r="C4894"/>
  <c r="C4893"/>
  <c r="C4892"/>
  <c r="C4891"/>
  <c r="C4890"/>
  <c r="C4889"/>
  <c r="C4888"/>
  <c r="C4887"/>
  <c r="C4886"/>
  <c r="C4885"/>
  <c r="C4884"/>
  <c r="C4883"/>
  <c r="C4882"/>
  <c r="C4881"/>
  <c r="C4880"/>
  <c r="C4879"/>
  <c r="C4878"/>
  <c r="C4877"/>
  <c r="C4876"/>
  <c r="C4875"/>
  <c r="C4874"/>
  <c r="C4873"/>
  <c r="C4872"/>
  <c r="C4871"/>
  <c r="C4870"/>
  <c r="C4869"/>
  <c r="C4868"/>
  <c r="C4867"/>
  <c r="C4866"/>
  <c r="C4865"/>
  <c r="C4864"/>
  <c r="C4863"/>
  <c r="C4862"/>
  <c r="C4861"/>
  <c r="C4860"/>
  <c r="C4859"/>
  <c r="C4858"/>
  <c r="C4857"/>
  <c r="C4856"/>
  <c r="C4855"/>
  <c r="C4854"/>
  <c r="C4853"/>
  <c r="C4852"/>
  <c r="C4851"/>
  <c r="C4850"/>
  <c r="C4849"/>
  <c r="C4848"/>
  <c r="C4847"/>
  <c r="C4846"/>
  <c r="C4845"/>
  <c r="C4844"/>
  <c r="C4843"/>
  <c r="C4842"/>
  <c r="C4841"/>
  <c r="C4840"/>
  <c r="C4839"/>
  <c r="C4838"/>
  <c r="C4837"/>
  <c r="C4836"/>
  <c r="C4835"/>
  <c r="C4834"/>
  <c r="C4833"/>
  <c r="C4832"/>
  <c r="C4831"/>
  <c r="C4830"/>
  <c r="C4829"/>
  <c r="C4828"/>
  <c r="C4827"/>
  <c r="C4826"/>
  <c r="C4825"/>
  <c r="C4824"/>
  <c r="C4823"/>
  <c r="C4822"/>
  <c r="C4821"/>
  <c r="C4820"/>
  <c r="C4819"/>
  <c r="C4818"/>
  <c r="C4817"/>
  <c r="C4816"/>
  <c r="C4815"/>
  <c r="C4814"/>
  <c r="C4813"/>
  <c r="C4812"/>
  <c r="C4811"/>
  <c r="C4810"/>
  <c r="C4809"/>
  <c r="C4808"/>
  <c r="C4807"/>
  <c r="C4806"/>
  <c r="C4805"/>
  <c r="C4804"/>
  <c r="C4803"/>
  <c r="C4802"/>
  <c r="C4801"/>
  <c r="C4800"/>
  <c r="C4799"/>
  <c r="C4798"/>
  <c r="C4797"/>
  <c r="C4796"/>
  <c r="C4795"/>
  <c r="C4794"/>
  <c r="C4793"/>
  <c r="C4792"/>
  <c r="C4791"/>
  <c r="C4790"/>
  <c r="C4789"/>
  <c r="C4788"/>
  <c r="C4787"/>
  <c r="C4786"/>
  <c r="C4785"/>
  <c r="C4784"/>
  <c r="C4783"/>
  <c r="C4782"/>
  <c r="C4781"/>
  <c r="C4780"/>
  <c r="C4779"/>
  <c r="C4778"/>
  <c r="C4777"/>
  <c r="C4776"/>
  <c r="C4775"/>
  <c r="C4774"/>
  <c r="C4773"/>
  <c r="C4772"/>
  <c r="C4771"/>
  <c r="C4770"/>
  <c r="C4769"/>
  <c r="C4768"/>
  <c r="C4767"/>
  <c r="C4766"/>
  <c r="C4765"/>
  <c r="C4764"/>
  <c r="C4763"/>
  <c r="C4762"/>
  <c r="C4761"/>
  <c r="C4760"/>
  <c r="C4759"/>
  <c r="C4758"/>
  <c r="C4757"/>
  <c r="C4756"/>
  <c r="C4755"/>
  <c r="C4754"/>
  <c r="C4753"/>
  <c r="C4752"/>
  <c r="C4751"/>
  <c r="C4750"/>
  <c r="C4749"/>
  <c r="C4748"/>
  <c r="C4747"/>
  <c r="C4746"/>
  <c r="C4745"/>
  <c r="C4744"/>
  <c r="C4743"/>
  <c r="C4742"/>
  <c r="C4741"/>
  <c r="C4740"/>
  <c r="C4739"/>
  <c r="C4738"/>
  <c r="C4737"/>
  <c r="C4736"/>
  <c r="C4735"/>
  <c r="C4734"/>
  <c r="C4733"/>
  <c r="C4732"/>
  <c r="C4731"/>
  <c r="C4730"/>
  <c r="C4729"/>
  <c r="C4728"/>
  <c r="C4727"/>
  <c r="C4726"/>
  <c r="C4725"/>
  <c r="C4724"/>
  <c r="C4723"/>
  <c r="C4722"/>
  <c r="C4721"/>
  <c r="C4720"/>
  <c r="C4719"/>
  <c r="C4718"/>
  <c r="C4717"/>
  <c r="C4716"/>
  <c r="C4715"/>
  <c r="C4714"/>
  <c r="C4713"/>
  <c r="C4712"/>
  <c r="C4711"/>
  <c r="C4710"/>
  <c r="C4709"/>
  <c r="C4708"/>
  <c r="C4707"/>
  <c r="C4706"/>
  <c r="C4705"/>
  <c r="C4704"/>
  <c r="C4703"/>
  <c r="C4702"/>
  <c r="C4701"/>
  <c r="C4700"/>
  <c r="C4699"/>
  <c r="C4698"/>
  <c r="C4697"/>
  <c r="C4696"/>
  <c r="C4695"/>
  <c r="C4694"/>
  <c r="C4693"/>
  <c r="C4692"/>
  <c r="C4691"/>
  <c r="C4690"/>
  <c r="C4689"/>
  <c r="C4688"/>
  <c r="C4687"/>
  <c r="C4686"/>
  <c r="C4685"/>
  <c r="C4684"/>
  <c r="C4683"/>
  <c r="C4682"/>
  <c r="C4681"/>
  <c r="C4680"/>
  <c r="C4679"/>
  <c r="C4678"/>
  <c r="C4677"/>
  <c r="C4676"/>
  <c r="C4675"/>
  <c r="C4674"/>
  <c r="C4673"/>
  <c r="C4672"/>
  <c r="C4671"/>
  <c r="C4670"/>
  <c r="C4669"/>
  <c r="C4668"/>
  <c r="C4667"/>
  <c r="C4666"/>
  <c r="C4665"/>
  <c r="C4664"/>
  <c r="C4663"/>
  <c r="C4662"/>
  <c r="C4661"/>
  <c r="C4660"/>
  <c r="C4659"/>
  <c r="C4658"/>
  <c r="C4657"/>
  <c r="C4656"/>
  <c r="C4655"/>
  <c r="C4654"/>
  <c r="C4653"/>
  <c r="C4652"/>
  <c r="C4651"/>
  <c r="C4650"/>
  <c r="C4649"/>
  <c r="C4648"/>
  <c r="C4647"/>
  <c r="C4646"/>
  <c r="C4645"/>
  <c r="C4644"/>
  <c r="C4643"/>
  <c r="C4642"/>
  <c r="C4641"/>
  <c r="C4640"/>
  <c r="C4639"/>
  <c r="C4638"/>
  <c r="C4637"/>
  <c r="C4636"/>
  <c r="C4635"/>
  <c r="C4634"/>
  <c r="C4633"/>
  <c r="C4632"/>
  <c r="C4631"/>
  <c r="C4630"/>
  <c r="C4629"/>
  <c r="C4628"/>
  <c r="C4627"/>
  <c r="C4626"/>
  <c r="C4625"/>
  <c r="C4624"/>
  <c r="C4623"/>
  <c r="C4622"/>
  <c r="C4621"/>
  <c r="C4620"/>
  <c r="C4619"/>
  <c r="C4618"/>
  <c r="C4617"/>
  <c r="C4616"/>
  <c r="C4615"/>
  <c r="C4614"/>
  <c r="C4613"/>
  <c r="C4612"/>
  <c r="C4611"/>
  <c r="C4610"/>
  <c r="C4609"/>
  <c r="C4608"/>
  <c r="C4607"/>
  <c r="C4606"/>
  <c r="C4605"/>
  <c r="C4604"/>
  <c r="C4603"/>
  <c r="C4602"/>
  <c r="C4601"/>
  <c r="C4600"/>
  <c r="C4599"/>
  <c r="C4598"/>
  <c r="C4597"/>
  <c r="C4596"/>
  <c r="C4595"/>
  <c r="C4594"/>
  <c r="C4593"/>
  <c r="C4592"/>
  <c r="C4591"/>
  <c r="C4590"/>
  <c r="C4589"/>
  <c r="C4588"/>
  <c r="C4587"/>
  <c r="C4586"/>
  <c r="C4585"/>
  <c r="C4584"/>
  <c r="C4583"/>
  <c r="C4582"/>
  <c r="C4581"/>
  <c r="C4580"/>
  <c r="C4579"/>
  <c r="C4578"/>
  <c r="C4577"/>
  <c r="C4576"/>
  <c r="C4575"/>
  <c r="C4574"/>
  <c r="C4573"/>
  <c r="C4572"/>
  <c r="C4571"/>
  <c r="C4570"/>
  <c r="C4569"/>
  <c r="C4568"/>
  <c r="C4567"/>
  <c r="C4566"/>
  <c r="C4565"/>
  <c r="C4564"/>
  <c r="C4563"/>
  <c r="C4562"/>
  <c r="C4561"/>
  <c r="C4560"/>
  <c r="C4559"/>
  <c r="C4558"/>
  <c r="C4557"/>
  <c r="C4556"/>
  <c r="C4555"/>
  <c r="C4554"/>
  <c r="C4553"/>
  <c r="C4552"/>
  <c r="C4551"/>
  <c r="C4550"/>
  <c r="C4549"/>
  <c r="C4548"/>
  <c r="C4547"/>
  <c r="C4546"/>
  <c r="C4545"/>
  <c r="C4544"/>
  <c r="C4543"/>
  <c r="C4542"/>
  <c r="C4541"/>
  <c r="C4540"/>
  <c r="C4539"/>
  <c r="C4538"/>
  <c r="C4537"/>
  <c r="C4536"/>
  <c r="C4535"/>
  <c r="C4534"/>
  <c r="C4533"/>
  <c r="C4532"/>
  <c r="C4531"/>
  <c r="C4530"/>
  <c r="C4529"/>
  <c r="C4528"/>
  <c r="C4527"/>
  <c r="C4526"/>
  <c r="C4525"/>
  <c r="C4524"/>
  <c r="C4523"/>
  <c r="C4522"/>
  <c r="C4521"/>
  <c r="C4520"/>
  <c r="C4519"/>
  <c r="C4518"/>
  <c r="C4517"/>
  <c r="C4516"/>
  <c r="C4515"/>
  <c r="C4514"/>
  <c r="C4513"/>
  <c r="C4512"/>
  <c r="C4511"/>
  <c r="C4510"/>
  <c r="C4509"/>
  <c r="C4508"/>
  <c r="C4507"/>
  <c r="C4506"/>
  <c r="C4505"/>
  <c r="C4504"/>
  <c r="C4503"/>
  <c r="C4502"/>
  <c r="C4501"/>
  <c r="C4500"/>
  <c r="C4499"/>
  <c r="C4498"/>
  <c r="C4497"/>
  <c r="C4496"/>
  <c r="C4495"/>
  <c r="C4494"/>
  <c r="C4493"/>
  <c r="C4492"/>
  <c r="C4491"/>
  <c r="C4490"/>
  <c r="C4489"/>
  <c r="C4488"/>
  <c r="C4487"/>
  <c r="C4486"/>
  <c r="C4485"/>
  <c r="C4484"/>
  <c r="C4483"/>
  <c r="C4482"/>
  <c r="C4481"/>
  <c r="C4480"/>
  <c r="C4479"/>
  <c r="C4478"/>
  <c r="C4477"/>
  <c r="C4476"/>
  <c r="C4475"/>
  <c r="C4474"/>
  <c r="C4473"/>
  <c r="C4472"/>
  <c r="C4471"/>
  <c r="C4470"/>
  <c r="C4469"/>
  <c r="C4468"/>
  <c r="C4467"/>
  <c r="C4466"/>
  <c r="C4465"/>
  <c r="C4464"/>
  <c r="C4463"/>
  <c r="C4462"/>
  <c r="C4461"/>
  <c r="C4460"/>
  <c r="C4459"/>
  <c r="C4458"/>
  <c r="C4457"/>
  <c r="C4456"/>
  <c r="C4455"/>
  <c r="C4454"/>
  <c r="C4453"/>
  <c r="C4452"/>
  <c r="C4451"/>
  <c r="C4450"/>
  <c r="C4449"/>
  <c r="C4448"/>
  <c r="C4447"/>
  <c r="C4446"/>
  <c r="C4445"/>
  <c r="C4444"/>
  <c r="C4443"/>
  <c r="C4442"/>
  <c r="C4441"/>
  <c r="C4440"/>
  <c r="C4439"/>
  <c r="C4438"/>
  <c r="C4437"/>
  <c r="C4436"/>
  <c r="C4435"/>
  <c r="C4434"/>
  <c r="C4433"/>
  <c r="C4432"/>
  <c r="C4431"/>
  <c r="C4430"/>
  <c r="C4429"/>
  <c r="C4428"/>
  <c r="C4427"/>
  <c r="C4426"/>
  <c r="C4425"/>
  <c r="C4424"/>
  <c r="C4423"/>
  <c r="C4422"/>
  <c r="C4421"/>
  <c r="C4420"/>
  <c r="C4419"/>
  <c r="C4418"/>
  <c r="C4417"/>
  <c r="C4416"/>
  <c r="C4415"/>
  <c r="C4414"/>
  <c r="C4413"/>
  <c r="C4412"/>
  <c r="C4411"/>
  <c r="C4410"/>
  <c r="C4409"/>
  <c r="C4408"/>
  <c r="C4407"/>
  <c r="C4406"/>
  <c r="C4405"/>
  <c r="C4404"/>
  <c r="C4403"/>
  <c r="C4402"/>
  <c r="C4401"/>
  <c r="C4400"/>
  <c r="C4399"/>
  <c r="C4398"/>
  <c r="C4397"/>
  <c r="C4396"/>
  <c r="C4395"/>
  <c r="C4394"/>
  <c r="C4393"/>
  <c r="C4392"/>
  <c r="C4391"/>
  <c r="C4390"/>
  <c r="C4389"/>
  <c r="C4388"/>
  <c r="C4387"/>
  <c r="C4386"/>
  <c r="C4385"/>
  <c r="C4384"/>
  <c r="C4383"/>
  <c r="C4382"/>
  <c r="C4381"/>
  <c r="C4380"/>
  <c r="C4379"/>
  <c r="C4378"/>
  <c r="C4377"/>
  <c r="C4376"/>
  <c r="C4375"/>
  <c r="C4374"/>
  <c r="C4373"/>
  <c r="C4372"/>
  <c r="C4371"/>
  <c r="C4370"/>
  <c r="C4369"/>
  <c r="C4368"/>
  <c r="C4367"/>
  <c r="C4366"/>
  <c r="C4365"/>
  <c r="C4364"/>
  <c r="C4363"/>
  <c r="C4362"/>
  <c r="C4361"/>
  <c r="C4360"/>
  <c r="C4359"/>
  <c r="C4358"/>
  <c r="C4357"/>
  <c r="C4356"/>
  <c r="C4355"/>
  <c r="C4354"/>
  <c r="C4353"/>
  <c r="C4352"/>
  <c r="C4351"/>
  <c r="C4350"/>
  <c r="C4349"/>
  <c r="C4348"/>
  <c r="C4347"/>
  <c r="C4346"/>
  <c r="C4345"/>
  <c r="C4344"/>
  <c r="C4343"/>
  <c r="C4342"/>
  <c r="C4341"/>
  <c r="C4340"/>
  <c r="C4339"/>
  <c r="C4338"/>
  <c r="C4337"/>
  <c r="C4336"/>
  <c r="C4335"/>
  <c r="C4334"/>
  <c r="C4333"/>
  <c r="C4332"/>
  <c r="C4331"/>
  <c r="C4330"/>
  <c r="C4329"/>
  <c r="C4328"/>
  <c r="C4327"/>
  <c r="C4326"/>
  <c r="C4325"/>
  <c r="C4324"/>
  <c r="C4323"/>
  <c r="C4322"/>
  <c r="C4321"/>
  <c r="C4320"/>
  <c r="C4319"/>
  <c r="C4318"/>
  <c r="C4317"/>
  <c r="C4316"/>
  <c r="C4315"/>
  <c r="C4314"/>
  <c r="C4313"/>
  <c r="C4312"/>
  <c r="C4311"/>
  <c r="C4310"/>
  <c r="C4309"/>
  <c r="C4308"/>
  <c r="C4307"/>
  <c r="C4306"/>
  <c r="C4305"/>
  <c r="C4304"/>
  <c r="C4303"/>
  <c r="C4302"/>
  <c r="C4301"/>
  <c r="C4300"/>
  <c r="C4299"/>
  <c r="C4298"/>
  <c r="C4297"/>
  <c r="C4296"/>
  <c r="C4295"/>
  <c r="C4294"/>
  <c r="C4293"/>
  <c r="C4292"/>
  <c r="C4291"/>
  <c r="C4290"/>
  <c r="C4289"/>
  <c r="C4288"/>
  <c r="C4287"/>
  <c r="C4286"/>
  <c r="C4285"/>
  <c r="C4284"/>
  <c r="C4283"/>
  <c r="C4282"/>
  <c r="C4281"/>
  <c r="C4280"/>
  <c r="C4279"/>
  <c r="C4278"/>
  <c r="C4277"/>
  <c r="C4276"/>
  <c r="C4275"/>
  <c r="C4274"/>
  <c r="C4273"/>
  <c r="C4272"/>
  <c r="C4271"/>
  <c r="C4270"/>
  <c r="C4269"/>
  <c r="C4268"/>
  <c r="C4267"/>
  <c r="C4266"/>
  <c r="C4265"/>
  <c r="C4264"/>
  <c r="C4263"/>
  <c r="C4262"/>
  <c r="C4261"/>
  <c r="C4260"/>
  <c r="C4259"/>
  <c r="C4258"/>
  <c r="C4257"/>
  <c r="C4256"/>
  <c r="C4255"/>
  <c r="C4254"/>
  <c r="C4253"/>
  <c r="C4252"/>
  <c r="C4251"/>
  <c r="C4250"/>
  <c r="C4249"/>
  <c r="C4248"/>
  <c r="C4247"/>
  <c r="C4246"/>
  <c r="C4245"/>
  <c r="C4244"/>
  <c r="C4243"/>
  <c r="C4242"/>
  <c r="C4241"/>
  <c r="C4240"/>
  <c r="C4239"/>
  <c r="C4238"/>
  <c r="C4237"/>
  <c r="C4236"/>
  <c r="C4235"/>
  <c r="C4234"/>
  <c r="C4233"/>
  <c r="C4232"/>
  <c r="C4231"/>
  <c r="C4230"/>
  <c r="C4229"/>
  <c r="C4228"/>
  <c r="C4227"/>
  <c r="C4226"/>
  <c r="C4225"/>
  <c r="C4224"/>
  <c r="C4223"/>
  <c r="C4222"/>
  <c r="C4221"/>
  <c r="C4220"/>
  <c r="C4219"/>
  <c r="C4218"/>
  <c r="C4217"/>
  <c r="C4216"/>
  <c r="C4215"/>
  <c r="C4214"/>
  <c r="C4213"/>
  <c r="C4212"/>
  <c r="C4211"/>
  <c r="C4210"/>
  <c r="C4209"/>
  <c r="C4208"/>
  <c r="C4207"/>
  <c r="C4206"/>
  <c r="C4205"/>
  <c r="C4204"/>
  <c r="C4203"/>
  <c r="C4202"/>
  <c r="C4201"/>
  <c r="C4200"/>
  <c r="C4199"/>
  <c r="C4198"/>
  <c r="C4197"/>
  <c r="C4196"/>
  <c r="C4195"/>
  <c r="C4194"/>
  <c r="C4193"/>
  <c r="C4192"/>
  <c r="C4191"/>
  <c r="C4190"/>
  <c r="C4189"/>
  <c r="C4188"/>
  <c r="C4187"/>
  <c r="C4186"/>
  <c r="C4185"/>
  <c r="C4184"/>
  <c r="C4183"/>
  <c r="C4182"/>
  <c r="C4181"/>
  <c r="C4180"/>
  <c r="C4179"/>
  <c r="C4178"/>
  <c r="C4177"/>
  <c r="C4176"/>
  <c r="C4175"/>
  <c r="C4174"/>
  <c r="C4173"/>
  <c r="C4172"/>
  <c r="C4171"/>
  <c r="C4170"/>
  <c r="C4169"/>
  <c r="C4168"/>
  <c r="C4167"/>
  <c r="C4166"/>
  <c r="C4165"/>
  <c r="C4164"/>
  <c r="C4163"/>
  <c r="C4162"/>
  <c r="C4161"/>
  <c r="C4160"/>
  <c r="C4159"/>
  <c r="C4158"/>
  <c r="C4157"/>
  <c r="C4156"/>
  <c r="C4155"/>
  <c r="C4154"/>
  <c r="C4153"/>
  <c r="C4152"/>
  <c r="C4151"/>
  <c r="C4150"/>
  <c r="C4149"/>
  <c r="C4148"/>
  <c r="C4147"/>
  <c r="C4146"/>
  <c r="C4145"/>
  <c r="C4144"/>
  <c r="C4143"/>
  <c r="C4142"/>
  <c r="C4141"/>
  <c r="C4140"/>
  <c r="C4139"/>
  <c r="C4138"/>
  <c r="C4137"/>
  <c r="C4136"/>
  <c r="C4135"/>
  <c r="C4134"/>
  <c r="C4133"/>
  <c r="C4132"/>
  <c r="C4131"/>
  <c r="C4130"/>
  <c r="C4129"/>
  <c r="C4128"/>
  <c r="C4127"/>
  <c r="C4126"/>
  <c r="C4125"/>
  <c r="C4124"/>
  <c r="C4123"/>
  <c r="C4122"/>
  <c r="C4121"/>
  <c r="C4120"/>
  <c r="C4119"/>
  <c r="C4118"/>
  <c r="C4117"/>
  <c r="C4116"/>
  <c r="C4115"/>
  <c r="C4114"/>
  <c r="C4113"/>
  <c r="C4112"/>
  <c r="C4111"/>
  <c r="C4110"/>
  <c r="C4109"/>
  <c r="C4108"/>
  <c r="C4107"/>
  <c r="C4106"/>
  <c r="C4105"/>
  <c r="C4104"/>
  <c r="C4103"/>
  <c r="C4102"/>
  <c r="C4101"/>
  <c r="C4100"/>
  <c r="C4099"/>
  <c r="C4098"/>
  <c r="C4097"/>
  <c r="C4096"/>
  <c r="C4095"/>
  <c r="C4094"/>
  <c r="C4093"/>
  <c r="C4092"/>
  <c r="C4091"/>
  <c r="C4090"/>
  <c r="C4089"/>
  <c r="C4088"/>
  <c r="C4087"/>
  <c r="C4086"/>
  <c r="C4085"/>
  <c r="C4084"/>
  <c r="C4083"/>
  <c r="C4082"/>
  <c r="C4081"/>
  <c r="C4080"/>
  <c r="C4079"/>
  <c r="C4078"/>
  <c r="C4077"/>
  <c r="C4076"/>
  <c r="C4075"/>
  <c r="C4074"/>
  <c r="C4073"/>
  <c r="C4072"/>
  <c r="C4071"/>
  <c r="C4070"/>
  <c r="C4069"/>
  <c r="C4068"/>
  <c r="C4067"/>
  <c r="C4066"/>
  <c r="C4065"/>
  <c r="C4064"/>
  <c r="C4063"/>
  <c r="C4062"/>
  <c r="C4061"/>
  <c r="C4060"/>
  <c r="C4059"/>
  <c r="C4058"/>
  <c r="C4057"/>
  <c r="C4056"/>
  <c r="C4055"/>
  <c r="C4054"/>
  <c r="C4053"/>
  <c r="C4052"/>
  <c r="C4051"/>
  <c r="C4050"/>
  <c r="C4049"/>
  <c r="C4048"/>
  <c r="C4047"/>
  <c r="C4046"/>
  <c r="C4045"/>
  <c r="C4044"/>
  <c r="C4043"/>
  <c r="C4042"/>
  <c r="C4041"/>
  <c r="C4040"/>
  <c r="C4039"/>
  <c r="C4038"/>
  <c r="C4037"/>
  <c r="C4036"/>
  <c r="C4035"/>
  <c r="C4034"/>
  <c r="C4033"/>
  <c r="C4032"/>
  <c r="C4031"/>
  <c r="C4030"/>
  <c r="C4029"/>
  <c r="C4028"/>
  <c r="C4027"/>
  <c r="C4026"/>
  <c r="C4025"/>
  <c r="C4024"/>
  <c r="C4023"/>
  <c r="C4022"/>
  <c r="C4021"/>
  <c r="C4020"/>
  <c r="C4019"/>
  <c r="C4018"/>
  <c r="C4017"/>
  <c r="C4016"/>
  <c r="C4015"/>
  <c r="C4014"/>
  <c r="C4013"/>
  <c r="C4012"/>
  <c r="C4011"/>
  <c r="C4010"/>
  <c r="C4009"/>
  <c r="C4008"/>
  <c r="C4007"/>
  <c r="C4006"/>
  <c r="C4005"/>
  <c r="C4004"/>
  <c r="C4003"/>
  <c r="C4002"/>
  <c r="C4001"/>
  <c r="C4000"/>
  <c r="C3999"/>
  <c r="C3998"/>
  <c r="C3997"/>
  <c r="C3996"/>
  <c r="C3995"/>
  <c r="C3994"/>
  <c r="C3993"/>
  <c r="C3992"/>
  <c r="C3991"/>
  <c r="C3990"/>
  <c r="C3989"/>
  <c r="C3988"/>
  <c r="C3987"/>
  <c r="C3986"/>
  <c r="C3985"/>
  <c r="C3984"/>
  <c r="C3983"/>
  <c r="C3982"/>
  <c r="C3981"/>
  <c r="C3980"/>
  <c r="C3979"/>
  <c r="C3978"/>
  <c r="C3977"/>
  <c r="C3976"/>
  <c r="C3975"/>
  <c r="C3974"/>
  <c r="C3973"/>
  <c r="C3972"/>
  <c r="C3971"/>
  <c r="C3970"/>
  <c r="C3969"/>
  <c r="C3968"/>
  <c r="C3967"/>
  <c r="C3966"/>
  <c r="C3965"/>
  <c r="C3964"/>
  <c r="C3963"/>
  <c r="C3962"/>
  <c r="C3961"/>
  <c r="C3960"/>
  <c r="C3959"/>
  <c r="C3958"/>
  <c r="C3957"/>
  <c r="C3956"/>
  <c r="C3955"/>
  <c r="C3954"/>
  <c r="C3953"/>
  <c r="C3952"/>
  <c r="C3951"/>
  <c r="C3950"/>
  <c r="C3949"/>
  <c r="C3948"/>
  <c r="C3947"/>
  <c r="C3946"/>
  <c r="C3945"/>
  <c r="C3944"/>
  <c r="C3943"/>
  <c r="C3942"/>
  <c r="C3941"/>
  <c r="C3940"/>
  <c r="C3939"/>
  <c r="C3938"/>
  <c r="C3937"/>
  <c r="C3936"/>
  <c r="C3935"/>
  <c r="C3934"/>
  <c r="C3933"/>
  <c r="C3932"/>
  <c r="C3931"/>
  <c r="C3930"/>
  <c r="C3929"/>
  <c r="C3928"/>
  <c r="C3927"/>
  <c r="C3926"/>
  <c r="C3925"/>
  <c r="C3924"/>
  <c r="C3923"/>
  <c r="C3922"/>
  <c r="C3921"/>
  <c r="C3920"/>
  <c r="C3919"/>
  <c r="C3918"/>
  <c r="C3917"/>
  <c r="C3916"/>
  <c r="C3915"/>
  <c r="C3914"/>
  <c r="C3913"/>
  <c r="C3912"/>
  <c r="C3911"/>
  <c r="C3910"/>
  <c r="C3909"/>
  <c r="C3908"/>
  <c r="C3907"/>
  <c r="C3906"/>
  <c r="C3905"/>
  <c r="C3904"/>
  <c r="C3903"/>
  <c r="C3902"/>
  <c r="C3901"/>
  <c r="C3900"/>
  <c r="C3899"/>
  <c r="C3898"/>
  <c r="C3897"/>
  <c r="C3896"/>
  <c r="C3895"/>
  <c r="C3894"/>
  <c r="C3893"/>
  <c r="C3892"/>
  <c r="C3891"/>
  <c r="C3890"/>
  <c r="C3889"/>
  <c r="C3888"/>
  <c r="C3887"/>
  <c r="C3886"/>
  <c r="C3885"/>
  <c r="C3884"/>
  <c r="C3883"/>
  <c r="C3882"/>
  <c r="C3881"/>
  <c r="C3880"/>
  <c r="C3879"/>
  <c r="C3878"/>
  <c r="C3877"/>
  <c r="C3876"/>
  <c r="C3875"/>
  <c r="C3874"/>
  <c r="C3873"/>
  <c r="C3872"/>
  <c r="C3871"/>
  <c r="C3870"/>
  <c r="C3869"/>
  <c r="C3868"/>
  <c r="C3867"/>
  <c r="C3866"/>
  <c r="C3865"/>
  <c r="C3864"/>
  <c r="C3863"/>
  <c r="C3862"/>
  <c r="C3861"/>
  <c r="C3860"/>
  <c r="C3859"/>
  <c r="C3858"/>
  <c r="C3857"/>
  <c r="C3856"/>
  <c r="C3855"/>
  <c r="C3854"/>
  <c r="C3853"/>
  <c r="C3852"/>
  <c r="C3851"/>
  <c r="C3850"/>
  <c r="C3849"/>
  <c r="C3848"/>
  <c r="C3847"/>
  <c r="C3846"/>
  <c r="C3845"/>
  <c r="C3844"/>
  <c r="C3843"/>
  <c r="C3842"/>
  <c r="C3841"/>
  <c r="C3840"/>
  <c r="C3839"/>
  <c r="C3838"/>
  <c r="C3837"/>
  <c r="C3836"/>
  <c r="C3835"/>
  <c r="C3834"/>
  <c r="C3833"/>
  <c r="C3832"/>
  <c r="C3831"/>
  <c r="C3830"/>
  <c r="C3829"/>
  <c r="C3828"/>
  <c r="C3827"/>
  <c r="C3826"/>
  <c r="C3825"/>
  <c r="C3824"/>
  <c r="C3823"/>
  <c r="C3822"/>
  <c r="C3821"/>
  <c r="C3820"/>
  <c r="C3819"/>
  <c r="C3818"/>
  <c r="C3817"/>
  <c r="C3816"/>
  <c r="C3815"/>
  <c r="C3814"/>
  <c r="C3813"/>
  <c r="C3812"/>
  <c r="C3811"/>
  <c r="C3810"/>
  <c r="C3809"/>
  <c r="C3808"/>
  <c r="C3807"/>
  <c r="C3806"/>
  <c r="C3805"/>
  <c r="C3804"/>
  <c r="C3803"/>
  <c r="C3802"/>
  <c r="C3801"/>
  <c r="C3800"/>
  <c r="C3799"/>
  <c r="C3798"/>
  <c r="C3797"/>
  <c r="C3796"/>
  <c r="C3795"/>
  <c r="C3794"/>
  <c r="C3793"/>
  <c r="C3792"/>
  <c r="C3791"/>
  <c r="C3790"/>
  <c r="C3789"/>
  <c r="C3788"/>
  <c r="C3787"/>
  <c r="C3786"/>
  <c r="C3785"/>
  <c r="C3784"/>
  <c r="C3783"/>
  <c r="C3782"/>
  <c r="C3781"/>
  <c r="C3780"/>
  <c r="C3779"/>
  <c r="C3778"/>
  <c r="C3777"/>
  <c r="C3776"/>
  <c r="C3775"/>
  <c r="C3774"/>
  <c r="C3773"/>
  <c r="C3772"/>
  <c r="C3771"/>
  <c r="C3770"/>
  <c r="C3769"/>
  <c r="C3768"/>
  <c r="C3767"/>
  <c r="C3766"/>
  <c r="C3765"/>
  <c r="C3764"/>
  <c r="C3763"/>
  <c r="C3762"/>
  <c r="C3761"/>
  <c r="C3760"/>
  <c r="C3759"/>
  <c r="C3758"/>
  <c r="C3757"/>
  <c r="C3756"/>
  <c r="C3755"/>
  <c r="C3754"/>
  <c r="C3753"/>
  <c r="C3752"/>
  <c r="C3751"/>
  <c r="C3750"/>
  <c r="C3749"/>
  <c r="C3748"/>
  <c r="C3747"/>
  <c r="C3746"/>
  <c r="C3745"/>
  <c r="C3744"/>
  <c r="C3743"/>
  <c r="C3742"/>
  <c r="C3741"/>
  <c r="C3740"/>
  <c r="C3739"/>
  <c r="C3738"/>
  <c r="C3737"/>
  <c r="C3736"/>
  <c r="C3735"/>
  <c r="C3734"/>
  <c r="C3733"/>
  <c r="C3732"/>
  <c r="C3731"/>
  <c r="C3730"/>
  <c r="C3729"/>
  <c r="C3728"/>
  <c r="C3727"/>
  <c r="C3726"/>
  <c r="C3725"/>
  <c r="C3724"/>
  <c r="C3723"/>
  <c r="C3722"/>
  <c r="C3721"/>
  <c r="C3720"/>
  <c r="C3719"/>
  <c r="C3718"/>
  <c r="C3717"/>
  <c r="C3716"/>
  <c r="C3715"/>
  <c r="C3714"/>
  <c r="C3713"/>
  <c r="C3712"/>
  <c r="C3711"/>
  <c r="C3710"/>
  <c r="C3709"/>
  <c r="C3708"/>
  <c r="C3707"/>
  <c r="C3706"/>
  <c r="C3705"/>
  <c r="C3704"/>
  <c r="C3703"/>
  <c r="C3702"/>
  <c r="C3701"/>
  <c r="C3700"/>
  <c r="C3699"/>
  <c r="C3698"/>
  <c r="C3697"/>
  <c r="C3696"/>
  <c r="C3695"/>
  <c r="C3694"/>
  <c r="C3693"/>
  <c r="C3692"/>
  <c r="C3691"/>
  <c r="C3690"/>
  <c r="C3689"/>
  <c r="C3688"/>
  <c r="C3687"/>
  <c r="C3686"/>
  <c r="C3685"/>
  <c r="C3684"/>
  <c r="C3683"/>
  <c r="C3682"/>
  <c r="C3681"/>
  <c r="C3680"/>
  <c r="C3679"/>
  <c r="C3678"/>
  <c r="C3677"/>
  <c r="C3676"/>
  <c r="C3675"/>
  <c r="C3674"/>
  <c r="C3673"/>
  <c r="C3672"/>
  <c r="C3671"/>
  <c r="C3670"/>
  <c r="C3669"/>
  <c r="C3668"/>
  <c r="C3667"/>
  <c r="C3666"/>
  <c r="C3665"/>
  <c r="C3664"/>
  <c r="C3663"/>
  <c r="C3662"/>
  <c r="C3661"/>
  <c r="C3660"/>
  <c r="C3659"/>
  <c r="C3658"/>
  <c r="C3657"/>
  <c r="C3656"/>
  <c r="C3655"/>
  <c r="C3654"/>
  <c r="C3653"/>
  <c r="C3652"/>
  <c r="C3651"/>
  <c r="C3650"/>
  <c r="C3649"/>
  <c r="C3648"/>
  <c r="C3647"/>
  <c r="C3646"/>
  <c r="C3645"/>
  <c r="C3644"/>
  <c r="C3643"/>
  <c r="C3642"/>
  <c r="C3641"/>
  <c r="C3640"/>
  <c r="C3639"/>
  <c r="C3638"/>
  <c r="C3637"/>
  <c r="C3636"/>
  <c r="C3635"/>
  <c r="C3634"/>
  <c r="C3633"/>
  <c r="C3632"/>
  <c r="C3631"/>
  <c r="C3630"/>
  <c r="C3629"/>
  <c r="C3628"/>
  <c r="C3627"/>
  <c r="C3626"/>
  <c r="C3625"/>
  <c r="C3624"/>
  <c r="C3623"/>
  <c r="C3622"/>
  <c r="C3621"/>
  <c r="C3620"/>
  <c r="C3619"/>
  <c r="C3618"/>
  <c r="C3617"/>
  <c r="C3616"/>
  <c r="C3615"/>
  <c r="C3614"/>
  <c r="C3613"/>
  <c r="C3612"/>
  <c r="C3611"/>
  <c r="C3610"/>
  <c r="C3609"/>
  <c r="C3608"/>
  <c r="C3607"/>
  <c r="C3606"/>
  <c r="C3605"/>
  <c r="C3604"/>
  <c r="C3603"/>
  <c r="C3602"/>
  <c r="C3601"/>
  <c r="C3600"/>
  <c r="C3599"/>
  <c r="C3598"/>
  <c r="C3597"/>
  <c r="C3596"/>
  <c r="C3595"/>
  <c r="C3594"/>
  <c r="C3593"/>
  <c r="C3592"/>
  <c r="C3591"/>
  <c r="C3590"/>
  <c r="C3589"/>
  <c r="C3588"/>
  <c r="C3587"/>
  <c r="C3586"/>
  <c r="C3585"/>
  <c r="C3584"/>
  <c r="C3583"/>
  <c r="C3582"/>
  <c r="C3581"/>
  <c r="C3580"/>
  <c r="C3579"/>
  <c r="C3578"/>
  <c r="C3577"/>
  <c r="C3576"/>
  <c r="C3575"/>
  <c r="C3574"/>
  <c r="C3573"/>
  <c r="C3572"/>
  <c r="C3571"/>
  <c r="C3570"/>
  <c r="C3569"/>
  <c r="C3568"/>
  <c r="C3567"/>
  <c r="C3566"/>
  <c r="C3565"/>
  <c r="C3564"/>
  <c r="C3563"/>
  <c r="C3562"/>
  <c r="C3561"/>
  <c r="C3560"/>
  <c r="C3559"/>
  <c r="C3558"/>
  <c r="C3557"/>
  <c r="C3556"/>
  <c r="C3555"/>
  <c r="C3554"/>
  <c r="C3553"/>
  <c r="C3552"/>
  <c r="C3551"/>
  <c r="C3550"/>
  <c r="C3549"/>
  <c r="C3548"/>
  <c r="C3547"/>
  <c r="C3546"/>
  <c r="C3545"/>
  <c r="C3544"/>
  <c r="C3543"/>
  <c r="C3542"/>
  <c r="C3541"/>
  <c r="C3540"/>
  <c r="C3539"/>
  <c r="C3538"/>
  <c r="C3537"/>
  <c r="C3536"/>
  <c r="C3535"/>
  <c r="C3534"/>
  <c r="C3533"/>
  <c r="C3532"/>
  <c r="C3531"/>
  <c r="C3530"/>
  <c r="C3529"/>
  <c r="C3528"/>
  <c r="C3527"/>
  <c r="C3526"/>
  <c r="C3525"/>
  <c r="C3524"/>
  <c r="C3523"/>
  <c r="C3522"/>
  <c r="C3521"/>
  <c r="C3520"/>
  <c r="C3519"/>
  <c r="C3518"/>
  <c r="C3517"/>
  <c r="C3516"/>
  <c r="C3515"/>
  <c r="C3514"/>
  <c r="C3513"/>
  <c r="C3512"/>
  <c r="C3511"/>
  <c r="C3510"/>
  <c r="C3509"/>
  <c r="C3508"/>
  <c r="C3507"/>
  <c r="C3506"/>
  <c r="C3505"/>
  <c r="C3504"/>
  <c r="C3503"/>
  <c r="C3502"/>
  <c r="C3501"/>
  <c r="C3500"/>
  <c r="C3499"/>
  <c r="C3498"/>
  <c r="C3497"/>
  <c r="C3496"/>
  <c r="C3495"/>
  <c r="C3494"/>
  <c r="C3493"/>
  <c r="C3492"/>
  <c r="C3491"/>
  <c r="C3490"/>
  <c r="C3489"/>
  <c r="C3488"/>
  <c r="C3487"/>
  <c r="C3486"/>
  <c r="C3485"/>
  <c r="C3484"/>
  <c r="C3483"/>
  <c r="C3482"/>
  <c r="C3481"/>
  <c r="C3480"/>
  <c r="C3479"/>
  <c r="C3478"/>
  <c r="C3477"/>
  <c r="C3476"/>
  <c r="C3475"/>
  <c r="C3474"/>
  <c r="C3473"/>
  <c r="C3472"/>
  <c r="C3471"/>
  <c r="C3470"/>
  <c r="C3469"/>
  <c r="C3468"/>
  <c r="C3467"/>
  <c r="C3466"/>
  <c r="C3465"/>
  <c r="C3464"/>
  <c r="C3463"/>
  <c r="C3462"/>
  <c r="C3461"/>
  <c r="C3460"/>
  <c r="C3459"/>
  <c r="C3458"/>
  <c r="C3457"/>
  <c r="C3456"/>
  <c r="C3455"/>
  <c r="C3454"/>
  <c r="C3453"/>
  <c r="C3452"/>
  <c r="C3451"/>
  <c r="C3450"/>
  <c r="C3449"/>
  <c r="C3448"/>
  <c r="C3447"/>
  <c r="C3446"/>
  <c r="C3445"/>
  <c r="C3444"/>
  <c r="C3443"/>
  <c r="C3442"/>
  <c r="C3441"/>
  <c r="C3440"/>
  <c r="C3439"/>
  <c r="C3438"/>
  <c r="C3437"/>
  <c r="C3436"/>
  <c r="C3435"/>
  <c r="C3434"/>
  <c r="C3433"/>
  <c r="C3432"/>
  <c r="C3431"/>
  <c r="C3430"/>
  <c r="C3429"/>
  <c r="C3428"/>
  <c r="C3427"/>
  <c r="C3426"/>
  <c r="C3425"/>
  <c r="C3424"/>
  <c r="C3423"/>
  <c r="C3422"/>
  <c r="C3421"/>
  <c r="C3420"/>
  <c r="C3419"/>
  <c r="C3418"/>
  <c r="C3417"/>
  <c r="C3416"/>
  <c r="C3415"/>
  <c r="C3414"/>
  <c r="C3413"/>
  <c r="C3412"/>
  <c r="C3411"/>
  <c r="C3410"/>
  <c r="C3409"/>
  <c r="C3408"/>
  <c r="C3407"/>
  <c r="C3406"/>
  <c r="C3405"/>
  <c r="C3404"/>
  <c r="C3403"/>
  <c r="C3402"/>
  <c r="C3401"/>
  <c r="C3400"/>
  <c r="C3399"/>
  <c r="C3398"/>
  <c r="C3397"/>
  <c r="C3396"/>
  <c r="C3395"/>
  <c r="C3394"/>
  <c r="C3393"/>
  <c r="C3392"/>
  <c r="C3391"/>
  <c r="C3390"/>
  <c r="C3389"/>
  <c r="C3388"/>
  <c r="C3387"/>
  <c r="C3386"/>
  <c r="C3385"/>
  <c r="C3384"/>
  <c r="C3383"/>
  <c r="C3382"/>
  <c r="C3381"/>
  <c r="C3380"/>
  <c r="C3379"/>
  <c r="C3378"/>
  <c r="C3377"/>
  <c r="C3376"/>
  <c r="C3375"/>
  <c r="C3374"/>
  <c r="C3373"/>
  <c r="C3372"/>
  <c r="C3371"/>
  <c r="C3370"/>
  <c r="C3369"/>
  <c r="C3368"/>
  <c r="C3367"/>
  <c r="C3366"/>
  <c r="C3365"/>
  <c r="C3364"/>
  <c r="C3363"/>
  <c r="C3362"/>
  <c r="C3361"/>
  <c r="C3360"/>
  <c r="C3359"/>
  <c r="C3358"/>
  <c r="C3357"/>
  <c r="C3356"/>
  <c r="C3355"/>
  <c r="C3354"/>
  <c r="C3353"/>
  <c r="C3352"/>
  <c r="C3351"/>
  <c r="C3350"/>
  <c r="C3349"/>
  <c r="C3348"/>
  <c r="C3347"/>
  <c r="C3346"/>
  <c r="C3345"/>
  <c r="C3344"/>
  <c r="C3343"/>
  <c r="C3342"/>
  <c r="C3341"/>
  <c r="C3340"/>
  <c r="C3339"/>
  <c r="C3338"/>
  <c r="C3337"/>
  <c r="C3336"/>
  <c r="C3335"/>
  <c r="C3334"/>
  <c r="C3333"/>
  <c r="C3332"/>
  <c r="C3331"/>
  <c r="C3330"/>
  <c r="C3329"/>
  <c r="C3328"/>
  <c r="C3327"/>
  <c r="C3326"/>
  <c r="C3325"/>
  <c r="C3324"/>
  <c r="C3323"/>
  <c r="C3322"/>
  <c r="C3321"/>
  <c r="C3320"/>
  <c r="C3319"/>
  <c r="C3318"/>
  <c r="C3317"/>
  <c r="C3316"/>
  <c r="C3315"/>
  <c r="C3314"/>
  <c r="C3313"/>
  <c r="C3312"/>
  <c r="C3311"/>
  <c r="C3310"/>
  <c r="C3309"/>
  <c r="C3308"/>
  <c r="C3307"/>
  <c r="C3306"/>
  <c r="C3305"/>
  <c r="C3304"/>
  <c r="C3303"/>
  <c r="C3302"/>
  <c r="C3301"/>
  <c r="C3300"/>
  <c r="C3299"/>
  <c r="C3298"/>
  <c r="C3297"/>
  <c r="C3296"/>
  <c r="C3295"/>
  <c r="C3294"/>
  <c r="C3293"/>
  <c r="C3292"/>
  <c r="C3291"/>
  <c r="C3290"/>
  <c r="C3289"/>
  <c r="C3288"/>
  <c r="C3287"/>
  <c r="C3286"/>
  <c r="C3285"/>
  <c r="C3284"/>
  <c r="C3283"/>
  <c r="C3282"/>
  <c r="C3281"/>
  <c r="C3280"/>
  <c r="C3279"/>
  <c r="C3278"/>
  <c r="C3277"/>
  <c r="C3276"/>
  <c r="C3275"/>
  <c r="C3274"/>
  <c r="C3273"/>
  <c r="C3272"/>
  <c r="C3271"/>
  <c r="C3270"/>
  <c r="C3269"/>
  <c r="C3268"/>
  <c r="C3267"/>
  <c r="C3266"/>
  <c r="C3265"/>
  <c r="C3264"/>
  <c r="C3263"/>
  <c r="C3262"/>
  <c r="C3261"/>
  <c r="C3260"/>
  <c r="C3259"/>
  <c r="C3258"/>
  <c r="C3257"/>
  <c r="C3256"/>
  <c r="C3255"/>
  <c r="C3254"/>
  <c r="C3253"/>
  <c r="C3252"/>
  <c r="C3251"/>
  <c r="C3250"/>
  <c r="C3249"/>
  <c r="C3248"/>
  <c r="C3247"/>
  <c r="C3246"/>
  <c r="C3245"/>
  <c r="C3244"/>
  <c r="C3243"/>
  <c r="C3242"/>
  <c r="C3241"/>
  <c r="C3240"/>
  <c r="C3239"/>
  <c r="C3238"/>
  <c r="C3237"/>
  <c r="C3236"/>
  <c r="C3235"/>
  <c r="C3234"/>
  <c r="C3233"/>
  <c r="C3232"/>
  <c r="C3231"/>
  <c r="C3230"/>
  <c r="C3229"/>
  <c r="C3228"/>
  <c r="C3227"/>
  <c r="C3226"/>
  <c r="C3225"/>
  <c r="C3224"/>
  <c r="C3223"/>
  <c r="C3222"/>
  <c r="C3221"/>
  <c r="C3220"/>
  <c r="C3219"/>
  <c r="C3218"/>
  <c r="C3217"/>
  <c r="C3216"/>
  <c r="C3215"/>
  <c r="C3214"/>
  <c r="C3213"/>
  <c r="C3212"/>
  <c r="C3211"/>
  <c r="C3210"/>
  <c r="C3209"/>
  <c r="C3208"/>
  <c r="C3207"/>
  <c r="C3206"/>
  <c r="C3205"/>
  <c r="C3204"/>
  <c r="C3203"/>
  <c r="C3202"/>
  <c r="C3201"/>
  <c r="C3200"/>
  <c r="C3199"/>
  <c r="C3198"/>
  <c r="C3197"/>
  <c r="C3196"/>
  <c r="C3195"/>
  <c r="C3194"/>
  <c r="C3193"/>
  <c r="C3192"/>
  <c r="C3191"/>
  <c r="C3190"/>
  <c r="C3189"/>
  <c r="C3188"/>
  <c r="C3187"/>
  <c r="C3186"/>
  <c r="C3185"/>
  <c r="C3184"/>
  <c r="C3183"/>
  <c r="C3182"/>
  <c r="C3181"/>
  <c r="C3180"/>
  <c r="C3179"/>
  <c r="C3178"/>
  <c r="C3177"/>
  <c r="C3176"/>
  <c r="C3175"/>
  <c r="C3174"/>
  <c r="C3173"/>
  <c r="C3172"/>
  <c r="C3171"/>
  <c r="C3170"/>
  <c r="C3169"/>
  <c r="C3168"/>
  <c r="C3167"/>
  <c r="C3166"/>
  <c r="C3165"/>
  <c r="C3164"/>
  <c r="C3163"/>
  <c r="C3162"/>
  <c r="C3161"/>
  <c r="C3160"/>
  <c r="C3159"/>
  <c r="C3158"/>
  <c r="C3157"/>
  <c r="C3156"/>
  <c r="C3155"/>
  <c r="C3154"/>
  <c r="C3153"/>
  <c r="C3152"/>
  <c r="C3151"/>
  <c r="C3150"/>
  <c r="C3149"/>
  <c r="C3148"/>
  <c r="C3147"/>
  <c r="C3146"/>
  <c r="C3145"/>
  <c r="C3144"/>
  <c r="C3143"/>
  <c r="C3142"/>
  <c r="C3141"/>
  <c r="C3140"/>
  <c r="C3139"/>
  <c r="C3138"/>
  <c r="C3137"/>
  <c r="C3136"/>
  <c r="C3135"/>
  <c r="C3134"/>
  <c r="C3133"/>
  <c r="C3132"/>
  <c r="C3131"/>
  <c r="C3130"/>
  <c r="C3129"/>
  <c r="C3128"/>
  <c r="C3127"/>
  <c r="C3126"/>
  <c r="C3125"/>
  <c r="C3124"/>
  <c r="C3123"/>
  <c r="C3122"/>
  <c r="C3121"/>
  <c r="C3120"/>
  <c r="C3119"/>
  <c r="C3118"/>
  <c r="C3117"/>
  <c r="C3116"/>
  <c r="C3115"/>
  <c r="C3114"/>
  <c r="C3113"/>
  <c r="C3112"/>
  <c r="C3111"/>
  <c r="C3110"/>
  <c r="C3109"/>
  <c r="C3108"/>
  <c r="C3107"/>
  <c r="C3106"/>
  <c r="C3105"/>
  <c r="C3104"/>
  <c r="C3103"/>
  <c r="C3102"/>
  <c r="C3101"/>
  <c r="C3100"/>
  <c r="C3099"/>
  <c r="C3098"/>
  <c r="C3097"/>
  <c r="C3096"/>
  <c r="C3095"/>
  <c r="C3094"/>
  <c r="C3093"/>
  <c r="C3092"/>
  <c r="C3091"/>
  <c r="C3090"/>
  <c r="C3089"/>
  <c r="C3088"/>
  <c r="C3087"/>
  <c r="C3086"/>
  <c r="C3085"/>
  <c r="C3084"/>
  <c r="C3083"/>
  <c r="C3082"/>
  <c r="C3081"/>
  <c r="C3080"/>
  <c r="C3079"/>
  <c r="C3078"/>
  <c r="C3077"/>
  <c r="C3076"/>
  <c r="C3075"/>
  <c r="C3074"/>
  <c r="C3073"/>
  <c r="C3072"/>
  <c r="C3071"/>
  <c r="C3070"/>
  <c r="C3069"/>
  <c r="C3068"/>
  <c r="C3067"/>
  <c r="C3066"/>
  <c r="C3065"/>
  <c r="C3064"/>
  <c r="C3063"/>
  <c r="C3062"/>
  <c r="C3061"/>
  <c r="C3060"/>
  <c r="C3059"/>
  <c r="C3058"/>
  <c r="C3057"/>
  <c r="C3056"/>
  <c r="C3055"/>
  <c r="C3054"/>
  <c r="C3053"/>
  <c r="C3052"/>
  <c r="C3051"/>
  <c r="C3050"/>
  <c r="C3049"/>
  <c r="C3048"/>
  <c r="C3047"/>
  <c r="C3046"/>
  <c r="C3045"/>
  <c r="C3044"/>
  <c r="C3043"/>
  <c r="C3042"/>
  <c r="C3041"/>
  <c r="C3040"/>
  <c r="C3039"/>
  <c r="C3038"/>
  <c r="C3037"/>
  <c r="C3036"/>
  <c r="C3035"/>
  <c r="C3034"/>
  <c r="C3033"/>
  <c r="C3032"/>
  <c r="C3031"/>
  <c r="C3030"/>
  <c r="C3029"/>
  <c r="C3028"/>
  <c r="C3027"/>
  <c r="C3026"/>
  <c r="C3025"/>
  <c r="C3024"/>
  <c r="C3023"/>
  <c r="C3022"/>
  <c r="C3021"/>
  <c r="C3020"/>
  <c r="C3019"/>
  <c r="C3018"/>
  <c r="C3017"/>
  <c r="C3016"/>
  <c r="C3015"/>
  <c r="C3014"/>
  <c r="C3013"/>
  <c r="C3012"/>
  <c r="C3011"/>
  <c r="C3010"/>
  <c r="C3009"/>
  <c r="C3008"/>
  <c r="C3007"/>
  <c r="C3006"/>
  <c r="C3005"/>
  <c r="C3004"/>
  <c r="C3003"/>
  <c r="C3002"/>
  <c r="C3001"/>
  <c r="C3000"/>
  <c r="C2999"/>
  <c r="C2998"/>
  <c r="C2997"/>
  <c r="C2996"/>
  <c r="C2995"/>
  <c r="C2994"/>
  <c r="C2993"/>
  <c r="C2992"/>
  <c r="C2991"/>
  <c r="C2990"/>
  <c r="C2989"/>
  <c r="C2988"/>
  <c r="C2987"/>
  <c r="C2986"/>
  <c r="C2985"/>
  <c r="C2984"/>
  <c r="C2983"/>
  <c r="C2982"/>
  <c r="C2981"/>
  <c r="C2980"/>
  <c r="C2979"/>
  <c r="C2978"/>
  <c r="C2977"/>
  <c r="C2976"/>
  <c r="C2975"/>
  <c r="C2974"/>
  <c r="C2973"/>
  <c r="C2972"/>
  <c r="C2971"/>
  <c r="C2970"/>
  <c r="C2969"/>
  <c r="C2968"/>
  <c r="C2967"/>
  <c r="C2966"/>
  <c r="C2965"/>
  <c r="C2964"/>
  <c r="C2963"/>
  <c r="C2962"/>
  <c r="C2961"/>
  <c r="C2960"/>
  <c r="C2959"/>
  <c r="C2958"/>
  <c r="C2957"/>
  <c r="C2956"/>
  <c r="C2955"/>
  <c r="C2954"/>
  <c r="C2953"/>
  <c r="C2952"/>
  <c r="C2951"/>
  <c r="C2950"/>
  <c r="C2949"/>
  <c r="C2948"/>
  <c r="C2947"/>
  <c r="C2946"/>
  <c r="C2945"/>
  <c r="C2944"/>
  <c r="C2943"/>
  <c r="C2942"/>
  <c r="C2941"/>
  <c r="C2940"/>
  <c r="C2939"/>
  <c r="C2938"/>
  <c r="C2937"/>
  <c r="C2936"/>
  <c r="C2935"/>
  <c r="C2934"/>
  <c r="C2933"/>
  <c r="C2932"/>
  <c r="C2931"/>
  <c r="C2930"/>
  <c r="C2929"/>
  <c r="C2928"/>
  <c r="C2927"/>
  <c r="C2926"/>
  <c r="C2925"/>
  <c r="C2924"/>
  <c r="C2923"/>
  <c r="C2922"/>
  <c r="C2921"/>
  <c r="C2920"/>
  <c r="C2919"/>
  <c r="C2918"/>
  <c r="C2917"/>
  <c r="C2916"/>
  <c r="C2915"/>
  <c r="C2914"/>
  <c r="C2913"/>
  <c r="C2912"/>
  <c r="C2911"/>
  <c r="C2910"/>
  <c r="C2909"/>
  <c r="C2908"/>
  <c r="C2907"/>
  <c r="C2906"/>
  <c r="C2905"/>
  <c r="C2904"/>
  <c r="C2903"/>
  <c r="C2902"/>
  <c r="C2901"/>
  <c r="C2900"/>
  <c r="C2899"/>
  <c r="C2898"/>
  <c r="C2897"/>
  <c r="C2896"/>
  <c r="C2895"/>
  <c r="C2894"/>
  <c r="C2893"/>
  <c r="C2892"/>
  <c r="C2891"/>
  <c r="C2890"/>
  <c r="C2889"/>
  <c r="C2888"/>
  <c r="C2887"/>
  <c r="C2886"/>
  <c r="C2885"/>
  <c r="C2884"/>
  <c r="C2883"/>
  <c r="C2882"/>
  <c r="C2881"/>
  <c r="C2880"/>
  <c r="C2879"/>
  <c r="C2878"/>
  <c r="C2877"/>
  <c r="C2876"/>
  <c r="C2875"/>
  <c r="C2874"/>
  <c r="C2873"/>
  <c r="C2872"/>
  <c r="C2871"/>
  <c r="C2870"/>
  <c r="C2869"/>
  <c r="C2868"/>
  <c r="C2867"/>
  <c r="C2866"/>
  <c r="C2865"/>
  <c r="C2864"/>
  <c r="C2863"/>
  <c r="C2862"/>
  <c r="C2861"/>
  <c r="C2860"/>
  <c r="C2859"/>
  <c r="C2858"/>
  <c r="C2857"/>
  <c r="C2856"/>
  <c r="C2855"/>
  <c r="C2854"/>
  <c r="C2853"/>
  <c r="C2852"/>
  <c r="C2851"/>
  <c r="C2850"/>
  <c r="C2849"/>
  <c r="C2848"/>
  <c r="C2847"/>
  <c r="C2846"/>
  <c r="C2845"/>
  <c r="C2844"/>
  <c r="C2843"/>
  <c r="C2842"/>
  <c r="C2841"/>
  <c r="C2840"/>
  <c r="C2839"/>
  <c r="C2838"/>
  <c r="C2837"/>
  <c r="C2836"/>
  <c r="C2835"/>
  <c r="C2834"/>
  <c r="C2833"/>
  <c r="C2832"/>
  <c r="C2831"/>
  <c r="C2830"/>
  <c r="C2829"/>
  <c r="C2828"/>
  <c r="C2827"/>
  <c r="C2826"/>
  <c r="C2825"/>
  <c r="C2824"/>
  <c r="C2823"/>
  <c r="C2822"/>
  <c r="C2821"/>
  <c r="C2820"/>
  <c r="C2819"/>
  <c r="C2818"/>
  <c r="C2817"/>
  <c r="C2816"/>
  <c r="C2815"/>
  <c r="C2814"/>
  <c r="C2813"/>
  <c r="C2812"/>
  <c r="C2811"/>
  <c r="C2810"/>
  <c r="C2809"/>
  <c r="C2808"/>
  <c r="C2807"/>
  <c r="C2806"/>
  <c r="C2805"/>
  <c r="C2804"/>
  <c r="C2803"/>
  <c r="C2802"/>
  <c r="C2801"/>
  <c r="C2800"/>
  <c r="C2799"/>
  <c r="C2798"/>
  <c r="C2797"/>
  <c r="C2796"/>
  <c r="C2795"/>
  <c r="C2794"/>
  <c r="C2793"/>
  <c r="C2792"/>
  <c r="C2791"/>
  <c r="C2790"/>
  <c r="C2789"/>
  <c r="C2788"/>
  <c r="C2787"/>
  <c r="C2786"/>
  <c r="C2785"/>
  <c r="C2784"/>
  <c r="C2783"/>
  <c r="C2782"/>
  <c r="C2781"/>
  <c r="C2780"/>
  <c r="C2779"/>
  <c r="C2778"/>
  <c r="C2777"/>
  <c r="C2776"/>
  <c r="C2775"/>
  <c r="C2774"/>
  <c r="C2773"/>
  <c r="C2772"/>
  <c r="C2771"/>
  <c r="C2770"/>
  <c r="C2769"/>
  <c r="C2768"/>
  <c r="C2767"/>
  <c r="C2766"/>
  <c r="C2765"/>
  <c r="C2764"/>
  <c r="C2763"/>
  <c r="C2762"/>
  <c r="C2761"/>
  <c r="C2760"/>
  <c r="C2759"/>
  <c r="C2758"/>
  <c r="C2757"/>
  <c r="C2756"/>
  <c r="C2755"/>
  <c r="C2754"/>
  <c r="C2753"/>
  <c r="C2752"/>
  <c r="C2751"/>
  <c r="C2750"/>
  <c r="C2749"/>
  <c r="C2748"/>
  <c r="C2747"/>
  <c r="C2746"/>
  <c r="C2745"/>
  <c r="C2744"/>
  <c r="C2743"/>
  <c r="C2742"/>
  <c r="C2741"/>
  <c r="C2740"/>
  <c r="C2739"/>
  <c r="C2738"/>
  <c r="C2737"/>
  <c r="C2736"/>
  <c r="C2735"/>
  <c r="C2734"/>
  <c r="C2733"/>
  <c r="C2732"/>
  <c r="C2731"/>
  <c r="C2730"/>
  <c r="C2729"/>
  <c r="C2728"/>
  <c r="C2727"/>
  <c r="C2726"/>
  <c r="C2725"/>
  <c r="C2724"/>
  <c r="C2723"/>
  <c r="C2722"/>
  <c r="C2721"/>
  <c r="C2720"/>
  <c r="C2719"/>
  <c r="C2718"/>
  <c r="C2717"/>
  <c r="C2716"/>
  <c r="C2715"/>
  <c r="C2714"/>
  <c r="C2713"/>
  <c r="C2712"/>
  <c r="C2711"/>
  <c r="C2710"/>
  <c r="C2709"/>
  <c r="C2708"/>
  <c r="C2707"/>
  <c r="C2706"/>
  <c r="C2705"/>
  <c r="C2704"/>
  <c r="C2703"/>
  <c r="C2702"/>
  <c r="C2701"/>
  <c r="C2700"/>
  <c r="C2699"/>
  <c r="C2698"/>
  <c r="C2697"/>
  <c r="C2696"/>
  <c r="C2695"/>
  <c r="C2694"/>
  <c r="C2693"/>
  <c r="C2692"/>
  <c r="C2691"/>
  <c r="C2690"/>
  <c r="C2689"/>
  <c r="C2688"/>
  <c r="C2687"/>
  <c r="C2686"/>
  <c r="C2685"/>
  <c r="C2684"/>
  <c r="C2683"/>
  <c r="C2682"/>
  <c r="C2681"/>
  <c r="C2680"/>
  <c r="C2679"/>
  <c r="C2678"/>
  <c r="C2677"/>
  <c r="C2676"/>
  <c r="C2675"/>
  <c r="C2674"/>
  <c r="C2673"/>
  <c r="C2672"/>
  <c r="C2671"/>
  <c r="C2670"/>
  <c r="C2669"/>
  <c r="C2668"/>
  <c r="C2667"/>
  <c r="C2666"/>
  <c r="C2665"/>
  <c r="C2664"/>
  <c r="C2663"/>
  <c r="C2662"/>
  <c r="C2661"/>
  <c r="C2660"/>
  <c r="C2659"/>
  <c r="C2658"/>
  <c r="C2657"/>
  <c r="C2656"/>
  <c r="C2655"/>
  <c r="C2654"/>
  <c r="C2653"/>
  <c r="C2652"/>
  <c r="C2651"/>
  <c r="C2650"/>
  <c r="C2649"/>
  <c r="C2648"/>
  <c r="C2647"/>
  <c r="C2646"/>
  <c r="C2645"/>
  <c r="C2644"/>
  <c r="C2643"/>
  <c r="C2642"/>
  <c r="C2641"/>
  <c r="C2640"/>
  <c r="C2639"/>
  <c r="C2638"/>
  <c r="C2637"/>
  <c r="C2636"/>
  <c r="C2635"/>
  <c r="C2634"/>
  <c r="C2633"/>
  <c r="C2632"/>
  <c r="C2631"/>
  <c r="C2630"/>
  <c r="C2629"/>
  <c r="C2628"/>
  <c r="C2627"/>
  <c r="C2626"/>
  <c r="C2625"/>
  <c r="C2624"/>
  <c r="C2623"/>
  <c r="C2622"/>
  <c r="C2621"/>
  <c r="C2620"/>
  <c r="C2619"/>
  <c r="C2618"/>
  <c r="C2617"/>
  <c r="C2616"/>
  <c r="C2615"/>
  <c r="C2614"/>
  <c r="C2613"/>
  <c r="C2612"/>
  <c r="C2611"/>
  <c r="C2610"/>
  <c r="C2609"/>
  <c r="C2608"/>
  <c r="C2607"/>
  <c r="C2606"/>
  <c r="C2605"/>
  <c r="C2604"/>
  <c r="C2603"/>
  <c r="C2602"/>
  <c r="C2601"/>
  <c r="C2600"/>
  <c r="C2599"/>
  <c r="C2598"/>
  <c r="C2597"/>
  <c r="C2596"/>
  <c r="C2595"/>
  <c r="C2594"/>
  <c r="C2593"/>
  <c r="C2592"/>
  <c r="C2591"/>
  <c r="C2590"/>
  <c r="C2589"/>
  <c r="C2588"/>
  <c r="C2587"/>
  <c r="C2586"/>
  <c r="C2585"/>
  <c r="C2584"/>
  <c r="C2583"/>
  <c r="C2582"/>
  <c r="C2581"/>
  <c r="C2580"/>
  <c r="C2579"/>
  <c r="C2578"/>
  <c r="C2577"/>
  <c r="C2576"/>
  <c r="C2575"/>
  <c r="C2574"/>
  <c r="C2573"/>
  <c r="C2572"/>
  <c r="C2571"/>
  <c r="C2570"/>
  <c r="C2569"/>
  <c r="C2568"/>
  <c r="C2567"/>
  <c r="C2566"/>
  <c r="C2565"/>
  <c r="C2564"/>
  <c r="C2563"/>
  <c r="C2562"/>
  <c r="C2561"/>
  <c r="C2560"/>
  <c r="C2559"/>
  <c r="C2558"/>
  <c r="C2557"/>
  <c r="C2556"/>
  <c r="C2555"/>
  <c r="C2554"/>
  <c r="C2553"/>
  <c r="C2552"/>
  <c r="C2551"/>
  <c r="C2550"/>
  <c r="C2549"/>
  <c r="C2548"/>
  <c r="C2547"/>
  <c r="C2546"/>
  <c r="C2545"/>
  <c r="C2544"/>
  <c r="C2543"/>
  <c r="C2542"/>
  <c r="C2541"/>
  <c r="C2540"/>
  <c r="C2539"/>
  <c r="C2538"/>
  <c r="C2537"/>
  <c r="C2536"/>
  <c r="C2535"/>
  <c r="C2534"/>
  <c r="C2533"/>
  <c r="C2532"/>
  <c r="C2531"/>
  <c r="C2530"/>
  <c r="C2529"/>
  <c r="C2528"/>
  <c r="C2527"/>
  <c r="C2526"/>
  <c r="C2525"/>
  <c r="C2524"/>
  <c r="C2523"/>
  <c r="C2522"/>
  <c r="C2521"/>
  <c r="C2520"/>
  <c r="C2519"/>
  <c r="C2518"/>
  <c r="C2517"/>
  <c r="C2516"/>
  <c r="C2515"/>
  <c r="C2514"/>
  <c r="C2513"/>
  <c r="C2512"/>
  <c r="C2511"/>
  <c r="C2510"/>
  <c r="C2509"/>
  <c r="C2508"/>
  <c r="C2507"/>
  <c r="C2506"/>
  <c r="C2505"/>
  <c r="C2504"/>
  <c r="C2503"/>
  <c r="C2502"/>
  <c r="C2501"/>
  <c r="C2500"/>
  <c r="C2499"/>
  <c r="C2498"/>
  <c r="C2497"/>
  <c r="C2496"/>
  <c r="C2495"/>
  <c r="C2494"/>
  <c r="C2493"/>
  <c r="C2492"/>
  <c r="C2491"/>
  <c r="C2490"/>
  <c r="C2489"/>
  <c r="C2488"/>
  <c r="C2487"/>
  <c r="C2486"/>
  <c r="C2485"/>
  <c r="C2484"/>
  <c r="C2483"/>
  <c r="C2482"/>
  <c r="C2481"/>
  <c r="C2480"/>
  <c r="C2479"/>
  <c r="C2478"/>
  <c r="C2477"/>
  <c r="C2476"/>
  <c r="C2475"/>
  <c r="C2474"/>
  <c r="C2473"/>
  <c r="C2472"/>
  <c r="C2471"/>
  <c r="C2470"/>
  <c r="C2469"/>
  <c r="C2468"/>
  <c r="C2467"/>
  <c r="C2466"/>
  <c r="C2465"/>
  <c r="C2464"/>
  <c r="C2463"/>
  <c r="C2462"/>
  <c r="C2461"/>
  <c r="C2460"/>
  <c r="C2459"/>
  <c r="C2458"/>
  <c r="C2457"/>
  <c r="C2456"/>
  <c r="C2455"/>
  <c r="C2454"/>
  <c r="C2453"/>
  <c r="C2452"/>
  <c r="C2451"/>
  <c r="C2450"/>
  <c r="C2449"/>
  <c r="C2448"/>
  <c r="C2447"/>
  <c r="C2446"/>
  <c r="C2445"/>
  <c r="C2444"/>
  <c r="C2443"/>
  <c r="C2442"/>
  <c r="C2441"/>
  <c r="C2440"/>
  <c r="C2439"/>
  <c r="C2438"/>
  <c r="C2437"/>
  <c r="C2436"/>
  <c r="C2435"/>
  <c r="C2434"/>
  <c r="C2433"/>
  <c r="C2432"/>
  <c r="C2431"/>
  <c r="C2430"/>
  <c r="C2429"/>
  <c r="C2428"/>
  <c r="C2427"/>
  <c r="C2426"/>
  <c r="C2425"/>
  <c r="C2424"/>
  <c r="C2423"/>
  <c r="C2422"/>
  <c r="C2421"/>
  <c r="C2420"/>
  <c r="C2419"/>
  <c r="C2418"/>
  <c r="C2417"/>
  <c r="C2416"/>
  <c r="C2415"/>
  <c r="C2414"/>
  <c r="C2413"/>
  <c r="C2412"/>
  <c r="C2411"/>
  <c r="C2410"/>
  <c r="C2409"/>
  <c r="C2408"/>
  <c r="C2407"/>
  <c r="C2406"/>
  <c r="C2405"/>
  <c r="C2404"/>
  <c r="C2403"/>
  <c r="C2402"/>
  <c r="C2401"/>
  <c r="C2400"/>
  <c r="C2399"/>
  <c r="C2398"/>
  <c r="C2397"/>
  <c r="C2396"/>
  <c r="C2395"/>
  <c r="C2394"/>
  <c r="C2393"/>
  <c r="C2392"/>
  <c r="C2391"/>
  <c r="C2390"/>
  <c r="C2389"/>
  <c r="C2388"/>
  <c r="C2387"/>
  <c r="C2386"/>
  <c r="C2385"/>
  <c r="C2384"/>
  <c r="C2383"/>
  <c r="C2382"/>
  <c r="C2381"/>
  <c r="C2380"/>
  <c r="C2379"/>
  <c r="C2378"/>
  <c r="C2377"/>
  <c r="C2376"/>
  <c r="C2375"/>
  <c r="C2374"/>
  <c r="C2373"/>
  <c r="C2372"/>
  <c r="C2371"/>
  <c r="C2370"/>
  <c r="C2369"/>
  <c r="C2368"/>
  <c r="C2367"/>
  <c r="C2366"/>
  <c r="C2365"/>
  <c r="C2364"/>
  <c r="C2363"/>
  <c r="C2362"/>
  <c r="C2361"/>
  <c r="C2360"/>
  <c r="C2359"/>
  <c r="C2358"/>
  <c r="C2357"/>
  <c r="C2356"/>
  <c r="C2355"/>
  <c r="C2354"/>
  <c r="C2353"/>
  <c r="C2352"/>
  <c r="C2351"/>
  <c r="C2350"/>
  <c r="C2349"/>
  <c r="C2348"/>
  <c r="C2347"/>
  <c r="C2346"/>
  <c r="C2345"/>
  <c r="C2344"/>
  <c r="C2343"/>
  <c r="C2342"/>
  <c r="C2341"/>
  <c r="C2340"/>
  <c r="C2339"/>
  <c r="C2338"/>
  <c r="C2337"/>
  <c r="C2336"/>
  <c r="C2335"/>
  <c r="C2334"/>
  <c r="C2333"/>
  <c r="C2332"/>
  <c r="C2331"/>
  <c r="C2330"/>
  <c r="C2329"/>
  <c r="C2328"/>
  <c r="C2327"/>
  <c r="C2326"/>
  <c r="C2325"/>
  <c r="C2324"/>
  <c r="C2323"/>
  <c r="C2322"/>
  <c r="C2321"/>
  <c r="C2320"/>
  <c r="C2319"/>
  <c r="C2318"/>
  <c r="C2317"/>
  <c r="C2316"/>
  <c r="C2315"/>
  <c r="C2314"/>
  <c r="C2313"/>
  <c r="C2312"/>
  <c r="C2311"/>
  <c r="C2310"/>
  <c r="C2309"/>
  <c r="C2308"/>
  <c r="C2307"/>
  <c r="C2306"/>
  <c r="C2305"/>
  <c r="C2304"/>
  <c r="C2303"/>
  <c r="C2302"/>
  <c r="C2301"/>
  <c r="C2300"/>
  <c r="C2299"/>
  <c r="C2298"/>
  <c r="C2297"/>
  <c r="C2296"/>
  <c r="C2295"/>
  <c r="C2294"/>
  <c r="C2293"/>
  <c r="C2292"/>
  <c r="C2291"/>
  <c r="C2290"/>
  <c r="C2289"/>
  <c r="C2288"/>
  <c r="C2287"/>
  <c r="C2286"/>
  <c r="C2285"/>
  <c r="C2284"/>
  <c r="C2283"/>
  <c r="C2282"/>
  <c r="C2281"/>
  <c r="C2280"/>
  <c r="C2279"/>
  <c r="C2278"/>
  <c r="C2277"/>
  <c r="C2276"/>
  <c r="C2275"/>
  <c r="C2274"/>
  <c r="C2273"/>
  <c r="C2272"/>
  <c r="C2271"/>
  <c r="C2270"/>
  <c r="C2269"/>
  <c r="C2268"/>
  <c r="C2267"/>
  <c r="C2266"/>
  <c r="C2265"/>
  <c r="C2264"/>
  <c r="C2263"/>
  <c r="C2262"/>
  <c r="C2261"/>
  <c r="C2260"/>
  <c r="C2259"/>
  <c r="C2258"/>
  <c r="C2257"/>
  <c r="C2256"/>
  <c r="C2255"/>
  <c r="C2254"/>
  <c r="C2253"/>
  <c r="C2252"/>
  <c r="C2251"/>
  <c r="C2250"/>
  <c r="C2249"/>
  <c r="C2248"/>
  <c r="C2247"/>
  <c r="C2246"/>
  <c r="C2245"/>
  <c r="C2244"/>
  <c r="C2243"/>
  <c r="C2242"/>
  <c r="C2241"/>
  <c r="C2240"/>
  <c r="C2239"/>
  <c r="C2238"/>
  <c r="C2237"/>
  <c r="C2236"/>
  <c r="C2235"/>
  <c r="C2234"/>
  <c r="C2233"/>
  <c r="C2232"/>
  <c r="C2231"/>
  <c r="C2230"/>
  <c r="C2229"/>
  <c r="C2228"/>
  <c r="C2227"/>
  <c r="C2226"/>
  <c r="C2225"/>
  <c r="C2224"/>
  <c r="C2223"/>
  <c r="C2222"/>
  <c r="C2221"/>
  <c r="C2220"/>
  <c r="C2219"/>
  <c r="C2218"/>
  <c r="C2217"/>
  <c r="C2216"/>
  <c r="C2215"/>
  <c r="C2214"/>
  <c r="C2213"/>
  <c r="C2212"/>
  <c r="C2211"/>
  <c r="C2210"/>
  <c r="C2209"/>
  <c r="C2208"/>
  <c r="C2207"/>
  <c r="C2206"/>
  <c r="C2205"/>
  <c r="C2204"/>
  <c r="C2203"/>
  <c r="C2202"/>
  <c r="C2201"/>
  <c r="C2200"/>
  <c r="C2199"/>
  <c r="C2198"/>
  <c r="C2197"/>
  <c r="C2196"/>
  <c r="C2195"/>
  <c r="C2194"/>
  <c r="C2193"/>
  <c r="C2192"/>
  <c r="C2191"/>
  <c r="C2190"/>
  <c r="C2189"/>
  <c r="C2188"/>
  <c r="C2187"/>
  <c r="C2186"/>
  <c r="C2185"/>
  <c r="C2184"/>
  <c r="C2183"/>
  <c r="C2182"/>
  <c r="C2181"/>
  <c r="C2180"/>
  <c r="C2179"/>
  <c r="C2178"/>
  <c r="C2177"/>
  <c r="C2176"/>
  <c r="C2175"/>
  <c r="C2174"/>
  <c r="C2173"/>
  <c r="C2172"/>
  <c r="C2171"/>
  <c r="C2170"/>
  <c r="C2169"/>
  <c r="C2168"/>
  <c r="C2167"/>
  <c r="C2166"/>
  <c r="C2165"/>
  <c r="C2164"/>
  <c r="C2163"/>
  <c r="C2162"/>
  <c r="C2161"/>
  <c r="C2160"/>
  <c r="C2159"/>
  <c r="C2158"/>
  <c r="C2157"/>
  <c r="C2156"/>
  <c r="C2155"/>
  <c r="C2154"/>
  <c r="C2153"/>
  <c r="C2152"/>
  <c r="C2151"/>
  <c r="C2150"/>
  <c r="C2149"/>
  <c r="C2148"/>
  <c r="C2147"/>
  <c r="C2146"/>
  <c r="C2145"/>
  <c r="C2144"/>
  <c r="C2143"/>
  <c r="C2142"/>
  <c r="C2141"/>
  <c r="C2140"/>
  <c r="C2139"/>
  <c r="C2138"/>
  <c r="C2137"/>
  <c r="C2136"/>
  <c r="C2135"/>
  <c r="C2134"/>
  <c r="C2133"/>
  <c r="C2132"/>
  <c r="C2131"/>
  <c r="C2130"/>
  <c r="C2129"/>
  <c r="C2128"/>
  <c r="C2127"/>
  <c r="C2126"/>
  <c r="C2125"/>
  <c r="C2124"/>
  <c r="C2123"/>
  <c r="C2122"/>
  <c r="C2121"/>
  <c r="C2120"/>
  <c r="C2119"/>
  <c r="C2118"/>
  <c r="C2117"/>
  <c r="C2116"/>
  <c r="C2115"/>
  <c r="C2114"/>
  <c r="C2113"/>
  <c r="C2112"/>
  <c r="C2111"/>
  <c r="C2110"/>
  <c r="C2109"/>
  <c r="C2108"/>
  <c r="C2107"/>
  <c r="C2106"/>
  <c r="C2105"/>
  <c r="C2104"/>
  <c r="C2103"/>
  <c r="C2102"/>
  <c r="C2101"/>
  <c r="C2100"/>
  <c r="C2099"/>
  <c r="C2098"/>
  <c r="C2097"/>
  <c r="C2096"/>
  <c r="C2095"/>
  <c r="C2094"/>
  <c r="C2093"/>
  <c r="C2092"/>
  <c r="C2091"/>
  <c r="C2090"/>
  <c r="C2089"/>
  <c r="C2088"/>
  <c r="C2087"/>
  <c r="C2086"/>
  <c r="C2085"/>
  <c r="C2084"/>
  <c r="C2083"/>
  <c r="C2082"/>
  <c r="C2081"/>
  <c r="C2080"/>
  <c r="C2079"/>
  <c r="C2078"/>
  <c r="C2077"/>
  <c r="C2076"/>
  <c r="C2075"/>
  <c r="C2074"/>
  <c r="C2073"/>
  <c r="C2072"/>
  <c r="C2071"/>
  <c r="C2070"/>
  <c r="C2069"/>
  <c r="C2068"/>
  <c r="C2067"/>
  <c r="C2066"/>
  <c r="C2065"/>
  <c r="C2064"/>
  <c r="C2063"/>
  <c r="C2062"/>
  <c r="C2061"/>
  <c r="C2060"/>
  <c r="C2059"/>
  <c r="C2058"/>
  <c r="C2057"/>
  <c r="C2056"/>
  <c r="C2055"/>
  <c r="C2054"/>
  <c r="C2053"/>
  <c r="C2052"/>
  <c r="C2051"/>
  <c r="C2050"/>
  <c r="C2049"/>
  <c r="C2048"/>
  <c r="C2047"/>
  <c r="C2046"/>
  <c r="C2045"/>
  <c r="C2044"/>
  <c r="C2043"/>
  <c r="C2042"/>
  <c r="C2041"/>
  <c r="C2040"/>
  <c r="C2039"/>
  <c r="C2038"/>
  <c r="C2037"/>
  <c r="C2036"/>
  <c r="C2035"/>
  <c r="C2034"/>
  <c r="C2033"/>
  <c r="C2032"/>
  <c r="C2031"/>
  <c r="C2030"/>
  <c r="C2029"/>
  <c r="C2028"/>
  <c r="C2027"/>
  <c r="C2026"/>
  <c r="C2025"/>
  <c r="C2024"/>
  <c r="C2023"/>
  <c r="C2022"/>
  <c r="C2021"/>
  <c r="C2020"/>
  <c r="C2019"/>
  <c r="C2018"/>
  <c r="C2017"/>
  <c r="C2016"/>
  <c r="C2015"/>
  <c r="C2014"/>
  <c r="C2013"/>
  <c r="C2012"/>
  <c r="C2011"/>
  <c r="C2010"/>
  <c r="C2009"/>
  <c r="C2008"/>
  <c r="C2007"/>
  <c r="C2006"/>
  <c r="C2005"/>
  <c r="C2004"/>
  <c r="C2003"/>
  <c r="C2002"/>
  <c r="C2001"/>
  <c r="C2000"/>
  <c r="C1999"/>
  <c r="C1998"/>
  <c r="C1997"/>
  <c r="C1996"/>
  <c r="C1995"/>
  <c r="C1994"/>
  <c r="C1993"/>
  <c r="C1992"/>
  <c r="C1991"/>
  <c r="C1990"/>
  <c r="C1989"/>
  <c r="C1988"/>
  <c r="C1987"/>
  <c r="C1986"/>
  <c r="C1985"/>
  <c r="C1984"/>
  <c r="C1983"/>
  <c r="C1982"/>
  <c r="C1981"/>
  <c r="C1980"/>
  <c r="C1979"/>
  <c r="C1978"/>
  <c r="C1977"/>
  <c r="C1976"/>
  <c r="C1975"/>
  <c r="C1974"/>
  <c r="C1973"/>
  <c r="C1972"/>
  <c r="C1971"/>
  <c r="C1970"/>
  <c r="C1969"/>
  <c r="C1968"/>
  <c r="C1967"/>
  <c r="C1966"/>
  <c r="C1965"/>
  <c r="C1964"/>
  <c r="C1963"/>
  <c r="C1962"/>
  <c r="C1961"/>
  <c r="C1960"/>
  <c r="C1959"/>
  <c r="C1958"/>
  <c r="C1957"/>
  <c r="C1956"/>
  <c r="C1955"/>
  <c r="C1954"/>
  <c r="C1953"/>
  <c r="C1952"/>
  <c r="C1951"/>
  <c r="C1950"/>
  <c r="C1949"/>
  <c r="C1948"/>
  <c r="C1947"/>
  <c r="C1946"/>
  <c r="C1945"/>
  <c r="C1944"/>
  <c r="C1943"/>
  <c r="C1942"/>
  <c r="C1941"/>
  <c r="C1940"/>
  <c r="C1939"/>
  <c r="C1938"/>
  <c r="C1937"/>
  <c r="C1936"/>
  <c r="C1935"/>
  <c r="C1934"/>
  <c r="C1933"/>
  <c r="C1932"/>
  <c r="C1931"/>
  <c r="C1930"/>
  <c r="C1929"/>
  <c r="C1928"/>
  <c r="C1927"/>
  <c r="C1926"/>
  <c r="C1925"/>
  <c r="C1924"/>
  <c r="C1923"/>
  <c r="C1922"/>
  <c r="C1921"/>
  <c r="C1920"/>
  <c r="C1919"/>
  <c r="C1918"/>
  <c r="C1917"/>
  <c r="C1916"/>
  <c r="C1915"/>
  <c r="C1914"/>
  <c r="C1913"/>
  <c r="C1912"/>
  <c r="C1911"/>
  <c r="C1910"/>
  <c r="C1909"/>
  <c r="C1908"/>
  <c r="C1907"/>
  <c r="C1906"/>
  <c r="C1905"/>
  <c r="C1904"/>
  <c r="C1903"/>
  <c r="C1902"/>
  <c r="C1901"/>
  <c r="C1900"/>
  <c r="C1899"/>
  <c r="C1898"/>
  <c r="C1897"/>
  <c r="C1896"/>
  <c r="C1895"/>
  <c r="C1894"/>
  <c r="C1893"/>
  <c r="C1892"/>
  <c r="C1891"/>
  <c r="C1890"/>
  <c r="C1889"/>
  <c r="C1888"/>
  <c r="C1887"/>
  <c r="C1886"/>
  <c r="C1885"/>
  <c r="C1884"/>
  <c r="C1883"/>
  <c r="C1882"/>
  <c r="C1881"/>
  <c r="C1880"/>
  <c r="C1879"/>
  <c r="C1878"/>
  <c r="C1877"/>
  <c r="C1876"/>
  <c r="C1875"/>
  <c r="C1874"/>
  <c r="C1873"/>
  <c r="C1872"/>
  <c r="C1871"/>
  <c r="C1870"/>
  <c r="C1869"/>
  <c r="C1868"/>
  <c r="C1867"/>
  <c r="C1866"/>
  <c r="C1865"/>
  <c r="C1864"/>
  <c r="C1863"/>
  <c r="C1862"/>
  <c r="C1861"/>
  <c r="C1860"/>
  <c r="C1859"/>
  <c r="C1858"/>
  <c r="C1857"/>
  <c r="C1856"/>
  <c r="C1855"/>
  <c r="C1854"/>
  <c r="C1853"/>
  <c r="C1852"/>
  <c r="C1851"/>
  <c r="C1850"/>
  <c r="C1849"/>
  <c r="C1848"/>
  <c r="C1847"/>
  <c r="C1846"/>
  <c r="C1845"/>
  <c r="C1844"/>
  <c r="C1843"/>
  <c r="C1842"/>
  <c r="C1841"/>
  <c r="C1840"/>
  <c r="C1839"/>
  <c r="C1838"/>
  <c r="C1837"/>
  <c r="C1836"/>
  <c r="C1835"/>
  <c r="C1834"/>
  <c r="C1833"/>
  <c r="C1832"/>
  <c r="C1831"/>
  <c r="C1830"/>
  <c r="C1829"/>
  <c r="C1828"/>
  <c r="C1827"/>
  <c r="C1826"/>
  <c r="C1825"/>
  <c r="C1824"/>
  <c r="C1823"/>
  <c r="C1822"/>
  <c r="C1821"/>
  <c r="C1820"/>
  <c r="C1819"/>
  <c r="C1818"/>
  <c r="C1817"/>
  <c r="C1816"/>
  <c r="C1815"/>
  <c r="C1814"/>
  <c r="C1813"/>
  <c r="C1812"/>
  <c r="C1811"/>
  <c r="C1810"/>
  <c r="C1809"/>
  <c r="C1808"/>
  <c r="C1807"/>
  <c r="C1806"/>
  <c r="C1805"/>
  <c r="C1804"/>
  <c r="C1803"/>
  <c r="C1802"/>
  <c r="C1801"/>
  <c r="C1800"/>
  <c r="C1799"/>
  <c r="C1798"/>
  <c r="C1797"/>
  <c r="C1796"/>
  <c r="C1795"/>
  <c r="C1794"/>
  <c r="C1793"/>
  <c r="C1792"/>
  <c r="C1791"/>
  <c r="C1790"/>
  <c r="C1789"/>
  <c r="C1788"/>
  <c r="C1787"/>
  <c r="C1786"/>
  <c r="C1785"/>
  <c r="C1784"/>
  <c r="C1783"/>
  <c r="C1782"/>
  <c r="C1781"/>
  <c r="C1780"/>
  <c r="C1779"/>
  <c r="C1778"/>
  <c r="C1777"/>
  <c r="C1776"/>
  <c r="C1775"/>
  <c r="C1774"/>
  <c r="C1773"/>
  <c r="C1772"/>
  <c r="C1771"/>
  <c r="C1770"/>
  <c r="C1769"/>
  <c r="C1768"/>
  <c r="C1767"/>
  <c r="C1766"/>
  <c r="C1765"/>
  <c r="C1764"/>
  <c r="C1763"/>
  <c r="C1762"/>
  <c r="C1761"/>
  <c r="C1760"/>
  <c r="C1759"/>
  <c r="C1758"/>
  <c r="C1757"/>
  <c r="C1756"/>
  <c r="C1755"/>
  <c r="C1754"/>
  <c r="C1753"/>
  <c r="C1752"/>
  <c r="C1751"/>
  <c r="C1750"/>
  <c r="C1749"/>
  <c r="C1748"/>
  <c r="C1747"/>
  <c r="C1746"/>
  <c r="C1745"/>
  <c r="C1744"/>
  <c r="C1743"/>
  <c r="C1742"/>
  <c r="C1741"/>
  <c r="C1740"/>
  <c r="C1739"/>
  <c r="C1738"/>
  <c r="C1737"/>
  <c r="C1736"/>
  <c r="C1735"/>
  <c r="C1734"/>
  <c r="C1733"/>
  <c r="C1732"/>
  <c r="C1731"/>
  <c r="C1730"/>
  <c r="C1729"/>
  <c r="C1728"/>
  <c r="C1727"/>
  <c r="C1726"/>
  <c r="C1725"/>
  <c r="C1724"/>
  <c r="C1723"/>
  <c r="C1722"/>
  <c r="C1721"/>
  <c r="C1720"/>
  <c r="C1719"/>
  <c r="C1718"/>
  <c r="C1717"/>
  <c r="C1716"/>
  <c r="C1715"/>
  <c r="C1714"/>
  <c r="C1713"/>
  <c r="C1712"/>
  <c r="C1711"/>
  <c r="C1710"/>
  <c r="C1709"/>
  <c r="C1708"/>
  <c r="C1707"/>
  <c r="C1706"/>
  <c r="C1705"/>
  <c r="C1704"/>
  <c r="C1703"/>
  <c r="C1702"/>
  <c r="C1701"/>
  <c r="C1700"/>
  <c r="C1699"/>
  <c r="C1698"/>
  <c r="C1697"/>
  <c r="C1696"/>
  <c r="C1695"/>
  <c r="C1694"/>
  <c r="C1693"/>
  <c r="C1692"/>
  <c r="C1691"/>
  <c r="C1690"/>
  <c r="C1689"/>
  <c r="C1688"/>
  <c r="C1687"/>
  <c r="C1686"/>
  <c r="C1685"/>
  <c r="C1684"/>
  <c r="C1683"/>
  <c r="C1682"/>
  <c r="C1681"/>
  <c r="C1680"/>
  <c r="C1679"/>
  <c r="C1678"/>
  <c r="C1677"/>
  <c r="C1676"/>
  <c r="C1675"/>
  <c r="C1674"/>
  <c r="C1673"/>
  <c r="C1672"/>
  <c r="C1671"/>
  <c r="C1670"/>
  <c r="C1669"/>
  <c r="C1668"/>
  <c r="C1667"/>
  <c r="C1666"/>
  <c r="C1665"/>
  <c r="C1664"/>
  <c r="C1663"/>
  <c r="C1662"/>
  <c r="C1661"/>
  <c r="C1660"/>
  <c r="C1659"/>
  <c r="C1658"/>
  <c r="C1657"/>
  <c r="C1656"/>
  <c r="C1655"/>
  <c r="C1654"/>
  <c r="C1653"/>
  <c r="C1652"/>
  <c r="C1651"/>
  <c r="C1650"/>
  <c r="C1649"/>
  <c r="C1648"/>
  <c r="C1647"/>
  <c r="C1646"/>
  <c r="C1645"/>
  <c r="C1644"/>
  <c r="C1643"/>
  <c r="C1642"/>
  <c r="C1641"/>
  <c r="C1640"/>
  <c r="C1639"/>
  <c r="C1638"/>
  <c r="C1637"/>
  <c r="C1636"/>
  <c r="C1635"/>
  <c r="C1634"/>
  <c r="C1633"/>
  <c r="C1632"/>
  <c r="C1631"/>
  <c r="C1630"/>
  <c r="C1629"/>
  <c r="C1628"/>
  <c r="C1627"/>
  <c r="C1626"/>
  <c r="C1625"/>
  <c r="C1624"/>
  <c r="C1623"/>
  <c r="C1622"/>
  <c r="C1621"/>
  <c r="C1620"/>
  <c r="C1619"/>
  <c r="C1618"/>
  <c r="C1617"/>
  <c r="C1616"/>
  <c r="C1615"/>
  <c r="C1614"/>
  <c r="C1613"/>
  <c r="C1612"/>
  <c r="C1611"/>
  <c r="C1610"/>
  <c r="C1609"/>
  <c r="C1608"/>
  <c r="C1607"/>
  <c r="C1606"/>
  <c r="C1605"/>
  <c r="C1604"/>
  <c r="C1603"/>
  <c r="C1602"/>
  <c r="C1601"/>
  <c r="C1600"/>
  <c r="C1599"/>
  <c r="C1598"/>
  <c r="C1597"/>
  <c r="C1596"/>
  <c r="C1595"/>
  <c r="C1594"/>
  <c r="C1593"/>
  <c r="C1592"/>
  <c r="C1591"/>
  <c r="C1590"/>
  <c r="C1589"/>
  <c r="C1588"/>
  <c r="C1587"/>
  <c r="C1586"/>
  <c r="C1585"/>
  <c r="C1584"/>
  <c r="C1583"/>
  <c r="C1582"/>
  <c r="C1581"/>
  <c r="C1580"/>
  <c r="C1579"/>
  <c r="C1578"/>
  <c r="C1577"/>
  <c r="C1576"/>
  <c r="C1575"/>
  <c r="C1574"/>
  <c r="C1573"/>
  <c r="C1572"/>
  <c r="C1571"/>
  <c r="C1570"/>
  <c r="C1569"/>
  <c r="C1568"/>
  <c r="C1567"/>
  <c r="C1566"/>
  <c r="C1565"/>
  <c r="C1564"/>
  <c r="C1563"/>
  <c r="C1562"/>
  <c r="C1561"/>
  <c r="C1560"/>
  <c r="C1559"/>
  <c r="C1558"/>
  <c r="C1557"/>
  <c r="C1556"/>
  <c r="C1555"/>
  <c r="C1554"/>
  <c r="C1553"/>
  <c r="C1552"/>
  <c r="C1551"/>
  <c r="C1550"/>
  <c r="C1549"/>
  <c r="C1548"/>
  <c r="C1547"/>
  <c r="C1546"/>
  <c r="C1545"/>
  <c r="C1544"/>
  <c r="C1543"/>
  <c r="C1542"/>
  <c r="C1541"/>
  <c r="C1540"/>
  <c r="C1539"/>
  <c r="C1538"/>
  <c r="C1537"/>
  <c r="C1536"/>
  <c r="C1535"/>
  <c r="C1534"/>
  <c r="C1533"/>
  <c r="C1532"/>
  <c r="C1531"/>
  <c r="C1530"/>
  <c r="C1529"/>
  <c r="C1528"/>
  <c r="C1527"/>
  <c r="C1526"/>
  <c r="C1525"/>
  <c r="C1524"/>
  <c r="C1523"/>
  <c r="C1522"/>
  <c r="C1521"/>
  <c r="C1520"/>
  <c r="C1519"/>
  <c r="C1518"/>
  <c r="C1517"/>
  <c r="C1516"/>
  <c r="C1515"/>
  <c r="C1514"/>
  <c r="C1513"/>
  <c r="C1512"/>
  <c r="C1511"/>
  <c r="C1510"/>
  <c r="C1509"/>
  <c r="C1508"/>
  <c r="C1507"/>
  <c r="C1506"/>
  <c r="C1505"/>
  <c r="C1504"/>
  <c r="C1503"/>
  <c r="C1502"/>
  <c r="C1501"/>
  <c r="C1500"/>
  <c r="C1499"/>
  <c r="C1498"/>
  <c r="C1497"/>
  <c r="C1496"/>
  <c r="C1495"/>
  <c r="C1494"/>
  <c r="C1493"/>
  <c r="C1492"/>
  <c r="C1491"/>
  <c r="C1490"/>
  <c r="C1489"/>
  <c r="C1488"/>
  <c r="C1487"/>
  <c r="C1486"/>
  <c r="C1485"/>
  <c r="C1484"/>
  <c r="C1483"/>
  <c r="C1482"/>
  <c r="C1481"/>
  <c r="C1480"/>
  <c r="C1479"/>
  <c r="C1478"/>
  <c r="C1477"/>
  <c r="C1476"/>
  <c r="C1475"/>
  <c r="C1474"/>
  <c r="C1473"/>
  <c r="C1472"/>
  <c r="C1471"/>
  <c r="C1470"/>
  <c r="C1469"/>
  <c r="C1468"/>
  <c r="C1467"/>
  <c r="C1466"/>
  <c r="C1465"/>
  <c r="C1464"/>
  <c r="C1463"/>
  <c r="C1462"/>
  <c r="C1461"/>
  <c r="C1460"/>
  <c r="C1459"/>
  <c r="C1458"/>
  <c r="C1457"/>
  <c r="C1456"/>
  <c r="C1455"/>
  <c r="C1454"/>
  <c r="C1453"/>
  <c r="C1452"/>
  <c r="C1451"/>
  <c r="C1450"/>
  <c r="C1449"/>
  <c r="C1448"/>
  <c r="C1447"/>
  <c r="C1446"/>
  <c r="C1445"/>
  <c r="C1444"/>
  <c r="C1443"/>
  <c r="C1442"/>
  <c r="C1441"/>
  <c r="C1440"/>
  <c r="C1439"/>
  <c r="C1438"/>
  <c r="C1437"/>
  <c r="C1436"/>
  <c r="C1435"/>
  <c r="C1434"/>
  <c r="C1433"/>
  <c r="C1432"/>
  <c r="C1431"/>
  <c r="C1430"/>
  <c r="C1429"/>
  <c r="C1428"/>
  <c r="C1427"/>
  <c r="C1426"/>
  <c r="C1425"/>
  <c r="C1424"/>
  <c r="C1423"/>
  <c r="C1422"/>
  <c r="C1421"/>
  <c r="C1420"/>
  <c r="C1419"/>
  <c r="C1418"/>
  <c r="C1417"/>
  <c r="C1416"/>
  <c r="C1415"/>
  <c r="C1414"/>
  <c r="C1413"/>
  <c r="C1412"/>
  <c r="C1411"/>
  <c r="C1410"/>
  <c r="C1409"/>
  <c r="C1408"/>
  <c r="C1407"/>
  <c r="C1406"/>
  <c r="C1405"/>
  <c r="C1404"/>
  <c r="C1403"/>
  <c r="C1402"/>
  <c r="C1401"/>
  <c r="C1400"/>
  <c r="C1399"/>
  <c r="C1398"/>
  <c r="C1397"/>
  <c r="C1396"/>
  <c r="C1395"/>
  <c r="C1394"/>
  <c r="C1393"/>
  <c r="C1392"/>
  <c r="C1391"/>
  <c r="C1390"/>
  <c r="C1389"/>
  <c r="C1388"/>
  <c r="C1387"/>
  <c r="C1386"/>
  <c r="C1385"/>
  <c r="C1384"/>
  <c r="C1383"/>
  <c r="C1382"/>
  <c r="C1381"/>
  <c r="C1380"/>
  <c r="C1379"/>
  <c r="C1378"/>
  <c r="C1377"/>
  <c r="C1376"/>
  <c r="C1375"/>
  <c r="C1374"/>
  <c r="C1373"/>
  <c r="C1372"/>
  <c r="C1371"/>
  <c r="C1370"/>
  <c r="C1369"/>
  <c r="C1368"/>
  <c r="C1367"/>
  <c r="C1366"/>
  <c r="C1365"/>
  <c r="C1364"/>
  <c r="C1363"/>
  <c r="C1362"/>
  <c r="C1361"/>
  <c r="C1360"/>
  <c r="C1359"/>
  <c r="C1358"/>
  <c r="C1357"/>
  <c r="C1356"/>
  <c r="C1355"/>
  <c r="C1354"/>
  <c r="C1353"/>
  <c r="C1352"/>
  <c r="C1351"/>
  <c r="C1350"/>
  <c r="C1349"/>
  <c r="C1348"/>
  <c r="C1347"/>
  <c r="C1346"/>
  <c r="C1345"/>
  <c r="C1344"/>
  <c r="C1343"/>
  <c r="C1342"/>
  <c r="C1341"/>
  <c r="C1340"/>
  <c r="C1339"/>
  <c r="C1338"/>
  <c r="C1337"/>
  <c r="C1336"/>
  <c r="C1335"/>
  <c r="C1334"/>
  <c r="C1333"/>
  <c r="C1332"/>
  <c r="C1331"/>
  <c r="C1330"/>
  <c r="C1329"/>
  <c r="C1328"/>
  <c r="C1327"/>
  <c r="C1326"/>
  <c r="C1325"/>
  <c r="C1324"/>
  <c r="C1323"/>
  <c r="C1322"/>
  <c r="C1321"/>
  <c r="C1320"/>
  <c r="C1319"/>
  <c r="C1318"/>
  <c r="C1317"/>
  <c r="C1316"/>
  <c r="C1315"/>
  <c r="C1314"/>
  <c r="C1313"/>
  <c r="C1312"/>
  <c r="C1311"/>
  <c r="C1310"/>
  <c r="C1309"/>
  <c r="C1308"/>
  <c r="C1307"/>
  <c r="C1306"/>
  <c r="C1305"/>
  <c r="C1304"/>
  <c r="C1303"/>
  <c r="C1302"/>
  <c r="C1301"/>
  <c r="C1300"/>
  <c r="C1299"/>
  <c r="C1298"/>
  <c r="C1297"/>
  <c r="C1296"/>
  <c r="C1295"/>
  <c r="C1294"/>
  <c r="C1293"/>
  <c r="C1292"/>
  <c r="C1291"/>
  <c r="C1290"/>
  <c r="C1289"/>
  <c r="C1288"/>
  <c r="C1287"/>
  <c r="C1286"/>
  <c r="C1285"/>
  <c r="C1284"/>
  <c r="C1283"/>
  <c r="C1282"/>
  <c r="C1281"/>
  <c r="C1280"/>
  <c r="C1279"/>
  <c r="C1278"/>
  <c r="C1277"/>
  <c r="C1276"/>
  <c r="C1275"/>
  <c r="C1274"/>
  <c r="C1273"/>
  <c r="C1272"/>
  <c r="C1271"/>
  <c r="C1270"/>
  <c r="C1269"/>
  <c r="C1268"/>
  <c r="C1267"/>
  <c r="C1266"/>
  <c r="C1265"/>
  <c r="C1264"/>
  <c r="C1263"/>
  <c r="C1262"/>
  <c r="C1261"/>
  <c r="C1260"/>
  <c r="C1259"/>
  <c r="C1258"/>
  <c r="C1257"/>
  <c r="C1256"/>
  <c r="C1255"/>
  <c r="C1254"/>
  <c r="C1253"/>
  <c r="C1252"/>
  <c r="C1251"/>
  <c r="C1250"/>
  <c r="C1249"/>
  <c r="C1248"/>
  <c r="C1247"/>
  <c r="C1246"/>
  <c r="C1245"/>
  <c r="C1244"/>
  <c r="C1243"/>
  <c r="C1242"/>
  <c r="C1241"/>
  <c r="C1240"/>
  <c r="C1239"/>
  <c r="C1238"/>
  <c r="C1237"/>
  <c r="C1236"/>
  <c r="C1235"/>
  <c r="C1234"/>
  <c r="C1233"/>
  <c r="C1232"/>
  <c r="C1231"/>
  <c r="C1230"/>
  <c r="C1229"/>
  <c r="C1228"/>
  <c r="C1227"/>
  <c r="C1226"/>
  <c r="C1225"/>
  <c r="C1224"/>
  <c r="C1223"/>
  <c r="C1222"/>
  <c r="C1221"/>
  <c r="C1220"/>
  <c r="C1219"/>
  <c r="C1218"/>
  <c r="C1217"/>
  <c r="C1216"/>
  <c r="C1215"/>
  <c r="C1214"/>
  <c r="C1213"/>
  <c r="C1212"/>
  <c r="C1211"/>
  <c r="C1210"/>
  <c r="C1209"/>
  <c r="C1208"/>
  <c r="C1207"/>
  <c r="C1206"/>
  <c r="C1205"/>
  <c r="C1204"/>
  <c r="C1203"/>
  <c r="C1202"/>
  <c r="C1201"/>
  <c r="C1200"/>
  <c r="C1199"/>
  <c r="C1198"/>
  <c r="C1197"/>
  <c r="C1196"/>
  <c r="C1195"/>
  <c r="C1194"/>
  <c r="C1193"/>
  <c r="C1192"/>
  <c r="C1191"/>
  <c r="C1190"/>
  <c r="C1189"/>
  <c r="C1188"/>
  <c r="C1187"/>
  <c r="C1186"/>
  <c r="C1185"/>
  <c r="C1184"/>
  <c r="C1183"/>
  <c r="C1182"/>
  <c r="C1181"/>
  <c r="C1180"/>
  <c r="C1179"/>
  <c r="C1178"/>
  <c r="C1177"/>
  <c r="C1176"/>
  <c r="C1175"/>
  <c r="C1174"/>
  <c r="C1173"/>
  <c r="C1172"/>
  <c r="C1171"/>
  <c r="C1170"/>
  <c r="C1169"/>
  <c r="C1168"/>
  <c r="C1167"/>
  <c r="C1166"/>
  <c r="C1165"/>
  <c r="C1164"/>
  <c r="C1163"/>
  <c r="C1162"/>
  <c r="C1161"/>
  <c r="C1160"/>
  <c r="C1159"/>
  <c r="C1158"/>
  <c r="C1157"/>
  <c r="C1156"/>
  <c r="C1155"/>
  <c r="C1154"/>
  <c r="C1153"/>
  <c r="C1152"/>
  <c r="C1151"/>
  <c r="C1150"/>
  <c r="C1149"/>
  <c r="C1148"/>
  <c r="C1147"/>
  <c r="C1146"/>
  <c r="C1145"/>
  <c r="C1144"/>
  <c r="C1143"/>
  <c r="C1142"/>
  <c r="C1141"/>
  <c r="C1140"/>
  <c r="C1139"/>
  <c r="C1138"/>
  <c r="C1137"/>
  <c r="C1136"/>
  <c r="C1135"/>
  <c r="C1134"/>
  <c r="C1133"/>
  <c r="C1132"/>
  <c r="C1131"/>
  <c r="C1130"/>
  <c r="C1129"/>
  <c r="C1128"/>
  <c r="C1127"/>
  <c r="C1126"/>
  <c r="C1125"/>
  <c r="C1124"/>
  <c r="C1123"/>
  <c r="C1122"/>
  <c r="C1121"/>
  <c r="C1120"/>
  <c r="C1119"/>
  <c r="C1118"/>
  <c r="C1117"/>
  <c r="C1116"/>
  <c r="C1115"/>
  <c r="C1114"/>
  <c r="C1113"/>
  <c r="C1112"/>
  <c r="C1111"/>
  <c r="C1110"/>
  <c r="C1109"/>
  <c r="C1108"/>
  <c r="C1107"/>
  <c r="C1106"/>
  <c r="C1105"/>
  <c r="C1104"/>
  <c r="C1103"/>
  <c r="C1102"/>
  <c r="C1101"/>
  <c r="C1100"/>
  <c r="C1099"/>
  <c r="C1098"/>
  <c r="C1097"/>
  <c r="C1096"/>
  <c r="C1095"/>
  <c r="C1094"/>
  <c r="C1093"/>
  <c r="C1092"/>
  <c r="C1091"/>
  <c r="C1090"/>
  <c r="C1089"/>
  <c r="C1088"/>
  <c r="C1087"/>
  <c r="C1086"/>
  <c r="C1085"/>
  <c r="C1084"/>
  <c r="C1083"/>
  <c r="C1082"/>
  <c r="C1081"/>
  <c r="C1080"/>
  <c r="C1079"/>
  <c r="C1078"/>
  <c r="C1077"/>
  <c r="C1076"/>
  <c r="C1075"/>
  <c r="C1074"/>
  <c r="C1073"/>
  <c r="C1072"/>
  <c r="C1071"/>
  <c r="C1070"/>
  <c r="C1069"/>
  <c r="C1068"/>
  <c r="C1067"/>
  <c r="C1066"/>
  <c r="C1065"/>
  <c r="C1064"/>
  <c r="C1063"/>
  <c r="C1062"/>
  <c r="C1061"/>
  <c r="C1060"/>
  <c r="C1059"/>
  <c r="C1058"/>
  <c r="C1057"/>
  <c r="C1056"/>
  <c r="C1055"/>
  <c r="C1054"/>
  <c r="C1053"/>
  <c r="C1052"/>
  <c r="C1051"/>
  <c r="C1050"/>
  <c r="C1049"/>
  <c r="C1048"/>
  <c r="C1047"/>
  <c r="C1046"/>
  <c r="C1045"/>
  <c r="C1044"/>
  <c r="C1043"/>
  <c r="C1042"/>
  <c r="C1041"/>
  <c r="C1040"/>
  <c r="C1039"/>
  <c r="C1038"/>
  <c r="C1037"/>
  <c r="C1036"/>
  <c r="C1035"/>
  <c r="C1034"/>
  <c r="C1033"/>
  <c r="C1032"/>
  <c r="C1031"/>
  <c r="C1030"/>
  <c r="C1029"/>
  <c r="C1028"/>
  <c r="C1027"/>
  <c r="C1026"/>
  <c r="C1025"/>
  <c r="C1024"/>
  <c r="C1023"/>
  <c r="C1022"/>
  <c r="C1021"/>
  <c r="C1020"/>
  <c r="C1019"/>
  <c r="C1018"/>
  <c r="C1017"/>
  <c r="C1016"/>
  <c r="C1015"/>
  <c r="C1014"/>
  <c r="C1013"/>
  <c r="C1012"/>
  <c r="C1011"/>
  <c r="C1010"/>
  <c r="C1009"/>
  <c r="C1008"/>
  <c r="C1007"/>
  <c r="C1006"/>
  <c r="C1005"/>
  <c r="C1004"/>
  <c r="C1003"/>
  <c r="C1002"/>
  <c r="C1001"/>
  <c r="C1000"/>
  <c r="C999"/>
  <c r="C998"/>
  <c r="C997"/>
  <c r="C996"/>
  <c r="C995"/>
  <c r="C994"/>
  <c r="C993"/>
  <c r="C992"/>
  <c r="C991"/>
  <c r="C990"/>
  <c r="C989"/>
  <c r="C988"/>
  <c r="C987"/>
  <c r="C986"/>
  <c r="C985"/>
  <c r="C984"/>
  <c r="C983"/>
  <c r="C982"/>
  <c r="C981"/>
  <c r="C980"/>
  <c r="C979"/>
  <c r="C978"/>
  <c r="C977"/>
  <c r="C976"/>
  <c r="C975"/>
  <c r="C974"/>
  <c r="C973"/>
  <c r="C972"/>
  <c r="C971"/>
  <c r="C970"/>
  <c r="C969"/>
  <c r="C968"/>
  <c r="C967"/>
  <c r="C966"/>
  <c r="C965"/>
  <c r="C964"/>
  <c r="C963"/>
  <c r="C962"/>
  <c r="C961"/>
  <c r="C960"/>
  <c r="C959"/>
  <c r="C958"/>
  <c r="C957"/>
  <c r="C956"/>
  <c r="C955"/>
  <c r="C954"/>
  <c r="C953"/>
  <c r="C952"/>
  <c r="C951"/>
  <c r="C950"/>
  <c r="C949"/>
  <c r="C948"/>
  <c r="C947"/>
  <c r="C946"/>
  <c r="C945"/>
  <c r="C944"/>
  <c r="C943"/>
  <c r="C942"/>
  <c r="C941"/>
  <c r="C940"/>
  <c r="C939"/>
  <c r="C938"/>
  <c r="C937"/>
  <c r="C936"/>
  <c r="C935"/>
  <c r="C934"/>
  <c r="C933"/>
  <c r="C932"/>
  <c r="C931"/>
  <c r="C930"/>
  <c r="C929"/>
  <c r="C928"/>
  <c r="C927"/>
  <c r="C926"/>
  <c r="C925"/>
  <c r="C924"/>
  <c r="C923"/>
  <c r="C922"/>
  <c r="C921"/>
  <c r="C920"/>
  <c r="C919"/>
  <c r="C918"/>
  <c r="C917"/>
  <c r="C916"/>
  <c r="C915"/>
  <c r="C914"/>
  <c r="C913"/>
  <c r="C912"/>
  <c r="C911"/>
  <c r="C910"/>
  <c r="C909"/>
  <c r="C908"/>
  <c r="C907"/>
  <c r="C906"/>
  <c r="C905"/>
  <c r="C904"/>
  <c r="C903"/>
  <c r="C902"/>
  <c r="C901"/>
  <c r="C900"/>
  <c r="C899"/>
  <c r="C898"/>
  <c r="C897"/>
  <c r="C896"/>
  <c r="C895"/>
  <c r="C894"/>
  <c r="C893"/>
  <c r="C892"/>
  <c r="C891"/>
  <c r="C890"/>
  <c r="C889"/>
  <c r="C888"/>
  <c r="C887"/>
  <c r="C886"/>
  <c r="C885"/>
  <c r="C884"/>
  <c r="C883"/>
  <c r="C882"/>
  <c r="C881"/>
  <c r="C880"/>
  <c r="C879"/>
  <c r="C878"/>
  <c r="C877"/>
  <c r="C876"/>
  <c r="C875"/>
  <c r="C874"/>
  <c r="C873"/>
  <c r="C872"/>
  <c r="C871"/>
  <c r="C870"/>
  <c r="C869"/>
  <c r="C868"/>
  <c r="C867"/>
  <c r="C866"/>
  <c r="C865"/>
  <c r="C864"/>
  <c r="C863"/>
  <c r="C862"/>
  <c r="C861"/>
  <c r="C860"/>
  <c r="C859"/>
  <c r="C858"/>
  <c r="C857"/>
  <c r="C856"/>
  <c r="C855"/>
  <c r="C854"/>
  <c r="C853"/>
  <c r="C852"/>
  <c r="C851"/>
  <c r="C850"/>
  <c r="C849"/>
  <c r="C848"/>
  <c r="C847"/>
  <c r="C846"/>
  <c r="C845"/>
  <c r="C844"/>
  <c r="C843"/>
  <c r="C842"/>
  <c r="C841"/>
  <c r="C840"/>
  <c r="C839"/>
  <c r="C838"/>
  <c r="C837"/>
  <c r="C836"/>
  <c r="C835"/>
  <c r="C834"/>
  <c r="C833"/>
  <c r="C832"/>
  <c r="C831"/>
  <c r="C830"/>
  <c r="C829"/>
  <c r="C828"/>
  <c r="C827"/>
  <c r="C826"/>
  <c r="C825"/>
  <c r="C824"/>
  <c r="C823"/>
  <c r="C822"/>
  <c r="C821"/>
  <c r="C820"/>
  <c r="C819"/>
  <c r="C818"/>
  <c r="C817"/>
  <c r="C816"/>
  <c r="C815"/>
  <c r="C814"/>
  <c r="C813"/>
  <c r="C812"/>
  <c r="C811"/>
  <c r="C810"/>
  <c r="C809"/>
  <c r="C808"/>
  <c r="C807"/>
  <c r="C806"/>
  <c r="C805"/>
  <c r="C804"/>
  <c r="C803"/>
  <c r="C802"/>
  <c r="C801"/>
  <c r="C800"/>
  <c r="C799"/>
  <c r="C798"/>
  <c r="C797"/>
  <c r="C796"/>
  <c r="C795"/>
  <c r="C794"/>
  <c r="C793"/>
  <c r="C792"/>
  <c r="C791"/>
  <c r="C790"/>
  <c r="C789"/>
  <c r="C788"/>
  <c r="C787"/>
  <c r="C786"/>
  <c r="C785"/>
  <c r="C784"/>
  <c r="C783"/>
  <c r="C782"/>
  <c r="C781"/>
  <c r="C780"/>
  <c r="C779"/>
  <c r="C778"/>
  <c r="C777"/>
  <c r="C776"/>
  <c r="C775"/>
  <c r="C774"/>
  <c r="C773"/>
  <c r="C772"/>
  <c r="C771"/>
  <c r="C770"/>
  <c r="C769"/>
  <c r="C768"/>
  <c r="C767"/>
  <c r="C766"/>
  <c r="C765"/>
  <c r="C764"/>
  <c r="C763"/>
  <c r="C762"/>
  <c r="C761"/>
  <c r="C760"/>
  <c r="C759"/>
  <c r="C758"/>
  <c r="C757"/>
  <c r="C756"/>
  <c r="C755"/>
  <c r="C754"/>
  <c r="C753"/>
  <c r="C752"/>
  <c r="C751"/>
  <c r="C750"/>
  <c r="C749"/>
  <c r="C748"/>
  <c r="C747"/>
  <c r="C746"/>
  <c r="C745"/>
  <c r="C744"/>
  <c r="C743"/>
  <c r="C742"/>
  <c r="C741"/>
  <c r="C740"/>
  <c r="C739"/>
  <c r="C738"/>
  <c r="C737"/>
  <c r="C736"/>
  <c r="C735"/>
  <c r="C734"/>
  <c r="C733"/>
  <c r="C732"/>
  <c r="C731"/>
  <c r="C730"/>
  <c r="C729"/>
  <c r="C728"/>
  <c r="C727"/>
  <c r="C726"/>
  <c r="C725"/>
  <c r="C724"/>
  <c r="C723"/>
  <c r="C722"/>
  <c r="C721"/>
  <c r="C720"/>
  <c r="C719"/>
  <c r="C718"/>
  <c r="C717"/>
  <c r="C716"/>
  <c r="C715"/>
  <c r="C714"/>
  <c r="C713"/>
  <c r="C712"/>
  <c r="C711"/>
  <c r="C710"/>
  <c r="C709"/>
  <c r="C708"/>
  <c r="C707"/>
  <c r="C706"/>
  <c r="C705"/>
  <c r="C704"/>
  <c r="C703"/>
  <c r="C702"/>
  <c r="C701"/>
  <c r="C700"/>
  <c r="C699"/>
  <c r="C698"/>
  <c r="C697"/>
  <c r="C696"/>
  <c r="C695"/>
  <c r="C694"/>
  <c r="C693"/>
  <c r="C692"/>
  <c r="C691"/>
  <c r="C690"/>
  <c r="C689"/>
  <c r="C688"/>
  <c r="C687"/>
  <c r="C686"/>
  <c r="C685"/>
  <c r="C684"/>
  <c r="C683"/>
  <c r="C682"/>
  <c r="C681"/>
  <c r="C680"/>
  <c r="C679"/>
  <c r="C678"/>
  <c r="C677"/>
  <c r="C676"/>
  <c r="C675"/>
  <c r="C674"/>
  <c r="C673"/>
  <c r="C672"/>
  <c r="C671"/>
  <c r="C670"/>
  <c r="C669"/>
  <c r="C668"/>
  <c r="C667"/>
  <c r="C666"/>
  <c r="C665"/>
  <c r="C664"/>
  <c r="C663"/>
  <c r="C662"/>
  <c r="C661"/>
  <c r="C660"/>
  <c r="C659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605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<sst xmlns="http://schemas.openxmlformats.org/spreadsheetml/2006/main" count="41116" uniqueCount="20628">
  <si>
    <t>Title</t>
  </si>
  <si>
    <t>ISSN</t>
  </si>
  <si>
    <t>SJR</t>
  </si>
  <si>
    <t>H index</t>
  </si>
  <si>
    <t>Country</t>
  </si>
  <si>
    <t>15th BHR Group Multiphase Production Technology International Conference (Cannes, France, 6/15-17/2011) Proceedings</t>
  </si>
  <si>
    <t>United States</t>
  </si>
  <si>
    <t>2011 International Conference on ICT Convergence, ICTC 2011</t>
  </si>
  <si>
    <t>21st Century Music</t>
  </si>
  <si>
    <t>2nd International Symposium on Applied Microbiology and Molecular Biology in Oil Systems [ISMOS] (Aarhus, Denmark, 6/17-19/20</t>
  </si>
  <si>
    <t>36th Annual Indonesian Petroleum Association Convention [IPA] (Jakarta, Indonesia, 5/23-25/2012) Proceedings</t>
  </si>
  <si>
    <t>4OR</t>
  </si>
  <si>
    <t>Germany</t>
  </si>
  <si>
    <t>81st Annual SEG International Meeting (San Antonio, TX, 9/18-23/2011) Technical Program</t>
  </si>
  <si>
    <t>AAA, Arbeiten aus Anglistik und Amerikanistik</t>
  </si>
  <si>
    <t>AAC: Augmentative and Alternative Communication</t>
  </si>
  <si>
    <t>United Kingdom</t>
  </si>
  <si>
    <t>AACE International Transactions</t>
  </si>
  <si>
    <t>AACL Bioflux</t>
  </si>
  <si>
    <t>Romania</t>
  </si>
  <si>
    <t>AACN Advanced Critical Care</t>
  </si>
  <si>
    <t>AANA Journal</t>
  </si>
  <si>
    <t>AAO Journal</t>
  </si>
  <si>
    <t>AAPG Bulletin</t>
  </si>
  <si>
    <t>AAPG International Conference: Following Da Vinci's Footsteps to Future Energy Resources: Innovations from Outcrops to Assets</t>
  </si>
  <si>
    <t>AAPG Memoir</t>
  </si>
  <si>
    <t>AAPS Journal</t>
  </si>
  <si>
    <t>AAPS PharmSciTech</t>
  </si>
  <si>
    <t>Abacus</t>
  </si>
  <si>
    <t>ABA Journal</t>
  </si>
  <si>
    <t>ABB Review</t>
  </si>
  <si>
    <t>Switzerland</t>
  </si>
  <si>
    <t>Abdominal Imaging</t>
  </si>
  <si>
    <t>Abhandlungen aus dem Mathematischen Seminar der Universitat Hamburg</t>
  </si>
  <si>
    <t>ABNF journal : official journal of the Association of Black Nursing Faculty in Higher Education, Inc, The</t>
  </si>
  <si>
    <t>Abstract and Applied Analysis</t>
  </si>
  <si>
    <t>ABU Technical Review</t>
  </si>
  <si>
    <t>Malaysia</t>
  </si>
  <si>
    <t>Academe</t>
  </si>
  <si>
    <t>Academia</t>
  </si>
  <si>
    <t>Venezuela</t>
  </si>
  <si>
    <t>Academic Emergency Medicine</t>
  </si>
  <si>
    <t>Academic Journal of Cancer Research</t>
  </si>
  <si>
    <t>Pakistan</t>
  </si>
  <si>
    <t>Academic Journal of Manufacturing Engineering</t>
  </si>
  <si>
    <t>Academic Journal of Second Military Medical University</t>
  </si>
  <si>
    <t>China</t>
  </si>
  <si>
    <t>Academic Leadership</t>
  </si>
  <si>
    <t>Academic Medicine</t>
  </si>
  <si>
    <t>Academic Pediatrics</t>
  </si>
  <si>
    <t>Academic Psychiatry</t>
  </si>
  <si>
    <t>Academic Questions</t>
  </si>
  <si>
    <t>Academic Radiology</t>
  </si>
  <si>
    <t>Academy of Accounting and Financial Studies Journal</t>
  </si>
  <si>
    <t>Academy of Banking Studies Journal</t>
  </si>
  <si>
    <t>Academy of Entrepreneurship Journal</t>
  </si>
  <si>
    <t>Academy of Management Annals</t>
  </si>
  <si>
    <t>Academy of Management Journal</t>
  </si>
  <si>
    <t>Academy of Management Learning and Education</t>
  </si>
  <si>
    <t>Academy of Management Perspectives</t>
  </si>
  <si>
    <t>Academy of Management Review</t>
  </si>
  <si>
    <t>Academy of Marketing Studies Journal</t>
  </si>
  <si>
    <t>Academy of Strategic Management Journal</t>
  </si>
  <si>
    <t>Acadiensis</t>
  </si>
  <si>
    <t>Canada</t>
  </si>
  <si>
    <t>Acarologia</t>
  </si>
  <si>
    <t>France</t>
  </si>
  <si>
    <t>Accident Analysis and Prevention</t>
  </si>
  <si>
    <t>Accountability in Research</t>
  </si>
  <si>
    <t>Accounting and Business Research</t>
  </si>
  <si>
    <t>Accounting and Finance</t>
  </si>
  <si>
    <t>Accounting and the Public Interest</t>
  </si>
  <si>
    <t>Accounting, Auditing and Accountability Journal</t>
  </si>
  <si>
    <t>Accounting Education</t>
  </si>
  <si>
    <t>Accounting Forum</t>
  </si>
  <si>
    <t>Netherlands</t>
  </si>
  <si>
    <t>Accounting History</t>
  </si>
  <si>
    <t>Accounting History Review</t>
  </si>
  <si>
    <t>Accounting Horizons</t>
  </si>
  <si>
    <t>Accounting in Europe</t>
  </si>
  <si>
    <t>Accounting, Organizations and Society</t>
  </si>
  <si>
    <t>Accounting Perspectives</t>
  </si>
  <si>
    <t>Accounting Research Journal</t>
  </si>
  <si>
    <t>Accounting Review</t>
  </si>
  <si>
    <t>Accounts of Chemical Research</t>
  </si>
  <si>
    <t>Accreditation and Quality Assurance</t>
  </si>
  <si>
    <t>ACI Materials Journal</t>
  </si>
  <si>
    <t>ACIMED</t>
  </si>
  <si>
    <t>Cuba</t>
  </si>
  <si>
    <t>ACI Structural Journal</t>
  </si>
  <si>
    <t>ACM Communications in Computer Algebra</t>
  </si>
  <si>
    <t>ACM Computing Surveys</t>
  </si>
  <si>
    <t>ACME</t>
  </si>
  <si>
    <t>ACM Journal on Emerging Technologies in Computing Systems</t>
  </si>
  <si>
    <t>ACM/SIGDA International Symposium on Field Programmable Gate Arrays - FPGA</t>
  </si>
  <si>
    <t>ACM SIGPLAN Notices</t>
  </si>
  <si>
    <t>ACM SIGPLAN/SIGSOFT Workshop on Program Analysis for Software Tools and Engineering</t>
  </si>
  <si>
    <t>ACM Transactions on Accessible Computing</t>
  </si>
  <si>
    <t>ACM Transactions on Algorithms</t>
  </si>
  <si>
    <t>ACM Transactions on Applied Perception</t>
  </si>
  <si>
    <t>ACM Transactions on Asian Language Information Processing</t>
  </si>
  <si>
    <t>ACM Transactions on Autonomous and Adaptive Systems</t>
  </si>
  <si>
    <t>ACM Transactions on Computational Logic</t>
  </si>
  <si>
    <t>ACM Transactions on Computation Theory</t>
  </si>
  <si>
    <t>ACM Transactions on Computer-Human Interaction</t>
  </si>
  <si>
    <t>ACM Transactions on Computer Systems</t>
  </si>
  <si>
    <t>ACM Transactions on Database Systems</t>
  </si>
  <si>
    <t>ACM Transactions on Design Automation of Electronic Systems</t>
  </si>
  <si>
    <t>ACM Transactions on Graphics</t>
  </si>
  <si>
    <t>ACM Transactions on Information and System Security</t>
  </si>
  <si>
    <t>ACM Transactions on Information Systems</t>
  </si>
  <si>
    <t>ACM Transactions on Intelligent Systems and Technology</t>
  </si>
  <si>
    <t>ACM Transactions on Internet Technology</t>
  </si>
  <si>
    <t>ACM Transactions on Knowledge Discovery from Data</t>
  </si>
  <si>
    <t>ACM Transactions on Management Information Systems</t>
  </si>
  <si>
    <t>ACM Transactions on Mathematical Software</t>
  </si>
  <si>
    <t>ACM Transactions on Modeling and Computer Simulation</t>
  </si>
  <si>
    <t>ACM Transactions on Multimedia Computing, Communications and Applications</t>
  </si>
  <si>
    <t>ACM Transactions on Programming Languages and Systems</t>
  </si>
  <si>
    <t>ACM Transactions on Reconfigurable Technology and Systems</t>
  </si>
  <si>
    <t>ACM Transactions on Sensor Networks</t>
  </si>
  <si>
    <t>ACM Transactions on Software Engineering and Methodology</t>
  </si>
  <si>
    <t>ACM Transactions on Speech and Language Processing</t>
  </si>
  <si>
    <t>ACM Transactions on Storage</t>
  </si>
  <si>
    <t>ACM Transactions on the Web</t>
  </si>
  <si>
    <t>A Contrario. Revue interdisciplinaire de sciences sociales</t>
  </si>
  <si>
    <t>ACORN</t>
  </si>
  <si>
    <t>Australia</t>
  </si>
  <si>
    <t>Acoustical Physics</t>
  </si>
  <si>
    <t>Russian Federation</t>
  </si>
  <si>
    <t>Acoustical Science and Technology</t>
  </si>
  <si>
    <t>Japan</t>
  </si>
  <si>
    <t>Acoustics Australia</t>
  </si>
  <si>
    <t>Acoustics Bulletin</t>
  </si>
  <si>
    <t>Across Languages and Cultures</t>
  </si>
  <si>
    <t>Hungary</t>
  </si>
  <si>
    <t>ACS Applied Materials and Interfaces</t>
  </si>
  <si>
    <t>ACS Catalysis</t>
  </si>
  <si>
    <t>ACS Chemical Biology</t>
  </si>
  <si>
    <t>ACS Chemical Neuroscience</t>
  </si>
  <si>
    <t>ACS Combinatorial Science</t>
  </si>
  <si>
    <t>ACS Medicinal Chemistry Letters</t>
  </si>
  <si>
    <t>ACSM's Health and Fitness Journal</t>
  </si>
  <si>
    <t>ACS Nano</t>
  </si>
  <si>
    <t>ACS National Meeting Book of Abstracts</t>
  </si>
  <si>
    <t>ACS Synthetic Biology</t>
  </si>
  <si>
    <t>Acta Academica</t>
  </si>
  <si>
    <t>Acta Acustica united with Acustica</t>
  </si>
  <si>
    <t>Acta Adriatica</t>
  </si>
  <si>
    <t>Croatia</t>
  </si>
  <si>
    <t>Acta Agriculturae Scandinavica - Section A: Animal Science</t>
  </si>
  <si>
    <t>Sweden</t>
  </si>
  <si>
    <t>Acta Agriculturae Scandinavica - Section B Soil and Plant Science</t>
  </si>
  <si>
    <t>Acta Agriculturae Slovenica</t>
  </si>
  <si>
    <t>Slovenia</t>
  </si>
  <si>
    <t>Acta Agronomica Hungarica</t>
  </si>
  <si>
    <t>Acta Agronomica Sinica</t>
  </si>
  <si>
    <t>Acta Alimentaria</t>
  </si>
  <si>
    <t>Acta Amazonica</t>
  </si>
  <si>
    <t>Brazil</t>
  </si>
  <si>
    <t>Acta Anaesthesiologica Belgica</t>
  </si>
  <si>
    <t>Belgium</t>
  </si>
  <si>
    <t>Acta Anaesthesiologica Scandinavica</t>
  </si>
  <si>
    <t>Denmark</t>
  </si>
  <si>
    <t>Acta Anaesthesiologica Taiwanica</t>
  </si>
  <si>
    <t>Taiwan</t>
  </si>
  <si>
    <t>Acta Analytica</t>
  </si>
  <si>
    <t>Acta Anatomica Sinica</t>
  </si>
  <si>
    <t>Acta Angiologica</t>
  </si>
  <si>
    <t>Poland</t>
  </si>
  <si>
    <t>Acta Antiqua Academiae Scientiarum Hungaricae</t>
  </si>
  <si>
    <t>Acta Applicandae Mathematicae</t>
  </si>
  <si>
    <t>Acta Arachnologica</t>
  </si>
  <si>
    <t>Acta Archaeologica</t>
  </si>
  <si>
    <t>Acta Archaeologica Academiae Scientiarum Hungaricae</t>
  </si>
  <si>
    <t>Acta Arithmetica</t>
  </si>
  <si>
    <t>Acta Astronautica</t>
  </si>
  <si>
    <t>Acta Astronomica</t>
  </si>
  <si>
    <t>Acta Baltico-Slavica</t>
  </si>
  <si>
    <t>Acta Biochimica et Biophysica Sinica</t>
  </si>
  <si>
    <t>Acta Biochimica Polonica</t>
  </si>
  <si>
    <t>Acta Bioethica</t>
  </si>
  <si>
    <t>Chile</t>
  </si>
  <si>
    <t>Acta Biologica Colombiana</t>
  </si>
  <si>
    <t>Colombia</t>
  </si>
  <si>
    <t>Acta Biologica Cracoviensia Series Botanica</t>
  </si>
  <si>
    <t>Acta Biologica Hungarica</t>
  </si>
  <si>
    <t>Acta Biologica Szegediensis</t>
  </si>
  <si>
    <t>Acta Biomaterialia</t>
  </si>
  <si>
    <t>Acta Biomedica de l'Ateneo Parmense</t>
  </si>
  <si>
    <t>Italy</t>
  </si>
  <si>
    <t>Acta Bioquimica Clinica Latinoamericana</t>
  </si>
  <si>
    <t>Argentina</t>
  </si>
  <si>
    <t>Acta Biotheoretica</t>
  </si>
  <si>
    <t>Acta Borealia</t>
  </si>
  <si>
    <t>Acta Botanica Brasilica</t>
  </si>
  <si>
    <t>Acta Botanica Croatica</t>
  </si>
  <si>
    <t>Acta Botanica Gallica</t>
  </si>
  <si>
    <t>Acta Botanica Hungarica</t>
  </si>
  <si>
    <t>Acta Botanica Mexicana</t>
  </si>
  <si>
    <t>Mexico</t>
  </si>
  <si>
    <t>Acta Botanica Venezuelica</t>
  </si>
  <si>
    <t>Acta Cardiologica</t>
  </si>
  <si>
    <t>Acta Cardiologica Sinica</t>
  </si>
  <si>
    <t>Acta Carsologica</t>
  </si>
  <si>
    <t>Acta Chimica Slovenica</t>
  </si>
  <si>
    <t>Acta Chiropterologica</t>
  </si>
  <si>
    <t>Acta Chirurgiae Orthopaedicae et Traumatologiae Cechoslovaca</t>
  </si>
  <si>
    <t>Czech Republic</t>
  </si>
  <si>
    <t>Acta Chirurgiae Plasticae</t>
  </si>
  <si>
    <t>Acta Chirurgica Belgica</t>
  </si>
  <si>
    <t>Acta chirurgica Iugoslavica</t>
  </si>
  <si>
    <t>Serbia</t>
  </si>
  <si>
    <t>Acta Chromatographica</t>
  </si>
  <si>
    <t>Acta Cientifica Venezolana</t>
  </si>
  <si>
    <t>Acta Cirurgica Brasileira</t>
  </si>
  <si>
    <t>Acta Clinica Belgica</t>
  </si>
  <si>
    <t>Acta Clinica Croatica</t>
  </si>
  <si>
    <t>Acta Clinica Croatica, Supplement</t>
  </si>
  <si>
    <t>Acta Colombiana de Psicologia</t>
  </si>
  <si>
    <t>Acta Comeniana</t>
  </si>
  <si>
    <t>Acta Crystallographica Section A: Foundations of Crystallography</t>
  </si>
  <si>
    <t>Acta Crystallographica Section B: Structural Science</t>
  </si>
  <si>
    <t>Acta Crystallographica Section C: Crystal Structure Communications</t>
  </si>
  <si>
    <t>Acta Crystallographica Section D: Biological Crystallography</t>
  </si>
  <si>
    <t>Acta Crystallographica Section E: Structure Reports Online</t>
  </si>
  <si>
    <t>Acta Crystallographica Section F: Structural Biology and Crystallization Communications</t>
  </si>
  <si>
    <t>Acta Cybernetica</t>
  </si>
  <si>
    <t>Acta Cytologica</t>
  </si>
  <si>
    <t>Acta Dermato-Venereologica</t>
  </si>
  <si>
    <t>Acta Dermatovenerologica Alpina, Panonica et Adriatica</t>
  </si>
  <si>
    <t>Acta Dermatovenerologica Croatica</t>
  </si>
  <si>
    <t>Acta Diabetologica</t>
  </si>
  <si>
    <t>Acta Ecologica Sinica</t>
  </si>
  <si>
    <t>Acta Endocrinology</t>
  </si>
  <si>
    <t>Acta Endoscopica</t>
  </si>
  <si>
    <t>Acta Entomologica Musei Nationalis Pragae</t>
  </si>
  <si>
    <t>Acta Ethnographica Hungarica</t>
  </si>
  <si>
    <t>Acta Ethologica</t>
  </si>
  <si>
    <t>Acta Facultatis Medicae Naissensis</t>
  </si>
  <si>
    <t>Acta Facultatis Pharmaceuticae Universitatis Comenianae</t>
  </si>
  <si>
    <t>Slovakia</t>
  </si>
  <si>
    <t>Acta Facultatis Xylologiae</t>
  </si>
  <si>
    <t>Acta Farmaceutica Bonaerense</t>
  </si>
  <si>
    <t>Acta Gastro-Enterologica Belgica</t>
  </si>
  <si>
    <t>Acta Gastroenterologica Latinoamericana</t>
  </si>
  <si>
    <t>Acta Geodaetica et Cartographica Sinica</t>
  </si>
  <si>
    <t>Acta Geodaetica et Geophysica Hungarica</t>
  </si>
  <si>
    <t>Acta Geodynamica et Geomaterialia</t>
  </si>
  <si>
    <t>Acta Geographica Sinica</t>
  </si>
  <si>
    <t>Acta Geographica Slovenica</t>
  </si>
  <si>
    <t>Acta Geologica Polonica</t>
  </si>
  <si>
    <t>Acta Geologica Sinica</t>
  </si>
  <si>
    <t>Acta Geophysica</t>
  </si>
  <si>
    <t>Acta Geophysica Sinica</t>
  </si>
  <si>
    <t>Acta Geotechnica</t>
  </si>
  <si>
    <t>Acta Haematologica</t>
  </si>
  <si>
    <t>Acta Haematologica Polonica</t>
  </si>
  <si>
    <t>Acta Hepatologica Japonica</t>
  </si>
  <si>
    <t>Acta Herpetologica</t>
  </si>
  <si>
    <t>Acta Histochemica</t>
  </si>
  <si>
    <t>Acta Histochemica et Cytochemica</t>
  </si>
  <si>
    <t>Acta Historiae Artium</t>
  </si>
  <si>
    <t>Acta historica Leopoldina</t>
  </si>
  <si>
    <t>Acta Historica Tallinnensia</t>
  </si>
  <si>
    <t>Estonia</t>
  </si>
  <si>
    <t>Acta Histriae</t>
  </si>
  <si>
    <t>Acta Horticulturae</t>
  </si>
  <si>
    <t>Acta Ichthyologica et Piscatoria</t>
  </si>
  <si>
    <t>Acta Informatica</t>
  </si>
  <si>
    <t>Acta Informatica Medica</t>
  </si>
  <si>
    <t>Bosnia and Herzegovina</t>
  </si>
  <si>
    <t>Acta Juridica Hungarica</t>
  </si>
  <si>
    <t>Acta Koreana</t>
  </si>
  <si>
    <t>South Korea</t>
  </si>
  <si>
    <t>Acta Linguistica Hafniensia</t>
  </si>
  <si>
    <t>Acta Linguistica Hungarica</t>
  </si>
  <si>
    <t>Acta Literaria</t>
  </si>
  <si>
    <t>Acta Materialia</t>
  </si>
  <si>
    <t>Acta Mathematica</t>
  </si>
  <si>
    <t>Acta Mathematica Academiae Paedagogicae Nyiregyhaziensis</t>
  </si>
  <si>
    <t>Acta Mathematicae Applicatae Sinica</t>
  </si>
  <si>
    <t>Acta Mathematica Hungarica</t>
  </si>
  <si>
    <t>Acta Mathematica Scientia</t>
  </si>
  <si>
    <t>Acta Mathematica Sinica, English Series</t>
  </si>
  <si>
    <t>Acta Mathematica Universitatis Comenianae</t>
  </si>
  <si>
    <t>Acta Mathematica Vietnamica</t>
  </si>
  <si>
    <t>Acta Mechanica</t>
  </si>
  <si>
    <t>Austria</t>
  </si>
  <si>
    <t>Acta Mechanica et Automatica</t>
  </si>
  <si>
    <t>Acta Mechanica Sinica/Lixue Xuebao</t>
  </si>
  <si>
    <t>Acta Mechanica Solida Sinica</t>
  </si>
  <si>
    <t>Acta Medica Bulgarica</t>
  </si>
  <si>
    <t>Bulgaria</t>
  </si>
  <si>
    <t>Acta Medica Croatica</t>
  </si>
  <si>
    <t>Acta medica (Hradec Kralove) / Universitas Carolina, Facultas Medica Hradec Kralove</t>
  </si>
  <si>
    <t>Acta medica Indonesiana</t>
  </si>
  <si>
    <t>Indonesia</t>
  </si>
  <si>
    <t>Acta Medica Iranica</t>
  </si>
  <si>
    <t>Iran</t>
  </si>
  <si>
    <t>Acta Medica Mediterranea</t>
  </si>
  <si>
    <t>Acta Medica Nagasakiensia</t>
  </si>
  <si>
    <t>Acta Medica Okayama</t>
  </si>
  <si>
    <t>Acta Medica Philippina</t>
  </si>
  <si>
    <t>Philippines</t>
  </si>
  <si>
    <t>Acta Medica Portuguesa</t>
  </si>
  <si>
    <t>Portugal</t>
  </si>
  <si>
    <t>Acta Medica Saliniana</t>
  </si>
  <si>
    <t>Acta Metallurgica Sinica (English Letters)</t>
  </si>
  <si>
    <t>Acta Metallurgica Slovaca</t>
  </si>
  <si>
    <t>Acta Meteorologica Sinica</t>
  </si>
  <si>
    <t>Acta Microbiologica et Immunologica</t>
  </si>
  <si>
    <t>Acta Microbiologica Hellenica</t>
  </si>
  <si>
    <t>Greece</t>
  </si>
  <si>
    <t>Acta Microscopica</t>
  </si>
  <si>
    <t>Acta Montanistica Slovaca</t>
  </si>
  <si>
    <t>Acta Mozartiana</t>
  </si>
  <si>
    <t>Acta Musei Nationalis Pragae, Series B - Historia Naturalis</t>
  </si>
  <si>
    <t>Acta Musicologica</t>
  </si>
  <si>
    <t>Acta Myologica</t>
  </si>
  <si>
    <t>Acta Neurobiologiae Experimentalis</t>
  </si>
  <si>
    <t>Acta Neurochirurgica</t>
  </si>
  <si>
    <t>Acta neurochirurgica. Supplement</t>
  </si>
  <si>
    <t>Acta Neurologica Belgica</t>
  </si>
  <si>
    <t>Acta Neurologica Scandinavica</t>
  </si>
  <si>
    <t>Acta Neurologica Scandinavica, Supplement</t>
  </si>
  <si>
    <t>Acta Neurologica Taiwanica</t>
  </si>
  <si>
    <t>Acta Neuropathologica</t>
  </si>
  <si>
    <t>Acta Neuropsychiatrica</t>
  </si>
  <si>
    <t>Acta Neuropsychologica</t>
  </si>
  <si>
    <t>Acta Numerica</t>
  </si>
  <si>
    <t>Acta Obstetricia et Gynecologica Scandinavica</t>
  </si>
  <si>
    <t>Acta Oceanologica Sinica</t>
  </si>
  <si>
    <t>Acta odontologica latinoamericana : AOL</t>
  </si>
  <si>
    <t>Acta Odontologica Scandinavica</t>
  </si>
  <si>
    <t>Acta Oecologica</t>
  </si>
  <si>
    <t>Acta Oeconomica</t>
  </si>
  <si>
    <t>Acta of Bioengineering and Biomechanics</t>
  </si>
  <si>
    <t>Acta Oncologica</t>
  </si>
  <si>
    <t>Acta Ophthalmologica</t>
  </si>
  <si>
    <t>Acta Orientalia</t>
  </si>
  <si>
    <t>Acta Ornithologica</t>
  </si>
  <si>
    <t>Acta Orthopaedica</t>
  </si>
  <si>
    <t>Acta Orthopaedica Belgica</t>
  </si>
  <si>
    <t>Acta Orthopaedica et Traumatologica Turcica</t>
  </si>
  <si>
    <t>Turkey</t>
  </si>
  <si>
    <t>Acta Ortopedica Brasileira</t>
  </si>
  <si>
    <t>Acta ortopeÌdica mexicana</t>
  </si>
  <si>
    <t>Acta Oto-Laryngologica</t>
  </si>
  <si>
    <t>Acta Otorhinolaryngologica Italica</t>
  </si>
  <si>
    <t>Acta Otorrinolaringologica Espanola</t>
  </si>
  <si>
    <t>Spain</t>
  </si>
  <si>
    <t>Acta Paediatrica, International Journal of Paediatrics</t>
  </si>
  <si>
    <t>Acta Paediatrica, International Journal of Paediatrics, Supplement</t>
  </si>
  <si>
    <t>Acta Palaeobotanica</t>
  </si>
  <si>
    <t>Acta Palaeontologica Polonica</t>
  </si>
  <si>
    <t>Acta Parasitologica</t>
  </si>
  <si>
    <t>Acta Pathologica Microbiologica et Immunologica Scandinavica - Supplementum</t>
  </si>
  <si>
    <t>Acta Paulista de Enfermagem</t>
  </si>
  <si>
    <t>Acta Pediatrica Espanola</t>
  </si>
  <si>
    <t>Acta Periodica Technologica</t>
  </si>
  <si>
    <t>Acta Petrologica Sinica</t>
  </si>
  <si>
    <t>Acta Pharmaceutica</t>
  </si>
  <si>
    <t>Acta Pharmaceutica Hungarica</t>
  </si>
  <si>
    <t>Acta Pharmaceutica Sciencia</t>
  </si>
  <si>
    <t>Acta Pharmacologica Sinica</t>
  </si>
  <si>
    <t>Acta Philosophica</t>
  </si>
  <si>
    <t>Acta Physica Polonica A</t>
  </si>
  <si>
    <t>Acta Physica Polonica B, Proceedings Supplement</t>
  </si>
  <si>
    <t>Acta Physica Polonica, Series B.</t>
  </si>
  <si>
    <t>Acta Physica Slovaca</t>
  </si>
  <si>
    <t>Acta Physico - Chimica Sinica</t>
  </si>
  <si>
    <t>Acta Physiologiae Plantarum</t>
  </si>
  <si>
    <t>Acta Physiologica</t>
  </si>
  <si>
    <t>Acta Physiologica Hungarica</t>
  </si>
  <si>
    <t>Acta Physiologica Sinica</t>
  </si>
  <si>
    <t>Acta Phytopathologica et Entomologica Hungarica</t>
  </si>
  <si>
    <t>Acta Politica</t>
  </si>
  <si>
    <t>Acta Poloniae Historica</t>
  </si>
  <si>
    <t>Acta Poloniae Pharmaceutica</t>
  </si>
  <si>
    <t>Acta Polymerica Sinica</t>
  </si>
  <si>
    <t>Acta Polytechnica</t>
  </si>
  <si>
    <t>Acta Polytechnica Hungarica</t>
  </si>
  <si>
    <t>Acta Protozoologica</t>
  </si>
  <si>
    <t>Acta Psychiatrica Scandinavica</t>
  </si>
  <si>
    <t>Acta Psychiatrica Scandinavica, Supplement</t>
  </si>
  <si>
    <t>Acta Psychologica</t>
  </si>
  <si>
    <t>Acta Radiologica</t>
  </si>
  <si>
    <t>Acta Reumatologica Portuguesa</t>
  </si>
  <si>
    <t>Acta Scientiae Veterinariae</t>
  </si>
  <si>
    <t>Acta Scientiarum - Agronomy</t>
  </si>
  <si>
    <t>Acta Scientiarum - Animal Sciences</t>
  </si>
  <si>
    <t>Acta Scientiarum - Biological Sciences</t>
  </si>
  <si>
    <t>Acta Scientiarum - Health Sciences</t>
  </si>
  <si>
    <t>Acta Scientiarum Language and Culture</t>
  </si>
  <si>
    <t>Acta Scientiarum Mathematicarum</t>
  </si>
  <si>
    <t>Acta Scientiarum Polonorum, Hortorum Cultus</t>
  </si>
  <si>
    <t>Acta Scientiarum Polonorum, Technologia Alimentaria</t>
  </si>
  <si>
    <t>Acta Scientiarum - Technology</t>
  </si>
  <si>
    <t>Actas Dermo-Sifiliograficas</t>
  </si>
  <si>
    <t>Acta Seismologica Sinica</t>
  </si>
  <si>
    <t>Actas Espanolas de Psiquiatria</t>
  </si>
  <si>
    <t>Acta Silvatica et Lignaria Hungarica</t>
  </si>
  <si>
    <t>Acta Societatis Botanicorum Poloniae</t>
  </si>
  <si>
    <t>Acta Sociologica</t>
  </si>
  <si>
    <t>Acta Stomatologica Croatica</t>
  </si>
  <si>
    <t>Acta Stomatologica Naissi</t>
  </si>
  <si>
    <t>Actas Urologicas Espanolas</t>
  </si>
  <si>
    <t>Acta Technica CSAV (Ceskoslovensk Akademie Ved)</t>
  </si>
  <si>
    <t>Acta Theologica</t>
  </si>
  <si>
    <t>South Africa</t>
  </si>
  <si>
    <t>Acta Theriologica</t>
  </si>
  <si>
    <t>Acta Theriologica Sinica</t>
  </si>
  <si>
    <t>Acta Tropica</t>
  </si>
  <si>
    <t>Acta Universitatis Agriculturae et Silviculturae Mendelianae Brunensis</t>
  </si>
  <si>
    <t>Acta Universitatis Carolinae, Geographica</t>
  </si>
  <si>
    <t>Acta Urologica Japonica</t>
  </si>
  <si>
    <t>Acta Veterinaria</t>
  </si>
  <si>
    <t>Acta Veterinaria Brasilica</t>
  </si>
  <si>
    <t>Acta Veterinaria Brno</t>
  </si>
  <si>
    <t>Acta Veterinaria Hungarica</t>
  </si>
  <si>
    <t>Acta Veterinaria Scandinavica</t>
  </si>
  <si>
    <t>Acta Virologica</t>
  </si>
  <si>
    <t>Acta Zoologica</t>
  </si>
  <si>
    <t>Acta Zoologica Academiae Scientiarum Hungaricae</t>
  </si>
  <si>
    <t>Acta Zoologica Lituanica</t>
  </si>
  <si>
    <t>Lithuania</t>
  </si>
  <si>
    <t>Actes de la Recherche en Sciences Sociales</t>
  </si>
  <si>
    <t>Action Research</t>
  </si>
  <si>
    <t>Active and Passive Electronic Components</t>
  </si>
  <si>
    <t>Active Learning in Higher Education</t>
  </si>
  <si>
    <t>Activitas Nervosa Superior</t>
  </si>
  <si>
    <t>Activities, Adaptation and Aging</t>
  </si>
  <si>
    <t>Actualite Chimique</t>
  </si>
  <si>
    <t>Actualites Pharmaceutiques</t>
  </si>
  <si>
    <t>Actualites Pharmaceutiques Hospitalieres</t>
  </si>
  <si>
    <t>Actualizaciones en Osteologia</t>
  </si>
  <si>
    <t>Actual Problems of Economics</t>
  </si>
  <si>
    <t>Ukraine</t>
  </si>
  <si>
    <t>Actuel Marx</t>
  </si>
  <si>
    <t>Acupuncture and Electro-Therapeutics Research</t>
  </si>
  <si>
    <t>Acupuncture in Medicine</t>
  </si>
  <si>
    <t>Acute Cardiac Care</t>
  </si>
  <si>
    <t>Acute Medicine</t>
  </si>
  <si>
    <t>Adalya</t>
  </si>
  <si>
    <t>Adamantius</t>
  </si>
  <si>
    <t>Adansonia</t>
  </si>
  <si>
    <t>Adaptation</t>
  </si>
  <si>
    <t>Adaptation, Learning, and Optimization</t>
  </si>
  <si>
    <t>Adapted Physical Activity Quarterly</t>
  </si>
  <si>
    <t>Adaptive Behavior</t>
  </si>
  <si>
    <t>Ada User Journal</t>
  </si>
  <si>
    <t>ADB Economics Working Paper Series</t>
  </si>
  <si>
    <t>Addiction</t>
  </si>
  <si>
    <t>Addiction Biology</t>
  </si>
  <si>
    <t>Addiction Research and Theory</t>
  </si>
  <si>
    <t>Addiction science &amp; clinical practice</t>
  </si>
  <si>
    <t>Addictive Behaviors</t>
  </si>
  <si>
    <t>Addictive Disorders and their Treatment</t>
  </si>
  <si>
    <t>ADHD Attention Deficit and Hyperactivity Disorders</t>
  </si>
  <si>
    <t>Ad-Hoc and Sensor Wireless Networks</t>
  </si>
  <si>
    <t>Ad Hoc Networks</t>
  </si>
  <si>
    <t>Adicciones</t>
  </si>
  <si>
    <t>Adiktologie</t>
  </si>
  <si>
    <t>Adler Museum bulletin</t>
  </si>
  <si>
    <t>Administration and Policy in Mental Health and Mental Health Services Research</t>
  </si>
  <si>
    <t>Administration and Society</t>
  </si>
  <si>
    <t>Administration in Social Work</t>
  </si>
  <si>
    <t>Administrative Law Review</t>
  </si>
  <si>
    <t>Administrative Science Quarterly</t>
  </si>
  <si>
    <t>Adolescencia e Saude</t>
  </si>
  <si>
    <t>Adolescent Medicine: State of the Art Reviews</t>
  </si>
  <si>
    <t>Adoption Quarterly</t>
  </si>
  <si>
    <t>Adsorption</t>
  </si>
  <si>
    <t>Adsorption Science and Technology</t>
  </si>
  <si>
    <t>Adult Education Quarterly</t>
  </si>
  <si>
    <t>Adultspan Journal</t>
  </si>
  <si>
    <t>Advanced Composite Materials: The Official Journal of the Japan Society of Composite Materials</t>
  </si>
  <si>
    <t>Advanced Composites Letters</t>
  </si>
  <si>
    <t>Advanced Drug Delivery Reviews</t>
  </si>
  <si>
    <t>Advanced Emergency Nursing Journal</t>
  </si>
  <si>
    <t>Advanced Energy Materials</t>
  </si>
  <si>
    <t>Advanced Engineering Informatics</t>
  </si>
  <si>
    <t>Advanced Engineering Materials</t>
  </si>
  <si>
    <t>Advanced Functional Materials</t>
  </si>
  <si>
    <t>Advanced healthcare materials</t>
  </si>
  <si>
    <t>Advanced Materials</t>
  </si>
  <si>
    <t>Advanced Materials Letters</t>
  </si>
  <si>
    <t>India</t>
  </si>
  <si>
    <t>Advanced Materials Research</t>
  </si>
  <si>
    <t>Advanced Nonlinear Studies</t>
  </si>
  <si>
    <t>Advanced Powder Technology</t>
  </si>
  <si>
    <t>Advanced Robotics</t>
  </si>
  <si>
    <t>Advanced Science Letters</t>
  </si>
  <si>
    <t>Advanced Steel Construction</t>
  </si>
  <si>
    <t>Advanced Structured Materials</t>
  </si>
  <si>
    <t>Advanced Studies in Contemporary Mathematics (Kyungshang)</t>
  </si>
  <si>
    <t>Advanced Studies in Medicine</t>
  </si>
  <si>
    <t>Advanced Studies in Theoretical Physics</t>
  </si>
  <si>
    <t>Advanced Synthesis and Catalysis</t>
  </si>
  <si>
    <t>Advance for NPs &amp; PAs</t>
  </si>
  <si>
    <t>Advance Journal of Food Science and Technology</t>
  </si>
  <si>
    <t>Advances and Applications in Bioinformatics and Chemistry</t>
  </si>
  <si>
    <t>New Zealand</t>
  </si>
  <si>
    <t>Advances and Applications in Fluid Mechanics</t>
  </si>
  <si>
    <t>Advances in Accounting</t>
  </si>
  <si>
    <t>Advances in Acoustics and Vibration</t>
  </si>
  <si>
    <t>Advances in Agronomy</t>
  </si>
  <si>
    <t>Advances in Anatomic Pathology</t>
  </si>
  <si>
    <t>Advances in Anatomy Embryology and Cell Biology</t>
  </si>
  <si>
    <t>Advances in Anesthesia</t>
  </si>
  <si>
    <t>Advances in Applied Ceramics</t>
  </si>
  <si>
    <t>Advances in Applied Clifford Algebras</t>
  </si>
  <si>
    <t>Advances in Applied Mathematics</t>
  </si>
  <si>
    <t>Advances in Applied Mathematics and Mechanics</t>
  </si>
  <si>
    <t>Advances in Applied Mechanics</t>
  </si>
  <si>
    <t>Advances in Applied Microbiology</t>
  </si>
  <si>
    <t>Advances in Applied Probability</t>
  </si>
  <si>
    <t>Advances in Astronomy</t>
  </si>
  <si>
    <t>Advances in Atmospheric Sciences</t>
  </si>
  <si>
    <t>Advances in Atomic, Molecular and Optical Physics</t>
  </si>
  <si>
    <t>Advances in Biochemical Engineering/Biotechnology</t>
  </si>
  <si>
    <t>Advances in Bioinformatics</t>
  </si>
  <si>
    <t>Egypt</t>
  </si>
  <si>
    <t>Advances in Biological Psychiatry</t>
  </si>
  <si>
    <t>Advances in Botanical Research</t>
  </si>
  <si>
    <t>Advances in Building Energy Research</t>
  </si>
  <si>
    <t>Advances in Calculus of Variations</t>
  </si>
  <si>
    <t>Advances in Cancer Research</t>
  </si>
  <si>
    <t>Advances in Carbohydrate Chemistry and Biochemistry</t>
  </si>
  <si>
    <t>Advances in Cardiology</t>
  </si>
  <si>
    <t>Advances in Catalysis</t>
  </si>
  <si>
    <t>Advances in Cement Research</t>
  </si>
  <si>
    <t>Advances in Chemical Engineering</t>
  </si>
  <si>
    <t>Advances in Chemical Physics</t>
  </si>
  <si>
    <t>Advances in Child Development and Behavior</t>
  </si>
  <si>
    <t>Advances in Chronic Kidney Disease</t>
  </si>
  <si>
    <t>Advances in Civil Engineering</t>
  </si>
  <si>
    <t>Advances in Clinical and Experimental Medicine</t>
  </si>
  <si>
    <t>Advances in Clinical Chemistry</t>
  </si>
  <si>
    <t>Advances in Cognitive Psychology</t>
  </si>
  <si>
    <t>Advances in Colloid and Interface Science</t>
  </si>
  <si>
    <t>Advances in Complex Systems</t>
  </si>
  <si>
    <t>Singapore</t>
  </si>
  <si>
    <t>Advances in Computational Mathematics</t>
  </si>
  <si>
    <t>Advances in Computers</t>
  </si>
  <si>
    <t>Advances in Condensed Matter Physics</t>
  </si>
  <si>
    <t>Advances in Data Analysis and Classification</t>
  </si>
  <si>
    <t>Advances in dental research</t>
  </si>
  <si>
    <t>Advances in Developing Human Resources</t>
  </si>
  <si>
    <t>Advances in Difference Equations</t>
  </si>
  <si>
    <t>Advances in Ecological Research</t>
  </si>
  <si>
    <t>Advances in Electrical and Computer Engineering</t>
  </si>
  <si>
    <t>Advances in Electrical and Electronic Engineering</t>
  </si>
  <si>
    <t>Advances in Engineering Education</t>
  </si>
  <si>
    <t>Advances in Engineering Software</t>
  </si>
  <si>
    <t>Advances in Environmental Biology</t>
  </si>
  <si>
    <t>Jordan</t>
  </si>
  <si>
    <t>Advances in Enzyme Regulation</t>
  </si>
  <si>
    <t>Advances in Enzymology and Related Areas of Molecular Biology</t>
  </si>
  <si>
    <t>Advances in Experimental Medicine and Biology</t>
  </si>
  <si>
    <t>Advances in Experimental Social Psychology</t>
  </si>
  <si>
    <t>Advances in Food and Nutrition Research</t>
  </si>
  <si>
    <t>Advances in Fuzzy Systems</t>
  </si>
  <si>
    <t>Advances in Gender Research</t>
  </si>
  <si>
    <t>Advances in Genetics</t>
  </si>
  <si>
    <t>Advances in Geometry</t>
  </si>
  <si>
    <t>Advances in Geophysics</t>
  </si>
  <si>
    <t>Advances in Geosciences</t>
  </si>
  <si>
    <t>Advances in gerontology = Uspekhi gerontologii / Rossiiskaia akademiia nauk, Gerontologicheskoe obshchestvo</t>
  </si>
  <si>
    <t>Advances in Global Leadership</t>
  </si>
  <si>
    <t>Advances in Health Care Management</t>
  </si>
  <si>
    <t>Advances in Health Economics and Health Services Research</t>
  </si>
  <si>
    <t>Advances in Health Sciences Education</t>
  </si>
  <si>
    <t>Advances in Heat Transfer</t>
  </si>
  <si>
    <t>Advances in Hematology</t>
  </si>
  <si>
    <t>Advances in Heterocyclic Chemistry</t>
  </si>
  <si>
    <t>Advances in High Energy Physics</t>
  </si>
  <si>
    <t>Advances in Horticultural Science</t>
  </si>
  <si>
    <t>Advances in Human-Computer Interaction</t>
  </si>
  <si>
    <t>Advances in Imaging and Electron Physics</t>
  </si>
  <si>
    <t>Advances in Immunology</t>
  </si>
  <si>
    <t>Advances in Inorganic Chemistry</t>
  </si>
  <si>
    <t>Advances in Insect Physiology</t>
  </si>
  <si>
    <t>Advances in International Marketing</t>
  </si>
  <si>
    <t>Advances in Learning and Behavioral Disabilities</t>
  </si>
  <si>
    <t>Advances in Life Course Research</t>
  </si>
  <si>
    <t>Advances in Management Accounting</t>
  </si>
  <si>
    <t>Advances in Marine Biology</t>
  </si>
  <si>
    <t>Advances in Materials Science and Engineering</t>
  </si>
  <si>
    <t>Advances in Mathematical Physics</t>
  </si>
  <si>
    <t>Advances in Mathematics</t>
  </si>
  <si>
    <t>Advances in Mathematics of Communications</t>
  </si>
  <si>
    <t>Advances in Mechanical Engineering</t>
  </si>
  <si>
    <t>Advances in Medical Sciences</t>
  </si>
  <si>
    <t>Advances in Mental Health</t>
  </si>
  <si>
    <t>Advances in Mental Health and Intellectual Disabilities</t>
  </si>
  <si>
    <t>Advances in Meteorology</t>
  </si>
  <si>
    <t>Advances in Microbial Physiology</t>
  </si>
  <si>
    <t>Advances in Military Technology</t>
  </si>
  <si>
    <t>Advances in Mind-Body Medicine</t>
  </si>
  <si>
    <t>Advances in Modeling and Analysis C</t>
  </si>
  <si>
    <t>Advances in Modelling and Analysis A</t>
  </si>
  <si>
    <t>Advances in Modelling and Analysis B</t>
  </si>
  <si>
    <t>Advances in Molecular Toxicology</t>
  </si>
  <si>
    <t>Advances in Multimedia</t>
  </si>
  <si>
    <t>Advances in Natural and Applied Sciences</t>
  </si>
  <si>
    <t>Advances in Neonatal Care</t>
  </si>
  <si>
    <t>Advances in Neuroimmune Biology</t>
  </si>
  <si>
    <t>Advances in Nonlinear Variational Inequalities</t>
  </si>
  <si>
    <t>Advances in Nursing Science</t>
  </si>
  <si>
    <t>Advances in nutrition (Bethesda, Md.)</t>
  </si>
  <si>
    <t>Advances in Operations Research</t>
  </si>
  <si>
    <t>Advances in Optics and Photonics</t>
  </si>
  <si>
    <t>Advances in OptoElectronics</t>
  </si>
  <si>
    <t>Advances in Organometallic Chemistry</t>
  </si>
  <si>
    <t>Advances in Oto-Rhino-Laryngology</t>
  </si>
  <si>
    <t>Advances in Parasitology</t>
  </si>
  <si>
    <t>Advances in Pediatrics</t>
  </si>
  <si>
    <t>Advances in peritoneal dialysis. Conference on Peritoneal Dialysis</t>
  </si>
  <si>
    <t>Advances in Pharmacological Sciences</t>
  </si>
  <si>
    <t>Advances in Pharmacology</t>
  </si>
  <si>
    <t>Advances in Physical Chemistry</t>
  </si>
  <si>
    <t>Advances in Physical Organic Chemistry</t>
  </si>
  <si>
    <t>Advances in Physics</t>
  </si>
  <si>
    <t>Advances in Physiotherapy</t>
  </si>
  <si>
    <t>Advances in Planar Lipid Bilayers and Liposomes</t>
  </si>
  <si>
    <t>Advances in Polymer Science</t>
  </si>
  <si>
    <t>Advances in Polymer Technology</t>
  </si>
  <si>
    <t>Advances in Protein Chemistry and Structural Biology</t>
  </si>
  <si>
    <t>Advances in Psychiatric Treatment</t>
  </si>
  <si>
    <t>Advances in Psychosomatic Medicine</t>
  </si>
  <si>
    <t>Advances in Pure and Applied Mathematics</t>
  </si>
  <si>
    <t>Advances in Quantum Chemistry</t>
  </si>
  <si>
    <t>Advances in Radio Science</t>
  </si>
  <si>
    <t>Advances in Research on Teaching</t>
  </si>
  <si>
    <t>Advances in skin &amp; wound care</t>
  </si>
  <si>
    <t>Advances in Small Animal Medicine and Surgery</t>
  </si>
  <si>
    <t>Advances in Soft Computing</t>
  </si>
  <si>
    <t>Advances in Space Research</t>
  </si>
  <si>
    <t>Advances in Special Education</t>
  </si>
  <si>
    <t>Advances in Structural Engineering</t>
  </si>
  <si>
    <t>Advances in Surgery</t>
  </si>
  <si>
    <t>Advances in the Astronautical Sciences</t>
  </si>
  <si>
    <t>Advances in Theoretical and Mathematical Physics</t>
  </si>
  <si>
    <t>Advances in Therapy</t>
  </si>
  <si>
    <t>Advances in the Study of Behavior</t>
  </si>
  <si>
    <t>Advances in Transportation Studies</t>
  </si>
  <si>
    <t>Advances in Tribology</t>
  </si>
  <si>
    <t>Advances in Urology</t>
  </si>
  <si>
    <t>Advances in Vibration Engineering</t>
  </si>
  <si>
    <t>Advances in Virology</t>
  </si>
  <si>
    <t>Advances in Virus Research</t>
  </si>
  <si>
    <t>Advances in Water Resources</t>
  </si>
  <si>
    <t>Advancing Microelectronics</t>
  </si>
  <si>
    <t>Adverse Drug Reaction Bulletin</t>
  </si>
  <si>
    <t>AEJ - Alexandria Engineering Journal</t>
  </si>
  <si>
    <t>Aeolian Research</t>
  </si>
  <si>
    <t>Aequationes Mathematicae</t>
  </si>
  <si>
    <t>Aerobiologia</t>
  </si>
  <si>
    <t>Aeronautical Journal</t>
  </si>
  <si>
    <t>Aerosol and Air Quality Research</t>
  </si>
  <si>
    <t>Aerosol Science and Technology</t>
  </si>
  <si>
    <t>Aerospace Science and Technology</t>
  </si>
  <si>
    <t>AES: Journal of the Audio Engineering Society</t>
  </si>
  <si>
    <t>Aesthetic Plastic Surgery</t>
  </si>
  <si>
    <t>Aesthetic Surgery Journal</t>
  </si>
  <si>
    <t>AEU - International Journal of Electronics and Communications</t>
  </si>
  <si>
    <t>Aevum - Rassegna di Scienze Storiche Linguistiche e Filologiche</t>
  </si>
  <si>
    <t>Affilia - Journal of Women and Social Work</t>
  </si>
  <si>
    <t>Afinidad</t>
  </si>
  <si>
    <t>Africa</t>
  </si>
  <si>
    <t>Africa and Middle East Textiles</t>
  </si>
  <si>
    <t>Africa Development/Afrique et Developpement</t>
  </si>
  <si>
    <t>Senegal</t>
  </si>
  <si>
    <t>Africa Journal of Nursing and Midwifery</t>
  </si>
  <si>
    <t>African Affairs</t>
  </si>
  <si>
    <t>Africana Linguistica</t>
  </si>
  <si>
    <t>African and Asian Studies</t>
  </si>
  <si>
    <t>African and Black Diaspora</t>
  </si>
  <si>
    <t>African Archaeological Review</t>
  </si>
  <si>
    <t>African Arts</t>
  </si>
  <si>
    <t>African Development Review</t>
  </si>
  <si>
    <t>African Diaspora</t>
  </si>
  <si>
    <t>African Entomology</t>
  </si>
  <si>
    <t>African Geographical Review</t>
  </si>
  <si>
    <t>African Health Sciences</t>
  </si>
  <si>
    <t>Uganda</t>
  </si>
  <si>
    <t>African Historical Review</t>
  </si>
  <si>
    <t>African Identities</t>
  </si>
  <si>
    <t>African Invertebrates</t>
  </si>
  <si>
    <t>African Journal Biomedical Research</t>
  </si>
  <si>
    <t>Nigeria</t>
  </si>
  <si>
    <t>African Journal for Emergency Medicine</t>
  </si>
  <si>
    <t>African Journal of Agricultural Research</t>
  </si>
  <si>
    <t>African Journal of AIDS Research</t>
  </si>
  <si>
    <t>African Journal of Aquatic Science</t>
  </si>
  <si>
    <t>African Journal of Biotechnology</t>
  </si>
  <si>
    <t>Kenya</t>
  </si>
  <si>
    <t>African Journal of Drug and Alcohol Studies</t>
  </si>
  <si>
    <t>African Journal of Ecology</t>
  </si>
  <si>
    <t>African Journal of Environmental Assessment and Management</t>
  </si>
  <si>
    <t>Ghana</t>
  </si>
  <si>
    <t>African Journal of Herpetology</t>
  </si>
  <si>
    <t>African Journal of Infectious Diseases</t>
  </si>
  <si>
    <t>African Journal of Library Archives and Information Science</t>
  </si>
  <si>
    <t>African Journal of Marine Science</t>
  </si>
  <si>
    <t>African Journal of Medicine and Medical Sciences</t>
  </si>
  <si>
    <t>African Journal of Microbiology Research</t>
  </si>
  <si>
    <t>African Journal of Neurological Sciences</t>
  </si>
  <si>
    <t>African Journal of Paediatric Surgery</t>
  </si>
  <si>
    <t>African Journal of Pharmacy and Pharmacology</t>
  </si>
  <si>
    <t>African Journal of Primary Health Care and Family Medicine</t>
  </si>
  <si>
    <t>African Journal of Psychiatry</t>
  </si>
  <si>
    <t>African Journal of Range and Forage Science</t>
  </si>
  <si>
    <t>African journal of reproductive health</t>
  </si>
  <si>
    <t>African Journal of Traditional, Complementary and Alternative Medicines</t>
  </si>
  <si>
    <t>African Studies</t>
  </si>
  <si>
    <t>African Studies Quarterly</t>
  </si>
  <si>
    <t>African Studies Review</t>
  </si>
  <si>
    <t>African Zoology</t>
  </si>
  <si>
    <t>Africa Spectrum</t>
  </si>
  <si>
    <t>Africa Today</t>
  </si>
  <si>
    <t>Afrika Matematika</t>
  </si>
  <si>
    <t>Afrique Contemporaine</t>
  </si>
  <si>
    <t>Afro-Asian Journal of Finance and Accounting</t>
  </si>
  <si>
    <t>AgBioForum</t>
  </si>
  <si>
    <t>Age</t>
  </si>
  <si>
    <t>Age and Ageing</t>
  </si>
  <si>
    <t>Ageing and Society</t>
  </si>
  <si>
    <t>Ageing International</t>
  </si>
  <si>
    <t>Ageing Research Reviews</t>
  </si>
  <si>
    <t>Ireland</t>
  </si>
  <si>
    <t>Agenda</t>
  </si>
  <si>
    <t>Ager</t>
  </si>
  <si>
    <t>Aggression and Violent Behavior</t>
  </si>
  <si>
    <t>Aggressive Behavior</t>
  </si>
  <si>
    <t>Aging</t>
  </si>
  <si>
    <t>Aging and Mental Health</t>
  </si>
  <si>
    <t>Aging Cell</t>
  </si>
  <si>
    <t>Aging - Clinical and Experimental Research</t>
  </si>
  <si>
    <t>Aging Health</t>
  </si>
  <si>
    <t>Aging Male</t>
  </si>
  <si>
    <t>Aging, Neuropsychology, and Cognition</t>
  </si>
  <si>
    <t>Agora</t>
  </si>
  <si>
    <t>Agora - Estudos Classicos em Debate</t>
  </si>
  <si>
    <t>Agrarforschung Schweiz</t>
  </si>
  <si>
    <t>Agrekon</t>
  </si>
  <si>
    <t>Agribusiness</t>
  </si>
  <si>
    <t>Agriculturae Conspectus Scientificus</t>
  </si>
  <si>
    <t>Agricultural and Food Science</t>
  </si>
  <si>
    <t>Finland</t>
  </si>
  <si>
    <t>Agricultural and Forest Entomology</t>
  </si>
  <si>
    <t>Agricultural and Forest Meteorology</t>
  </si>
  <si>
    <t>Agricultural and Resource Economics Review</t>
  </si>
  <si>
    <t>Agricultural Economics</t>
  </si>
  <si>
    <t>Agricultural Economics Review</t>
  </si>
  <si>
    <t>Agricultural Engineering International: CIGR Journal</t>
  </si>
  <si>
    <t>Agricultural History</t>
  </si>
  <si>
    <t>Agricultural History Review</t>
  </si>
  <si>
    <t>Agricultural Systems</t>
  </si>
  <si>
    <t>Agricultural Water Management</t>
  </si>
  <si>
    <t>Agriculture and Human Values</t>
  </si>
  <si>
    <t>Agriculture, Ecosystems and Environment</t>
  </si>
  <si>
    <t>Agri Dergisi</t>
  </si>
  <si>
    <t>AgriScientia</t>
  </si>
  <si>
    <t>Agris On-line Papers in Economics and Informatics</t>
  </si>
  <si>
    <t>Agroalimentaria</t>
  </si>
  <si>
    <t>Agrochimica</t>
  </si>
  <si>
    <t>Agrociencia</t>
  </si>
  <si>
    <t>Agro Food Industry Hi-Tech</t>
  </si>
  <si>
    <t>Agroforestry Systems</t>
  </si>
  <si>
    <t>Agrokemia es Talajtan</t>
  </si>
  <si>
    <t>Agronomia Colombiana</t>
  </si>
  <si>
    <t>Agronomy for Sustainable Development</t>
  </si>
  <si>
    <t>Agronomy Journal</t>
  </si>
  <si>
    <t>Agronomy Research</t>
  </si>
  <si>
    <t>AIAA/IEEE Digital Avionics Systems Conference - Proceedings</t>
  </si>
  <si>
    <t>AIAA Journal</t>
  </si>
  <si>
    <t>AI and Society</t>
  </si>
  <si>
    <t>AIBR Revista de Antropologia Iberoamericana</t>
  </si>
  <si>
    <t>AIChE, Ammonia Plant Safty and Related Facilities v12 (CEP Tech Manual)</t>
  </si>
  <si>
    <t>AIChE Ethylene Producers Conference Proceedings</t>
  </si>
  <si>
    <t>AICHE Journal</t>
  </si>
  <si>
    <t>AI Communications</t>
  </si>
  <si>
    <t>Aide Soignante</t>
  </si>
  <si>
    <t>AIDS</t>
  </si>
  <si>
    <t>AIDS alert</t>
  </si>
  <si>
    <t>AIDS and Behavior</t>
  </si>
  <si>
    <t>AIDS Care - Psychological and Socio-Medical Aspects of AIDS/HIV</t>
  </si>
  <si>
    <t>AIDS Education and Prevention</t>
  </si>
  <si>
    <t>AIDS Patient Care and STDs</t>
  </si>
  <si>
    <t>AIDS policy &amp; law</t>
  </si>
  <si>
    <t>AIDS Reader</t>
  </si>
  <si>
    <t>AIDS Research and Human Retroviruses</t>
  </si>
  <si>
    <t>AIDS Research and Therapy</t>
  </si>
  <si>
    <t>AIDS Research and Treatment</t>
  </si>
  <si>
    <t>AIDS Reviews</t>
  </si>
  <si>
    <t>AIEL Series in Labour Economics</t>
  </si>
  <si>
    <t>AIJ Journal of Technology and Design</t>
  </si>
  <si>
    <t>AILA Review</t>
  </si>
  <si>
    <t>AI Magazine</t>
  </si>
  <si>
    <t>AIMS Journal</t>
  </si>
  <si>
    <t>Ain Shams Engineering Journal</t>
  </si>
  <si>
    <t>AIP Conference Proceedings</t>
  </si>
  <si>
    <t>Air and Space Power Journal</t>
  </si>
  <si>
    <t>Aircraft Engineering and Aerospace Technology</t>
  </si>
  <si>
    <t>Airline Business</t>
  </si>
  <si>
    <t>Air Medical Journal</t>
  </si>
  <si>
    <t>Air Quality, Atmosphere and Health</t>
  </si>
  <si>
    <t>Air, Soil and Water Research</t>
  </si>
  <si>
    <t>AIST Today (International Edition)</t>
  </si>
  <si>
    <t>AJOB Neuroscience</t>
  </si>
  <si>
    <t>AJOB Primary Research</t>
  </si>
  <si>
    <t>A Journal of emergency medical services : JEMS</t>
  </si>
  <si>
    <t>AJS Review</t>
  </si>
  <si>
    <t>AKCE International Journal of Graphs and Combinatorics</t>
  </si>
  <si>
    <t>Aktuality v Nefrologii</t>
  </si>
  <si>
    <t>Aktualnosci Neurologiczne</t>
  </si>
  <si>
    <t>Aktuelle Dermatologie</t>
  </si>
  <si>
    <t>Aktuelle Ernahrungsmedizin Klinik und Praxis</t>
  </si>
  <si>
    <t>Aktuelle Neurologie</t>
  </si>
  <si>
    <t>Aktuelle Neurologie, Supplement</t>
  </si>
  <si>
    <t>Aktuelle Rheumatologie</t>
  </si>
  <si>
    <t>Aktuelle Urologie</t>
  </si>
  <si>
    <t>Akusherstvo i Ginekologiia</t>
  </si>
  <si>
    <t>Akustika</t>
  </si>
  <si>
    <t>Akzente</t>
  </si>
  <si>
    <t>Alabama nurse, The</t>
  </si>
  <si>
    <t>Alaska medicine</t>
  </si>
  <si>
    <t>Alauda</t>
  </si>
  <si>
    <t>Albany law review</t>
  </si>
  <si>
    <t>Alberta Journal of Educational Research</t>
  </si>
  <si>
    <t>Alberta RN / Alberta Association of Registered Nurses</t>
  </si>
  <si>
    <t>Alcheringa</t>
  </si>
  <si>
    <t>Alcohol</t>
  </si>
  <si>
    <t>Alcohol and Alcoholism</t>
  </si>
  <si>
    <t>Alcoholism</t>
  </si>
  <si>
    <t>Alcoholism: Clinical and Experimental Research</t>
  </si>
  <si>
    <t>Alcoholism Treatment Quarterly</t>
  </si>
  <si>
    <t>Alcohol Research and Health</t>
  </si>
  <si>
    <t>Aldrichimica Acta</t>
  </si>
  <si>
    <t>Alea</t>
  </si>
  <si>
    <t>Aleph</t>
  </si>
  <si>
    <t>Alergia Astma Immunologia</t>
  </si>
  <si>
    <t>Alergie</t>
  </si>
  <si>
    <t>Algal Research</t>
  </si>
  <si>
    <t>Algebra and Discrete Mathematics</t>
  </si>
  <si>
    <t>Algebra and Logic</t>
  </si>
  <si>
    <t>Algebra and Number Theory</t>
  </si>
  <si>
    <t>Algebra Colloquium</t>
  </si>
  <si>
    <t>Algebraic and Geometric Topology</t>
  </si>
  <si>
    <t>Algebras and Representation Theory</t>
  </si>
  <si>
    <t>Algebra Universalis</t>
  </si>
  <si>
    <t>Algorithmica</t>
  </si>
  <si>
    <t>Algorithms</t>
  </si>
  <si>
    <t>Algorithms for Molecular Biology</t>
  </si>
  <si>
    <t>Alimentary Pharmacology and Therapeutics</t>
  </si>
  <si>
    <t>Alkaloids: Chemistry and Biology</t>
  </si>
  <si>
    <t>Allelopathy Journal</t>
  </si>
  <si>
    <t>Allergo Journal</t>
  </si>
  <si>
    <t>Allergologia et Immunopathologia</t>
  </si>
  <si>
    <t>Allergologie</t>
  </si>
  <si>
    <t>Allergology International</t>
  </si>
  <si>
    <t>Allergy and Asthma Proceedings</t>
  </si>
  <si>
    <t>Allergy, Asthma and Clinical Immunology</t>
  </si>
  <si>
    <t>Allergy, Asthma and Immunology Research</t>
  </si>
  <si>
    <t>Allergy: European Journal of Allergy and Clinical Immunology</t>
  </si>
  <si>
    <t>Allgemeine Forst und Jagdzeitung</t>
  </si>
  <si>
    <t>Al-Masaq: Islam and the Medieval Mediterranean</t>
  </si>
  <si>
    <t>Alpha</t>
  </si>
  <si>
    <t>Alpha Omegan</t>
  </si>
  <si>
    <t>Alpine Botany</t>
  </si>
  <si>
    <t>Al-Qantara</t>
  </si>
  <si>
    <t>Al-Shajarah</t>
  </si>
  <si>
    <t>Alter</t>
  </si>
  <si>
    <t>Alternative and Complementary Therapies</t>
  </si>
  <si>
    <t>Alternative Law Journal</t>
  </si>
  <si>
    <t>Alternative Medicine Review</t>
  </si>
  <si>
    <t>Alternatives</t>
  </si>
  <si>
    <t>Alternative Therapies in Health and Medicine</t>
  </si>
  <si>
    <t>ALTEX : Alternativen zu Tierexperimenten</t>
  </si>
  <si>
    <t>ALT-J: Research in Learning Technology</t>
  </si>
  <si>
    <t>Altorientalische Forschungen</t>
  </si>
  <si>
    <t>Alytes</t>
  </si>
  <si>
    <t>Alzheimer Disease and Associated Disorders</t>
  </si>
  <si>
    <t>Alzheimer's and Dementia</t>
  </si>
  <si>
    <t>Alzheimer's Disease Research Journal</t>
  </si>
  <si>
    <t>Alzheimer's Research and Therapy</t>
  </si>
  <si>
    <t>AMA, Agricultural Mechanization in Asia, Africa and Latin America</t>
  </si>
  <si>
    <t>AMB Express</t>
  </si>
  <si>
    <t>Ambiente e Sociedade</t>
  </si>
  <si>
    <t>Ambio</t>
  </si>
  <si>
    <t>Ambix</t>
  </si>
  <si>
    <t>Ambulatory Surgery</t>
  </si>
  <si>
    <t>Ameghiniana</t>
  </si>
  <si>
    <t>Amerasia Journal</t>
  </si>
  <si>
    <t>America Latina en la Historia Economica</t>
  </si>
  <si>
    <t>America Latina Hoy</t>
  </si>
  <si>
    <t>American and British Studies Annual</t>
  </si>
  <si>
    <t>American Annals of the Deaf</t>
  </si>
  <si>
    <t>American Anthropologist</t>
  </si>
  <si>
    <t>American Antiquity</t>
  </si>
  <si>
    <t>American Archivist</t>
  </si>
  <si>
    <t>American Art</t>
  </si>
  <si>
    <t>American Bee Journal</t>
  </si>
  <si>
    <t>American Behavioral Scientist</t>
  </si>
  <si>
    <t>American Biology Teacher</t>
  </si>
  <si>
    <t>American Book Review</t>
  </si>
  <si>
    <t>American Business Law Journal</t>
  </si>
  <si>
    <t>American City and County</t>
  </si>
  <si>
    <t>American Communication Journal</t>
  </si>
  <si>
    <t>American Criminal Law Review</t>
  </si>
  <si>
    <t>American Economic Journal: Applied Economics</t>
  </si>
  <si>
    <t>American Economic Journal: Economic Policy</t>
  </si>
  <si>
    <t>American Economic Journal: Macroeconomics</t>
  </si>
  <si>
    <t>American Economic Journal: Microeconomics</t>
  </si>
  <si>
    <t>American Economic Review</t>
  </si>
  <si>
    <t>American Educational Research Journal</t>
  </si>
  <si>
    <t>American Ethnologist</t>
  </si>
  <si>
    <t>American-Eurasian Journal of Sustainable Agriculture</t>
  </si>
  <si>
    <t>American Family Physician</t>
  </si>
  <si>
    <t>American Fern Journal</t>
  </si>
  <si>
    <t>American Foreign Policy Interests</t>
  </si>
  <si>
    <t>American Health and Drug Benefits</t>
  </si>
  <si>
    <t>American Heart Hospital Journal</t>
  </si>
  <si>
    <t>American Heart Journal</t>
  </si>
  <si>
    <t>American Heritage</t>
  </si>
  <si>
    <t>American Historical Review</t>
  </si>
  <si>
    <t>American History</t>
  </si>
  <si>
    <t>American Imago</t>
  </si>
  <si>
    <t>American Indian and Alaska Native Mental Health Research</t>
  </si>
  <si>
    <t>American Indian Culture and Research Journal</t>
  </si>
  <si>
    <t>American Indian Quarterly, The</t>
  </si>
  <si>
    <t>American Jewish History</t>
  </si>
  <si>
    <t>American Journal Geriatric Pharmacotherapy</t>
  </si>
  <si>
    <t>American Journal of Agricultural and Biological Science</t>
  </si>
  <si>
    <t>American Journal of Agricultural Economics</t>
  </si>
  <si>
    <t>American Journal of Alzheimer's Disease and other Dementias</t>
  </si>
  <si>
    <t>American Journal of Animal and Veterinary Sciences</t>
  </si>
  <si>
    <t>American Journal of Applied Sciences</t>
  </si>
  <si>
    <t>American Journal of Archaeology</t>
  </si>
  <si>
    <t>American Journal of Audiology</t>
  </si>
  <si>
    <t>American Journal of Biochemistry and Biotechnology</t>
  </si>
  <si>
    <t>American Journal of Bioethics</t>
  </si>
  <si>
    <t>American Journal of Botany</t>
  </si>
  <si>
    <t>American Journal of Cardiology</t>
  </si>
  <si>
    <t>American Journal of Cardiovascular Drugs</t>
  </si>
  <si>
    <t>American Journal of Case Reports</t>
  </si>
  <si>
    <t>American Journal of Chinese Medicine</t>
  </si>
  <si>
    <t>American Journal of Clinical Dermatology</t>
  </si>
  <si>
    <t>American Journal of Clinical Hypnosis</t>
  </si>
  <si>
    <t>American Journal of Clinical Nutrition</t>
  </si>
  <si>
    <t>American Journal of Clinical Oncology</t>
  </si>
  <si>
    <t>American Journal of Clinical Pathology</t>
  </si>
  <si>
    <t>American Journal of Community Psychology</t>
  </si>
  <si>
    <t>American Journal of Comparative Law</t>
  </si>
  <si>
    <t>American Journal of Criminal Justice</t>
  </si>
  <si>
    <t>American Journal of Critical Care</t>
  </si>
  <si>
    <t>American Journal of Dance Therapy</t>
  </si>
  <si>
    <t>American Journal of Dentistry</t>
  </si>
  <si>
    <t>American Journal of Dermatopathology</t>
  </si>
  <si>
    <t>American journal of disaster medicine</t>
  </si>
  <si>
    <t>American Journal of Drug and Alcohol Abuse</t>
  </si>
  <si>
    <t>American Journal of Economics and Sociology</t>
  </si>
  <si>
    <t>American Journal of Education</t>
  </si>
  <si>
    <t>American Journal of Emergency Medicine</t>
  </si>
  <si>
    <t>American Journal of Enology and Viticulture</t>
  </si>
  <si>
    <t>American Journal of Environmental Sciences</t>
  </si>
  <si>
    <t>American Journal of Epidemiology</t>
  </si>
  <si>
    <t>American Journal of Evaluation</t>
  </si>
  <si>
    <t>American Journal of Family Therapy, The</t>
  </si>
  <si>
    <t>American Journal of Food Technology</t>
  </si>
  <si>
    <t>American Journal of Forensic Medicine and Pathology</t>
  </si>
  <si>
    <t>American Journal of Forensic Psychiatry</t>
  </si>
  <si>
    <t>American Journal of Forensic Psychology</t>
  </si>
  <si>
    <t>American Journal of Gastroenterology</t>
  </si>
  <si>
    <t>American Journal of Geriatric Psychiatry</t>
  </si>
  <si>
    <t>American Journal of Health Behavior</t>
  </si>
  <si>
    <t>American Journal of Health Education</t>
  </si>
  <si>
    <t>American Journal of Health Promotion</t>
  </si>
  <si>
    <t>American Journal of Health-System Pharmacy</t>
  </si>
  <si>
    <t>American Journal of Hematology</t>
  </si>
  <si>
    <t>American Journal of Hospice and Palliative Medicine</t>
  </si>
  <si>
    <t>American Journal of Human Biology</t>
  </si>
  <si>
    <t>American Journal of Human Genetics</t>
  </si>
  <si>
    <t>American Journal of Hypertension</t>
  </si>
  <si>
    <t>American Journal of Immunology</t>
  </si>
  <si>
    <t>American Journal of Industrial Medicine</t>
  </si>
  <si>
    <t>American Journal of Infection Control</t>
  </si>
  <si>
    <t>American Journal of Infectious Diseases</t>
  </si>
  <si>
    <t>American Journal of International Law</t>
  </si>
  <si>
    <t>American Journal of Kidney Diseases</t>
  </si>
  <si>
    <t>American Journal of Law and Medicine</t>
  </si>
  <si>
    <t>American Journal of Legal History</t>
  </si>
  <si>
    <t>American Journal of Lifestyle Medicine</t>
  </si>
  <si>
    <t>American Journal of Managed Care</t>
  </si>
  <si>
    <t>American Journal of Mathematical and Management Sciences</t>
  </si>
  <si>
    <t>American Journal of Mathematics</t>
  </si>
  <si>
    <t>American Journal of Medical Genetics, Part A</t>
  </si>
  <si>
    <t>American Journal of Medical Genetics, Part B: Neuropsychiatric Genetics</t>
  </si>
  <si>
    <t>American Journal of Medical Genetics, Part C: Seminars in Medical Genetics</t>
  </si>
  <si>
    <t>American Journal of Medical Quality</t>
  </si>
  <si>
    <t>American Journal of Medicine</t>
  </si>
  <si>
    <t>American Journal of Men's Health</t>
  </si>
  <si>
    <t>American Journal of Nephrology</t>
  </si>
  <si>
    <t>American Journal of Neuroradiology</t>
  </si>
  <si>
    <t>American Journal of Nursing</t>
  </si>
  <si>
    <t>American Journal of Obstetrics and Gynecology</t>
  </si>
  <si>
    <t>American Journal of Occupational Therapy</t>
  </si>
  <si>
    <t>American Journal of Ophthalmology</t>
  </si>
  <si>
    <t>American Journal of Orthodontics and Dentofacial Orthopedics</t>
  </si>
  <si>
    <t>American Journal of Orthopedics</t>
  </si>
  <si>
    <t>American Journal of Orthopsychiatry</t>
  </si>
  <si>
    <t>American Journal of Otolaryngology - Head and Neck Medicine and Surgery</t>
  </si>
  <si>
    <t>American Journal of Pathology</t>
  </si>
  <si>
    <t>American Journal of Perinatology</t>
  </si>
  <si>
    <t>American Journal of Pharmaceutical Education</t>
  </si>
  <si>
    <t>American Journal of Pharmacology and Toxicology</t>
  </si>
  <si>
    <t>American Journal of Pharmacy Benefits</t>
  </si>
  <si>
    <t>American Journal of Philology</t>
  </si>
  <si>
    <t>American Journal of Physical Anthropology</t>
  </si>
  <si>
    <t>American Journal of Physical Medicine and Rehabilitation</t>
  </si>
  <si>
    <t>American Journal of Physics</t>
  </si>
  <si>
    <t>American Journal of Physiology - Advances in Physiology Education</t>
  </si>
  <si>
    <t>American Journal of Physiology - Cell Physiology</t>
  </si>
  <si>
    <t>American Journal of Physiology - Endocrinology and Metabolism</t>
  </si>
  <si>
    <t>American Journal of Physiology - Gastrointestinal and Liver Physiology</t>
  </si>
  <si>
    <t>American Journal of Physiology - Heart and Circulatory Physiology</t>
  </si>
  <si>
    <t>American Journal of Physiology - Lung Cellular and Molecular Physiology</t>
  </si>
  <si>
    <t>American Journal of Physiology - Regulatory Integrative and Comparative Physiology</t>
  </si>
  <si>
    <t>American Journal of Physiology - Renal Physiology</t>
  </si>
  <si>
    <t>American Journal of Plant Physiology</t>
  </si>
  <si>
    <t>American Journal of Political Science</t>
  </si>
  <si>
    <t>American Journal of Potato Research</t>
  </si>
  <si>
    <t>American Journal of Preventive Medicine</t>
  </si>
  <si>
    <t>American Journal of Primatology</t>
  </si>
  <si>
    <t>American Journal of Psychiatric Rehabilitation</t>
  </si>
  <si>
    <t>American Journal of Psychiatry</t>
  </si>
  <si>
    <t>American Journal of Psychoanalysis</t>
  </si>
  <si>
    <t>American Journal of Psychology</t>
  </si>
  <si>
    <t>American Journal of Psychotherapy</t>
  </si>
  <si>
    <t>American Journal of Public Health</t>
  </si>
  <si>
    <t>American Journal of Reproductive Immunology</t>
  </si>
  <si>
    <t>American Journal of Respiratory and Critical Care Medicine</t>
  </si>
  <si>
    <t>American Journal of Respiratory Cell and Molecular Biology</t>
  </si>
  <si>
    <t>American Journal of Rhinology and Allergy</t>
  </si>
  <si>
    <t>American Journal of Roentgenology</t>
  </si>
  <si>
    <t>American Journal of Science</t>
  </si>
  <si>
    <t>American Journal of Sexuality Education</t>
  </si>
  <si>
    <t>American Journal of Sociology</t>
  </si>
  <si>
    <t>American Journal of Speech-Language Pathology</t>
  </si>
  <si>
    <t>American Journal of Sports Medicine</t>
  </si>
  <si>
    <t>American Journal of Surgery</t>
  </si>
  <si>
    <t>American Journal of Surgical Pathology</t>
  </si>
  <si>
    <t>American Journal of the Medical Sciences</t>
  </si>
  <si>
    <t>American Journal of Therapeutics</t>
  </si>
  <si>
    <t>American Journal of Translational Research</t>
  </si>
  <si>
    <t>American Journal of Transplantation</t>
  </si>
  <si>
    <t>American Journal of Tropical Medicine and Hygiene</t>
  </si>
  <si>
    <t>American Journal of Veterinary Research</t>
  </si>
  <si>
    <t>American Journal on Addictions</t>
  </si>
  <si>
    <t>American Journal on Intellectual and Developmental Disabilities</t>
  </si>
  <si>
    <t>American Law and Economics Review</t>
  </si>
  <si>
    <t>American Literary History</t>
  </si>
  <si>
    <t>American Literary Realism</t>
  </si>
  <si>
    <t>American Literary Scholarship</t>
  </si>
  <si>
    <t>American literature; a journal of literary history, criticism and bibliography</t>
  </si>
  <si>
    <t>American Malacological Bulletin</t>
  </si>
  <si>
    <t>American Mathematical Monthly</t>
  </si>
  <si>
    <t>American Midland Naturalist</t>
  </si>
  <si>
    <t>American Mineralogist</t>
  </si>
  <si>
    <t>American Museum Novitates</t>
  </si>
  <si>
    <t>American Music</t>
  </si>
  <si>
    <t>American Naturalist</t>
  </si>
  <si>
    <t>American Nineteenth Century History</t>
  </si>
  <si>
    <t>American nurse, The</t>
  </si>
  <si>
    <t>American Oil &amp; Gas Reporter</t>
  </si>
  <si>
    <t>American Orthoptic Journal</t>
  </si>
  <si>
    <t>American Pharmaceutical Review</t>
  </si>
  <si>
    <t>American Philosophical Quarterly</t>
  </si>
  <si>
    <t>American Poetry Review</t>
  </si>
  <si>
    <t>American Political Science Review</t>
  </si>
  <si>
    <t>American Politics Research</t>
  </si>
  <si>
    <t>American Psychologist</t>
  </si>
  <si>
    <t>American Quarterly</t>
  </si>
  <si>
    <t>American Review of Canadian Studies</t>
  </si>
  <si>
    <t>American Review of Public Administration</t>
  </si>
  <si>
    <t>American Scholar</t>
  </si>
  <si>
    <t>American Sociological Review</t>
  </si>
  <si>
    <t>American Sociologist, The</t>
  </si>
  <si>
    <t>American Speech</t>
  </si>
  <si>
    <t>American Statistician</t>
  </si>
  <si>
    <t>American Studies in Scandinavia</t>
  </si>
  <si>
    <t>American Surgeon</t>
  </si>
  <si>
    <t>Americas</t>
  </si>
  <si>
    <t>Amerikastudien</t>
  </si>
  <si>
    <t>Amfiteatru Economic</t>
  </si>
  <si>
    <t>AMHA - Acta Medico-Historica Adriatica</t>
  </si>
  <si>
    <t>Amino Acids</t>
  </si>
  <si>
    <t>Amphibia - Reptilia</t>
  </si>
  <si>
    <t>Amyloid : the international journal of experimental and clinical investigation : the official journal of the International Society of Amyloidosis</t>
  </si>
  <si>
    <t>Amyotrophic Lateral Sclerosis</t>
  </si>
  <si>
    <t>Anadolu Kardiyoloji Dergisi</t>
  </si>
  <si>
    <t>Anadolu Psikiyatri Dergisi</t>
  </si>
  <si>
    <t>ANAE - Approche Neuropsychologique des Apprentissages chez l'Enfant</t>
  </si>
  <si>
    <t>Anaerobe</t>
  </si>
  <si>
    <t>Anaesthesia</t>
  </si>
  <si>
    <t>Anaesthesia and Intensive Care</t>
  </si>
  <si>
    <t>Anaesthesia and Intensive Care Medicine</t>
  </si>
  <si>
    <t>Anaesthesia, Pain and Intensive Care</t>
  </si>
  <si>
    <t>Anaesthesiology and Intensive Care</t>
  </si>
  <si>
    <t>Anais Brasileiros de Dermatologia</t>
  </si>
  <si>
    <t>Anais da Academia Brasileira de Ciencias</t>
  </si>
  <si>
    <t>Anais de histoÌria de aleÌm-mar / Centro de histoÌria de aleÌm-mar, Faculdade de cieÌ‚ncias sociais e humanas, Universidade nova de Lisboa</t>
  </si>
  <si>
    <t>Analecta Bollandiana</t>
  </si>
  <si>
    <t>Analele Banatului: Arheologie - Istorie</t>
  </si>
  <si>
    <t>Analele Stiintifice ale Universitatii Al I Cuza din Iasi - Matematica</t>
  </si>
  <si>
    <t>Analele Stiintifice ale Universitatii Ovidius Constanta, Seria Matematica</t>
  </si>
  <si>
    <t>Analele Universitatii Bucuresti Chimie</t>
  </si>
  <si>
    <t>Analele Universitatii din Craiova, Seria Filozofie</t>
  </si>
  <si>
    <t>Analele Universitatii din Craiova - Seria Stiinte Filologice, Lingvistica</t>
  </si>
  <si>
    <t>Anales Cervantinos</t>
  </si>
  <si>
    <t>Anales de Geografia de la Universidad Complutense</t>
  </si>
  <si>
    <t>Anales de la Literatura Espanola Contemporanea</t>
  </si>
  <si>
    <t>Anales de la Real Academia Nacional de Medicina</t>
  </si>
  <si>
    <t>Anales de Literatura Chilena</t>
  </si>
  <si>
    <t>Anales de Literatura Hispanoamericana</t>
  </si>
  <si>
    <t>Anales del Jardin Botanico de Madrid</t>
  </si>
  <si>
    <t>Anales del Seminario de Historia de la Filosofia</t>
  </si>
  <si>
    <t>Anales del Sistema Sanitario de Navarra</t>
  </si>
  <si>
    <t>Anales de Patologia Vascular</t>
  </si>
  <si>
    <t>Anales de Pediatria</t>
  </si>
  <si>
    <t>Anales de Pediatria Continuada</t>
  </si>
  <si>
    <t>Anales de Psicologia</t>
  </si>
  <si>
    <t>Anales Venezolanos de Nutricion</t>
  </si>
  <si>
    <t>Analise Psicologica</t>
  </si>
  <si>
    <t>Analise Social</t>
  </si>
  <si>
    <t>Analisis Politico</t>
  </si>
  <si>
    <t>Analog Integrated Circuits and Signal Processing</t>
  </si>
  <si>
    <t>Analyses of Social Issues and Public Policy</t>
  </si>
  <si>
    <t>Analyse und Kritik</t>
  </si>
  <si>
    <t>Analysis</t>
  </si>
  <si>
    <t>Analysis and Applications</t>
  </si>
  <si>
    <t>Analysis in Theory and Applications</t>
  </si>
  <si>
    <t>Analysis Mathematica</t>
  </si>
  <si>
    <t>Analyst, The</t>
  </si>
  <si>
    <t>Analytica Chimica Acta</t>
  </si>
  <si>
    <t>Analytical and Bioanalytical Chemistry</t>
  </si>
  <si>
    <t>Analytical and Bioanalytical Electrochemistry</t>
  </si>
  <si>
    <t>Analytical and Quantitative Cytology and Histology</t>
  </si>
  <si>
    <t>Analytical Biochemistry</t>
  </si>
  <si>
    <t>Analytical Chemistry</t>
  </si>
  <si>
    <t>Analytical Chemistry Insights</t>
  </si>
  <si>
    <t>Analytical Letters</t>
  </si>
  <si>
    <t>Analytical Methods</t>
  </si>
  <si>
    <t>Analytical Sciences</t>
  </si>
  <si>
    <t>Anasthesiologie, Intensivmedizin, Notfallmedizin, Schmerztherapie : AINS</t>
  </si>
  <si>
    <t>Anasthesiologie und Intensivmedizin</t>
  </si>
  <si>
    <t>Anatolia</t>
  </si>
  <si>
    <t>Anatolian Journal of Clinical Investigation</t>
  </si>
  <si>
    <t>Anatolian Studies</t>
  </si>
  <si>
    <t>Anatomical Record</t>
  </si>
  <si>
    <t>Anatomical Science International</t>
  </si>
  <si>
    <t>Anatomical Sciences Education</t>
  </si>
  <si>
    <t>Ancient Civilizations from Scythia to Siberia</t>
  </si>
  <si>
    <t>Ancient Mesoamerica</t>
  </si>
  <si>
    <t>Ancient Near Eastern Studies</t>
  </si>
  <si>
    <t>Anclajes</t>
  </si>
  <si>
    <t>Andamios: Revista de Investigacion Social</t>
  </si>
  <si>
    <t>Andean Geology</t>
  </si>
  <si>
    <t>Andrologia</t>
  </si>
  <si>
    <t>Andrologie</t>
  </si>
  <si>
    <t>Anemia</t>
  </si>
  <si>
    <t>Anestezi Dergisi</t>
  </si>
  <si>
    <t>Anesteziologie a Intenzivni Medicina</t>
  </si>
  <si>
    <t>Anesteziologiya i Reanimatologiya</t>
  </si>
  <si>
    <t>Anestezjologia Intensywna Terapia</t>
  </si>
  <si>
    <t>Anesthesia and Analgesia</t>
  </si>
  <si>
    <t>Anesthesia and Resuscitation</t>
  </si>
  <si>
    <t>Anesthesia Progress</t>
  </si>
  <si>
    <t>Anesthesiology</t>
  </si>
  <si>
    <t>Anesthesiology Clinics</t>
  </si>
  <si>
    <t>Anesthesiology Research and Practice</t>
  </si>
  <si>
    <t>Angeiologie</t>
  </si>
  <si>
    <t>Angelaki - Journal of the Theoretical Humanities</t>
  </si>
  <si>
    <t>Angewandte Chemie - International Edition</t>
  </si>
  <si>
    <t>Angiogenesis</t>
  </si>
  <si>
    <t>Angiologiia i sosudistaia khirurgiia = Angiology and vascular surgery</t>
  </si>
  <si>
    <t>Angiology</t>
  </si>
  <si>
    <t>Angle Orthodontist</t>
  </si>
  <si>
    <t>Anglia</t>
  </si>
  <si>
    <t>Anglo-Saxon England</t>
  </si>
  <si>
    <t>Anil Aggrawal's Internet Journal of Forensic Medicine and Toxicology</t>
  </si>
  <si>
    <t>Animal</t>
  </si>
  <si>
    <t>Animal Behaviour</t>
  </si>
  <si>
    <t>Animal Biodiversity and Conservation</t>
  </si>
  <si>
    <t>Animal Biology</t>
  </si>
  <si>
    <t>Animal Biotechnology</t>
  </si>
  <si>
    <t>Animal Cells and Systems</t>
  </si>
  <si>
    <t>Animal Cognition</t>
  </si>
  <si>
    <t>Animal Conservation</t>
  </si>
  <si>
    <t>Animal Feed Science and Technology</t>
  </si>
  <si>
    <t>Animal Genetics</t>
  </si>
  <si>
    <t>Animal health research reviews / Conference of Research Workers in Animal Diseases</t>
  </si>
  <si>
    <t>Animal Nutrition and Feed Technology</t>
  </si>
  <si>
    <t>Animal Production Science</t>
  </si>
  <si>
    <t>Animal Reproduction Science</t>
  </si>
  <si>
    <t>Animal Science Journal</t>
  </si>
  <si>
    <t>Animal Science Papers and Reports</t>
  </si>
  <si>
    <t>Animal Technology and Welfare</t>
  </si>
  <si>
    <t>Animal Welfare</t>
  </si>
  <si>
    <t>Animation</t>
  </si>
  <si>
    <t>Ankara Universitesi Veteriner Fakultesi Dergisi</t>
  </si>
  <si>
    <t>Annalen der Physik</t>
  </si>
  <si>
    <t>Annales Academiae Medicae Gedanensis</t>
  </si>
  <si>
    <t>Annales Academiae Medicae Stetinensis</t>
  </si>
  <si>
    <t>Annales Academiae Scientiarum Fennicae Mathematica</t>
  </si>
  <si>
    <t>Annales Academiae Scientiarum Fennicae Mathematica Dissertationes</t>
  </si>
  <si>
    <t>Annales-Anali za Istrske in Mediteranske Studije - Series Historia et Sociologia</t>
  </si>
  <si>
    <t>Annales Botanici Fennici</t>
  </si>
  <si>
    <t>Annales de Biologie Clinique</t>
  </si>
  <si>
    <t>Annales de Bretagne et des pays de l'Ouest</t>
  </si>
  <si>
    <t>Annales de Cardiologie et d'Angeiologie</t>
  </si>
  <si>
    <t>Annales de Chimie: Science des Materiaux</t>
  </si>
  <si>
    <t>Annales de Chirurgie Plastique et Esthetique</t>
  </si>
  <si>
    <t>Annales de Demographie Historique</t>
  </si>
  <si>
    <t>Annales de Dermatologie et de Venereologie</t>
  </si>
  <si>
    <t>Annales de Geographie</t>
  </si>
  <si>
    <t>Annales de la Fondation Louis de Broglie</t>
  </si>
  <si>
    <t>Annales de la Societe Entomologique de France</t>
  </si>
  <si>
    <t>Annales de Limnologie</t>
  </si>
  <si>
    <t>Annales de l'Institut Fourier</t>
  </si>
  <si>
    <t>Annales de l'Institut Henri Poincare. Annales: Analyse Non Lineaire/Nonlinear Analysis</t>
  </si>
  <si>
    <t>Annales de l'institut Henri Poincare (B) Probability and Statistics</t>
  </si>
  <si>
    <t>Annales de Medecine Veterinaire</t>
  </si>
  <si>
    <t>Annales d'Endocrinologie</t>
  </si>
  <si>
    <t>Annales de Paleontologie</t>
  </si>
  <si>
    <t>Annales de Pathologie</t>
  </si>
  <si>
    <t>Annales des Telecommunications</t>
  </si>
  <si>
    <t>Annales de Toxicologie Analytique</t>
  </si>
  <si>
    <t>Annales d'Universite 'Valahia' Targoviste, Section d'Archeologie et d'Histoire</t>
  </si>
  <si>
    <t>Annales: Economies, Societies, Civilsations</t>
  </si>
  <si>
    <t>Annales Francaises d'Anesthesie et de Reanimation</t>
  </si>
  <si>
    <t>Annales Francaises de Medecine d'Urgence</t>
  </si>
  <si>
    <t>Annales Geophysicae</t>
  </si>
  <si>
    <t>Annales Henri Poincare</t>
  </si>
  <si>
    <t>Annales Historiques de la Revolution Francaise</t>
  </si>
  <si>
    <t>Annales Mathematicae et Informaticae</t>
  </si>
  <si>
    <t>Annales Medico-Psychologiques</t>
  </si>
  <si>
    <t>Annales Pharmaceutiques Francaises</t>
  </si>
  <si>
    <t>Annales Polonici Mathematici</t>
  </si>
  <si>
    <t>Annales Scientifiques de l'Ecole Normale Superieure</t>
  </si>
  <si>
    <t>Annales Societatis Geologorum Poloniae</t>
  </si>
  <si>
    <t>Annales - Universitatis Mariae Curie-Sklodowska, Sectio B</t>
  </si>
  <si>
    <t>Annales Zoologici</t>
  </si>
  <si>
    <t>Annales Zoologici Fennici</t>
  </si>
  <si>
    <t>Annali della Scuola Normale - Classe di Scienze</t>
  </si>
  <si>
    <t>Annali dell'Istituto Superiore di Sanita</t>
  </si>
  <si>
    <t>Annali dell'Universita di Ferrara</t>
  </si>
  <si>
    <t>Annali di Architettura</t>
  </si>
  <si>
    <t>Annali di igiene : medicina preventiva e di comunita</t>
  </si>
  <si>
    <t>Annali di Matematica Pura ed Applicata</t>
  </si>
  <si>
    <t>Annali di Storia dell'Esegesi</t>
  </si>
  <si>
    <t>Annali Italiani di Chirurgia</t>
  </si>
  <si>
    <t>Annali Italiani di Dermatologia Allergologica Clinica e Sperimentale</t>
  </si>
  <si>
    <t>Annals of African Medicine</t>
  </si>
  <si>
    <t>Annals of Agri Bio Research</t>
  </si>
  <si>
    <t>Annals of Agricultural and Environmental Medicine</t>
  </si>
  <si>
    <t>Annals of Allergy, Asthma and Immunology</t>
  </si>
  <si>
    <t>Annals of Anatomy</t>
  </si>
  <si>
    <t>Annals of Animal Science</t>
  </si>
  <si>
    <t>Annals of Anthropological Practice</t>
  </si>
  <si>
    <t>Annals of Applied Biology</t>
  </si>
  <si>
    <t>Annals of Applied Probability</t>
  </si>
  <si>
    <t>Annals of Behavioral Medicine</t>
  </si>
  <si>
    <t>Annals of Biology</t>
  </si>
  <si>
    <t>Annals of Biomedical Engineering</t>
  </si>
  <si>
    <t>Annals of Botany</t>
  </si>
  <si>
    <t>Annals of Cancer Research and Therapy</t>
  </si>
  <si>
    <t>Annals of Cardiac Anaesthesia</t>
  </si>
  <si>
    <t>Annals of Carnegie Museum</t>
  </si>
  <si>
    <t>Annals of Clinical and Laboratory Science</t>
  </si>
  <si>
    <t>Annals of Clinical Biochemistry</t>
  </si>
  <si>
    <t>Annals of Clinical Microbiology and Antimicrobials</t>
  </si>
  <si>
    <t>Annals of Clinical Psychiatry</t>
  </si>
  <si>
    <t>Annals of Combinatorics</t>
  </si>
  <si>
    <t>Annals of Dermatology</t>
  </si>
  <si>
    <t>Annals of Diagnostic Pathology</t>
  </si>
  <si>
    <t>Annals of Dyslexia</t>
  </si>
  <si>
    <t>Annals of Economics and Finance</t>
  </si>
  <si>
    <t>Annals of Emergency Medicine</t>
  </si>
  <si>
    <t>Annals of Epidemiology</t>
  </si>
  <si>
    <t>Annals of Family Medicine</t>
  </si>
  <si>
    <t>Annals of Finance</t>
  </si>
  <si>
    <t>Annals of Forest Research</t>
  </si>
  <si>
    <t>Annals of Forest Science</t>
  </si>
  <si>
    <t>Annals of Fundeni Hospital</t>
  </si>
  <si>
    <t>Annals of Gastroenterology</t>
  </si>
  <si>
    <t>Annals of General Psychiatry</t>
  </si>
  <si>
    <t>Annals of Geophysics</t>
  </si>
  <si>
    <t>Annals of Glaciology</t>
  </si>
  <si>
    <t>Annals of Global Analysis and Geometry</t>
  </si>
  <si>
    <t>Annals of health law / Loyola University Chicago, School of Law, Institute for Health Law</t>
  </si>
  <si>
    <t>Annals of Hematology</t>
  </si>
  <si>
    <t>Annals of Hepatology</t>
  </si>
  <si>
    <t>Annals of Human Biology</t>
  </si>
  <si>
    <t>Annals of Human Genetics</t>
  </si>
  <si>
    <t>Annals of Indian Academy of Neurology</t>
  </si>
  <si>
    <t>Annals of Intensive Care</t>
  </si>
  <si>
    <t>Annals of Internal Medicine</t>
  </si>
  <si>
    <t>Annals of Laboratory Medicine</t>
  </si>
  <si>
    <t>Annals of Library and Information Studies</t>
  </si>
  <si>
    <t>Annals of Long-Term Care</t>
  </si>
  <si>
    <t>Annals of Mathematics</t>
  </si>
  <si>
    <t>Annals of Mathematics and Artificial Intelligence</t>
  </si>
  <si>
    <t>Annals of Mathematics Studies</t>
  </si>
  <si>
    <t>Annals of Medicine</t>
  </si>
  <si>
    <t>Annals of Microbiology</t>
  </si>
  <si>
    <t>Annals of Neurology</t>
  </si>
  <si>
    <t>Annals of Neurosciences</t>
  </si>
  <si>
    <t>Annals of Noninvasive Electrocardiology</t>
  </si>
  <si>
    <t>Annals of Nuclear Energy</t>
  </si>
  <si>
    <t>Annals of Nuclear Medicine</t>
  </si>
  <si>
    <t>Annals of Nutrition and Metabolism</t>
  </si>
  <si>
    <t>Annals of Occupational Hygiene</t>
  </si>
  <si>
    <t>Annals of Oncology</t>
  </si>
  <si>
    <t>Annals of Operations Research</t>
  </si>
  <si>
    <t>Annals of Otology, Rhinology and Laryngology</t>
  </si>
  <si>
    <t>Annals of otology, rhinology &amp; laryngology. Supplement, The</t>
  </si>
  <si>
    <t>Annals of parasitology</t>
  </si>
  <si>
    <t>Annals of Pediatric Cardiology</t>
  </si>
  <si>
    <t>Annals of Pediatric Surgery</t>
  </si>
  <si>
    <t>Annals of Pharmacotherapy</t>
  </si>
  <si>
    <t>Annals of Physical and Rehabilitation Medicine</t>
  </si>
  <si>
    <t>Annals of Physics</t>
  </si>
  <si>
    <t>Annals of Plastic Surgery</t>
  </si>
  <si>
    <t>Annals of Probability</t>
  </si>
  <si>
    <t>Annals of Public and Cooperative Economics</t>
  </si>
  <si>
    <t>Annals of Pure and Applied Logic</t>
  </si>
  <si>
    <t>Annals of Regional Science</t>
  </si>
  <si>
    <t>Annals of Rehabilitation Medicine</t>
  </si>
  <si>
    <t>Annals of Respiratory Medicine</t>
  </si>
  <si>
    <t>Annals of Saudi Medicine</t>
  </si>
  <si>
    <t>Annals of science</t>
  </si>
  <si>
    <t>Annals of Solid and Structural Mechanics</t>
  </si>
  <si>
    <t>Annals of Statistics</t>
  </si>
  <si>
    <t>Annals of Surgery</t>
  </si>
  <si>
    <t>Annals of Surgical Innovation and Research</t>
  </si>
  <si>
    <t>Annals of Surgical Oncology</t>
  </si>
  <si>
    <t>Annals of the Academy of Medicine, Singapore</t>
  </si>
  <si>
    <t>Annals of the Academy of Romanian Scientists: Series on Mathematics and its Applications</t>
  </si>
  <si>
    <t>Annals of the American Academy of Political and Social Science</t>
  </si>
  <si>
    <t>Annals of the Association of American Geographers</t>
  </si>
  <si>
    <t>Annals of the Entomological Society of America</t>
  </si>
  <si>
    <t>Annals of the ICRP</t>
  </si>
  <si>
    <t>Annals of the Institute of Statistical Mathematics</t>
  </si>
  <si>
    <t>Annals of the Missouri Botanical Garden</t>
  </si>
  <si>
    <t>Annals of the New York Academy of Sciences</t>
  </si>
  <si>
    <t>Annals of the Rheumatic Diseases</t>
  </si>
  <si>
    <t>Annals of the Romanian Society for Cell Biology</t>
  </si>
  <si>
    <t>Annals of the Royal College of Surgeons of England</t>
  </si>
  <si>
    <t>Annals of the University Dunarea de Jos of Galati, Fascicle VI: Food Technology</t>
  </si>
  <si>
    <t>Annals of the University of Craiova, Mathematics and Computer Science Series</t>
  </si>
  <si>
    <t>Annals of the University of Craiova, Physics</t>
  </si>
  <si>
    <t>Annals of Thoracic and Cardiovascular Surgery</t>
  </si>
  <si>
    <t>Annals of Thoracic Medicine</t>
  </si>
  <si>
    <t>Annals of Thoracic Surgery</t>
  </si>
  <si>
    <t>Annals of Tourism Research</t>
  </si>
  <si>
    <t>Annals of Transplantation</t>
  </si>
  <si>
    <t>Annals of Tropical Medicine and Public Health</t>
  </si>
  <si>
    <t>Annals of Tropical Paediatrics: International Child Health</t>
  </si>
  <si>
    <t>Annals of Vascular Surgery</t>
  </si>
  <si>
    <t>Annee Balzacienne</t>
  </si>
  <si>
    <t>Annee Psychologique</t>
  </si>
  <si>
    <t>Annual AAPG Conference: Directing the Future of EandP: Starring Creative Ideas and New Technology (Long Beach, CA, 4/22-25/20</t>
  </si>
  <si>
    <t>Annual AAPG Conference: Directing the Future Of E&amp;P: Starring Creative Ideas and New Technology (Long Beach, CA, 4/22-25/</t>
  </si>
  <si>
    <t>Annual Conference of the North American Fuzzy Information Processing Society - NAFIPS</t>
  </si>
  <si>
    <t>Annual Fuels and Lubes Asia Conference and Exhibition</t>
  </si>
  <si>
    <t>Annual IEEE Semiconductor Thermal Measurement and Management Symposium</t>
  </si>
  <si>
    <t>Annual of the British School at Athens</t>
  </si>
  <si>
    <t>Annual Reports in Computational Chemistry</t>
  </si>
  <si>
    <t>Annual Reports in Medicinal Chemistry</t>
  </si>
  <si>
    <t>Annual Reports on NMR Spectroscopy</t>
  </si>
  <si>
    <t>Annual Reports on the Progress of Chemistry - Section A</t>
  </si>
  <si>
    <t>Annual Reports on the Progress of Chemistry - Section B</t>
  </si>
  <si>
    <t>Annual Reports on the Progress of Chemistry - Section C</t>
  </si>
  <si>
    <t>Annual Review of Analytical Chemistry</t>
  </si>
  <si>
    <t>Annual Review of Anthropology</t>
  </si>
  <si>
    <t>Annual Review of Applied Linguistics</t>
  </si>
  <si>
    <t>Annual Review of Astronomy and Astrophysics</t>
  </si>
  <si>
    <t>Annual Review of Biochemistry</t>
  </si>
  <si>
    <t>Annual Review of Biomedical Engineering</t>
  </si>
  <si>
    <t>Annual Review of Biomedical Sciences</t>
  </si>
  <si>
    <t>Annual Review of Biophysics</t>
  </si>
  <si>
    <t>Annual Review of Cell and Developmental Biology</t>
  </si>
  <si>
    <t>Annual Review of Chemical and Biomolecular Engineering</t>
  </si>
  <si>
    <t>Annual Review of Clinical Psychology</t>
  </si>
  <si>
    <t>Annual Review of CyberTherapy and Telemedicine</t>
  </si>
  <si>
    <t>Annual Review of Earth and Planetary Sciences</t>
  </si>
  <si>
    <t>Annual Review of Ecology, Evolution, and Systematics</t>
  </si>
  <si>
    <t>Annual Review of Economics</t>
  </si>
  <si>
    <t>Annual Review of Entomology</t>
  </si>
  <si>
    <t>Annual Review of Environment and Resources</t>
  </si>
  <si>
    <t>Annual Review of Financial Economics</t>
  </si>
  <si>
    <t>Annual Review of Fluid Mechanics</t>
  </si>
  <si>
    <t>Annual review of food science and technology</t>
  </si>
  <si>
    <t>Annual Review of Genetics</t>
  </si>
  <si>
    <t>Annual Review of Genomics and Human Genetics</t>
  </si>
  <si>
    <t>Annual Review of Gerontology and Geriatrics</t>
  </si>
  <si>
    <t>Annual Review of Immunology</t>
  </si>
  <si>
    <t>Annual Review of Law and Social Science</t>
  </si>
  <si>
    <t>Annual Review of Marine Science</t>
  </si>
  <si>
    <t>Annual Review of Materials Research</t>
  </si>
  <si>
    <t>Annual Review of Medicine</t>
  </si>
  <si>
    <t>Annual Review of Microbiology</t>
  </si>
  <si>
    <t>Annual Review of Neuroscience</t>
  </si>
  <si>
    <t>Annual Review of Nuclear and Particle Science</t>
  </si>
  <si>
    <t>Annual review of nursing research</t>
  </si>
  <si>
    <t>Annual Review of Nutrition</t>
  </si>
  <si>
    <t>Annual Review of Pathology: Mechanisms of Disease</t>
  </si>
  <si>
    <t>Annual Review of Pharmacology and Toxicology</t>
  </si>
  <si>
    <t>Annual Review of Physical Chemistry</t>
  </si>
  <si>
    <t>Annual Review of Physiology</t>
  </si>
  <si>
    <t>Annual Review of Phytopathology</t>
  </si>
  <si>
    <t>Annual Review of Plant Biology</t>
  </si>
  <si>
    <t>Annual Review of Political Science</t>
  </si>
  <si>
    <t>Annual Review of Psychology</t>
  </si>
  <si>
    <t>Annual Review of Public Health</t>
  </si>
  <si>
    <t>Annual Review of Resource Economics</t>
  </si>
  <si>
    <t>Annual Review of Sociology</t>
  </si>
  <si>
    <t>Annual Reviews in Control</t>
  </si>
  <si>
    <t>Annual SPE Technical Conference [ATCE] (Denver, CO, 10/30/2011-11/2/2011) Proceedings</t>
  </si>
  <si>
    <t>Annual Technical Conference - ANTEC, Conference Proceedings</t>
  </si>
  <si>
    <t>ANQ - Quarterly Journal of Short Articles Notes and Reviews</t>
  </si>
  <si>
    <t>Ansiedad y Estres</t>
  </si>
  <si>
    <t>Antarctic Record</t>
  </si>
  <si>
    <t>Antarctic Science</t>
  </si>
  <si>
    <t>Anthropologica</t>
  </si>
  <si>
    <t>Anthropological Forum</t>
  </si>
  <si>
    <t>Anthropological Journal of European Cultures</t>
  </si>
  <si>
    <t>Anthropological Linguistics</t>
  </si>
  <si>
    <t>Anthropological Notebooks</t>
  </si>
  <si>
    <t>Anthropological Papers of the American Museum of Natural History</t>
  </si>
  <si>
    <t>Anthropological Quarterly</t>
  </si>
  <si>
    <t>Anthropological Review</t>
  </si>
  <si>
    <t>Anthropological Science</t>
  </si>
  <si>
    <t>Anthropological Theory</t>
  </si>
  <si>
    <t>Anthropologie</t>
  </si>
  <si>
    <t>Anthropologischer Anzeiger</t>
  </si>
  <si>
    <t>Anthropologist</t>
  </si>
  <si>
    <t>Anthropology and Archeology of Eurasia</t>
  </si>
  <si>
    <t>Anthropology and Education Quarterly</t>
  </si>
  <si>
    <t>Anthropology and Medicine</t>
  </si>
  <si>
    <t>Anthropology in Action</t>
  </si>
  <si>
    <t>Anthropology of Consciousness</t>
  </si>
  <si>
    <t>Anthropology of the Middle East</t>
  </si>
  <si>
    <t>Anthropology of Work Review</t>
  </si>
  <si>
    <t>Anthropology Today</t>
  </si>
  <si>
    <t>Anthropos</t>
  </si>
  <si>
    <t>Anthrozoos</t>
  </si>
  <si>
    <t>Antibiotiki i Khimioterapiya</t>
  </si>
  <si>
    <t>Anti-Cancer Drugs</t>
  </si>
  <si>
    <t>Anticancer Research</t>
  </si>
  <si>
    <t>Anti-Corrosion Methods and Materials</t>
  </si>
  <si>
    <t>Antigonish Review</t>
  </si>
  <si>
    <t>Anti-Infective Agents</t>
  </si>
  <si>
    <t>United Arab Emirates</t>
  </si>
  <si>
    <t>Anti-Inflammatory and Anti-Allergy Agents in Medicinal Chemistry</t>
  </si>
  <si>
    <t>Antike Kunst</t>
  </si>
  <si>
    <t>Antike und Abendland</t>
  </si>
  <si>
    <t>Antik Tanulmanyok</t>
  </si>
  <si>
    <t>Antimicrobial Agents and Chemotherapy</t>
  </si>
  <si>
    <t>Antioch Review, The</t>
  </si>
  <si>
    <t>Antioxidants and Redox Signaling</t>
  </si>
  <si>
    <t>Antipode</t>
  </si>
  <si>
    <t>Antiquaries Journal</t>
  </si>
  <si>
    <t>Antiquite Tardive</t>
  </si>
  <si>
    <t>Antiquity</t>
  </si>
  <si>
    <t>Antitrust Law Journal</t>
  </si>
  <si>
    <t>Antiviral Chemistry and Chemotherapy</t>
  </si>
  <si>
    <t>Antiviral Research</t>
  </si>
  <si>
    <t>Antiviral Therapy</t>
  </si>
  <si>
    <t>Antonie van Leeuwenhoek</t>
  </si>
  <si>
    <t>Anuario de Estudios Americanos</t>
  </si>
  <si>
    <t>Anuario de Estudios Medievales</t>
  </si>
  <si>
    <t>Anuario de Historia de la Iglesia</t>
  </si>
  <si>
    <t>Anuario de Psicologia</t>
  </si>
  <si>
    <t>Anuario do Instituto de Geociencias</t>
  </si>
  <si>
    <t>Anuario Filosofico</t>
  </si>
  <si>
    <t>Anuario Iberoamericano de Justicia Constitucional</t>
  </si>
  <si>
    <t>Anuario Musical</t>
  </si>
  <si>
    <t>Anxiety, Stress and Coping</t>
  </si>
  <si>
    <t>ANZIAM Journal</t>
  </si>
  <si>
    <t>ANZ Journal of Surgery</t>
  </si>
  <si>
    <t>AORN Journal</t>
  </si>
  <si>
    <t>APA Planning Advisory Service Reports</t>
  </si>
  <si>
    <t>Apeiron</t>
  </si>
  <si>
    <t>Aperture</t>
  </si>
  <si>
    <t>Aphasiology</t>
  </si>
  <si>
    <t>Apidologie</t>
  </si>
  <si>
    <t>APMIS : acta pathologica, microbiologica, et immunologica Scandinavica</t>
  </si>
  <si>
    <t>Apollo</t>
  </si>
  <si>
    <t>Apoptosis : an international journal on programmed cell death</t>
  </si>
  <si>
    <t>Appalachian Journal</t>
  </si>
  <si>
    <t>Appetite</t>
  </si>
  <si>
    <t>Appita Annual Conference</t>
  </si>
  <si>
    <t>Appita Journal</t>
  </si>
  <si>
    <t>Applicable Algebra in Engineering, Communications and Computing</t>
  </si>
  <si>
    <t>Applicable Analysis</t>
  </si>
  <si>
    <t>Applicable Analysis and Discrete Mathematics</t>
  </si>
  <si>
    <t>Application of Clinical Genetics</t>
  </si>
  <si>
    <t>Applications of Mathematics</t>
  </si>
  <si>
    <t>Applied Acoustics</t>
  </si>
  <si>
    <t>Applied and Computational Harmonic Analysis</t>
  </si>
  <si>
    <t>Applied and Computational Mathematics</t>
  </si>
  <si>
    <t>Azerbaijan</t>
  </si>
  <si>
    <t>Applied and Environmental Microbiology</t>
  </si>
  <si>
    <t>Applied and Environmental Soil Science</t>
  </si>
  <si>
    <t>Applied and Translational Genomics</t>
  </si>
  <si>
    <t>Applied Animal Behaviour Science</t>
  </si>
  <si>
    <t>Applied Artificial Intelligence</t>
  </si>
  <si>
    <t>Applied Biochemistry and Biotechnology - Part A Enzyme Engineering and Biotechnology</t>
  </si>
  <si>
    <t>Applied Biochemistry and Microbiology</t>
  </si>
  <si>
    <t>Applied Bionics and Biomechanics</t>
  </si>
  <si>
    <t>Applied Cardiopulmonary Pathophysiology</t>
  </si>
  <si>
    <t>Applied Catalysis A: General</t>
  </si>
  <si>
    <t>Applied Catalysis B: Environmental</t>
  </si>
  <si>
    <t>Applied Categorical Structures</t>
  </si>
  <si>
    <t>Applied Clay Science</t>
  </si>
  <si>
    <t>Applied Cognitive Psychology</t>
  </si>
  <si>
    <t>Applied Composite Materials</t>
  </si>
  <si>
    <t>Applied Computational Electromagnetics Society Journal</t>
  </si>
  <si>
    <t>Applied Developmental Science</t>
  </si>
  <si>
    <t>Applied Ecology and Environmental Research</t>
  </si>
  <si>
    <t>Applied Econometrics and International Development</t>
  </si>
  <si>
    <t>Applied Economic Perspectives and Policy</t>
  </si>
  <si>
    <t>Applied Economics</t>
  </si>
  <si>
    <t>Applied Economics Letters</t>
  </si>
  <si>
    <t>Applied Energy</t>
  </si>
  <si>
    <t>Applied Engineering in Agriculture</t>
  </si>
  <si>
    <t>Applied Entomology and Zoology</t>
  </si>
  <si>
    <t>Applied Environmental Education and Communication</t>
  </si>
  <si>
    <t>Applied Ergonomics</t>
  </si>
  <si>
    <t>Applied Financial Economics</t>
  </si>
  <si>
    <t>Applied General Topology</t>
  </si>
  <si>
    <t>Applied Geochemistry</t>
  </si>
  <si>
    <t>Applied Geography</t>
  </si>
  <si>
    <t>Applied Geomatics</t>
  </si>
  <si>
    <t>Applied Geophysics</t>
  </si>
  <si>
    <t>Applied GIS</t>
  </si>
  <si>
    <t>Applied Health Economics and Health Policy</t>
  </si>
  <si>
    <t>Applied Immunohistochemistry and Molecular Morphology</t>
  </si>
  <si>
    <t>Applied Intelligence</t>
  </si>
  <si>
    <t>Applied Linguistics</t>
  </si>
  <si>
    <t>Applied Magnetic Resonance</t>
  </si>
  <si>
    <t>Applied Mathematical Finance</t>
  </si>
  <si>
    <t>Applied Mathematical Modelling</t>
  </si>
  <si>
    <t>Applied Mathematical Sciences</t>
  </si>
  <si>
    <t>Applied Mathematics</t>
  </si>
  <si>
    <t>Applied Mathematics and Computation</t>
  </si>
  <si>
    <t>Applied Mathematics and Information Sciences</t>
  </si>
  <si>
    <t>Applied Mathematics and Mechanics</t>
  </si>
  <si>
    <t>Applied Mathematics and Optimization</t>
  </si>
  <si>
    <t>Applied Mathematics E - Notes</t>
  </si>
  <si>
    <t>Applied Mathematics Letters</t>
  </si>
  <si>
    <t>Applied Mathematics Research eXpress</t>
  </si>
  <si>
    <t>Applied Measurement in Education</t>
  </si>
  <si>
    <t>Applied Mechanics and Materials</t>
  </si>
  <si>
    <t>Applied Mechanics Reviews</t>
  </si>
  <si>
    <t>Applied Microbiology and Biotechnology</t>
  </si>
  <si>
    <t>Applied Neuropsychology</t>
  </si>
  <si>
    <t>Applied Numerical Mathematics</t>
  </si>
  <si>
    <t>Applied Nursing Research</t>
  </si>
  <si>
    <t>Applied Ocean Research</t>
  </si>
  <si>
    <t>Applied Ontology</t>
  </si>
  <si>
    <t>Applied Optics</t>
  </si>
  <si>
    <t>Applied Organometallic Chemistry</t>
  </si>
  <si>
    <t>Applied Physics A: Materials Science and Processing</t>
  </si>
  <si>
    <t>Applied Physics B: Lasers and Optics</t>
  </si>
  <si>
    <t>Applied Physics Express</t>
  </si>
  <si>
    <t>Applied Physics Letters</t>
  </si>
  <si>
    <t>Applied Physiology, Nutrition and Metabolism</t>
  </si>
  <si>
    <t>Applied Psycholinguistics</t>
  </si>
  <si>
    <t>Applied Psychological Measurement</t>
  </si>
  <si>
    <t>Applied Psychology</t>
  </si>
  <si>
    <t>Applied Psychology: Health and Well-Being</t>
  </si>
  <si>
    <t>Applied Psychophysiology Biofeedback</t>
  </si>
  <si>
    <t>Applied Radiation and Isotopes</t>
  </si>
  <si>
    <t>Applied Radiology</t>
  </si>
  <si>
    <t>Applied Research in Quality of Life</t>
  </si>
  <si>
    <t>Applied Rheology</t>
  </si>
  <si>
    <t>Applied Sciences</t>
  </si>
  <si>
    <t>Applied Soft Computing</t>
  </si>
  <si>
    <t>Applied Soil Ecology</t>
  </si>
  <si>
    <t>Applied Solar Energy (English translation of Geliotekhnika)</t>
  </si>
  <si>
    <t>Applied Spatial Analysis and Policy</t>
  </si>
  <si>
    <t>Applied Spectroscopy</t>
  </si>
  <si>
    <t>Applied Spectroscopy Reviews</t>
  </si>
  <si>
    <t>Applied Stochastic Models in Business and Industry</t>
  </si>
  <si>
    <t>Applied Surface Science</t>
  </si>
  <si>
    <t>Applied Thermal Engineering</t>
  </si>
  <si>
    <t>Applied Vegetation Science</t>
  </si>
  <si>
    <t>AP-S International Symposium (Digest) (IEEE Antennas and Propagation Society)</t>
  </si>
  <si>
    <t>Apunts Medicine de l'Esport</t>
  </si>
  <si>
    <t>Aquacultural Engineering</t>
  </si>
  <si>
    <t>Aquaculture</t>
  </si>
  <si>
    <t>Aquaculture, Economics and Management</t>
  </si>
  <si>
    <t>Aquaculture Environment Interactions</t>
  </si>
  <si>
    <t>Aquaculture International</t>
  </si>
  <si>
    <t>Aquaculture Nutrition</t>
  </si>
  <si>
    <t>Aquaculture Research</t>
  </si>
  <si>
    <t>Aquatic Biology</t>
  </si>
  <si>
    <t>Aquatic Biosystems</t>
  </si>
  <si>
    <t>Aquatic Botany</t>
  </si>
  <si>
    <t>Aquatic Conservation: Marine and Freshwater Ecosystems</t>
  </si>
  <si>
    <t>Aquatic Ecology</t>
  </si>
  <si>
    <t>Aquatic Ecosystem Health and Management</t>
  </si>
  <si>
    <t>Aquatic Geochemistry</t>
  </si>
  <si>
    <t>Aquatic Insects</t>
  </si>
  <si>
    <t>Aquatic Invasions</t>
  </si>
  <si>
    <t>Aquatic Living Resources</t>
  </si>
  <si>
    <t>Aquatic Mammals</t>
  </si>
  <si>
    <t>Aquatic Microbial Ecology</t>
  </si>
  <si>
    <t>Aquatic Sciences</t>
  </si>
  <si>
    <t>Aquatic Toxicology</t>
  </si>
  <si>
    <t>Aquichan</t>
  </si>
  <si>
    <t>Arab Gulf Journal of Scientific Research</t>
  </si>
  <si>
    <t>Iraq</t>
  </si>
  <si>
    <t>Arabian Archaeology and Epigraphy</t>
  </si>
  <si>
    <t>Arabian Journal for Science and Engineering</t>
  </si>
  <si>
    <t>Arabian Journal of Chemistry</t>
  </si>
  <si>
    <t>Arabian Journal of Geosciences</t>
  </si>
  <si>
    <t>Arabica</t>
  </si>
  <si>
    <t>Arabic Sciences and Philosophy</t>
  </si>
  <si>
    <t>Arab Journal of Gastroenterology</t>
  </si>
  <si>
    <t>Arab journal of nephrology and transplantation</t>
  </si>
  <si>
    <t>Sudan</t>
  </si>
  <si>
    <t>Arab Law Quarterly</t>
  </si>
  <si>
    <t>Arab World Geographer</t>
  </si>
  <si>
    <t>Arachnologische Mitteilungen</t>
  </si>
  <si>
    <t>Aramaic Studies</t>
  </si>
  <si>
    <t>Ararajuba</t>
  </si>
  <si>
    <t>Arbeitsmedizin Sozialmedizin Umweltmedizin</t>
  </si>
  <si>
    <t>Arbor</t>
  </si>
  <si>
    <t>Arboricultural Journal</t>
  </si>
  <si>
    <t>Arboriculture and Urban Forestry</t>
  </si>
  <si>
    <t>Arcadia</t>
  </si>
  <si>
    <t>Archaea</t>
  </si>
  <si>
    <t>Archaeofauna</t>
  </si>
  <si>
    <t>Archaeologiai Ertesito</t>
  </si>
  <si>
    <t>Archaeologia Maritima Mediterranea</t>
  </si>
  <si>
    <t>Archaeologica Bulgarica</t>
  </si>
  <si>
    <t>Archaeological and Anthropological Sciences</t>
  </si>
  <si>
    <t>Archaeological Dialogues</t>
  </si>
  <si>
    <t>Archaeological Prospection</t>
  </si>
  <si>
    <t>Archaeological Reports</t>
  </si>
  <si>
    <t>Archaeologies</t>
  </si>
  <si>
    <t>Archaeology</t>
  </si>
  <si>
    <t>Archaeology, Ethnology and Anthropology of Eurasia</t>
  </si>
  <si>
    <t>Archaeology in Oceania</t>
  </si>
  <si>
    <t>Archaeometry</t>
  </si>
  <si>
    <t>Archaologisches Korrespondenzblatt</t>
  </si>
  <si>
    <t>Archaologisches Nachrichtenblatt</t>
  </si>
  <si>
    <t>Archeologia Classica</t>
  </si>
  <si>
    <t>Archeologia Medievale</t>
  </si>
  <si>
    <t>Archeological Papers of the American Anthropological Association</t>
  </si>
  <si>
    <t>Archeologicke Rozhledy</t>
  </si>
  <si>
    <t>Archipel</t>
  </si>
  <si>
    <t>Architect</t>
  </si>
  <si>
    <t>Architectural Design</t>
  </si>
  <si>
    <t>Architectural Digest</t>
  </si>
  <si>
    <t>Architectural Engineering and Design Management</t>
  </si>
  <si>
    <t>Architectural History</t>
  </si>
  <si>
    <t>Architectural Record</t>
  </si>
  <si>
    <t>Architectural Research Quarterly</t>
  </si>
  <si>
    <t>Architectural Review</t>
  </si>
  <si>
    <t>Architectural Science Review</t>
  </si>
  <si>
    <t>Architectural Theory Review</t>
  </si>
  <si>
    <t>Architecture, City and Environment</t>
  </si>
  <si>
    <t>Architektura a Urbanizmus</t>
  </si>
  <si>
    <t>Archival Science</t>
  </si>
  <si>
    <t>Archiv der Mathematik</t>
  </si>
  <si>
    <t>Archiv der Pharmazie</t>
  </si>
  <si>
    <t>Archive for History of Exact Sciences</t>
  </si>
  <si>
    <t>Archive for Mathematical Logic</t>
  </si>
  <si>
    <t>Archive for Rational Mechanics and Analysis</t>
  </si>
  <si>
    <t>Archive for the Psychology of Religion</t>
  </si>
  <si>
    <t>Archive of Applied Mechanics</t>
  </si>
  <si>
    <t>Archive of Mechanical Engineering</t>
  </si>
  <si>
    <t>Archive of Oncology</t>
  </si>
  <si>
    <t>Archives de Pediatrie</t>
  </si>
  <si>
    <t>Archives de Philosophie</t>
  </si>
  <si>
    <t>Archives de Sciences Sociales des Religions</t>
  </si>
  <si>
    <t>Archives des Maladies du Coeur et des Vaisseaux - Pratique</t>
  </si>
  <si>
    <t>Archives des Maladies Professionnelles et de l'Environnement</t>
  </si>
  <si>
    <t>Archives Europeennes de Sociologie</t>
  </si>
  <si>
    <t>Archives internationales d'histoire des sciences</t>
  </si>
  <si>
    <t>Archives Italiennes de Biologie</t>
  </si>
  <si>
    <t>Archives Juives</t>
  </si>
  <si>
    <t>Archives of Acoustics</t>
  </si>
  <si>
    <t>Archives of Agronomy and Soil Science</t>
  </si>
  <si>
    <t>Archives of American Art Journal</t>
  </si>
  <si>
    <t>Archives of Animal Nutrition</t>
  </si>
  <si>
    <t>Archives of Asian Art</t>
  </si>
  <si>
    <t>Archives of Biochemistry and Biophysics</t>
  </si>
  <si>
    <t>Archives of Biological Sciences</t>
  </si>
  <si>
    <t>Archives of Budo</t>
  </si>
  <si>
    <t>Archives of Cardiovascular Diseases</t>
  </si>
  <si>
    <t>Archives of Cardiovascular Diseases Supplements</t>
  </si>
  <si>
    <t>Archives of Civil and Mechanical Engineering</t>
  </si>
  <si>
    <t>Archives of Civil Engineering</t>
  </si>
  <si>
    <t>Archives of Clinical Microbiology</t>
  </si>
  <si>
    <t>Archives of Clinical Neuropsychology</t>
  </si>
  <si>
    <t>Archives of Computational Methods in Engineering</t>
  </si>
  <si>
    <t>Archives of Control Sciences</t>
  </si>
  <si>
    <t>Archives of Dermatological Research</t>
  </si>
  <si>
    <t>Archives of Disease in Childhood</t>
  </si>
  <si>
    <t>Archives of Disease in Childhood: Education and Practice Edition</t>
  </si>
  <si>
    <t>Archives of Disease in Childhood: Fetal and Neonatal Edition</t>
  </si>
  <si>
    <t>Archives of Drug Information</t>
  </si>
  <si>
    <t>Archives of Electrical Engineering</t>
  </si>
  <si>
    <t>Archives of Environmental and Occupational Health</t>
  </si>
  <si>
    <t>Archives of Environmental Contamination and Toxicology</t>
  </si>
  <si>
    <t>Archives of Environmental Protection</t>
  </si>
  <si>
    <t>Archives of facial plastic surgery : official publication for the American Academy of Facial Plastic and Reconstructive Surgery, Inc. and the International Federation of Facial Plastic Surgery Societies</t>
  </si>
  <si>
    <t>Archives of Gastroenterohepatology</t>
  </si>
  <si>
    <t>Archives of Gerontology and Geriatrics</t>
  </si>
  <si>
    <t>Archives of Gynecology and Obstetrics</t>
  </si>
  <si>
    <t>Archives of Hellenic Medicine</t>
  </si>
  <si>
    <t>Archives of Histology and Cytology</t>
  </si>
  <si>
    <t>Archives of Insect Biochemistry and Physiology</t>
  </si>
  <si>
    <t>Archives of Iranian Medicine</t>
  </si>
  <si>
    <t>Archives of Materials Science and Engineering</t>
  </si>
  <si>
    <t>Archives of Mechanics</t>
  </si>
  <si>
    <t>Archives of Medical Research</t>
  </si>
  <si>
    <t>Archives of Medical Science</t>
  </si>
  <si>
    <t>Archives of Metallurgy and Materials</t>
  </si>
  <si>
    <t>Archives of Microbiology</t>
  </si>
  <si>
    <t>Archives of Mining Sciences</t>
  </si>
  <si>
    <t>Archives of Natural History</t>
  </si>
  <si>
    <t>Archives of Oral Biology</t>
  </si>
  <si>
    <t>Archives of Orthopaedic and Trauma Surgery</t>
  </si>
  <si>
    <t>Archives of Osteoporosis</t>
  </si>
  <si>
    <t>Archives of Pathology and Laboratory Medicine</t>
  </si>
  <si>
    <t>Archives of Perinatal Medicine</t>
  </si>
  <si>
    <t>Archives of Pharmacal Research</t>
  </si>
  <si>
    <t>Archives of Physical Medicine and Rehabilitation</t>
  </si>
  <si>
    <t>Archives of Physiology and Biochemistry</t>
  </si>
  <si>
    <t>Archives of Phytopathology and Plant Protection</t>
  </si>
  <si>
    <t>Archives of Polish Fisheries</t>
  </si>
  <si>
    <t>Archives of Psychiatric Nursing</t>
  </si>
  <si>
    <t>Archives of Psychiatry and Psychotherapy</t>
  </si>
  <si>
    <t>Archives of Public Health</t>
  </si>
  <si>
    <t>Archives of Razi Institute</t>
  </si>
  <si>
    <t>Archives of Sexual Behavior</t>
  </si>
  <si>
    <t>Archives of Suicide Research</t>
  </si>
  <si>
    <t>Archives of the Balkan Medical Union</t>
  </si>
  <si>
    <t>Archives of Thermodynamics</t>
  </si>
  <si>
    <t>Archives of Toxicology</t>
  </si>
  <si>
    <t>Archives of Transport</t>
  </si>
  <si>
    <t>Archives of Veterinary Science</t>
  </si>
  <si>
    <t>Archives of Virology</t>
  </si>
  <si>
    <t>Archives of Women's Mental Health</t>
  </si>
  <si>
    <t>Archiv fur das Studium der neueren Sprachen und Literaturen</t>
  </si>
  <si>
    <t>Archiv fur Geflugelkunde</t>
  </si>
  <si>
    <t>Archiv fur Geschichte der Philosophie</t>
  </si>
  <si>
    <t>Archiv fur Kriminologie</t>
  </si>
  <si>
    <t>Archiv fur Lebensmittelhygiene</t>
  </si>
  <si>
    <t>Archiv fur Molluskenkunde</t>
  </si>
  <si>
    <t>Archiv fur Musikwissenschaft</t>
  </si>
  <si>
    <t>Archiv fur Papyrusforschung und Verwandte Gebiete</t>
  </si>
  <si>
    <t>Archiv fur Religionsgeschichte</t>
  </si>
  <si>
    <t>Archiv fur Sozialgeschichte</t>
  </si>
  <si>
    <t>Archiv fur Tierzucht</t>
  </si>
  <si>
    <t>Archivio di Filosofia</t>
  </si>
  <si>
    <t>Archivio Italiano di Urologia Andrologia</t>
  </si>
  <si>
    <t>Archivio Storico Italiano</t>
  </si>
  <si>
    <t>Archivo Espanol de Arqueologia</t>
  </si>
  <si>
    <t>Archivo Espanol de Arte</t>
  </si>
  <si>
    <t>Archiv Orientalni</t>
  </si>
  <si>
    <t>Archivos Argentinos de Pediatria</t>
  </si>
  <si>
    <t>Archivos de Bronconeumologia</t>
  </si>
  <si>
    <t>Archivos de Cardiologia de Mexico</t>
  </si>
  <si>
    <t>Archivos de la Sociedad Espanola de Oftalmologia</t>
  </si>
  <si>
    <t>Archivos de Medicina</t>
  </si>
  <si>
    <t>Archivos de Medicina del Deporte</t>
  </si>
  <si>
    <t>Archivos de Medicina Veterinaria</t>
  </si>
  <si>
    <t>Archivos de Psiquiatria</t>
  </si>
  <si>
    <t>Archivos de Zootecnia</t>
  </si>
  <si>
    <t>Archivos Espanoles de Urologia</t>
  </si>
  <si>
    <t>Archivos Latinoamericanos de Nutricion</t>
  </si>
  <si>
    <t>Archivos Venezolanos de Farmacologia y Terapeutica</t>
  </si>
  <si>
    <t>Archivum Immunologiae et Therapiae Experimentalis</t>
  </si>
  <si>
    <t>Archivum Mathematicum</t>
  </si>
  <si>
    <t>Archiwum Medycyny Sadowej i Kryminologii</t>
  </si>
  <si>
    <t>Archnet-IJAR</t>
  </si>
  <si>
    <t>Arctic</t>
  </si>
  <si>
    <t>Arctic, Antarctic, and Alpine Research</t>
  </si>
  <si>
    <t>Arctic Anthropology</t>
  </si>
  <si>
    <t>Ardea</t>
  </si>
  <si>
    <t>Ardeola</t>
  </si>
  <si>
    <t>Area</t>
  </si>
  <si>
    <t>Area Pediatrica</t>
  </si>
  <si>
    <t>Arethusa</t>
  </si>
  <si>
    <t>Argos</t>
  </si>
  <si>
    <t>ArgoSpine News and Journal</t>
  </si>
  <si>
    <t>Argument and Computation</t>
  </si>
  <si>
    <t>Argumenta Oeconomica</t>
  </si>
  <si>
    <t>Argumentation</t>
  </si>
  <si>
    <t>Arheoloski Vestnik</t>
  </si>
  <si>
    <t>Arhiv za Farmaciju</t>
  </si>
  <si>
    <t>Arhiv za Hijigenu Rada i Toksikologiju</t>
  </si>
  <si>
    <t>Arid Land Research and Management</t>
  </si>
  <si>
    <t>Ariel</t>
  </si>
  <si>
    <t>Arion - Journal of Humanities and the Classics</t>
  </si>
  <si>
    <t>Arkansas Historical Quarterly</t>
  </si>
  <si>
    <t>Arkhiv Patologii</t>
  </si>
  <si>
    <t>Arkiv for Matematik</t>
  </si>
  <si>
    <t>Arkiv for Nordisk Filologi</t>
  </si>
  <si>
    <t>Arkivoc</t>
  </si>
  <si>
    <t>Armed Forces and Society</t>
  </si>
  <si>
    <t>Arms and Armour</t>
  </si>
  <si>
    <t>ARPN Journal of Engineering and Applied Sciences</t>
  </si>
  <si>
    <t>ARQ</t>
  </si>
  <si>
    <t>Arqueologia</t>
  </si>
  <si>
    <t>Arqueologia de la Arquitectura</t>
  </si>
  <si>
    <t>Arqueologia Iberoamericana</t>
  </si>
  <si>
    <t>Arquiteturarevista</t>
  </si>
  <si>
    <t>Arquivo Brasileiro de Medicina Veterinaria e Zootecnia</t>
  </si>
  <si>
    <t>Arquivos Brasileiros de Cardiologia</t>
  </si>
  <si>
    <t>Arquivos Brasileiros de Endocrinologia e Metabologia</t>
  </si>
  <si>
    <t>Arquivos Brasileiros de Oftalmologia</t>
  </si>
  <si>
    <t>Arquivos Brasileiros de Psicologia</t>
  </si>
  <si>
    <t>Arquivos de Gastroenterologia</t>
  </si>
  <si>
    <t>Arquivos de Medicina</t>
  </si>
  <si>
    <t>Arquivos de Neuro-Psiquiatria</t>
  </si>
  <si>
    <t>Ars Combinatoria</t>
  </si>
  <si>
    <t>Ars Longa</t>
  </si>
  <si>
    <t>Ars Mathematica Contemporanea</t>
  </si>
  <si>
    <t>Ars Orientalis</t>
  </si>
  <si>
    <t>Ars Pharmaceutica</t>
  </si>
  <si>
    <t>Art Bulletin</t>
  </si>
  <si>
    <t>Art, Design &amp; Communication in Higher Education</t>
  </si>
  <si>
    <t>Arte Cristiana</t>
  </si>
  <si>
    <t>Arte, Individuo y Sociedad</t>
  </si>
  <si>
    <t>Arte Medievale</t>
  </si>
  <si>
    <t>Arteriosclerosis, Thrombosis, and Vascular Biology</t>
  </si>
  <si>
    <t>Artery Research</t>
  </si>
  <si>
    <t>Artforum International</t>
  </si>
  <si>
    <t>Art History</t>
  </si>
  <si>
    <t>Arthritis and Rheumatism</t>
  </si>
  <si>
    <t>Arthritis Care and Research</t>
  </si>
  <si>
    <t>Arthritis Research and Therapy</t>
  </si>
  <si>
    <t>Arthropoda Selecta</t>
  </si>
  <si>
    <t>Arthropod-Plant Interactions</t>
  </si>
  <si>
    <t>Arthropod Structure and Development</t>
  </si>
  <si>
    <t>Arthropod Systematics and Phylogeny</t>
  </si>
  <si>
    <t>Arthroscopy - Journal of Arthroscopic and Related Surgery</t>
  </si>
  <si>
    <t>Arthroscopy Techniques</t>
  </si>
  <si>
    <t>Arthroskopie</t>
  </si>
  <si>
    <t>Arthuriana</t>
  </si>
  <si>
    <t>Artibus Asiae</t>
  </si>
  <si>
    <t>Artibus et Historiae</t>
  </si>
  <si>
    <t>Artificial Cells, Blood Substitutes, and Immobilization Biotechnology</t>
  </si>
  <si>
    <t>Artificial Intelligence</t>
  </si>
  <si>
    <t>Artificial Intelligence and Law</t>
  </si>
  <si>
    <t>Artificial Intelligence for Engineering Design, Analysis and Manufacturing: AIEDAM</t>
  </si>
  <si>
    <t>Artificial Intelligence in Medicine</t>
  </si>
  <si>
    <t>Artificial Intelligence Review</t>
  </si>
  <si>
    <t>Artificial Life</t>
  </si>
  <si>
    <t>Artificial Life and Robotics</t>
  </si>
  <si>
    <t>Artificial Organs</t>
  </si>
  <si>
    <t>Artificial Satellites</t>
  </si>
  <si>
    <t>Art in America</t>
  </si>
  <si>
    <t>Art Journal</t>
  </si>
  <si>
    <t>ARTnews</t>
  </si>
  <si>
    <t>Artnodes</t>
  </si>
  <si>
    <t>Arts and Humanities in Higher Education</t>
  </si>
  <si>
    <t>Arts in Psychotherapy</t>
  </si>
  <si>
    <t>Arts of Asia</t>
  </si>
  <si>
    <t>Art Therapy</t>
  </si>
  <si>
    <t>Arxius de Miscellania Zoologica</t>
  </si>
  <si>
    <t>ARYA Atherosclerosis</t>
  </si>
  <si>
    <t>Arzneimittel-Forschung/Drug Research</t>
  </si>
  <si>
    <t>Arzneimitteltherapie</t>
  </si>
  <si>
    <t>ASAIO Journal</t>
  </si>
  <si>
    <t>Asclepio</t>
  </si>
  <si>
    <t>ASEAN Journal of Chemical Engineering</t>
  </si>
  <si>
    <t>ASHRAE Journal</t>
  </si>
  <si>
    <t>ASHRAE Standard</t>
  </si>
  <si>
    <t>ASHRAE Transactions</t>
  </si>
  <si>
    <t>Asia Europe Journal</t>
  </si>
  <si>
    <t>Asia Life Sciences</t>
  </si>
  <si>
    <t>Asian Academy of Management Journal</t>
  </si>
  <si>
    <t>Asian Academy of Management Journal of Accounting and Finance</t>
  </si>
  <si>
    <t>Asian Affairs</t>
  </si>
  <si>
    <t>Asian Agri-History</t>
  </si>
  <si>
    <t>Asian American Journal of Psychology</t>
  </si>
  <si>
    <t>Asian and African Studies</t>
  </si>
  <si>
    <t>Asian and Pacific Migration Journal</t>
  </si>
  <si>
    <t>Asian-Australasian Journal of Animal Sciences</t>
  </si>
  <si>
    <t>Asian Biomedicine</t>
  </si>
  <si>
    <t>Asian Biotechnology and Development Review</t>
  </si>
  <si>
    <t>Asian Business and Management</t>
  </si>
  <si>
    <t>Asian Cardiovascular and Thoracic Annals</t>
  </si>
  <si>
    <t>Asian Case Research Journal</t>
  </si>
  <si>
    <t>Asian Development Review</t>
  </si>
  <si>
    <t>Asian Dyer</t>
  </si>
  <si>
    <t>Asian Economic Journal</t>
  </si>
  <si>
    <t>Asian Economic Papers</t>
  </si>
  <si>
    <t>Asian Economic Policy Review</t>
  </si>
  <si>
    <t>Asian EFL Journal</t>
  </si>
  <si>
    <t>Asian Ethnicity</t>
  </si>
  <si>
    <t>Asian Ethnology</t>
  </si>
  <si>
    <t>Asian-European Journal of Mathematics</t>
  </si>
  <si>
    <t>Asian Herpetological Research</t>
  </si>
  <si>
    <t>Asian Journal of Agricultural Research</t>
  </si>
  <si>
    <t>Asian Journal of Andrology</t>
  </si>
  <si>
    <t>Asian Journal of Animal and Veterinary Advances</t>
  </si>
  <si>
    <t>Asian Journal of Animal Sciences</t>
  </si>
  <si>
    <t>Asian Journal of Applied Sciences</t>
  </si>
  <si>
    <t>Asian Journal of Atmospheric Environment</t>
  </si>
  <si>
    <t>Asian Journal of Biochemistry</t>
  </si>
  <si>
    <t>Asian Journal of Business and Accounting</t>
  </si>
  <si>
    <t>Asian Journal of Cell Biology</t>
  </si>
  <si>
    <t>Asian Journal of Chemistry</t>
  </si>
  <si>
    <t>Asian Journal of Civil Engineering</t>
  </si>
  <si>
    <t>Asian Journal of Clinical Nutrition</t>
  </si>
  <si>
    <t>Asian Journal of Communication</t>
  </si>
  <si>
    <t>Asian Journal of Comparative Law</t>
  </si>
  <si>
    <t>Asian Journal of Control</t>
  </si>
  <si>
    <t>Asian Journal of Criminology</t>
  </si>
  <si>
    <t>Asian Journal of Crop Science</t>
  </si>
  <si>
    <t>Asian Journal of Earth Sciences</t>
  </si>
  <si>
    <t>Asian journal of endoscopic surgery</t>
  </si>
  <si>
    <t>Asian Journal of Epidemiology</t>
  </si>
  <si>
    <t>Asian Journal of Information Technology</t>
  </si>
  <si>
    <t>Asian Journal of Management Cases</t>
  </si>
  <si>
    <t>Asian Journal of Mathematics</t>
  </si>
  <si>
    <t>Asian Journal of Microbiology, Biotechnology and Environmental Sciences</t>
  </si>
  <si>
    <t>Asian Journal of Ophthalmology</t>
  </si>
  <si>
    <t>Asian Journal of Pharmaceutical and Clinical Research</t>
  </si>
  <si>
    <t>Asian Journal of Pharmaceutical Research and Health Care</t>
  </si>
  <si>
    <t>Asian Journal of Pharmaceutical Sciences</t>
  </si>
  <si>
    <t>Asian Journal of Pharmaceutics</t>
  </si>
  <si>
    <t>Asian Journal of Plant Pathology</t>
  </si>
  <si>
    <t>Asian Journal of Plant Sciences</t>
  </si>
  <si>
    <t>Asian Journal of Political Science</t>
  </si>
  <si>
    <t>Asian Journal of Poultry Science</t>
  </si>
  <si>
    <t>Asian Journal of Psychiatry</t>
  </si>
  <si>
    <t>Asian Journal of Scientific Research</t>
  </si>
  <si>
    <t>Asian Journal of Social Psychology</t>
  </si>
  <si>
    <t>Asian Journal of Social Science</t>
  </si>
  <si>
    <t>Asian Journal of Spectroscopy</t>
  </si>
  <si>
    <t>Asian Journal of Sports Medicine</t>
  </si>
  <si>
    <t>Asian Journal of Surgery</t>
  </si>
  <si>
    <t>Asian Journal of Technology Innovation</t>
  </si>
  <si>
    <t>Asian Journal of Water, Environment and Pollution</t>
  </si>
  <si>
    <t>Asian Journal of Women's Studies</t>
  </si>
  <si>
    <t>Asian Journal of WTO and International Health Law and Policy</t>
  </si>
  <si>
    <t>Asian Medicine</t>
  </si>
  <si>
    <t>Asian Myrmecology</t>
  </si>
  <si>
    <t>Asian Nursing Research</t>
  </si>
  <si>
    <t>Asian-Pacific Economic Literature</t>
  </si>
  <si>
    <t>Asian Pacific Journal of Allergy and Immunology</t>
  </si>
  <si>
    <t>Thailand</t>
  </si>
  <si>
    <t>Asian Pacific Journal of Cancer Prevention</t>
  </si>
  <si>
    <t>Asian Pacific Journal of Tropical Biomedicine</t>
  </si>
  <si>
    <t>Asian Pacific Journal of Tropical Disease</t>
  </si>
  <si>
    <t>Asian Pacific Journal of Tropical Medicine</t>
  </si>
  <si>
    <t>Asian Perspective</t>
  </si>
  <si>
    <t>Asian Perspectives</t>
  </si>
  <si>
    <t>Asian Philosophy</t>
  </si>
  <si>
    <t>Asian Politics and Policy</t>
  </si>
  <si>
    <t>Asian Population Studies</t>
  </si>
  <si>
    <t>Asian Review of Accounting</t>
  </si>
  <si>
    <t>Asian Security</t>
  </si>
  <si>
    <t>Asian Social Science</t>
  </si>
  <si>
    <t>Asian Social Work and Policy Review</t>
  </si>
  <si>
    <t>Asian Spine Journal</t>
  </si>
  <si>
    <t>Asian Studies Review</t>
  </si>
  <si>
    <t>Asian Survey</t>
  </si>
  <si>
    <t>Asian Theatre Journal</t>
  </si>
  <si>
    <t>Asia Pacific Business Review</t>
  </si>
  <si>
    <t>Asia Pacific Disability Rehabilitation Journal</t>
  </si>
  <si>
    <t>Asia-Pacific Education Researcher</t>
  </si>
  <si>
    <t>Asia Pacific Education Review</t>
  </si>
  <si>
    <t>Asia-Pacific Financial Markets</t>
  </si>
  <si>
    <t>Asia-Pacific Forum on Science Learning and Teaching</t>
  </si>
  <si>
    <t>Hong Kong</t>
  </si>
  <si>
    <t>Asia Pacific Issues</t>
  </si>
  <si>
    <t>Asia-Pacific Journal of Accounting and Economics</t>
  </si>
  <si>
    <t>Asia Pacific Journal of Anthropology</t>
  </si>
  <si>
    <t>Asia-Pacific Journal of Atmospheric Sciences</t>
  </si>
  <si>
    <t>Asia-Pacific Journal of Business Administration</t>
  </si>
  <si>
    <t>Asia-Pacific Journal of Chemical Engineering</t>
  </si>
  <si>
    <t>Asia Pacific Journal of Clinical Nutrition</t>
  </si>
  <si>
    <t>Asia-Pacific Journal of Clinical Oncology</t>
  </si>
  <si>
    <t>Asia Pacific Journal of Education</t>
  </si>
  <si>
    <t>Asia Pacific Journal of Environmental Law</t>
  </si>
  <si>
    <t>Asia-Pacific Journal of Financial Studies</t>
  </si>
  <si>
    <t>Asia Pacific Journal of Human Resources</t>
  </si>
  <si>
    <t>Asia Pacific Journal of Management</t>
  </si>
  <si>
    <t>Asia-Pacific Journal of Molecular Biology and Biotechnology</t>
  </si>
  <si>
    <t>Asia-Pacific Journal of Operational Research</t>
  </si>
  <si>
    <t>Asia-Pacific Journal of Public Health</t>
  </si>
  <si>
    <t>Asia Pacific Journal of Social Work and Development</t>
  </si>
  <si>
    <t>Asia-Pacific Journal of Teacher Education</t>
  </si>
  <si>
    <t>Asia Pacific Journal of Tourism Research</t>
  </si>
  <si>
    <t>Asia-Pacific Journal on Human Rights and the Law</t>
  </si>
  <si>
    <t>Asia Pacific Law Review</t>
  </si>
  <si>
    <t>Asia Pacific Management Review</t>
  </si>
  <si>
    <t>Asia-Pacific Population Journal</t>
  </si>
  <si>
    <t>Asia-Pacific Psychiatry</t>
  </si>
  <si>
    <t>Asia-Pacific Review</t>
  </si>
  <si>
    <t>Asia-Pacific Social Science Review</t>
  </si>
  <si>
    <t>Asia Pacific Viewpoint</t>
  </si>
  <si>
    <t>Asiatic</t>
  </si>
  <si>
    <t>Aslib Proceedings</t>
  </si>
  <si>
    <t>ASM Science Journal</t>
  </si>
  <si>
    <t>ASN Neuro</t>
  </si>
  <si>
    <t>Aspasia</t>
  </si>
  <si>
    <t>Asphalt Paving Technology: Association of Asphalt Paving Technologists-Proceedings of the Technical Sessions</t>
  </si>
  <si>
    <t>Assay and Drug Development Technologies</t>
  </si>
  <si>
    <t>Assembly Automation</t>
  </si>
  <si>
    <t>Assessing Writing</t>
  </si>
  <si>
    <t>Assessment</t>
  </si>
  <si>
    <t>Assessment and Evaluation in Higher Education</t>
  </si>
  <si>
    <t>Assessment for Effective Intervention</t>
  </si>
  <si>
    <t>Assessment in Education: Principles, Policy and Practice</t>
  </si>
  <si>
    <t>Assistenza Infermieristica e Ricerca</t>
  </si>
  <si>
    <t>Assistive Technology</t>
  </si>
  <si>
    <t>AStA Advances in Statistical Analysis</t>
  </si>
  <si>
    <t>AStA Wirtschafts- und Sozialstatistisches Archiv</t>
  </si>
  <si>
    <t>ASTIN Bulletin</t>
  </si>
  <si>
    <t>Astrobiology</t>
  </si>
  <si>
    <t>Astronomical Journal</t>
  </si>
  <si>
    <t>Astronomische Nachrichten</t>
  </si>
  <si>
    <t>Astronomy and Astrophysics</t>
  </si>
  <si>
    <t>Astronomy and Astrophysics Review</t>
  </si>
  <si>
    <t>Astronomy and Geophysics</t>
  </si>
  <si>
    <t>Astronomy Letters</t>
  </si>
  <si>
    <t>Astronomy Reports</t>
  </si>
  <si>
    <t>Astroparticle Physics</t>
  </si>
  <si>
    <t>Astrophysical Bulletin</t>
  </si>
  <si>
    <t>Astrophysical Journal</t>
  </si>
  <si>
    <t>Astrophysical Journal Letters</t>
  </si>
  <si>
    <t>Astrophysical Journal, Supplement Series</t>
  </si>
  <si>
    <t>Astrophysics</t>
  </si>
  <si>
    <t>Astrophysics and Space Science</t>
  </si>
  <si>
    <t>Astrophysics and Space Sciences Transactions</t>
  </si>
  <si>
    <t>Astropolitics</t>
  </si>
  <si>
    <t>Asymptotic Analysis</t>
  </si>
  <si>
    <t>Atalante</t>
  </si>
  <si>
    <t>Atemwegs- und Lungenkrankheiten</t>
  </si>
  <si>
    <t>Atencion Farmaceutica</t>
  </si>
  <si>
    <t>Atencion Primaria</t>
  </si>
  <si>
    <t>Atenea</t>
  </si>
  <si>
    <t>Atene e Roma</t>
  </si>
  <si>
    <t>Athenaeum</t>
  </si>
  <si>
    <t>Athenea Digital: Revista de Pensamiento e Investigacion Social</t>
  </si>
  <si>
    <t>Atherosclerosis</t>
  </si>
  <si>
    <t>Atherosclerosis Supplements</t>
  </si>
  <si>
    <t>Atiqot</t>
  </si>
  <si>
    <t>Israel</t>
  </si>
  <si>
    <t>ATLA Alternatives to Laboratory Animals</t>
  </si>
  <si>
    <t>Atlantic Economic Journal</t>
  </si>
  <si>
    <t>Atlantic Geology</t>
  </si>
  <si>
    <t>Atlantic Journal of Communication</t>
  </si>
  <si>
    <t>Atlantic Studies: Literary, Cultural and Historical Perspectives</t>
  </si>
  <si>
    <t>Atlantis</t>
  </si>
  <si>
    <t>Atlas of the Oral and Maxillofacial Surgery Clinics of North America</t>
  </si>
  <si>
    <t>Atmosfera</t>
  </si>
  <si>
    <t>ATMOSPHERE</t>
  </si>
  <si>
    <t>Atmosphere - Ocean</t>
  </si>
  <si>
    <t>Atmospheric Chemistry and Physics</t>
  </si>
  <si>
    <t>Atmospheric Chemistry and Physics Discussions</t>
  </si>
  <si>
    <t>Atmospheric Environment</t>
  </si>
  <si>
    <t>Atmospheric Measurement Techniques</t>
  </si>
  <si>
    <t>Atmospheric Research</t>
  </si>
  <si>
    <t>Atmospheric Science Letters</t>
  </si>
  <si>
    <t>Atoll Research Bulletin</t>
  </si>
  <si>
    <t>Atomic Data and Nuclear Data Tables</t>
  </si>
  <si>
    <t>Atomic Energy</t>
  </si>
  <si>
    <t>Atomic Spectroscopy</t>
  </si>
  <si>
    <t>Atomization and Sprays</t>
  </si>
  <si>
    <t>Atomos</t>
  </si>
  <si>
    <t>Attachment and Human Development</t>
  </si>
  <si>
    <t>Attention, Perception, and Psychophysics</t>
  </si>
  <si>
    <t>Atti della Accademia Nazionale dei Lincei, Classe di Scienze Fisiche, Matematiche e Naturali, Rendiconti Lincei Matematica E Applicazioni</t>
  </si>
  <si>
    <t>ATTI Della Accademia Nazionale Dei Lincei Rendiconti Lincei Scienze Fisiche E Naturali</t>
  </si>
  <si>
    <t>Atti della Accademia Peloritana dei Pericolanti, Classe di Scienze Fisiche, Matematiche e Naturali</t>
  </si>
  <si>
    <t>ATW - Internationale Zeitschrift fur Kernenergie</t>
  </si>
  <si>
    <t>A + U-Architecture and Urbanism</t>
  </si>
  <si>
    <t>Auburn University, Dissertation</t>
  </si>
  <si>
    <t>Audiological Medicine</t>
  </si>
  <si>
    <t>Audiology and Neuro-Otology</t>
  </si>
  <si>
    <t>Auditing</t>
  </si>
  <si>
    <t>Auk</t>
  </si>
  <si>
    <t>AUMLA-Journal of the Australasian Universities Language and Literature Association</t>
  </si>
  <si>
    <t>Auris Nasus Larynx</t>
  </si>
  <si>
    <t>AUS</t>
  </si>
  <si>
    <t>Ausa</t>
  </si>
  <si>
    <t>Australasian Biotechnology</t>
  </si>
  <si>
    <t>Australasian Drama Studies</t>
  </si>
  <si>
    <t>Australasian Emergency Nursing Journal</t>
  </si>
  <si>
    <t>Australasian Journal of Combinatorics</t>
  </si>
  <si>
    <t>Australasian Journal of Construction Economics and Building</t>
  </si>
  <si>
    <t>Australasian Journal of Dermatology</t>
  </si>
  <si>
    <t>Australasian Journal of Disaster and Trauma Studies</t>
  </si>
  <si>
    <t>Australasian Journal of Educational Technology</t>
  </si>
  <si>
    <t>Australasian Journal of Environmental Management</t>
  </si>
  <si>
    <t>Australasian Journal of Information Systems</t>
  </si>
  <si>
    <t>Australasian Journal of Natural Resources Law and Policy</t>
  </si>
  <si>
    <t>Australasian Journal of Philosophy</t>
  </si>
  <si>
    <t>Australasian Journal of Special Education</t>
  </si>
  <si>
    <t>Australasian Journal on Ageing</t>
  </si>
  <si>
    <t>Australasian Marketing Journal</t>
  </si>
  <si>
    <t>Australasian Medical Journal</t>
  </si>
  <si>
    <t>Australasian Physical and Engineering Sciences in Medicine</t>
  </si>
  <si>
    <t>Australasian Plant Pathology</t>
  </si>
  <si>
    <t>Australasian Psychiatry</t>
  </si>
  <si>
    <t>Austral Ecology</t>
  </si>
  <si>
    <t>Australian Aboriginal Studies</t>
  </si>
  <si>
    <t>Australian Academic and Research Libraries</t>
  </si>
  <si>
    <t>Australian Accounting Review</t>
  </si>
  <si>
    <t>Australian and New Zealand Journal of Criminology</t>
  </si>
  <si>
    <t>Australian and New Zealand Journal of Family Therapy</t>
  </si>
  <si>
    <t>Australian and New Zealand Journal of Obstetrics and Gynaecology</t>
  </si>
  <si>
    <t>Australian and New Zealand Journal of Psychiatry</t>
  </si>
  <si>
    <t>Australian and New Zealand Journal of Public Health</t>
  </si>
  <si>
    <t>Australian and New Zealand Journal of Statistics</t>
  </si>
  <si>
    <t>Australian Archaeology</t>
  </si>
  <si>
    <t>Australian Critical Care</t>
  </si>
  <si>
    <t>Australian Dental Journal</t>
  </si>
  <si>
    <t>Australian Doctor</t>
  </si>
  <si>
    <t>Australian Economic History Review</t>
  </si>
  <si>
    <t>Australian Economic Papers</t>
  </si>
  <si>
    <t>Australian Economic Review</t>
  </si>
  <si>
    <t>Australian Educational and Developmental Psychologist</t>
  </si>
  <si>
    <t>Australian Educational Computing</t>
  </si>
  <si>
    <t>Australian Educational Researcher</t>
  </si>
  <si>
    <t>Australian Endodontic Journal</t>
  </si>
  <si>
    <t>Australian Entomologist</t>
  </si>
  <si>
    <t>Australian Family Physician</t>
  </si>
  <si>
    <t>Australian Feminist Studies</t>
  </si>
  <si>
    <t>Australian Field Ornithology</t>
  </si>
  <si>
    <t>Australian Forestry</t>
  </si>
  <si>
    <t>Australian Geographer</t>
  </si>
  <si>
    <t>Australian Health Review</t>
  </si>
  <si>
    <t>Australian Historical Studies</t>
  </si>
  <si>
    <t>Australian Journal of Acupuncture and Chinese Medicine</t>
  </si>
  <si>
    <t>Australian Journal of Adult Learning</t>
  </si>
  <si>
    <t>Australian Journal of Advanced Nursing</t>
  </si>
  <si>
    <t>Australian Journal of Agricultural and Resource Economics</t>
  </si>
  <si>
    <t>Australian Journal of Anthropology, The</t>
  </si>
  <si>
    <t>Australian Journal of Basic and Applied Sciences</t>
  </si>
  <si>
    <t>Australian Journal of Botany</t>
  </si>
  <si>
    <t>Australian Journal of Chemistry</t>
  </si>
  <si>
    <t>Australian Journal of Clinical and Experimental Hypnosis</t>
  </si>
  <si>
    <t>Australian Journal of Clinical Hypnotherapy and Hypnosis</t>
  </si>
  <si>
    <t>Australian Journal of Crop Science</t>
  </si>
  <si>
    <t>Australian Journal of Earth Sciences</t>
  </si>
  <si>
    <t>Australian Journal of Education</t>
  </si>
  <si>
    <t>Australian Journal of Educational and Developmental Psychology</t>
  </si>
  <si>
    <t>Australian Journal of Electrical and Electronics Engineering</t>
  </si>
  <si>
    <t>Australian Journal of Emergency Management</t>
  </si>
  <si>
    <t>Australian Journal of Emerging Technologies and Society</t>
  </si>
  <si>
    <t>Australian Journal of Entomology</t>
  </si>
  <si>
    <t>Australian Journal of Environmental Education</t>
  </si>
  <si>
    <t>Australian Journal of Forensic Sciences</t>
  </si>
  <si>
    <t>Australian Journal of French Studies</t>
  </si>
  <si>
    <t>Australian Journal of Grape and Wine Research</t>
  </si>
  <si>
    <t>Australian Journal of Guidance and Counselling</t>
  </si>
  <si>
    <t>Australian Journal of International Affairs</t>
  </si>
  <si>
    <t>Australian Journal of Learning Difficulties</t>
  </si>
  <si>
    <t>Australian Journal of Linguistics</t>
  </si>
  <si>
    <t>Australian Journal of Management</t>
  </si>
  <si>
    <t>Australian Journal of Mathematical Analysis and Applications</t>
  </si>
  <si>
    <t>Australian Journal of Mechanical Engineering</t>
  </si>
  <si>
    <t>Australian Journal of Medical Herbalism</t>
  </si>
  <si>
    <t>Australian Journal of Medical Science</t>
  </si>
  <si>
    <t>Australian Journal of Pharmacy</t>
  </si>
  <si>
    <t>Australian Journal of Political Science</t>
  </si>
  <si>
    <t>Australian Journal of Politics and History</t>
  </si>
  <si>
    <t>Australian Journal of Primary Health</t>
  </si>
  <si>
    <t>Australian Journal of Psychology</t>
  </si>
  <si>
    <t>Australian Journal of Public Administration</t>
  </si>
  <si>
    <t>Australian Journal of Rural Health</t>
  </si>
  <si>
    <t>Australian Journal of Social Issues</t>
  </si>
  <si>
    <t>Australian Journal of Structural Engineering</t>
  </si>
  <si>
    <t>Australian Journal of Teacher Education</t>
  </si>
  <si>
    <t>Australian Journal of Water Resources</t>
  </si>
  <si>
    <t>Australian Journal of Zoology</t>
  </si>
  <si>
    <t>Australian Library Journal</t>
  </si>
  <si>
    <t>Australian Life Scientist</t>
  </si>
  <si>
    <t>Australian Literary Studies</t>
  </si>
  <si>
    <t>Australian Mammalogy</t>
  </si>
  <si>
    <t>Australian Meteorological and Oceanographic Journal</t>
  </si>
  <si>
    <t>Australian nursing journal (July 1993)</t>
  </si>
  <si>
    <t>Australian Occupational Therapy Journal</t>
  </si>
  <si>
    <t>Australian orthodontic journal</t>
  </si>
  <si>
    <t>Australian Planner</t>
  </si>
  <si>
    <t>Australian Prescriber</t>
  </si>
  <si>
    <t>Australian Psychologist</t>
  </si>
  <si>
    <t>Australian Review of Applied Linguistics</t>
  </si>
  <si>
    <t>Australian Social Work</t>
  </si>
  <si>
    <t>Australian Systematic Botany</t>
  </si>
  <si>
    <t>Australian Veterinary Journal</t>
  </si>
  <si>
    <t>Australian Veterinary Practitioner</t>
  </si>
  <si>
    <t>Australian Zoologist</t>
  </si>
  <si>
    <t>Austrian History Yearbook</t>
  </si>
  <si>
    <t>Austrian Journal of Clinical Endocrinology and Metabolism</t>
  </si>
  <si>
    <t>Austrian Journal of Earth Sciences</t>
  </si>
  <si>
    <t>Austrian Journal of Forest Science</t>
  </si>
  <si>
    <t>Aut Aut</t>
  </si>
  <si>
    <t>Autex Research Journal</t>
  </si>
  <si>
    <t>Autism</t>
  </si>
  <si>
    <t>Autism Research</t>
  </si>
  <si>
    <t>Autoimmune Diseases</t>
  </si>
  <si>
    <t>Autoimmunity</t>
  </si>
  <si>
    <t>Autoimmunity Highlights</t>
  </si>
  <si>
    <t>Autoimmunity Reviews</t>
  </si>
  <si>
    <t>Automated Software Engineering</t>
  </si>
  <si>
    <t>Automatica</t>
  </si>
  <si>
    <t>Automatic Control and Computer Sciences</t>
  </si>
  <si>
    <t>Automatika</t>
  </si>
  <si>
    <t>Automation and Remote Control</t>
  </si>
  <si>
    <t>Automation in Construction</t>
  </si>
  <si>
    <t>Automatisierungstechnik</t>
  </si>
  <si>
    <t>Automotive Industries AI</t>
  </si>
  <si>
    <t>Autonomic and Autacoid Pharmacology</t>
  </si>
  <si>
    <t>Autonomic Neuroscience: Basic and Clinical</t>
  </si>
  <si>
    <t>Autonomous Agents and Multi-Agent Systems</t>
  </si>
  <si>
    <t>Autonomous Robots</t>
  </si>
  <si>
    <t>Autophagy</t>
  </si>
  <si>
    <t>AutoTechnology</t>
  </si>
  <si>
    <t>AUTOTESTCON (Proceedings)</t>
  </si>
  <si>
    <t>Avances en Diabetologia</t>
  </si>
  <si>
    <t>Avances en Odontoestomatologia</t>
  </si>
  <si>
    <t>Avances en Psicologia Latinoamericana</t>
  </si>
  <si>
    <t>Avances en Quimica</t>
  </si>
  <si>
    <t>Avant Scene Opera</t>
  </si>
  <si>
    <t>Aviakosmicheskaya i Ekologicheskaya Meditsina</t>
  </si>
  <si>
    <t>Avian Biology Research</t>
  </si>
  <si>
    <t>Avian Conservation and Ecology</t>
  </si>
  <si>
    <t>Avian Diseases</t>
  </si>
  <si>
    <t>Avian Pathology</t>
  </si>
  <si>
    <t>Aviation</t>
  </si>
  <si>
    <t>Aviation Space and Environmental Medicine</t>
  </si>
  <si>
    <t>Avicenna Journal of Medical Biotechnology</t>
  </si>
  <si>
    <t>Avocetta</t>
  </si>
  <si>
    <t>Axiomathes</t>
  </si>
  <si>
    <t>Ayer</t>
  </si>
  <si>
    <t>Azania</t>
  </si>
  <si>
    <t>Azerbaijan Medical Journal</t>
  </si>
  <si>
    <t>Azerbaijan Pharmaceutical and Pharmacotherapy Journal</t>
  </si>
  <si>
    <t>A|Z ITU Journal of Faculty of Architecture</t>
  </si>
  <si>
    <t>Babel</t>
  </si>
  <si>
    <t>Babesch</t>
  </si>
  <si>
    <t>Bach</t>
  </si>
  <si>
    <t>Bahrain Medical Bulletin</t>
  </si>
  <si>
    <t>Bahrain</t>
  </si>
  <si>
    <t>Bailliere's Best Practice and Research in Clinical Gastroenterology</t>
  </si>
  <si>
    <t>Balkanistica</t>
  </si>
  <si>
    <t>Balkan Journal of Geometry and its Applications</t>
  </si>
  <si>
    <t>Balkan Journal of Medical Genetics</t>
  </si>
  <si>
    <t>Macedonia</t>
  </si>
  <si>
    <t>Balkan Medical Journal</t>
  </si>
  <si>
    <t>Ballet Review</t>
  </si>
  <si>
    <t>Baltica</t>
  </si>
  <si>
    <t>Baltic Astronomy</t>
  </si>
  <si>
    <t>Baltic Forestry</t>
  </si>
  <si>
    <t>Baltic Journal of Coleopterology</t>
  </si>
  <si>
    <t>Latvia</t>
  </si>
  <si>
    <t>Baltic Journal of Economics</t>
  </si>
  <si>
    <t>Baltic Journal of Management</t>
  </si>
  <si>
    <t>Baltic Journal of Road and Bridge Engineering</t>
  </si>
  <si>
    <t>Banach Journal of Mathematical Analysis</t>
  </si>
  <si>
    <t>Bandaoti Guangdian/Semiconductor Optoelectronics</t>
  </si>
  <si>
    <t>Bangladesh Journal of Botany</t>
  </si>
  <si>
    <t>Bangladesh</t>
  </si>
  <si>
    <t>Bangladesh Journal of Medical Science</t>
  </si>
  <si>
    <t>Bangladesh Journal of Obstetrics and Gynecology</t>
  </si>
  <si>
    <t>Bangladesh Journal of Pharmacology</t>
  </si>
  <si>
    <t>Bangladesh Journal of Plant Taxonomy</t>
  </si>
  <si>
    <t>Bangladesh Medical Research Council Bulletin</t>
  </si>
  <si>
    <t>Banking and Finance Review</t>
  </si>
  <si>
    <t>Banking Law Journal</t>
  </si>
  <si>
    <t>BANTAO Journal</t>
  </si>
  <si>
    <t>Baozha Yu Chongji/Expolosion and Shock Waves</t>
  </si>
  <si>
    <t>BAR - Brazilian Administration Review</t>
  </si>
  <si>
    <t>Bariatric Nursing and Surgical Patient Care</t>
  </si>
  <si>
    <t>Basal Ganglia</t>
  </si>
  <si>
    <t>Basic and Applied Ecology</t>
  </si>
  <si>
    <t>Basic and Applied Herpetology</t>
  </si>
  <si>
    <t>Basic and Applied Pathology</t>
  </si>
  <si>
    <t>Basic and Applied Social Psychology</t>
  </si>
  <si>
    <t>Basic and Clinical Neuroscience</t>
  </si>
  <si>
    <t>Basic and Clinical Pharmacology and Toxicology</t>
  </si>
  <si>
    <t>Basic Income Studies</t>
  </si>
  <si>
    <t>Basic Research in Cardiology</t>
  </si>
  <si>
    <t>Basin Research</t>
  </si>
  <si>
    <t>Batalleria</t>
  </si>
  <si>
    <t>Bayesian Analysis</t>
  </si>
  <si>
    <t>Beagle</t>
  </si>
  <si>
    <t>Beginnings (American Holistic Nurses' Association)</t>
  </si>
  <si>
    <t>Behavioral and Brain Functions</t>
  </si>
  <si>
    <t>Behavioral and Brain Sciences</t>
  </si>
  <si>
    <t>Behavioral and Social Sciences Librarian</t>
  </si>
  <si>
    <t>Behavioral Ecology</t>
  </si>
  <si>
    <t>Behavioral Ecology and Sociobiology</t>
  </si>
  <si>
    <t>Behavioral Healthcare</t>
  </si>
  <si>
    <t>Behavioral Interventions</t>
  </si>
  <si>
    <t>Behavioral Medicine</t>
  </si>
  <si>
    <t>Behavioral Neuroscience</t>
  </si>
  <si>
    <t>Behavioral Research in Accounting</t>
  </si>
  <si>
    <t>Behavioral Sciences and the Law</t>
  </si>
  <si>
    <t>Behavioral Sleep Medicine</t>
  </si>
  <si>
    <t>Behavior Analyst</t>
  </si>
  <si>
    <t>Behavior Genetics</t>
  </si>
  <si>
    <t>Behavior Modification</t>
  </si>
  <si>
    <t>Behavior Research Methods</t>
  </si>
  <si>
    <t>Behavior Therapy</t>
  </si>
  <si>
    <t>Behaviour</t>
  </si>
  <si>
    <t>Behavioural and Cognitive Psychotherapy</t>
  </si>
  <si>
    <t>Behavioural Brain Research</t>
  </si>
  <si>
    <t>Behavioural Neurology</t>
  </si>
  <si>
    <t>Behavioural Pharmacology</t>
  </si>
  <si>
    <t>Behavioural Processes</t>
  </si>
  <si>
    <t>Behaviour and Information Technology</t>
  </si>
  <si>
    <t>Behaviour Change</t>
  </si>
  <si>
    <t>Behaviour Research and Therapy</t>
  </si>
  <si>
    <t>Behavorial Disorders</t>
  </si>
  <si>
    <t>Beijing Da Xue Xue Bao</t>
  </si>
  <si>
    <t>Beijing Daxue Xuebao Ziran Kexue Ban/Acta Scientiarum Naturalium Universitatis Pekinensis</t>
  </si>
  <si>
    <t>Beijing Gongye Daxue Xuebao / Journal of Beijing University of Technology</t>
  </si>
  <si>
    <t>Beijing Hangkong Hangtian Daxue Xuebao/Journal of Beijing University of Aeronautics and Astronautics</t>
  </si>
  <si>
    <t>Beijing Huagong Daxue Xuebao (Ziran Kexueban)/Journal of Beijing University of Chemical Technology (Natural Science Edition)</t>
  </si>
  <si>
    <t>Beijing Jiaotong Daxue Xuebao/Journal of Beijing Jiaotong University</t>
  </si>
  <si>
    <t>Beijing Keji Daxue Xuebao/Journal of University of Science and Technology Beijing</t>
  </si>
  <si>
    <t>Beijing Ligong Daxue Xuebao/Transaction of Beijing Institute of Technology</t>
  </si>
  <si>
    <t>Beijing Linye Daxue Xuebao/Journal of Beijing Forestry University</t>
  </si>
  <si>
    <t>Beijing Youdian Xueyuan Xuebao/Journal of Beijing University of Posts And Telecommunications</t>
  </si>
  <si>
    <t>Beilstein Journal of Nanotechnology</t>
  </si>
  <si>
    <t>Beilstein Journal of Organic Chemistry</t>
  </si>
  <si>
    <t>Beitrage zur Algebra und Geometrie</t>
  </si>
  <si>
    <t>Beitrage zur Geschichte der Deutschen Sprache und Literatur</t>
  </si>
  <si>
    <t>Beitrage zur Geschichte der Sprachwissenschaft</t>
  </si>
  <si>
    <t>Beitrage zur Tabakforschung International/ Contributions to Tobacco Research</t>
  </si>
  <si>
    <t>B.E. Journal of Economic Analysis and Policy</t>
  </si>
  <si>
    <t>B.E. Journal of Macroeconomics</t>
  </si>
  <si>
    <t>B.E. Journal of Theoretical Economics</t>
  </si>
  <si>
    <t>Belfagor</t>
  </si>
  <si>
    <t>BELGEO</t>
  </si>
  <si>
    <t>Belgian Journal of Linguistics</t>
  </si>
  <si>
    <t>Belgian Journal of Zoology</t>
  </si>
  <si>
    <t>Belleten</t>
  </si>
  <si>
    <t>Bell Labs Technical Journal</t>
  </si>
  <si>
    <t>Benchmarking</t>
  </si>
  <si>
    <t>Benefits quarterly</t>
  </si>
  <si>
    <t>Ben Jonson Journal</t>
  </si>
  <si>
    <t>B-ENT</t>
  </si>
  <si>
    <t>Bereavement Care</t>
  </si>
  <si>
    <t>Berichte uber Landwirtschaft</t>
  </si>
  <si>
    <t>Berichte zur Wissenschaftsgeschichte</t>
  </si>
  <si>
    <t>Berkeley Planning Journal</t>
  </si>
  <si>
    <t>Berliner Journal fur Soziologie</t>
  </si>
  <si>
    <t>Berliner und Munchener Tierarztliche Wochenschrift</t>
  </si>
  <si>
    <t>Bernoulli</t>
  </si>
  <si>
    <t>Best Practice and Research in Clinical Anaesthesiology</t>
  </si>
  <si>
    <t>Best Practice and Research in Clinical Endocrinology and Metabolism</t>
  </si>
  <si>
    <t>Best Practice and Research in Clinical Haematology</t>
  </si>
  <si>
    <t>Best Practice and Research in Clinical Obstetrics and Gynaecology</t>
  </si>
  <si>
    <t>Best Practice and Research in Clinical Rheumatology</t>
  </si>
  <si>
    <t>Best Practice Onkologie</t>
  </si>
  <si>
    <t>BETA bulletin of experimental treatments for AIDS : a publication of the San Francisco AIDS foundation</t>
  </si>
  <si>
    <t>Beton- und Stahlbetonbau</t>
  </si>
  <si>
    <t>Betriebswirtschaftliche Forschung und Praxis</t>
  </si>
  <si>
    <t>Biblica</t>
  </si>
  <si>
    <t>Biblical Archaeology Review</t>
  </si>
  <si>
    <t>Biblical Interpretation</t>
  </si>
  <si>
    <t>Biblical Theology Bulletin</t>
  </si>
  <si>
    <t>Biblische Zeitschrift</t>
  </si>
  <si>
    <t>BiD</t>
  </si>
  <si>
    <t>Biennial University/Government/Industry Microelectronics Symposium - Proceedings</t>
  </si>
  <si>
    <t>Bijdragen en Mededelingen Betreffende de Geschiedenis der Nederlanden</t>
  </si>
  <si>
    <t>Bijdragen tot de Taal-, Land- en Volkenkunde</t>
  </si>
  <si>
    <t>Bilig - Turk DunyasI Sosyal Bilimler Dergisi</t>
  </si>
  <si>
    <t>Bilingualism: Language and Cognition</t>
  </si>
  <si>
    <t>Bilingual Research Journal</t>
  </si>
  <si>
    <t>Bing du xue bao = Chinese journal of virology / [bian ji, Bing du xue bao bian ji wei yuan hui]</t>
  </si>
  <si>
    <t>Binggong Xuebao/Acta Armamentarii</t>
  </si>
  <si>
    <t>Binocular Vision and Strabology Quarterly</t>
  </si>
  <si>
    <t>Bioacoustics</t>
  </si>
  <si>
    <t>Bioagro</t>
  </si>
  <si>
    <t>Bioanalysis</t>
  </si>
  <si>
    <t>Bioanalytical Reviews</t>
  </si>
  <si>
    <t>Bioarchaeology of the Near East</t>
  </si>
  <si>
    <t>Biocatalysis and Agricultural Biotechnology</t>
  </si>
  <si>
    <t>Biocatalysis and Biotransformation</t>
  </si>
  <si>
    <t>Biocell</t>
  </si>
  <si>
    <t>Biochemia Medica</t>
  </si>
  <si>
    <t>Biochemical and Biophysical Research Communications</t>
  </si>
  <si>
    <t>Biochemical and Cellular Archives</t>
  </si>
  <si>
    <t>Biochemical Engineering Journal</t>
  </si>
  <si>
    <t>Biochemical Genetics</t>
  </si>
  <si>
    <t>Biochemical Journal</t>
  </si>
  <si>
    <t>Biochemical Pharmacology</t>
  </si>
  <si>
    <t>Biochemical Society Symposium</t>
  </si>
  <si>
    <t>Biochemical Society Transactions</t>
  </si>
  <si>
    <t>Biochemical Systematics and Ecology</t>
  </si>
  <si>
    <t>Biochemist</t>
  </si>
  <si>
    <t>Biochemistry</t>
  </si>
  <si>
    <t>Biochemistry and Cell Biology</t>
  </si>
  <si>
    <t>Biochemistry and Molecular Biology Education</t>
  </si>
  <si>
    <t>Biochemistry. Biokhimiia</t>
  </si>
  <si>
    <t>Biochemistry Research International</t>
  </si>
  <si>
    <t>Biochemistry, Supplemental Series A</t>
  </si>
  <si>
    <t>Biochemistry, Supplemental Series B</t>
  </si>
  <si>
    <t>Biochimica et Biophysica Acta - Bioenergetics</t>
  </si>
  <si>
    <t>Biochimica et Biophysica Acta - Biomembranes</t>
  </si>
  <si>
    <t>Biochimica et Biophysica Acta - General Subjects</t>
  </si>
  <si>
    <t>Biochimica et Biophysica Acta - Gene Regulatory Mechanisms</t>
  </si>
  <si>
    <t>Biochimica et Biophysica Acta - Molecular and Cell Biology of Lipids</t>
  </si>
  <si>
    <t>Biochimica et Biophysica Acta - Molecular Basis of Disease</t>
  </si>
  <si>
    <t>Biochimica et Biophysica Acta - Molecular Cell Research</t>
  </si>
  <si>
    <t>Biochimica et Biophysica Acta - Proteins and Proteomics</t>
  </si>
  <si>
    <t>Biochimica et Biophysica Acta - Reviews on Cancer</t>
  </si>
  <si>
    <t>Biochimie</t>
  </si>
  <si>
    <t>Biochip Journal</t>
  </si>
  <si>
    <t>Bioconjugate Chemistry</t>
  </si>
  <si>
    <t>BioControl</t>
  </si>
  <si>
    <t>Biocontrol Science</t>
  </si>
  <si>
    <t>Biocontrol Science and Technology</t>
  </si>
  <si>
    <t>Biocybernetics and Biomedical Engineering</t>
  </si>
  <si>
    <t>BioData Mining</t>
  </si>
  <si>
    <t>Biodegradation</t>
  </si>
  <si>
    <t>Biodemography and Social Biology</t>
  </si>
  <si>
    <t>Biodiversity</t>
  </si>
  <si>
    <t>Biodiversity and Conservation</t>
  </si>
  <si>
    <t>BioDrugs</t>
  </si>
  <si>
    <t>Bioelectrochemistry</t>
  </si>
  <si>
    <t>Bioelectromagnetics</t>
  </si>
  <si>
    <t>Bioenergy Research</t>
  </si>
  <si>
    <t>Bioengineered Bugs</t>
  </si>
  <si>
    <t>BioEssays</t>
  </si>
  <si>
    <t>Bioethics</t>
  </si>
  <si>
    <t>Biofabrication</t>
  </si>
  <si>
    <t>BioFactors</t>
  </si>
  <si>
    <t>Biofizika</t>
  </si>
  <si>
    <t>Biofouling</t>
  </si>
  <si>
    <t>Biofuels, Bioproducts and Biorefining</t>
  </si>
  <si>
    <t>Biofutur</t>
  </si>
  <si>
    <t>Biogeochemistry</t>
  </si>
  <si>
    <t>Biogeosciences</t>
  </si>
  <si>
    <t>Biogerontology</t>
  </si>
  <si>
    <t>Biography</t>
  </si>
  <si>
    <t>Bioinformatics</t>
  </si>
  <si>
    <t>Bioinformatics and Biology Insights</t>
  </si>
  <si>
    <t>Bioinorganic Chemistry and Applications</t>
  </si>
  <si>
    <t>Bioinspiration and Biomimetics</t>
  </si>
  <si>
    <t>Biointerphases</t>
  </si>
  <si>
    <t>Biologia</t>
  </si>
  <si>
    <t>Biologia Plantarum</t>
  </si>
  <si>
    <t>Biological Agriculture and Horticulture</t>
  </si>
  <si>
    <t>Biological and Pharmaceutical Bulletin</t>
  </si>
  <si>
    <t>Biological Bulletin</t>
  </si>
  <si>
    <t>Biological Chemistry</t>
  </si>
  <si>
    <t>Biological Conservation</t>
  </si>
  <si>
    <t>Biological Control</t>
  </si>
  <si>
    <t>Biological Cybernetics</t>
  </si>
  <si>
    <t>Biological Engineering</t>
  </si>
  <si>
    <t>Biological Invasions</t>
  </si>
  <si>
    <t>Biological Journal of the Linnean Society</t>
  </si>
  <si>
    <t>Biologically Inspired Cognitive Architectures</t>
  </si>
  <si>
    <t>Biological Procedures Online</t>
  </si>
  <si>
    <t>Biological Psychiatry</t>
  </si>
  <si>
    <t>Biological Psychology</t>
  </si>
  <si>
    <t>Biological Research</t>
  </si>
  <si>
    <t>Biological Research for Nursing</t>
  </si>
  <si>
    <t>Biological Reviews</t>
  </si>
  <si>
    <t>Biological Rhythm Research</t>
  </si>
  <si>
    <t>Biologicals</t>
  </si>
  <si>
    <t>Biological Trace Element Research</t>
  </si>
  <si>
    <t>Biologicheskie Membrany</t>
  </si>
  <si>
    <t>Biologics: Targets and Therapy</t>
  </si>
  <si>
    <t>Biologie Aujourd'hui</t>
  </si>
  <si>
    <t>Biologie in Unserer Zeit</t>
  </si>
  <si>
    <t>Biologist</t>
  </si>
  <si>
    <t>Biology and Environment</t>
  </si>
  <si>
    <t>Biology and Fertility of Soils</t>
  </si>
  <si>
    <t>Biology and Medicine</t>
  </si>
  <si>
    <t>Biology and Philosophy</t>
  </si>
  <si>
    <t>Biology Bulletin</t>
  </si>
  <si>
    <t>Biology Direct</t>
  </si>
  <si>
    <t>Biology Letters</t>
  </si>
  <si>
    <t>Biology of Blood and Marrow Transplantation</t>
  </si>
  <si>
    <t>Biology of Reproduction</t>
  </si>
  <si>
    <t>Biology of Sport</t>
  </si>
  <si>
    <t>Biology of the Cell</t>
  </si>
  <si>
    <t>Biomacromolecules</t>
  </si>
  <si>
    <t>Biomarker Insights</t>
  </si>
  <si>
    <t>Biomarkers</t>
  </si>
  <si>
    <t>Biomarkers in Medicine</t>
  </si>
  <si>
    <t>Biomass and Bioenergy</t>
  </si>
  <si>
    <t>Biomaterials</t>
  </si>
  <si>
    <t>Biomechanics and Modeling in Mechanobiology</t>
  </si>
  <si>
    <t>Biomedical and Environmental Sciences</t>
  </si>
  <si>
    <t>Biomedical and Health Research</t>
  </si>
  <si>
    <t>Biomedical and Pharmacology Journal</t>
  </si>
  <si>
    <t>Biomedical Chromatography</t>
  </si>
  <si>
    <t>Bio-Medical Engineering</t>
  </si>
  <si>
    <t>Biomedical Engineering - Applications, Basis and Communications</t>
  </si>
  <si>
    <t>Biomedical Engineering Letters</t>
  </si>
  <si>
    <t>Biomedical Engineering (New York) (English translation of Meditsinskaya Tekhnika)</t>
  </si>
  <si>
    <t>BioMedical Engineering Online</t>
  </si>
  <si>
    <t>Biomedical Imaging and Intervention Journal</t>
  </si>
  <si>
    <t>Biomedical Instrumentation and Technology</t>
  </si>
  <si>
    <t>Biomedical Materials</t>
  </si>
  <si>
    <t>Bio-Medical Materials and Engineering</t>
  </si>
  <si>
    <t>Biomedical Microdevices</t>
  </si>
  <si>
    <t>Biomedical Optics Express</t>
  </si>
  <si>
    <t>Biomedical papers of the Medical Faculty of the University Palacky, Olomouc, Czechoslovakia</t>
  </si>
  <si>
    <t>Biomedical Research</t>
  </si>
  <si>
    <t>Biomedical Reviews</t>
  </si>
  <si>
    <t>Biomedical Sciences Instrumentation</t>
  </si>
  <si>
    <t>Biomedical Signal Processing and Control</t>
  </si>
  <si>
    <t>Biomedica : revista del Instituto Nacional de Salud</t>
  </si>
  <si>
    <t>Biomedicine</t>
  </si>
  <si>
    <t>Biomedicine and Aging Pathology</t>
  </si>
  <si>
    <t>Biomedicine and Pharmacotherapy</t>
  </si>
  <si>
    <t>Biomedicine and Preventive Nutrition</t>
  </si>
  <si>
    <t>BioMedicine (Netherlands)</t>
  </si>
  <si>
    <t>Biomeditsinskaya Khimiya</t>
  </si>
  <si>
    <t>Biomedizinische Technik. Biomedical engineering</t>
  </si>
  <si>
    <t>BioMetals</t>
  </si>
  <si>
    <t>Biometrical Journal</t>
  </si>
  <si>
    <t>Biometrics</t>
  </si>
  <si>
    <t>Biometrika</t>
  </si>
  <si>
    <t>Biomicrofluidics</t>
  </si>
  <si>
    <t>Biomolecular NMR Assignments</t>
  </si>
  <si>
    <t>Biomolecules and Therapeutics</t>
  </si>
  <si>
    <t>BioNanoScience</t>
  </si>
  <si>
    <t>Bioorganic and Medicinal Chemistry</t>
  </si>
  <si>
    <t>Bioorganic and Medicinal Chemistry Letters</t>
  </si>
  <si>
    <t>Bioorganic Chemistry</t>
  </si>
  <si>
    <t>Bioorganicheskaya Khimiya</t>
  </si>
  <si>
    <t>Biopesticides International</t>
  </si>
  <si>
    <t>Biopharmaceutics and Drug Disposition</t>
  </si>
  <si>
    <t>Biophysical Chemistry</t>
  </si>
  <si>
    <t>Biophysical Journal</t>
  </si>
  <si>
    <t>Biophysical Reviews</t>
  </si>
  <si>
    <t>Biophysical Reviews and Letters</t>
  </si>
  <si>
    <t>Biophysics</t>
  </si>
  <si>
    <t>Biophysics (Japan)</t>
  </si>
  <si>
    <t>Biopolymers</t>
  </si>
  <si>
    <t>Biopolymers and Cell</t>
  </si>
  <si>
    <t>Biopreservation and Biobanking</t>
  </si>
  <si>
    <t>Bioprocess and Biosystems Engineering</t>
  </si>
  <si>
    <t>BioPsychoSocial Medicine</t>
  </si>
  <si>
    <t>Bioremediation Journal</t>
  </si>
  <si>
    <t>BioResources</t>
  </si>
  <si>
    <t>Bioresource Technology</t>
  </si>
  <si>
    <t>Biorheology</t>
  </si>
  <si>
    <t>BioRisk</t>
  </si>
  <si>
    <t>Bioscene</t>
  </si>
  <si>
    <t>BioScience</t>
  </si>
  <si>
    <t>Bioscience, Biotechnology and Biochemistry</t>
  </si>
  <si>
    <t>Bioscience Education</t>
  </si>
  <si>
    <t>Bioscience Journal</t>
  </si>
  <si>
    <t>Bioscience Reports</t>
  </si>
  <si>
    <t>Bioscience Research</t>
  </si>
  <si>
    <t>Biosciences Biotechnology Research Asia</t>
  </si>
  <si>
    <t>BioScope: South Asian Screen Studies</t>
  </si>
  <si>
    <t>Biosecurity and Bioterrorism</t>
  </si>
  <si>
    <t>Biosemiotics</t>
  </si>
  <si>
    <t>Biosensors and Bioelectronics</t>
  </si>
  <si>
    <t>BioSocieties</t>
  </si>
  <si>
    <t>BioSpektrum</t>
  </si>
  <si>
    <t>Biostatistics</t>
  </si>
  <si>
    <t>Bio Systems</t>
  </si>
  <si>
    <t>Biosystems Engineering</t>
  </si>
  <si>
    <t>Biota Neotropica</t>
  </si>
  <si>
    <t>Bio Tech International</t>
  </si>
  <si>
    <t>Biotechnic and Histochemistry</t>
  </si>
  <si>
    <t>BioTechniques</t>
  </si>
  <si>
    <t>Biotechnologia</t>
  </si>
  <si>
    <t>Biotechnology</t>
  </si>
  <si>
    <t>Biotechnology Advances</t>
  </si>
  <si>
    <t>Biotechnology, Agronomy and Society and Environment</t>
  </si>
  <si>
    <t>Biotechnology and Applied Biochemistry</t>
  </si>
  <si>
    <t>Biotechnology and Bioengineering</t>
  </si>
  <si>
    <t>Biotechnology and Bioprocess Engineering</t>
  </si>
  <si>
    <t>Biotechnology and Biotechnological Equipment</t>
  </si>
  <si>
    <t>Biotechnology and Genetic Engineering Reviews</t>
  </si>
  <si>
    <t>BioTechnology: An Indian Journal</t>
  </si>
  <si>
    <t>Biotechnology for Biofuels</t>
  </si>
  <si>
    <t>Biotechnology Journal</t>
  </si>
  <si>
    <t>Biotechnology Law Report</t>
  </si>
  <si>
    <t>Biotechnology Letters</t>
  </si>
  <si>
    <t>Biotechnology Progress</t>
  </si>
  <si>
    <t>Biotecnologia Aplicada</t>
  </si>
  <si>
    <t>Biotherapy</t>
  </si>
  <si>
    <t>Bio Tribune Magazine</t>
  </si>
  <si>
    <t>Biotropia</t>
  </si>
  <si>
    <t>Biotropica</t>
  </si>
  <si>
    <t>Bipolar Disorders</t>
  </si>
  <si>
    <t>Bird Conservation International</t>
  </si>
  <si>
    <t>Bird Study</t>
  </si>
  <si>
    <t>Birkhauser Advances in Infectious Diseases</t>
  </si>
  <si>
    <t>Birth</t>
  </si>
  <si>
    <t>Birth Defects Research Part A - Clinical and Molecular Teratology</t>
  </si>
  <si>
    <t>Birth Defects Research Part B - Developmental and Reproductive Toxicology</t>
  </si>
  <si>
    <t>Birth Defects Research Part C - Embryo Today: Reviews</t>
  </si>
  <si>
    <t>Bitacora Urbano Territorial</t>
  </si>
  <si>
    <t>BIT Numerical Mathematics</t>
  </si>
  <si>
    <t>Biuletyn - Panstwowego Instytutu Geologicznego</t>
  </si>
  <si>
    <t>BJOG: An International Journal of Obstetrics and Gynaecology</t>
  </si>
  <si>
    <t>BJU International</t>
  </si>
  <si>
    <t>Black Music Research Journal</t>
  </si>
  <si>
    <t>Black Scholar</t>
  </si>
  <si>
    <t>Blake - An Illustrated Quarterly</t>
  </si>
  <si>
    <t>Blood</t>
  </si>
  <si>
    <t>Blood Cancer Journal</t>
  </si>
  <si>
    <t>Blood Cells, Molecules, and Diseases</t>
  </si>
  <si>
    <t>Blood Coagulation and Fibrinolysis</t>
  </si>
  <si>
    <t>Blood Pressure</t>
  </si>
  <si>
    <t>Blood Pressure Monitoring</t>
  </si>
  <si>
    <t>Blood Pressure, Supplement</t>
  </si>
  <si>
    <t>Blood Purification</t>
  </si>
  <si>
    <t>Blood Reviews</t>
  </si>
  <si>
    <t>Blood Transfusion</t>
  </si>
  <si>
    <t>Blumea: Journal of Plant Taxonomy and Plant Geography</t>
  </si>
  <si>
    <t>Blutalkohol</t>
  </si>
  <si>
    <t>Blyttia</t>
  </si>
  <si>
    <t>Norway</t>
  </si>
  <si>
    <t>BMB Reports</t>
  </si>
  <si>
    <t>BMC Anesthesiology</t>
  </si>
  <si>
    <t>BMC Biochemistry</t>
  </si>
  <si>
    <t>BMC Bioinformatics</t>
  </si>
  <si>
    <t>BMC Biology</t>
  </si>
  <si>
    <t>BMC Biophysics</t>
  </si>
  <si>
    <t>BMC Biotechnology</t>
  </si>
  <si>
    <t>BMC Blood Disorders</t>
  </si>
  <si>
    <t>BMC Cancer</t>
  </si>
  <si>
    <t>BMC Cardiovascular Disorders</t>
  </si>
  <si>
    <t>BMC Cell Biology</t>
  </si>
  <si>
    <t>BMC Chemical Biology</t>
  </si>
  <si>
    <t>BMC Clinical Pathology</t>
  </si>
  <si>
    <t>BMC Clinical Pharmacology</t>
  </si>
  <si>
    <t>BMC Complementary and Alternative Medicine</t>
  </si>
  <si>
    <t>BMC Dermatology</t>
  </si>
  <si>
    <t>BMC Developmental Biology</t>
  </si>
  <si>
    <t>BMC Ear, Nose and Throat Disorders</t>
  </si>
  <si>
    <t>BMC Ecology</t>
  </si>
  <si>
    <t>BMC Emergency Medicine</t>
  </si>
  <si>
    <t>BMC Endocrine Disorders</t>
  </si>
  <si>
    <t>BMC Evolutionary Biology</t>
  </si>
  <si>
    <t>BMC Family Practice</t>
  </si>
  <si>
    <t>BMC Gastroenterology</t>
  </si>
  <si>
    <t>BMC Genetics</t>
  </si>
  <si>
    <t>BMC Genomics</t>
  </si>
  <si>
    <t>BMC Geriatrics</t>
  </si>
  <si>
    <t>BMC Health Services Research</t>
  </si>
  <si>
    <t>BMC Immunology</t>
  </si>
  <si>
    <t>BMC Infectious Diseases</t>
  </si>
  <si>
    <t>BMC International Health and Human Rights</t>
  </si>
  <si>
    <t>BMC Medical Education</t>
  </si>
  <si>
    <t>BMC Medical Ethics</t>
  </si>
  <si>
    <t>BMC Medical Genetics</t>
  </si>
  <si>
    <t>BMC Medical Genomics</t>
  </si>
  <si>
    <t>BMC Medical Imaging</t>
  </si>
  <si>
    <t>BMC Medical Informatics and Decision Making</t>
  </si>
  <si>
    <t>BMC Medical Physics</t>
  </si>
  <si>
    <t>BMC Medical Research Methodology</t>
  </si>
  <si>
    <t>BMC Medicine</t>
  </si>
  <si>
    <t>BMC Microbiology</t>
  </si>
  <si>
    <t>BMC Molecular Biology</t>
  </si>
  <si>
    <t>BMC Musculoskeletal Disorders</t>
  </si>
  <si>
    <t>BMC Nephrology</t>
  </si>
  <si>
    <t>BMC Neurology</t>
  </si>
  <si>
    <t>BMC Neuroscience</t>
  </si>
  <si>
    <t>BMC Nursing</t>
  </si>
  <si>
    <t>BMC Ophthalmology</t>
  </si>
  <si>
    <t>BMC Oral Health</t>
  </si>
  <si>
    <t>BMC Palliative Care</t>
  </si>
  <si>
    <t>BMC Pediatrics</t>
  </si>
  <si>
    <t>BMC Pharmacology</t>
  </si>
  <si>
    <t>BMC pharmacology &amp; toxicology</t>
  </si>
  <si>
    <t>BMC Physiology</t>
  </si>
  <si>
    <t>BMC Plant Biology</t>
  </si>
  <si>
    <t>BMC Pregnancy and Childbirth</t>
  </si>
  <si>
    <t>BMC Proceedings</t>
  </si>
  <si>
    <t>BMC Psychiatry</t>
  </si>
  <si>
    <t>BMC Public Health</t>
  </si>
  <si>
    <t>BMC Pulmonary Medicine</t>
  </si>
  <si>
    <t>BMC Research Notes</t>
  </si>
  <si>
    <t>BMC Structural Biology</t>
  </si>
  <si>
    <t>BMC Surgery</t>
  </si>
  <si>
    <t>BMC Systems Biology</t>
  </si>
  <si>
    <t>BMC Urology</t>
  </si>
  <si>
    <t>BMC Veterinary Research</t>
  </si>
  <si>
    <t>BMC Women's Health</t>
  </si>
  <si>
    <t>BMJ Open</t>
  </si>
  <si>
    <t>BMJ Quality and Safety</t>
  </si>
  <si>
    <t>Bodenkultur</t>
  </si>
  <si>
    <t>Body and Society</t>
  </si>
  <si>
    <t>Body Image</t>
  </si>
  <si>
    <t>Body, Movement and Dance in Psychotherapy</t>
  </si>
  <si>
    <t>Bogazici Journal</t>
  </si>
  <si>
    <t>Bogoslovni Vestnik</t>
  </si>
  <si>
    <t>Bogoslovska Smotra</t>
  </si>
  <si>
    <t>Bois et Forets des Tropiques</t>
  </si>
  <si>
    <t>Bolema - Mathematics Education Bulletin</t>
  </si>
  <si>
    <t>Bolest</t>
  </si>
  <si>
    <t>Boletim Centro de Pesquisa de Processamento de Alimentos</t>
  </si>
  <si>
    <t>Boletim de Ciencias Geodesicas</t>
  </si>
  <si>
    <t>Boletim do Instituto de Pesca</t>
  </si>
  <si>
    <t>Boletim Tecnico da PETROBRAS</t>
  </si>
  <si>
    <t>Boletin de Geologia</t>
  </si>
  <si>
    <t>Boletin de la Asociacion de Geografos Espanoles</t>
  </si>
  <si>
    <t>Boletin de la Asociacion Medica de Puerto Rico</t>
  </si>
  <si>
    <t>Puerto Rico</t>
  </si>
  <si>
    <t>Boletin de la Real Academia Espanola</t>
  </si>
  <si>
    <t>Boletin de la Sociedad Botanica de Mexico</t>
  </si>
  <si>
    <t>Boletin de la Sociedad Espanola de Ceramica y Vidrio</t>
  </si>
  <si>
    <t>Boletin de la Sociedad Geologica Mexicana</t>
  </si>
  <si>
    <t>Boletin de la Sociedad Matematica Mexicana</t>
  </si>
  <si>
    <t>Boletin Geologico y Minero</t>
  </si>
  <si>
    <t>Boletin Latinoamericano y del Caribe de Plantas Medicinales y Aromaticas</t>
  </si>
  <si>
    <t>Boletin Medico del Hospital Infantil de Mexico</t>
  </si>
  <si>
    <t>Boletin Mexicano de Derecho Comparado</t>
  </si>
  <si>
    <t>Bolletino dell Unione Matematica Italiana</t>
  </si>
  <si>
    <t>Bollettino d'Arte</t>
  </si>
  <si>
    <t>Bollettino della Societa Paleontologica Italiana</t>
  </si>
  <si>
    <t>Bollettino di Archeologia</t>
  </si>
  <si>
    <t>Bollettino di Geofisica Teorica ed Applicata</t>
  </si>
  <si>
    <t>Bollettino di Storia delle Scienze Matematiche</t>
  </si>
  <si>
    <t>Bone</t>
  </si>
  <si>
    <t>Bone Marrow Transplantation</t>
  </si>
  <si>
    <t>Book Collector, The</t>
  </si>
  <si>
    <t>Boreal Environment Research</t>
  </si>
  <si>
    <t>Boreas</t>
  </si>
  <si>
    <t>Bosnian Journal of Basic Medical Sciences</t>
  </si>
  <si>
    <t>Bosque</t>
  </si>
  <si>
    <t>Boston University Law Review</t>
  </si>
  <si>
    <t>Botanica Complutensis</t>
  </si>
  <si>
    <t>Botanical Journal of the Linnean Society</t>
  </si>
  <si>
    <t>Botanical Review, The</t>
  </si>
  <si>
    <t>Botanical Studies</t>
  </si>
  <si>
    <t>Botanica Marina</t>
  </si>
  <si>
    <t>Botany</t>
  </si>
  <si>
    <t>Bothalia</t>
  </si>
  <si>
    <t>Bottom Line</t>
  </si>
  <si>
    <t>Boundary 2</t>
  </si>
  <si>
    <t>Boundary-Layer Meteorology</t>
  </si>
  <si>
    <t>Boundary Value Problems</t>
  </si>
  <si>
    <t>Brachytherapy</t>
  </si>
  <si>
    <t>Bragantia</t>
  </si>
  <si>
    <t>Brain; a journal of neurology</t>
  </si>
  <si>
    <t>Brain and Cognition</t>
  </si>
  <si>
    <t>Brain and Development</t>
  </si>
  <si>
    <t>Brain and Language</t>
  </si>
  <si>
    <t>Brain and Nerve</t>
  </si>
  <si>
    <t>Brain, Behavior and Evolution</t>
  </si>
  <si>
    <t>Brain, Behavior, and Immunity</t>
  </si>
  <si>
    <t>Brain Imaging and Behavior</t>
  </si>
  <si>
    <t>Brain Impairment</t>
  </si>
  <si>
    <t>Brain Injury</t>
  </si>
  <si>
    <t>Brain Pathology</t>
  </si>
  <si>
    <t>Brain Research</t>
  </si>
  <si>
    <t>Brain Research Bulletin</t>
  </si>
  <si>
    <t>Brain Research Reviews</t>
  </si>
  <si>
    <t>Brain Stimulation</t>
  </si>
  <si>
    <t>Brain Structure and Function</t>
  </si>
  <si>
    <t>Brain Topography</t>
  </si>
  <si>
    <t>Brain Tumor Pathology</t>
  </si>
  <si>
    <t>Brand</t>
  </si>
  <si>
    <t>Bratislavske Lekarske Listy</t>
  </si>
  <si>
    <t>Brazilian Archives of Biology and Technology</t>
  </si>
  <si>
    <t>Brazilian Dental Journal</t>
  </si>
  <si>
    <t>Brazilian Journal of Biology</t>
  </si>
  <si>
    <t>Brazilian Journal of Cardiovascular Surgery</t>
  </si>
  <si>
    <t>Brazilian Journal of Chemical Engineering</t>
  </si>
  <si>
    <t>Brazilian Journal of Infectious Diseases</t>
  </si>
  <si>
    <t>Brazilian Journal of Medical and Biological Research</t>
  </si>
  <si>
    <t>Brazilian Journal of Microbiology</t>
  </si>
  <si>
    <t>Brazilian Journal of Oceanography</t>
  </si>
  <si>
    <t>Brazilian Journal of Oral Sciences</t>
  </si>
  <si>
    <t>Brazilian Journal of Otorhinolaryngology</t>
  </si>
  <si>
    <t>Brazilian Journal of Pharmaceutical Sciences</t>
  </si>
  <si>
    <t>Brazilian Journal of Pharmacognsosy</t>
  </si>
  <si>
    <t>Brazilian Journal of Physics</t>
  </si>
  <si>
    <t>Brazilian Journal of Plant Physiology</t>
  </si>
  <si>
    <t>Brazilian Journal of Probability and Statistics</t>
  </si>
  <si>
    <t>Brazilian Journal of Veterinary Research and Animal Science</t>
  </si>
  <si>
    <t>Breast</t>
  </si>
  <si>
    <t>Breast Cancer</t>
  </si>
  <si>
    <t>Breast Cancer: Basic and Clinical Research</t>
  </si>
  <si>
    <t>Breast Cancer Research</t>
  </si>
  <si>
    <t>Breast Cancer Research and Treatment</t>
  </si>
  <si>
    <t>Breast Cancer: Targets and Therapy</t>
  </si>
  <si>
    <t>Breast Care</t>
  </si>
  <si>
    <t>Breast Disease</t>
  </si>
  <si>
    <t>Breast Diseases</t>
  </si>
  <si>
    <t>Breastfeeding Medicine</t>
  </si>
  <si>
    <t>Breastfeeding review : professional publication of the Nursing Mothers' Association of Australia</t>
  </si>
  <si>
    <t>Breast Journal</t>
  </si>
  <si>
    <t>Breathe</t>
  </si>
  <si>
    <t>Breeding Science</t>
  </si>
  <si>
    <t>BrewingScience</t>
  </si>
  <si>
    <t>Bridge Structures</t>
  </si>
  <si>
    <t>Briefings in Bioinformatics</t>
  </si>
  <si>
    <t>Briefings in Functional Genomics</t>
  </si>
  <si>
    <t>Brigham Young University studies. Brigham Young University</t>
  </si>
  <si>
    <t>Britannia (Society for the Promotion of Roman Studies)</t>
  </si>
  <si>
    <t>British Accounting Review</t>
  </si>
  <si>
    <t>British Birds</t>
  </si>
  <si>
    <t>British Columbia Medical Journal</t>
  </si>
  <si>
    <t>British Dental Journal</t>
  </si>
  <si>
    <t>British Educational Research Journal</t>
  </si>
  <si>
    <t>British Food Journal</t>
  </si>
  <si>
    <t>British Journal for Eighteenth Century Studies</t>
  </si>
  <si>
    <t>British Journal for the History of Philosophy</t>
  </si>
  <si>
    <t>British Journal for the History of Science</t>
  </si>
  <si>
    <t>British Journal for the Philosophy of Science</t>
  </si>
  <si>
    <t>British Journal of Aesthetics</t>
  </si>
  <si>
    <t>British Journal of Anaesthesia</t>
  </si>
  <si>
    <t>British Journal of Biomedical Science</t>
  </si>
  <si>
    <t>British Journal of Cancer</t>
  </si>
  <si>
    <t>British Journal of Cardiology</t>
  </si>
  <si>
    <t>British Journal of Clinical Pharmacology</t>
  </si>
  <si>
    <t>British Journal of Clinical Psychology</t>
  </si>
  <si>
    <t>British Journal of Community Justice</t>
  </si>
  <si>
    <t>British Journal of Community Nursing</t>
  </si>
  <si>
    <t>British Journal of Criminology</t>
  </si>
  <si>
    <t>British Journal of Dermatology</t>
  </si>
  <si>
    <t>British Journal of Developmental Disabilities</t>
  </si>
  <si>
    <t>British Journal of Developmental Psychology</t>
  </si>
  <si>
    <t>British Journal of Diabetes and Vascular Disease</t>
  </si>
  <si>
    <t>British Journal of Educational Psychology</t>
  </si>
  <si>
    <t>British Journal of Educational Studies</t>
  </si>
  <si>
    <t>British Journal of Educational Technology</t>
  </si>
  <si>
    <t>British Journal of Forensic Practice</t>
  </si>
  <si>
    <t>British Journal of General Practice</t>
  </si>
  <si>
    <t>British Journal of Guidance and Counselling</t>
  </si>
  <si>
    <t>British Journal of Haematology</t>
  </si>
  <si>
    <t>British Journal of Health Care Management</t>
  </si>
  <si>
    <t>British Journal of Health Psychology</t>
  </si>
  <si>
    <t>British Journal of Hospital Medicine</t>
  </si>
  <si>
    <t>British Journal of Industrial Relations</t>
  </si>
  <si>
    <t>British Journal of Intensive Care</t>
  </si>
  <si>
    <t>British Journal of Learning Disabilities</t>
  </si>
  <si>
    <t>British Journal of Management</t>
  </si>
  <si>
    <t>British Journal of Mathematical and Statistical Psychology</t>
  </si>
  <si>
    <t>British Journal of Medical and Surgical Urology</t>
  </si>
  <si>
    <t>British Journal of Medical Practitioners</t>
  </si>
  <si>
    <t>British Journal of Middle Eastern Studies</t>
  </si>
  <si>
    <t>British Journal of Midwifery</t>
  </si>
  <si>
    <t>British Journal of Music Education</t>
  </si>
  <si>
    <t>British Journal of Neurosurgery</t>
  </si>
  <si>
    <t>British Journal of Nursing</t>
  </si>
  <si>
    <t>British Journal of Nutrition</t>
  </si>
  <si>
    <t>British Journal of Occupational Therapy</t>
  </si>
  <si>
    <t>British Journal of Ophthalmology</t>
  </si>
  <si>
    <t>British Journal of Oral and Maxillofacial Surgery</t>
  </si>
  <si>
    <t>British Journal of Pharmacology</t>
  </si>
  <si>
    <t>British Journal of Political Science</t>
  </si>
  <si>
    <t>British Journal of Politics and International Relations</t>
  </si>
  <si>
    <t>British Journal of Psychiatry</t>
  </si>
  <si>
    <t>British Journal of Psychology</t>
  </si>
  <si>
    <t>British Journal of Psychotherapy</t>
  </si>
  <si>
    <t>British Journal of Radiology</t>
  </si>
  <si>
    <t>British Journal of Religious Education</t>
  </si>
  <si>
    <t>British Journal of Social Psychology</t>
  </si>
  <si>
    <t>British Journal of Social Work</t>
  </si>
  <si>
    <t>British Journal of Sociology</t>
  </si>
  <si>
    <t>British Journal of Sociology of Education</t>
  </si>
  <si>
    <t>British Journal of Special Education</t>
  </si>
  <si>
    <t>British Journal of Sports Medicine</t>
  </si>
  <si>
    <t>British Journal of Surgery</t>
  </si>
  <si>
    <t>British Medical Bulletin</t>
  </si>
  <si>
    <t>British Medical Journal</t>
  </si>
  <si>
    <t>British Politics</t>
  </si>
  <si>
    <t>British Poultry Science</t>
  </si>
  <si>
    <t>British Wildlife</t>
  </si>
  <si>
    <t>Brittonia</t>
  </si>
  <si>
    <t>Brno Studies in English</t>
  </si>
  <si>
    <t>Brodogradnja</t>
  </si>
  <si>
    <t>Bronte Studies</t>
  </si>
  <si>
    <t>Brookings Papers on Economic Activity</t>
  </si>
  <si>
    <t>Brukenthal. Acta Musei</t>
  </si>
  <si>
    <t>Brunei International Medical Journal</t>
  </si>
  <si>
    <t>Brunei Darussalam</t>
  </si>
  <si>
    <t>Bruniana e Campanelliana</t>
  </si>
  <si>
    <t>Bryologist</t>
  </si>
  <si>
    <t>BSHM Bulletin</t>
  </si>
  <si>
    <t>BTRA Scan</t>
  </si>
  <si>
    <t>Bubble Science, Engineering and Technology</t>
  </si>
  <si>
    <t>Buffalo Bulletin</t>
  </si>
  <si>
    <t>Buffalo Law Review</t>
  </si>
  <si>
    <t>Building Acoustics</t>
  </si>
  <si>
    <t>Building and Environment</t>
  </si>
  <si>
    <t>Building Engineer</t>
  </si>
  <si>
    <t>Building Research and Information</t>
  </si>
  <si>
    <t>Building Services Engineering Research and Technology</t>
  </si>
  <si>
    <t>Building Simulation</t>
  </si>
  <si>
    <t>Built Environment</t>
  </si>
  <si>
    <t>Buletinul Academiei de Stiinte a Republicii Moldova. Matematica</t>
  </si>
  <si>
    <t>Moldova</t>
  </si>
  <si>
    <t>Bulgarian Chemical Communications</t>
  </si>
  <si>
    <t>Bulgarian Historical Review</t>
  </si>
  <si>
    <t>Bulgarian Journal of Agricultural Science</t>
  </si>
  <si>
    <t>Bulk Solids Handling</t>
  </si>
  <si>
    <t>Bullentin of Canadian Petroleum Geology</t>
  </si>
  <si>
    <t>Bulletin - Association of Canadian Map Libraries and Archives</t>
  </si>
  <si>
    <t>Bulletin - Cercle Benelux d'histoire de la pharmacie</t>
  </si>
  <si>
    <t>Bulletin de l'Academie Nationale de Medecine</t>
  </si>
  <si>
    <t>Bulletin de l'Academie Veterinaire de France</t>
  </si>
  <si>
    <t>Bulletin de la Societe Belge d'Ophtalmologie</t>
  </si>
  <si>
    <t>Bulletin de la Societe de Linguistique de Paris</t>
  </si>
  <si>
    <t>Bulletin de la Societe de Pathologie Exotique</t>
  </si>
  <si>
    <t>Bulletin de la Societe des Sciences Medicales du Grand-Duche de Luxembourg</t>
  </si>
  <si>
    <t>Luxembourg</t>
  </si>
  <si>
    <t>Bulletin de la Societe Mathematique de France</t>
  </si>
  <si>
    <t>Bulletin de la Societe Prehistorique Francaise</t>
  </si>
  <si>
    <t>Bulletin de la Societe Royale des Sciences de Liege</t>
  </si>
  <si>
    <t>Bulletin de la Societe Vaudoise des Sciences Naturelles</t>
  </si>
  <si>
    <t>Bulletin de la Societe Zoologique de France</t>
  </si>
  <si>
    <t>Bulletin de L'Association de Geographes Francais</t>
  </si>
  <si>
    <t>Bulletin de liaison des membres de la Societe de geographie</t>
  </si>
  <si>
    <t>Bulletin de l'Institut Royal des Sciences Naturelles de Belqique, Sciences de la Terre</t>
  </si>
  <si>
    <t>Bulletin des Sciences Mathematiques</t>
  </si>
  <si>
    <t>Bulletin du Cancer</t>
  </si>
  <si>
    <t>Bulletin du Groupement international pour la recherche scientifique en stomatologie &amp; odontologie</t>
  </si>
  <si>
    <t>Bulletin et Memoires de l'Academie Royale de Medecine de Belgique</t>
  </si>
  <si>
    <t>Bulletin Hispanique</t>
  </si>
  <si>
    <t>Bulletin. John Rylands University Library of Manchester</t>
  </si>
  <si>
    <t>Bulletin Mathematique de la Societe des Sciences Mathematiques de Roumanie</t>
  </si>
  <si>
    <t>Bulletin Mineralogicko-Petrologickeho Oddeleni Narodniho Muzea v Praze</t>
  </si>
  <si>
    <t>Bulletin Monumental</t>
  </si>
  <si>
    <t>Bulletin of anesthesia history</t>
  </si>
  <si>
    <t>Bulletin of Chemical Reaction Engineering and Catalysis</t>
  </si>
  <si>
    <t>Bulletin of Earthquake Engineering</t>
  </si>
  <si>
    <t>Bulletin of Economic Research</t>
  </si>
  <si>
    <t>Bulletin of Engineering Geology and the Environment</t>
  </si>
  <si>
    <t>Bulletin of Entomological Research</t>
  </si>
  <si>
    <t>Bulletin of Environmental Contamination and Toxicology</t>
  </si>
  <si>
    <t>Bulletin of Experimental Biology and Medicine</t>
  </si>
  <si>
    <t>Bulletin of Geography</t>
  </si>
  <si>
    <t>Bulletin of Geosciences</t>
  </si>
  <si>
    <t>Bulletin of Glaciological Research</t>
  </si>
  <si>
    <t>Bulletin of Hispanic Studies</t>
  </si>
  <si>
    <t>Bulletin of Indonesian Economic Studies</t>
  </si>
  <si>
    <t>Bulletin of Latin American Research</t>
  </si>
  <si>
    <t>Bulletin of Marine Science</t>
  </si>
  <si>
    <t>Bulletin of Materials Science</t>
  </si>
  <si>
    <t>Bulletin of Mathematical Biology</t>
  </si>
  <si>
    <t>Bulletin of Mineralogy Petrology and Geochemistry</t>
  </si>
  <si>
    <t>Bulletin of National Institute of Health Sciences</t>
  </si>
  <si>
    <t>Bulletin of Pharmaceutical Sciences</t>
  </si>
  <si>
    <t>Bulletin of Spanish Studies</t>
  </si>
  <si>
    <t>Bulletin of Symbolic Logic</t>
  </si>
  <si>
    <t>Bulletin of the American College of Surgeons</t>
  </si>
  <si>
    <t>Bulletin of the American Mathematical Society</t>
  </si>
  <si>
    <t>Bulletin of the American Meteorological Society</t>
  </si>
  <si>
    <t>Bulletin of the American Museum of Natural History</t>
  </si>
  <si>
    <t>Bulletin of the American Schools of Oriental Research</t>
  </si>
  <si>
    <t>Bulletin of the American Society of Papyrologists</t>
  </si>
  <si>
    <t>Bulletin of the Astronomical Society of India</t>
  </si>
  <si>
    <t>Bulletin of the Atomic Scientists</t>
  </si>
  <si>
    <t>Bulletin of the Australian Mathematical Society</t>
  </si>
  <si>
    <t>Bulletin of the Belgian Mathematical Society - Simon Stevin</t>
  </si>
  <si>
    <t>Bulletin of the Brazilian Mathematical Society</t>
  </si>
  <si>
    <t>Bulletin of the Chemical Society of Ethiopia</t>
  </si>
  <si>
    <t>Ethiopia</t>
  </si>
  <si>
    <t>Bulletin of the Chemical Society of Japan</t>
  </si>
  <si>
    <t>Bulletin of the Comediantes</t>
  </si>
  <si>
    <t>Bulletin of the Council for Research in Music Education</t>
  </si>
  <si>
    <t>Bulletin of the European Association of Fish Pathologists</t>
  </si>
  <si>
    <t>Bulletin of the Geological Society of Denmark</t>
  </si>
  <si>
    <t>Bulletin of the Geological Society of Finland</t>
  </si>
  <si>
    <t>Bulletin of the Geological Society of Malaysia</t>
  </si>
  <si>
    <t>Bulletin of the Georgian National Academy of Sciences</t>
  </si>
  <si>
    <t>Georgia</t>
  </si>
  <si>
    <t>Bulletin of the History of Medicine</t>
  </si>
  <si>
    <t>Bulletin of the Illinois Geographical Society</t>
  </si>
  <si>
    <t>Bulletin of the Indo-Pacific Prehistory Association</t>
  </si>
  <si>
    <t>Bulletin of the Institute of Classical Studies</t>
  </si>
  <si>
    <t>Bulletin of the International Institute of Seismology and Earthquake Engineering</t>
  </si>
  <si>
    <t>Bulletin of the Iranian Mathematical Society</t>
  </si>
  <si>
    <t>Bulletin of the Kanagawa Prefectural Museum, Natural Science</t>
  </si>
  <si>
    <t>Bulletin of the Korean Chemical Society</t>
  </si>
  <si>
    <t>Bulletin of the Korean Mathematical Society</t>
  </si>
  <si>
    <t>Bulletin of the London Mathematical Society</t>
  </si>
  <si>
    <t>Bulletin of the Malaysian Mathematical Sciences Society</t>
  </si>
  <si>
    <t>Bulletin of the Menninger Clinic</t>
  </si>
  <si>
    <t>Bulletin of the New Zealand Society for Earthquake Engineering</t>
  </si>
  <si>
    <t>Bulletin of the NYU Hospital for Joint Diseases</t>
  </si>
  <si>
    <t>Bulletin of the Peabody Museum of Natural History</t>
  </si>
  <si>
    <t>Bulletin of the Physical Fitness Research Institute</t>
  </si>
  <si>
    <t>Bulletin of the Plankton Society of Japan</t>
  </si>
  <si>
    <t>Bulletin of the Polish Academy of Sciences. Technical Sciences</t>
  </si>
  <si>
    <t>Bulletin of the Russian Academy of Sciences: Physics</t>
  </si>
  <si>
    <t>Bulletin of the School of Oriental and African Studies</t>
  </si>
  <si>
    <t>Bulletin of the Section of Logic</t>
  </si>
  <si>
    <t>Bulletin of the Seismological Society of America</t>
  </si>
  <si>
    <t>Bulletin of the Society of University Cartographers</t>
  </si>
  <si>
    <t>Bulletin of the Transilvania University of Brasov, Series II: Forestry, Wood Industry, Agricultural Food Engineering</t>
  </si>
  <si>
    <t>Bulletin of the Transilvania University of Brasov, Series III: Mathematics, Informatics, Physics</t>
  </si>
  <si>
    <t>Bulletin of the Veterinary Institute in Pulawy</t>
  </si>
  <si>
    <t>Bulletin of the World Health Organization</t>
  </si>
  <si>
    <t>Bulletin of Tokyo Dental College, The</t>
  </si>
  <si>
    <t>Bulletin of Volcanology</t>
  </si>
  <si>
    <t>Bulletins et Memoires de la Societe d'Anthropologie de Paris</t>
  </si>
  <si>
    <t>Bulletin - Societie Geologique de France</t>
  </si>
  <si>
    <t>Bulletins of American Paleontology</t>
  </si>
  <si>
    <t>Bundesgesundheitsblatt - Gesundheitsforschung - Gesundheitsschutz</t>
  </si>
  <si>
    <t>Bunseki Kagaku</t>
  </si>
  <si>
    <t>Burlington Magazine</t>
  </si>
  <si>
    <t>Burns : journal of the International Society for Burn Injuries</t>
  </si>
  <si>
    <t>Business and Information Systems Engineering</t>
  </si>
  <si>
    <t>Business and Politics</t>
  </si>
  <si>
    <t>Business and Society</t>
  </si>
  <si>
    <t>Business and Society Review</t>
  </si>
  <si>
    <t>Business Communication Quarterly</t>
  </si>
  <si>
    <t>Business Economics</t>
  </si>
  <si>
    <t>Business Ethics</t>
  </si>
  <si>
    <t>Business Ethics Quarterly</t>
  </si>
  <si>
    <t>Business History</t>
  </si>
  <si>
    <t>Business History Review</t>
  </si>
  <si>
    <t>Business Horizons</t>
  </si>
  <si>
    <t>Business Information Review</t>
  </si>
  <si>
    <t>Business Lawyer</t>
  </si>
  <si>
    <t>Business Process Management Journal</t>
  </si>
  <si>
    <t>Business Strategy and the Environment</t>
  </si>
  <si>
    <t>Business Strategy Review</t>
  </si>
  <si>
    <t>Business Strategy Series</t>
  </si>
  <si>
    <t>Business: Theory and Practice</t>
  </si>
  <si>
    <t>Bylye Gody</t>
  </si>
  <si>
    <t>Byzantine and Modern Greek Studies</t>
  </si>
  <si>
    <t>Byzantinische Zeitschrift</t>
  </si>
  <si>
    <t>Byzantinoslavica</t>
  </si>
  <si>
    <t>Byzantin Symmeikta</t>
  </si>
  <si>
    <t>Byzantion: Revue Internationale des Etudes Byzantines</t>
  </si>
  <si>
    <t>Ca-A Cancer Journal for Clinicians</t>
  </si>
  <si>
    <t>CAB Reviews: Perspectives in Agriculture, Veterinary Science, Nutrition and Natural Resources</t>
  </si>
  <si>
    <t>CAD Computer Aided Design</t>
  </si>
  <si>
    <t>Caderno CRH</t>
  </si>
  <si>
    <t>Cadernos CEDES</t>
  </si>
  <si>
    <t>Cadernos de Linguagem e Sociedade - Papers on Language and Society</t>
  </si>
  <si>
    <t>Cadernos de Pesquisa</t>
  </si>
  <si>
    <t>Cadernos de Saude Publica</t>
  </si>
  <si>
    <t>Cadernos pagu</t>
  </si>
  <si>
    <t>Cadmo</t>
  </si>
  <si>
    <t>Cahiers Agricultures</t>
  </si>
  <si>
    <t>Cahiers Critiques de Therapie Familiale et de Pratiques de Reseaux</t>
  </si>
  <si>
    <t>Cahiers de Biologie Marine</t>
  </si>
  <si>
    <t>Cahiers de Civilisation Medievale</t>
  </si>
  <si>
    <t>Cahiers de Geographie de Quebec</t>
  </si>
  <si>
    <t>Cahiers de l'Association Internationale des Etudes Francaises</t>
  </si>
  <si>
    <t>Cahiers de l'Institut de Linguistique de Louvain</t>
  </si>
  <si>
    <t>Cahiers de Nutrition et de Dietetique</t>
  </si>
  <si>
    <t>Cahiers de Psychologie Clinique</t>
  </si>
  <si>
    <t>Cahiers d'Etudes Africaines</t>
  </si>
  <si>
    <t>Cahiers du Monde Russe</t>
  </si>
  <si>
    <t>Cahiers du Musee National d'Art Moderne</t>
  </si>
  <si>
    <t>Cahiers Elisabethains</t>
  </si>
  <si>
    <t>Cahiers Naturalistes</t>
  </si>
  <si>
    <t>Cahiers Victoriens and Edouardiens</t>
  </si>
  <si>
    <t>Caikuang yu Anquan Gongcheng Xuebao/Journal of Mining and Safety Engineering</t>
  </si>
  <si>
    <t>Cailiao Gongcheng/Journal of Materials Engineering</t>
  </si>
  <si>
    <t>Cailiao Kexue yu Gongyi/Material Science and Technology</t>
  </si>
  <si>
    <t>Cailiao Rechuli Xuebao/Transactions of Materials and Heat Treatment</t>
  </si>
  <si>
    <t>Cailiao Yanjiu Xuebao/Chinese Journal of Materials Research</t>
  </si>
  <si>
    <t>Calcified Tissue International</t>
  </si>
  <si>
    <t>Calcolo</t>
  </si>
  <si>
    <t>Calculus of Variations and Partial Differential Equations</t>
  </si>
  <si>
    <t>Caldasia</t>
  </si>
  <si>
    <t>Calidoscopio</t>
  </si>
  <si>
    <t>California Agriculture</t>
  </si>
  <si>
    <t>California Cooperative Oceanic Fisheries, Investigations Reports</t>
  </si>
  <si>
    <t>California Fish and Game</t>
  </si>
  <si>
    <t>California Law Review</t>
  </si>
  <si>
    <t>California Management Review</t>
  </si>
  <si>
    <t>Calitatea Vietii</t>
  </si>
  <si>
    <t>Callaloo</t>
  </si>
  <si>
    <t>Calphad: Computer Coupling of Phase Diagrams and Thermochemistry</t>
  </si>
  <si>
    <t>Calvin Theological Journal</t>
  </si>
  <si>
    <t>Cambrian Medieval Celtic Studies</t>
  </si>
  <si>
    <t>Cambridge Archaeological Journal</t>
  </si>
  <si>
    <t>Cambridge Classical Journal</t>
  </si>
  <si>
    <t>Cambridge Journal of Economics</t>
  </si>
  <si>
    <t>Cambridge Journal of Education</t>
  </si>
  <si>
    <t>Cambridge Journal of Regions, Economy and Society</t>
  </si>
  <si>
    <t>Cambridge Opera Journal</t>
  </si>
  <si>
    <t>Cambridge Quarterly</t>
  </si>
  <si>
    <t>Cambridge Quarterly of Healthcare Ethics</t>
  </si>
  <si>
    <t>Cambridge Review of International Affairs</t>
  </si>
  <si>
    <t>Camera Obscura</t>
  </si>
  <si>
    <t>Campus-Wide Information Systems</t>
  </si>
  <si>
    <t>Canadian Acoustics - Acoustique Canadienne</t>
  </si>
  <si>
    <t>Canadian Aeronautics and Space Journal</t>
  </si>
  <si>
    <t>Canadian Association of Radiologists Journal</t>
  </si>
  <si>
    <t>Canadian Biosystems Engineering / Le Genie des biosystems au Canada</t>
  </si>
  <si>
    <t>Canadian bulletin of medical history = Bulletin canadien dhistoire de la medecine</t>
  </si>
  <si>
    <t>Canadian Conference on Electrical and Computer Engineering</t>
  </si>
  <si>
    <t>Canadian Entomologist</t>
  </si>
  <si>
    <t>Canadian Family Physician</t>
  </si>
  <si>
    <t>Canadian Field-Naturalist</t>
  </si>
  <si>
    <t>Canadian Geographer / Geographie Canadien</t>
  </si>
  <si>
    <t>Canadian Geotechnical Journal</t>
  </si>
  <si>
    <t>Canadian Historical Review, The</t>
  </si>
  <si>
    <t>Canadian Journal of Administrative Sciences</t>
  </si>
  <si>
    <t>Canadian Journal of Agricultural Economics</t>
  </si>
  <si>
    <t>Canadian Journal of Anaesthesia</t>
  </si>
  <si>
    <t>Canadian Journal of Animal Science</t>
  </si>
  <si>
    <t>Canadian Journal of Behavioural Science</t>
  </si>
  <si>
    <t>Canadian Journal of Cardiology</t>
  </si>
  <si>
    <t>Canadian journal of cardiovascular nursing = Journal canadien en soins infirmiers cardio-vasculaires</t>
  </si>
  <si>
    <t>Canadian Journal of Chemical Engineering</t>
  </si>
  <si>
    <t>Canadian Journal of Chemistry</t>
  </si>
  <si>
    <t>Canadian Journal of Civil Engineering</t>
  </si>
  <si>
    <t>Canadian Journal of Clinical Pharmacology</t>
  </si>
  <si>
    <t>Canadian Journal of Community Mental Health</t>
  </si>
  <si>
    <t>Canadian Journal of Criminology and Criminal Justice</t>
  </si>
  <si>
    <t>Canadian Journal of Development Studies</t>
  </si>
  <si>
    <t>Canadian Journal of Diabetes</t>
  </si>
  <si>
    <t>Canadian Journal of Dietetic Practice and Research</t>
  </si>
  <si>
    <t>Canadian Journal of Earth Sciences</t>
  </si>
  <si>
    <t>Canadian Journal of Economics</t>
  </si>
  <si>
    <t>Canadian Journal of Education</t>
  </si>
  <si>
    <t>Canadian Journal of Emergency Medicine</t>
  </si>
  <si>
    <t>Canadian Journal of Experimental Psychology</t>
  </si>
  <si>
    <t>Canadian Journal of Fisheries and Aquatic Sciences</t>
  </si>
  <si>
    <t>Canadian Journal of Forest Research</t>
  </si>
  <si>
    <t>Canadian Journal of Gastroenterology</t>
  </si>
  <si>
    <t>Canadian Journal of History</t>
  </si>
  <si>
    <t>Canadian Journal of Hospital Pharmacy</t>
  </si>
  <si>
    <t>Canadian Journal of Human Sexuality</t>
  </si>
  <si>
    <t>Canadian Journal of Infectious Diseases and Medical Microbiology</t>
  </si>
  <si>
    <t>Canadian Journal of Information and Library Science</t>
  </si>
  <si>
    <t>Canadian Journal of Law and Society</t>
  </si>
  <si>
    <t>Canadian Journal of Linguistics</t>
  </si>
  <si>
    <t>Canadian Journal of Mathematics</t>
  </si>
  <si>
    <t>Canadian Journal of Microbiology</t>
  </si>
  <si>
    <t>Canadian Journal of Neurological Sciences</t>
  </si>
  <si>
    <t>Canadian journal of neuroscience nursing</t>
  </si>
  <si>
    <t>Canadian Journal of Nursing Research</t>
  </si>
  <si>
    <t>Canadian Journal of Occupational Therapy</t>
  </si>
  <si>
    <t>Canadian Journal of Ophthalmology</t>
  </si>
  <si>
    <t>Canadian Journal of Philosophy</t>
  </si>
  <si>
    <t>Canadian Journal of Physics</t>
  </si>
  <si>
    <t>Canadian Journal of Physiology and Pharmacology</t>
  </si>
  <si>
    <t>Canadian Journal of Plant Pathology</t>
  </si>
  <si>
    <t>Canadian Journal of Plant Science</t>
  </si>
  <si>
    <t>Canadian Journal of Plastic Surgery</t>
  </si>
  <si>
    <t>Canadian Journal of Political Science</t>
  </si>
  <si>
    <t>Canadian Journal of Program Evaluation</t>
  </si>
  <si>
    <t>Canadian Journal of Psychiatry</t>
  </si>
  <si>
    <t>Canadian Journal of Public Health</t>
  </si>
  <si>
    <t>Canadian Journal of Remote Sensing</t>
  </si>
  <si>
    <t>Canadian Journal of Respiratory Therapy</t>
  </si>
  <si>
    <t>Canadian journal of rural medicine : the official journal of the Society of Rural Physicians of Canada = Journal canadien de la medecine rurale : le journal officiel de la Societe de medecine rurale du Canada</t>
  </si>
  <si>
    <t>Canadian Journal of School Psychology</t>
  </si>
  <si>
    <t>Canadian Journal of Sociology</t>
  </si>
  <si>
    <t>Canadian Journal of Soil Science</t>
  </si>
  <si>
    <t>Canadian Journal of Speech-Language Pathology and Audiology</t>
  </si>
  <si>
    <t>Canadian Journal of Statistics</t>
  </si>
  <si>
    <t>Canadian Journal of Surgery</t>
  </si>
  <si>
    <t>Canadian Journal of Urban Research</t>
  </si>
  <si>
    <t>Canadian journal of urology, The</t>
  </si>
  <si>
    <t>Canadian Journal of Veterinary Research</t>
  </si>
  <si>
    <t>Canadian journal of women and the law = Revue juridique La femme et le droit</t>
  </si>
  <si>
    <t>Canadian Journal of Zoology</t>
  </si>
  <si>
    <t>Canadian Journal on Aging/La Revue canadienne du vieillissment/Canadian Public Policy/Analyse de Politiques</t>
  </si>
  <si>
    <t>Canadian Literature</t>
  </si>
  <si>
    <t>Canadian Mathematical Bulletin</t>
  </si>
  <si>
    <t>Canadian Medical Association Journal</t>
  </si>
  <si>
    <t>Canadian Metallurgical Quarterly</t>
  </si>
  <si>
    <t>Canadian Mineralogist</t>
  </si>
  <si>
    <t>Canadian Modern Language Review</t>
  </si>
  <si>
    <t>Canadian Nurse</t>
  </si>
  <si>
    <t>Canadian oncology nursing journal = Revue canadienne de nursing oncologique</t>
  </si>
  <si>
    <t>Canadian operating room nursing journal</t>
  </si>
  <si>
    <t>Canadian Pharmacists Journal</t>
  </si>
  <si>
    <t>Canadian Psychology</t>
  </si>
  <si>
    <t>Canadian Public Administration</t>
  </si>
  <si>
    <t>Canadian Public Policy/ Analyse de Politiques</t>
  </si>
  <si>
    <t>Canadian Respiratory Journal</t>
  </si>
  <si>
    <t>Canadian Review of American Studies</t>
  </si>
  <si>
    <t>Canadian Review of Comparative Literature</t>
  </si>
  <si>
    <t>Canadian Review of Sociology</t>
  </si>
  <si>
    <t>Canadian Studies in Population</t>
  </si>
  <si>
    <t>Canadian Theatre Review</t>
  </si>
  <si>
    <t>Canadian Veterinary Journal</t>
  </si>
  <si>
    <t>Canadian Water Resources Journal</t>
  </si>
  <si>
    <t>Cancer</t>
  </si>
  <si>
    <t>Cancer and Chemotherapy Reviews</t>
  </si>
  <si>
    <t>Cancer and Metastasis Reviews</t>
  </si>
  <si>
    <t>Cancer Biology and Therapy</t>
  </si>
  <si>
    <t>Cancer Biomarkers</t>
  </si>
  <si>
    <t>Cancer Biotherapy and Radiopharmaceuticals</t>
  </si>
  <si>
    <t>Cancer Causes and Control</t>
  </si>
  <si>
    <t>Cancer Cell</t>
  </si>
  <si>
    <t>Cancer Cell International</t>
  </si>
  <si>
    <t>Cancer Chemotherapy and Pharmacology</t>
  </si>
  <si>
    <t>Cancer Control</t>
  </si>
  <si>
    <t>Cancer cytopathology</t>
  </si>
  <si>
    <t>Cancer Epidemiology</t>
  </si>
  <si>
    <t>Cancer Epidemiology Biomarkers and Prevention</t>
  </si>
  <si>
    <t>Cancer Forum</t>
  </si>
  <si>
    <t>Cancer Gene Therapy</t>
  </si>
  <si>
    <t>Cancer genetics</t>
  </si>
  <si>
    <t>Cancer Genomics and Proteomics</t>
  </si>
  <si>
    <t>Cancer Imaging</t>
  </si>
  <si>
    <t>Cancer Immunity</t>
  </si>
  <si>
    <t>Cancer Immunology and Immunotherapy</t>
  </si>
  <si>
    <t>Cancer Informatics</t>
  </si>
  <si>
    <t>Cancer Investigation</t>
  </si>
  <si>
    <t>Cancer Journal</t>
  </si>
  <si>
    <t>Cancer Letters</t>
  </si>
  <si>
    <t>Cancer Management and Research</t>
  </si>
  <si>
    <t>Cancer Metastasis - Biology and Treatment</t>
  </si>
  <si>
    <t>Cancer Microenvironment</t>
  </si>
  <si>
    <t>Cancer Nursing</t>
  </si>
  <si>
    <t>Cancer Prevention Research</t>
  </si>
  <si>
    <t>Cancer radiotherapie : journal de la Societe francaise de radiotherapie oncologique</t>
  </si>
  <si>
    <t>Cancer Research</t>
  </si>
  <si>
    <t>Cancer Research and Treatment</t>
  </si>
  <si>
    <t>Cancers</t>
  </si>
  <si>
    <t>Cancer Science</t>
  </si>
  <si>
    <t>Cancer Therapy</t>
  </si>
  <si>
    <t>Cancer Treatment and Research</t>
  </si>
  <si>
    <t>Cancer Treatment Reviews</t>
  </si>
  <si>
    <t>Candollea</t>
  </si>
  <si>
    <t>CANNT journal = Journal ACITN</t>
  </si>
  <si>
    <t>Capital and Class</t>
  </si>
  <si>
    <t>Capitalism and Society</t>
  </si>
  <si>
    <t>Capitalism, Nature, Socialism</t>
  </si>
  <si>
    <t>Capsula Eburnea</t>
  </si>
  <si>
    <t>Caravelle</t>
  </si>
  <si>
    <t>Carbohydrate Polymers</t>
  </si>
  <si>
    <t>Carbohydrate Research</t>
  </si>
  <si>
    <t>Carbon</t>
  </si>
  <si>
    <t>Carbonates and Evaporites</t>
  </si>
  <si>
    <t>Carbon Balance and Management</t>
  </si>
  <si>
    <t>Carbon Management</t>
  </si>
  <si>
    <t>Carbon Management Technology Conference [CMTC] (Orlando, FL, 2/7-9/2012) Proceedings</t>
  </si>
  <si>
    <t>Carcinogenesis</t>
  </si>
  <si>
    <t>Cardiac Electrophysiology Clinics</t>
  </si>
  <si>
    <t>Cardiocore</t>
  </si>
  <si>
    <t>Cardiology</t>
  </si>
  <si>
    <t>Cardiology Clinics</t>
  </si>
  <si>
    <t>Cardiology in Review</t>
  </si>
  <si>
    <t>Cardiology in the Young</t>
  </si>
  <si>
    <t>Cardiology Journal</t>
  </si>
  <si>
    <t>Cardiology Letters</t>
  </si>
  <si>
    <t>Cardiology (Pakistan)</t>
  </si>
  <si>
    <t>Cardiology Research and Practice</t>
  </si>
  <si>
    <t>Cardiology Review</t>
  </si>
  <si>
    <t>Cardiovascular and Hematological Agents in Medicinal Chemistry</t>
  </si>
  <si>
    <t>Cardiovascular and Hematological Disorders - Drug Targets</t>
  </si>
  <si>
    <t>CardioVascular and Interventional Radiology</t>
  </si>
  <si>
    <t>Cardiovascular Diabetology</t>
  </si>
  <si>
    <t>Cardiovascular Drugs and Therapy</t>
  </si>
  <si>
    <t>Cardiovascular Engineering and Technology</t>
  </si>
  <si>
    <t>Cardiovascular Intervention and Therapeutics</t>
  </si>
  <si>
    <t>Cardiovascular Journal of Africa</t>
  </si>
  <si>
    <t>Cardiovascular Pathology</t>
  </si>
  <si>
    <t>Cardiovascular Research</t>
  </si>
  <si>
    <t>Cardiovascular Revascularization Medicine</t>
  </si>
  <si>
    <t>Cardiovascular Therapeutics</t>
  </si>
  <si>
    <t>Cardiovascular Therapy and Prevention (Russian Federation)</t>
  </si>
  <si>
    <t>Cardiovascular Toxicology</t>
  </si>
  <si>
    <t>Cardiovascular Ultrasound</t>
  </si>
  <si>
    <t>Career Development for Exceptional Individuals</t>
  </si>
  <si>
    <t>Career Development International</t>
  </si>
  <si>
    <t>Career Development Quarterly</t>
  </si>
  <si>
    <t>Care Management Journals</t>
  </si>
  <si>
    <t>Caribbean Geography</t>
  </si>
  <si>
    <t>Jamaica</t>
  </si>
  <si>
    <t>Caries Research</t>
  </si>
  <si>
    <t>Caring : National Association for Home Care magazine</t>
  </si>
  <si>
    <t>Carleton University, Dissertation</t>
  </si>
  <si>
    <t>Carnegie Mellon University, Dissertation</t>
  </si>
  <si>
    <t>Carnets de Geologie</t>
  </si>
  <si>
    <t>Carpathian Journal of Earth and Environmental Sciences</t>
  </si>
  <si>
    <t>Carpathian Journal of Food Science and Technology</t>
  </si>
  <si>
    <t>Carpathian Journal of Mathematics</t>
  </si>
  <si>
    <t>Carrefours de l'Education</t>
  </si>
  <si>
    <t>Carreteras</t>
  </si>
  <si>
    <t>Cartilage</t>
  </si>
  <si>
    <t>Cartographica</t>
  </si>
  <si>
    <t>Cartographic Journal</t>
  </si>
  <si>
    <t>Cartographic Perspectives</t>
  </si>
  <si>
    <t>Cartography and Geographic Information Science</t>
  </si>
  <si>
    <t>Caryologia</t>
  </si>
  <si>
    <t>Case Reports in Dermatology</t>
  </si>
  <si>
    <t>Case Reports in Gastroenterology</t>
  </si>
  <si>
    <t>Case Reports in Oncology</t>
  </si>
  <si>
    <t>Case Reports in Ophthalmology</t>
  </si>
  <si>
    <t>Case Western Reserve University, Dissertation</t>
  </si>
  <si>
    <t>Casopis Lekaru Ceskych</t>
  </si>
  <si>
    <t>Castanea</t>
  </si>
  <si>
    <t>Catalan Historical Review</t>
  </si>
  <si>
    <t>Catalan Journal of Linguistics</t>
  </si>
  <si>
    <t>Cataloging and Classification Quarterly</t>
  </si>
  <si>
    <t>Catalysis</t>
  </si>
  <si>
    <t>Catalysis Communications</t>
  </si>
  <si>
    <t>Catalysis in Industry</t>
  </si>
  <si>
    <t>Catalysis Letters</t>
  </si>
  <si>
    <t>Catalysis Reviews - Science and Engineering</t>
  </si>
  <si>
    <t>Catalysis: Science and Technology</t>
  </si>
  <si>
    <t>Catalysis Surveys from Asia</t>
  </si>
  <si>
    <t>Catalysis Today</t>
  </si>
  <si>
    <t>Catena</t>
  </si>
  <si>
    <t>Catheterization and Cardiovascular Interventions</t>
  </si>
  <si>
    <t>Catholica</t>
  </si>
  <si>
    <t>Catholic Biblical Quarterly</t>
  </si>
  <si>
    <t>Catholic Historical Review</t>
  </si>
  <si>
    <t>Catholic University Law Review</t>
  </si>
  <si>
    <t>Cato Journal</t>
  </si>
  <si>
    <t>Cattle Practice</t>
  </si>
  <si>
    <t>Cauriensia</t>
  </si>
  <si>
    <t>Cave and Karst Science</t>
  </si>
  <si>
    <t>CBE Life Sciences Education</t>
  </si>
  <si>
    <t>CCAMLR Science</t>
  </si>
  <si>
    <t>CDS review</t>
  </si>
  <si>
    <t>CEA Critic</t>
  </si>
  <si>
    <t>CEAS Space Journal</t>
  </si>
  <si>
    <t>CEBE Transactions</t>
  </si>
  <si>
    <t>Cedille</t>
  </si>
  <si>
    <t>Celebrity Studies</t>
  </si>
  <si>
    <t>Celestial Mechanics and Dynamical Astronomy</t>
  </si>
  <si>
    <t>Cell</t>
  </si>
  <si>
    <t>Cell Adhesion and Migration</t>
  </si>
  <si>
    <t>Cell and Bioscience</t>
  </si>
  <si>
    <t>Cell and Tissue Banking</t>
  </si>
  <si>
    <t>Cell and Tissue Biology</t>
  </si>
  <si>
    <t>Cell and Tissue Research</t>
  </si>
  <si>
    <t>Cell Biochemistry and Biophysics</t>
  </si>
  <si>
    <t>Cell Biochemistry and Function</t>
  </si>
  <si>
    <t>Cell Biology and Toxicology</t>
  </si>
  <si>
    <t>Cell Biology International</t>
  </si>
  <si>
    <t>Cell Calcium</t>
  </si>
  <si>
    <t>Cell Communication and Adhesion</t>
  </si>
  <si>
    <t>Cell Communication and Signaling</t>
  </si>
  <si>
    <t>Cell Cycle</t>
  </si>
  <si>
    <t>Cell Death and Differentiation</t>
  </si>
  <si>
    <t>Cell Division</t>
  </si>
  <si>
    <t>Cell Health and Cytoskeleton</t>
  </si>
  <si>
    <t>Cell Host and Microbe</t>
  </si>
  <si>
    <t>Cell Journal</t>
  </si>
  <si>
    <t>Cell Metabolism</t>
  </si>
  <si>
    <t>Cell Proliferation</t>
  </si>
  <si>
    <t>Cell Reports</t>
  </si>
  <si>
    <t>Cell Research</t>
  </si>
  <si>
    <t>Cell Stem Cell</t>
  </si>
  <si>
    <t>Cells Tissues Organs</t>
  </si>
  <si>
    <t>Cell Stress and Chaperones</t>
  </si>
  <si>
    <t>Cell Structure and Function</t>
  </si>
  <si>
    <t>Cell Transplantation</t>
  </si>
  <si>
    <t>Cellular and Molecular Bioengineering</t>
  </si>
  <si>
    <t>Cellular and Molecular Biology</t>
  </si>
  <si>
    <t>Cellular and Molecular Biology Letters</t>
  </si>
  <si>
    <t>Cellular and Molecular Immunology</t>
  </si>
  <si>
    <t>Cellular and Molecular Life Sciences</t>
  </si>
  <si>
    <t>Cellular and Molecular Neurobiology</t>
  </si>
  <si>
    <t>Cellular Immunology</t>
  </si>
  <si>
    <t>Cellular Microbiology</t>
  </si>
  <si>
    <t>Cellular oncology (Dordrecht)</t>
  </si>
  <si>
    <t>Cellular Physiology and Biochemistry</t>
  </si>
  <si>
    <t>Cellular Polymers</t>
  </si>
  <si>
    <t>Cellular Reprogramming</t>
  </si>
  <si>
    <t>Cellular Signalling</t>
  </si>
  <si>
    <t>Cellular Therapy and Transplantation</t>
  </si>
  <si>
    <t>Cellular Transplantation and Tissue Engineering</t>
  </si>
  <si>
    <t>Cellulose</t>
  </si>
  <si>
    <t>Cellulose Chemistry and Technology</t>
  </si>
  <si>
    <t>Cement and Concrete Composites</t>
  </si>
  <si>
    <t>Cement and Concrete Research</t>
  </si>
  <si>
    <t>Cement International</t>
  </si>
  <si>
    <t>Cement, Wapno, Beton</t>
  </si>
  <si>
    <t>Centaurus; international magazine of the history of science and medicine</t>
  </si>
  <si>
    <t>Central Asiatic Journal</t>
  </si>
  <si>
    <t>Central Europe</t>
  </si>
  <si>
    <t>Central European Geology</t>
  </si>
  <si>
    <t>Central European History</t>
  </si>
  <si>
    <t>Central European Journal of Biology</t>
  </si>
  <si>
    <t>Central European Journal of Chemistry</t>
  </si>
  <si>
    <t>Central European Journal of Energetic Materials</t>
  </si>
  <si>
    <t>Central European Journal of Geosciences</t>
  </si>
  <si>
    <t>Central-European Journal of Immunology</t>
  </si>
  <si>
    <t>Central European Journal of International and Security Studies</t>
  </si>
  <si>
    <t>Central European Journal of Mathematics</t>
  </si>
  <si>
    <t>Central European Journal of Medicine</t>
  </si>
  <si>
    <t>Central European Journal of Operations Research</t>
  </si>
  <si>
    <t>Central European Journal of Physics</t>
  </si>
  <si>
    <t>Central European journal of public health</t>
  </si>
  <si>
    <t>Central European Journal of Public Policy</t>
  </si>
  <si>
    <t>Central European Journal of Urology</t>
  </si>
  <si>
    <t>Central European neurosurgery</t>
  </si>
  <si>
    <t>Central Nervous System Agents in Medicinal Chemistry</t>
  </si>
  <si>
    <t>Centro Journal</t>
  </si>
  <si>
    <t>CEPAL Review</t>
  </si>
  <si>
    <t>Cephalalgia</t>
  </si>
  <si>
    <t>Ceramica</t>
  </si>
  <si>
    <t>Ceramic Engineering and Science Proceedings</t>
  </si>
  <si>
    <t>Ceramics: Art and Perception</t>
  </si>
  <si>
    <t>Ceramics International</t>
  </si>
  <si>
    <t>Ceramics - Silikaty</t>
  </si>
  <si>
    <t>Ceramics - Technical</t>
  </si>
  <si>
    <t>Ceramic Transactions</t>
  </si>
  <si>
    <t>Cereal Chemistry</t>
  </si>
  <si>
    <t>Cereal Foods World</t>
  </si>
  <si>
    <t>Cereal Research Communications</t>
  </si>
  <si>
    <t>Cerebellum</t>
  </si>
  <si>
    <t>Cerebral Cortex</t>
  </si>
  <si>
    <t>Cerebrovascular Diseases</t>
  </si>
  <si>
    <t>Cerevisia</t>
  </si>
  <si>
    <t>Cerne</t>
  </si>
  <si>
    <t>CESifo DICE Report</t>
  </si>
  <si>
    <t>CESifo Economic Studies</t>
  </si>
  <si>
    <t>CESifo Forum</t>
  </si>
  <si>
    <t>Ceska a Slovenska Farmacie</t>
  </si>
  <si>
    <t>Ceska a Slovenska Neurologie a Neurochirurgie</t>
  </si>
  <si>
    <t>Ceska a Slovenska Oftalmologie</t>
  </si>
  <si>
    <t>Ceska a Slovenska Psychiatrie</t>
  </si>
  <si>
    <t>Ceska Gynekologie</t>
  </si>
  <si>
    <t>Ceska Literatura</t>
  </si>
  <si>
    <t>Ceska Radiologie</t>
  </si>
  <si>
    <t>Ceska Revmatologie</t>
  </si>
  <si>
    <t>Cesko-Slovenska Dermatologie</t>
  </si>
  <si>
    <t>Ceskoslovenska Fyziologie</t>
  </si>
  <si>
    <t>Cesko-Slovenska Pediatrie</t>
  </si>
  <si>
    <t>Ceskoslovenska Psychologie</t>
  </si>
  <si>
    <t>Cesky Casopis Historicky</t>
  </si>
  <si>
    <t>Cesky Lid</t>
  </si>
  <si>
    <t>CEU Political Science Journal</t>
  </si>
  <si>
    <t>Ceylon Medical Journal</t>
  </si>
  <si>
    <t>Sri Lanka</t>
  </si>
  <si>
    <t>CFD Letters</t>
  </si>
  <si>
    <t>Chalcogenide Letters</t>
  </si>
  <si>
    <t>Champ Psychosomatique</t>
  </si>
  <si>
    <t>Chang'an Daxue Xuebao (Ziran Kexue Ban)/Journal of Chang'an University (Natural Science Edition)</t>
  </si>
  <si>
    <t>Chang Gung Medical Journal</t>
  </si>
  <si>
    <t>Changing English</t>
  </si>
  <si>
    <t>Channels</t>
  </si>
  <si>
    <t>Chaos</t>
  </si>
  <si>
    <t>Chaos, Solitons and Fractals</t>
  </si>
  <si>
    <t>Chasqui</t>
  </si>
  <si>
    <t>Ecuador</t>
  </si>
  <si>
    <t>Chaucer Review, The</t>
  </si>
  <si>
    <t>Check List</t>
  </si>
  <si>
    <t>Chelonian Conservation and Biology</t>
  </si>
  <si>
    <t>Chembiochem : a European journal of chemical biology</t>
  </si>
  <si>
    <t>Chem-Bio Informatics Journal</t>
  </si>
  <si>
    <t>ChemCatChem</t>
  </si>
  <si>
    <t>Chemical and Biochemical Engineering Quarterly</t>
  </si>
  <si>
    <t>Chemical and Petroleum Engineering (English translation of Khimicheskoe i Neftyanoe Mashinostroenie)</t>
  </si>
  <si>
    <t>Chemical and Pharmaceutical Bulletin</t>
  </si>
  <si>
    <t>Chemical Biology and Drug Design</t>
  </si>
  <si>
    <t>Chemical Communications</t>
  </si>
  <si>
    <t>Chemical Engineering</t>
  </si>
  <si>
    <t>Chemical Engineering and Processing</t>
  </si>
  <si>
    <t>Chemical Engineering and Technology</t>
  </si>
  <si>
    <t>Chemical Engineering Communications</t>
  </si>
  <si>
    <t>Chemical Engineering Education</t>
  </si>
  <si>
    <t>Chemical Engineering Journal</t>
  </si>
  <si>
    <t>Chemical Engineering Progress</t>
  </si>
  <si>
    <t>Chemical Engineering Research and Design</t>
  </si>
  <si>
    <t>Chemical Engineering Research Bulletin</t>
  </si>
  <si>
    <t>Chemical Engineering Science</t>
  </si>
  <si>
    <t>Chemical Engineering Transactions</t>
  </si>
  <si>
    <t>Chemical Geology</t>
  </si>
  <si>
    <t>Chemical Immunology and Allergy</t>
  </si>
  <si>
    <t>Chemical Industry and Chemical Engineering Quarterly</t>
  </si>
  <si>
    <t>Chemical Modelling</t>
  </si>
  <si>
    <t>Chemical Papers</t>
  </si>
  <si>
    <t>Chemical Physics</t>
  </si>
  <si>
    <t>Chemical Physics Letters</t>
  </si>
  <si>
    <t>Chemical Product and Process Modeling</t>
  </si>
  <si>
    <t>Chemical Record</t>
  </si>
  <si>
    <t>Chemical Research in Chinese Universities</t>
  </si>
  <si>
    <t>Chemical Research in Toxicology</t>
  </si>
  <si>
    <t>Chemical Reviews</t>
  </si>
  <si>
    <t>Chemical Science</t>
  </si>
  <si>
    <t>Chemical Senses</t>
  </si>
  <si>
    <t>Chemical Society Reviews</t>
  </si>
  <si>
    <t>Chemical Speciation and Bioavailability</t>
  </si>
  <si>
    <t>Chemical Vapor Deposition</t>
  </si>
  <si>
    <t>Chemicke Listy</t>
  </si>
  <si>
    <t>Chemico-Biological Interactions</t>
  </si>
  <si>
    <t>Chemie der Erde</t>
  </si>
  <si>
    <t>Chemie-Ingenieur-Technik</t>
  </si>
  <si>
    <t>Chemie in Unserer Zeit</t>
  </si>
  <si>
    <t>Chemija</t>
  </si>
  <si>
    <t>Chemistry</t>
  </si>
  <si>
    <t>Chemistry - A European Journal</t>
  </si>
  <si>
    <t>Chemistry - An Asian Journal</t>
  </si>
  <si>
    <t>Chemistry and Biodiversity</t>
  </si>
  <si>
    <t>Chemistry and Biology</t>
  </si>
  <si>
    <t>Chemistry and Chemical Technology</t>
  </si>
  <si>
    <t>Chemistry and Ecology</t>
  </si>
  <si>
    <t>Chemistry and Physics of Lipids</t>
  </si>
  <si>
    <t>Chemistry and Technology of Fuels and Oils (English translation of Khimiya i Tekhnologiya Topliv i Masel)</t>
  </si>
  <si>
    <t>Chemistry Bulletin / Huaxue Tongbao</t>
  </si>
  <si>
    <t>Chemistry Central Journal</t>
  </si>
  <si>
    <t>Chemistry Education Research and Practice</t>
  </si>
  <si>
    <t>Chemistry Letters</t>
  </si>
  <si>
    <t>Chemistry of Heterocyclic Compounds</t>
  </si>
  <si>
    <t>Chemistry of Materials</t>
  </si>
  <si>
    <t>Chemistry of Natural Compounds</t>
  </si>
  <si>
    <t>ChemMedChem</t>
  </si>
  <si>
    <t>Chemoecology</t>
  </si>
  <si>
    <t>Chemometrics and Intelligent Laboratory Systems</t>
  </si>
  <si>
    <t>Chemosensory Perception</t>
  </si>
  <si>
    <t>Chemosphere</t>
  </si>
  <si>
    <t>Chemotherapie Journal</t>
  </si>
  <si>
    <t>Chemotherapy</t>
  </si>
  <si>
    <t>ChemPhysChem</t>
  </si>
  <si>
    <t>ChemPlusChem</t>
  </si>
  <si>
    <t>ChemSusChem</t>
  </si>
  <si>
    <t>Chest</t>
  </si>
  <si>
    <t>Chiang Mai Journal of Science</t>
  </si>
  <si>
    <t>Chiang Mai University Journal of Natural Sciences</t>
  </si>
  <si>
    <t>Chiba Medical Journal</t>
  </si>
  <si>
    <t>Chicago Review</t>
  </si>
  <si>
    <t>Chikei</t>
  </si>
  <si>
    <t>Child Abuse and Neglect</t>
  </si>
  <si>
    <t>Child Abuse Review</t>
  </si>
  <si>
    <t>Child and Adolescent Mental Health</t>
  </si>
  <si>
    <t>Child and Adolescent Psychiatric Clinics of North America</t>
  </si>
  <si>
    <t>Child and Adolescent Psychiatry and Mental Health</t>
  </si>
  <si>
    <t>Child and Adolescent Social Work Journal</t>
  </si>
  <si>
    <t>Child and Family Behavior Therapy</t>
  </si>
  <si>
    <t>Child and Family Social Work</t>
  </si>
  <si>
    <t>Child and Youth Care Forum</t>
  </si>
  <si>
    <t>Child and Youth Services</t>
  </si>
  <si>
    <t>Child: Care, Health and Development</t>
  </si>
  <si>
    <t>Child Care in Practice</t>
  </si>
  <si>
    <t>Child Development</t>
  </si>
  <si>
    <t>Child Development Perspectives</t>
  </si>
  <si>
    <t>Childhood</t>
  </si>
  <si>
    <t>Child Indicators Research</t>
  </si>
  <si>
    <t>Child Language Teaching and Therapy</t>
  </si>
  <si>
    <t>Child Maltreatment</t>
  </si>
  <si>
    <t>Child Neuropsychology</t>
  </si>
  <si>
    <t>Child Psychiatry and Human Development</t>
  </si>
  <si>
    <t>Children and Schools</t>
  </si>
  <si>
    <t>Children and Society</t>
  </si>
  <si>
    <t>Children and Youth Services Review</t>
  </si>
  <si>
    <t>Children's Geographies</t>
  </si>
  <si>
    <t>Children's Health Care</t>
  </si>
  <si>
    <t>Children's Literature in Education</t>
  </si>
  <si>
    <t>Child's Nervous System</t>
  </si>
  <si>
    <t>Child Welfare</t>
  </si>
  <si>
    <t>Chilean Journal of Agricultural Research</t>
  </si>
  <si>
    <t>Chimia</t>
  </si>
  <si>
    <t>Chimica Oggi</t>
  </si>
  <si>
    <t>China Agricultural Economic Review</t>
  </si>
  <si>
    <t>China and World Economy</t>
  </si>
  <si>
    <t>China: An International Journal</t>
  </si>
  <si>
    <t>China Business Review</t>
  </si>
  <si>
    <t>China Communications</t>
  </si>
  <si>
    <t>China Economic Journal</t>
  </si>
  <si>
    <t>China Economic Review</t>
  </si>
  <si>
    <t>China Foundry</t>
  </si>
  <si>
    <t>China Information</t>
  </si>
  <si>
    <t>China Journal</t>
  </si>
  <si>
    <t>China Journal of Social Work</t>
  </si>
  <si>
    <t>China Nonprofit Review</t>
  </si>
  <si>
    <t>China Ocean Engineering</t>
  </si>
  <si>
    <t>China Petroleum Processing and Petrochemical Technology</t>
  </si>
  <si>
    <t>China Quarterly</t>
  </si>
  <si>
    <t>China Report</t>
  </si>
  <si>
    <t>China Review</t>
  </si>
  <si>
    <t>China Welding (English Edition)</t>
  </si>
  <si>
    <t>Chinese Annals of Mathematics. Series B</t>
  </si>
  <si>
    <t>Chinese Astronomy and Astrophysics</t>
  </si>
  <si>
    <t>Chinese Chemical Letters</t>
  </si>
  <si>
    <t>Chinese Economy</t>
  </si>
  <si>
    <t>Chinese Education and Society</t>
  </si>
  <si>
    <t>Chinese Geographical Sciences</t>
  </si>
  <si>
    <t>Chinese-German Journal of Clinical Oncology</t>
  </si>
  <si>
    <t>Chinese Journal of Aeronautics</t>
  </si>
  <si>
    <t>Chinese Journal of Andrology</t>
  </si>
  <si>
    <t>Chinese Journal of Antibiotics</t>
  </si>
  <si>
    <t>Chinese Journal of Applied and Environmental Biology</t>
  </si>
  <si>
    <t>Chinese Journal of Applied Ecology</t>
  </si>
  <si>
    <t>Chinese Journal of Biologicals</t>
  </si>
  <si>
    <t>Chinese Journal of Cancer</t>
  </si>
  <si>
    <t>Chinese Journal of Cancer Biotherapy</t>
  </si>
  <si>
    <t>Chinese Journal of Cancer Prevention and Treatment</t>
  </si>
  <si>
    <t>Chinese Journal of Cancer Research</t>
  </si>
  <si>
    <t>Chinese Journal of Cardiology</t>
  </si>
  <si>
    <t>Chinese Journal of Catalysis</t>
  </si>
  <si>
    <t>Chinese Journal of Cerebrovascular Diseases</t>
  </si>
  <si>
    <t>Chinese Journal of Chemical Engineering</t>
  </si>
  <si>
    <t>Chinese Journal of Chemical Physics</t>
  </si>
  <si>
    <t>Chinese Journal of Chemistry</t>
  </si>
  <si>
    <t>Chinese Journal of Chromatography</t>
  </si>
  <si>
    <t>Chinese Journal of Clinical Nutrition</t>
  </si>
  <si>
    <t>Chinese Journal of Clinical Oncology</t>
  </si>
  <si>
    <t>Chinese Journal of Communication</t>
  </si>
  <si>
    <t>Chinese Journal of Contemporary Neurology and Neurosurgery</t>
  </si>
  <si>
    <t>Chinese Journal of Contemporary Pediatrics</t>
  </si>
  <si>
    <t>Chinese journal of dental research : the official journal of the Scientific Section of the Chinese Stomatological Association (CSA), The</t>
  </si>
  <si>
    <t>Chinese Journal of Ecology</t>
  </si>
  <si>
    <t>Chinese Journal of Electronics</t>
  </si>
  <si>
    <t>Chinese Journal of Emergency Medicine</t>
  </si>
  <si>
    <t>Chinese Journal of Endemiology</t>
  </si>
  <si>
    <t>Chinese Journal of Evidence-Based Medicine</t>
  </si>
  <si>
    <t>Chinese Journal of Forensic Medicine</t>
  </si>
  <si>
    <t>Chinese Journal of Gastroenterology</t>
  </si>
  <si>
    <t>Chinese Journal of Geochemistry</t>
  </si>
  <si>
    <t>Chinese Journal of Infection and Chemotherapy</t>
  </si>
  <si>
    <t>Chinese Journal of Inorganic Chemistry</t>
  </si>
  <si>
    <t>Chinese Journal of Integrative Medicine</t>
  </si>
  <si>
    <t>Chinese Journal of International Law</t>
  </si>
  <si>
    <t>Chinese Journal of International Politics</t>
  </si>
  <si>
    <t>Chinese Journal of Interventional Imaging and Therapy</t>
  </si>
  <si>
    <t>Chinese Journal of Luminescence</t>
  </si>
  <si>
    <t>Chinese Journal of Lung Cancer</t>
  </si>
  <si>
    <t>Chinese Journal of Mechanical Engineering (English Edition)</t>
  </si>
  <si>
    <t>Chinese Journal of Medical Genetics</t>
  </si>
  <si>
    <t>Chinese Journal of Medical Imaging Technology</t>
  </si>
  <si>
    <t>Chinese Journal of Microbiology and Immunology</t>
  </si>
  <si>
    <t>Chinese Journal of Natural Medicines</t>
  </si>
  <si>
    <t>Chinese Journal of Neurology</t>
  </si>
  <si>
    <t>Chinese Journal of New Drugs</t>
  </si>
  <si>
    <t>Chinese Journal of Oceanology and Limnology</t>
  </si>
  <si>
    <t>Chinese Journal of Oncology</t>
  </si>
  <si>
    <t>Chinese Journal of Ophthalmology</t>
  </si>
  <si>
    <t>Chinese Journal of Organic Chemistry</t>
  </si>
  <si>
    <t>Chinese Journal of Pathology</t>
  </si>
  <si>
    <t>Chinese Journal of Pharmacology and Toxicology</t>
  </si>
  <si>
    <t>Chinese Journal of Physics</t>
  </si>
  <si>
    <t>Chinese Journal of Physiology</t>
  </si>
  <si>
    <t>Chinese Journal of Polymer Science (English Edition)</t>
  </si>
  <si>
    <t>Chinese Journal of Radiology</t>
  </si>
  <si>
    <t>Chinese Journal of Rehabilitation Medicine</t>
  </si>
  <si>
    <t>Chinese Journal of Sensors and Actuators</t>
  </si>
  <si>
    <t>Chinese Journal of Traumatology - English Edition</t>
  </si>
  <si>
    <t>Chinese Law and Government</t>
  </si>
  <si>
    <t>Chinese Management Studies</t>
  </si>
  <si>
    <t>Chinese Medical Journal</t>
  </si>
  <si>
    <t>Chinese Medical Sciences Journal</t>
  </si>
  <si>
    <t>Chinese Medicine</t>
  </si>
  <si>
    <t>Chinese Optics</t>
  </si>
  <si>
    <t>Chinese Optics Letters</t>
  </si>
  <si>
    <t>Chinese Pharmaceutical Journal</t>
  </si>
  <si>
    <t>Chinese Pharmacological Bulletin</t>
  </si>
  <si>
    <t>Chinese Physics B</t>
  </si>
  <si>
    <t>Chinese Physics C</t>
  </si>
  <si>
    <t>Chinese Physics Letters</t>
  </si>
  <si>
    <t>Chinese Science Bulletin</t>
  </si>
  <si>
    <t>Chinese Sociological Review</t>
  </si>
  <si>
    <t>Chinese Space Science and Technology</t>
  </si>
  <si>
    <t>Chinese Studies in History</t>
  </si>
  <si>
    <t>Chinese Traditional and Herbal Drugs</t>
  </si>
  <si>
    <t>Chinesische Medizin</t>
  </si>
  <si>
    <t>Chirality</t>
  </si>
  <si>
    <t>Chirigaku Hyoron/Geographical Review of Japan</t>
  </si>
  <si>
    <t>Chiropractic and Manual Therapies</t>
  </si>
  <si>
    <t>Chirurgia</t>
  </si>
  <si>
    <t>Chirurgia del Piede</t>
  </si>
  <si>
    <t>Chirurgia Narzadow Ruchu i Ortopedia Polska</t>
  </si>
  <si>
    <t>Chirurgia Polska</t>
  </si>
  <si>
    <t>Chirurgie de la Main</t>
  </si>
  <si>
    <t>Chirurgische Praxis</t>
  </si>
  <si>
    <t>Chongqing Daxue Xuebao/Journal of Chongqing University</t>
  </si>
  <si>
    <t>Christian Bioethics</t>
  </si>
  <si>
    <t>Christian Higher Education</t>
  </si>
  <si>
    <t>Chromatographia</t>
  </si>
  <si>
    <t>Chromosoma</t>
  </si>
  <si>
    <t>Chromosome Research</t>
  </si>
  <si>
    <t>Chronic Diseases and Injuries in Canada</t>
  </si>
  <si>
    <t>Chronic Diseases in Canada</t>
  </si>
  <si>
    <t>Chronic lllness</t>
  </si>
  <si>
    <t>Chronic Respiratory Disease</t>
  </si>
  <si>
    <t>Chronique d'Egypte</t>
  </si>
  <si>
    <t>Chronobiology International</t>
  </si>
  <si>
    <t>Chuan Bo Li Xue/Journal of Ship Mechanics</t>
  </si>
  <si>
    <t>Chudoku kenkyu : Chudoku Kenkyukai jun kikanshi = The Japanese journal of toxicology</t>
  </si>
  <si>
    <t>Chungara</t>
  </si>
  <si>
    <t>Chung Cheng Ling Hsueh Pao/Journal of Chung Cheng Institute of Technology</t>
  </si>
  <si>
    <t>Chung-kuo Kung Ch'eng Hsueh K'an/Journal of the Chinese Institute of Engineers</t>
  </si>
  <si>
    <t>Church History</t>
  </si>
  <si>
    <t>Church History and Religious Culture</t>
  </si>
  <si>
    <t>Ciencia and Engenharia/ Science and Engineering Journal</t>
  </si>
  <si>
    <t>Ciencia da Informacao</t>
  </si>
  <si>
    <t>Ciencia del Suelo</t>
  </si>
  <si>
    <t>Ciencia e Agrotecnologia</t>
  </si>
  <si>
    <t>Ciencia e Investigacion Agraria</t>
  </si>
  <si>
    <t>Ciencia e Saude Coletiva</t>
  </si>
  <si>
    <t>Ciencia e Tecnologia de Alimentos</t>
  </si>
  <si>
    <t>Ciencia Florestal</t>
  </si>
  <si>
    <t>Ciencia Rural</t>
  </si>
  <si>
    <t>Ciencias Marinas</t>
  </si>
  <si>
    <t>Ciencia y Enfermeria</t>
  </si>
  <si>
    <t>Cincinnati Romance Review</t>
  </si>
  <si>
    <t>CIN - Computers Informatics Nursing</t>
  </si>
  <si>
    <t>Cineaste</t>
  </si>
  <si>
    <t>Cineforum</t>
  </si>
  <si>
    <t>Circuits, Systems, and Signal Processing</t>
  </si>
  <si>
    <t>Circuit World</t>
  </si>
  <si>
    <t>Circular Farmaceutica</t>
  </si>
  <si>
    <t>Circular of the U. S. Geological Survey</t>
  </si>
  <si>
    <t>Circulation</t>
  </si>
  <si>
    <t>Circulation: Arrhythmia and Electrophysiology</t>
  </si>
  <si>
    <t>Circulation: Cardiovascular Genetics</t>
  </si>
  <si>
    <t>Circulation: Cardiovascular Imaging</t>
  </si>
  <si>
    <t>Circulation: Cardiovascular Interventions</t>
  </si>
  <si>
    <t>Circulation: Cardiovascular Quality and Outcomes</t>
  </si>
  <si>
    <t>Circulation: Heart Failure</t>
  </si>
  <si>
    <t>Circulation Journal</t>
  </si>
  <si>
    <t>Circulation Research</t>
  </si>
  <si>
    <t>CIRP Annals - Manufacturing Technology</t>
  </si>
  <si>
    <t>CIRP Journal of Manufacturing Science and Technology</t>
  </si>
  <si>
    <t>Cirugia Espanola</t>
  </si>
  <si>
    <t>Cirugia pediatrica : organo oficial de la Sociedad Espanola de Cirugia Pediatrica</t>
  </si>
  <si>
    <t>Cirugia Plastica Ibero-Latinoamericana</t>
  </si>
  <si>
    <t>Cirugia y Cirujanos</t>
  </si>
  <si>
    <t>Cithara</t>
  </si>
  <si>
    <t>Cities</t>
  </si>
  <si>
    <t>Citizenship, Social and Economics Education</t>
  </si>
  <si>
    <t>Citizenship Studies</t>
  </si>
  <si>
    <t>City</t>
  </si>
  <si>
    <t>City and Community</t>
  </si>
  <si>
    <t>City and Society</t>
  </si>
  <si>
    <t>City, Culture and Society</t>
  </si>
  <si>
    <t>Civil Engineering and Environmental Systems</t>
  </si>
  <si>
    <t>Civil Szemle</t>
  </si>
  <si>
    <t>Civil War History</t>
  </si>
  <si>
    <t>Civil Wars</t>
  </si>
  <si>
    <t>CJAM Canadian Journal of Addiction Medicine</t>
  </si>
  <si>
    <t>CKJ: Clinical Kidney Journal</t>
  </si>
  <si>
    <t>Cladistics : the international journal of the Willi Hennig Society</t>
  </si>
  <si>
    <t>CLA Journal</t>
  </si>
  <si>
    <t>Clarkson University, Dissertation</t>
  </si>
  <si>
    <t>Classical and Quantum Gravity</t>
  </si>
  <si>
    <t>Classical Antiquity</t>
  </si>
  <si>
    <t>Classical Journal</t>
  </si>
  <si>
    <t>Classical Philology</t>
  </si>
  <si>
    <t>Classical Quarterly</t>
  </si>
  <si>
    <t>Classical Review</t>
  </si>
  <si>
    <t>Classical World</t>
  </si>
  <si>
    <t>Clavier Companion</t>
  </si>
  <si>
    <t>Clay and Clay Minerals</t>
  </si>
  <si>
    <t>Clay Minerals</t>
  </si>
  <si>
    <t>Clay Research</t>
  </si>
  <si>
    <t>CLB Chemie in Labor und Biotechnik</t>
  </si>
  <si>
    <t>CLCWeb - Comparative Literature and Culture</t>
  </si>
  <si>
    <t>Clean - Soil, Air, Water</t>
  </si>
  <si>
    <t>Clean Technologies and Environmental Policy</t>
  </si>
  <si>
    <t>Cleft Palate-Craniofacial Journal</t>
  </si>
  <si>
    <t>Clemson University, Dissertation</t>
  </si>
  <si>
    <t>Cleveland Clinic Journal of Medicine</t>
  </si>
  <si>
    <t>Climacteric</t>
  </si>
  <si>
    <t>Climate and Development</t>
  </si>
  <si>
    <t>Climate Dynamics</t>
  </si>
  <si>
    <t>Climate Law</t>
  </si>
  <si>
    <t>Climate of the Past</t>
  </si>
  <si>
    <t>Climate Policy</t>
  </si>
  <si>
    <t>Climate Research</t>
  </si>
  <si>
    <t>Climatic Change</t>
  </si>
  <si>
    <t>Clinica Chimica Acta</t>
  </si>
  <si>
    <t>Clinica e Investigacion en Arteriosclerosis</t>
  </si>
  <si>
    <t>Clinica e Investigacion en Ginecologia y Obstetricia</t>
  </si>
  <si>
    <t>Clinical Advances in Hematology and Oncology</t>
  </si>
  <si>
    <t>Clinical Anatomy</t>
  </si>
  <si>
    <t>Clinical and Applied Thrombosis/Hemostasis</t>
  </si>
  <si>
    <t>Clinical and Developmental Immunology</t>
  </si>
  <si>
    <t>Clinical and Experimental Allergy</t>
  </si>
  <si>
    <t>Clinical and Experimental Allergy Reviews</t>
  </si>
  <si>
    <t>Clinical and Experimental Dermatology</t>
  </si>
  <si>
    <t>Clinical and Experimental Gastroenterology</t>
  </si>
  <si>
    <t>Clinical and Experimental Hypertension</t>
  </si>
  <si>
    <t>Clinical and Experimental Immunology</t>
  </si>
  <si>
    <t>Clinical and Experimental Medical Letters</t>
  </si>
  <si>
    <t>Clinical and Experimental Medicine</t>
  </si>
  <si>
    <t>Clinical and Experimental Metastasis</t>
  </si>
  <si>
    <t>Clinical and Experimental Nephrology</t>
  </si>
  <si>
    <t>Clinical and Experimental Obstetrics and Gynecology</t>
  </si>
  <si>
    <t>Clinical and Experimental Ophthalmology</t>
  </si>
  <si>
    <t>Clinical and Experimental Optometry</t>
  </si>
  <si>
    <t>Clinical and Experimental Otorhinolaryngology</t>
  </si>
  <si>
    <t>Clinical and Experimental Pharmacology and Physiology</t>
  </si>
  <si>
    <t>Clinical and Experimental Rheumatology</t>
  </si>
  <si>
    <t>Clinical and Investigative Medicine</t>
  </si>
  <si>
    <t>Clinical and Molecular Allergy</t>
  </si>
  <si>
    <t>Clinical and molecular hepatology</t>
  </si>
  <si>
    <t>Clinical and Refractive Optometry</t>
  </si>
  <si>
    <t>Clinical and Surgical Ophthalmology</t>
  </si>
  <si>
    <t>Clinical and Transfusion Haematology</t>
  </si>
  <si>
    <t>Clinical and Translational Gastroenterology</t>
  </si>
  <si>
    <t>Clinical and Translational Oncology</t>
  </si>
  <si>
    <t>Clinical and Translational Science</t>
  </si>
  <si>
    <t>Clinical and Vaccine Immunology</t>
  </si>
  <si>
    <t>Clinical Autonomic Research</t>
  </si>
  <si>
    <t>Clinical Biochemistry</t>
  </si>
  <si>
    <t>Clinical Biomechanics</t>
  </si>
  <si>
    <t>Clinical Breast Cancer</t>
  </si>
  <si>
    <t>Clinical calcium</t>
  </si>
  <si>
    <t>Clinical Cancer Research</t>
  </si>
  <si>
    <t>Clinical Cardiology</t>
  </si>
  <si>
    <t>Clinical Cases in Mineral and Bone Metabolism</t>
  </si>
  <si>
    <t>Clinical Case Studies</t>
  </si>
  <si>
    <t>Clinical Chemistry</t>
  </si>
  <si>
    <t>Clinical Chemistry and Laboratory Medicine</t>
  </si>
  <si>
    <t>Clinical Child and Family Psychology Review</t>
  </si>
  <si>
    <t>Clinical Child Psychology and Psychiatry</t>
  </si>
  <si>
    <t>Clinical Chiropractic</t>
  </si>
  <si>
    <t>Clinical Colorectal Cancer</t>
  </si>
  <si>
    <t>Clinical, Cosmetic and Investigational Dentistry</t>
  </si>
  <si>
    <t>Clinical, Cosmetic and Investigational Dermatology</t>
  </si>
  <si>
    <t>Clinical Diabetes</t>
  </si>
  <si>
    <t>Clinical Drug Investigation</t>
  </si>
  <si>
    <t>Clinical EEG and Neuroscience</t>
  </si>
  <si>
    <t>Clinical Endocrinology</t>
  </si>
  <si>
    <t>Clinical Epidemiology</t>
  </si>
  <si>
    <t>Clinical Ethics</t>
  </si>
  <si>
    <t>Clinical evidence</t>
  </si>
  <si>
    <t>Clinical Gastroenterology and Hepatology</t>
  </si>
  <si>
    <t>Clinical Genetics</t>
  </si>
  <si>
    <t>Clinical Genitourinary Cancer</t>
  </si>
  <si>
    <t>Clinical Geriatrics</t>
  </si>
  <si>
    <t>Clinical Gerontologist</t>
  </si>
  <si>
    <t>Clinical Governance</t>
  </si>
  <si>
    <t>Clinical Hemorheology and Microcirculation</t>
  </si>
  <si>
    <t>Clinical Imaging</t>
  </si>
  <si>
    <t>Clinical Immunology</t>
  </si>
  <si>
    <t>Clinical Implant Dentistry and Related Research</t>
  </si>
  <si>
    <t>Clinical Infectious Diseases</t>
  </si>
  <si>
    <t>Clinical Interventions in Aging</t>
  </si>
  <si>
    <t>Clinical Journal of Gastroenterology</t>
  </si>
  <si>
    <t>Clinical Journal of Oncology Nursing</t>
  </si>
  <si>
    <t>Clinical Journal of Pain</t>
  </si>
  <si>
    <t>Clinical Journal of Sport Medicine</t>
  </si>
  <si>
    <t>Clinical journal of the American Society of Nephrology : CJASN</t>
  </si>
  <si>
    <t>Clinical Kinesiology</t>
  </si>
  <si>
    <t>Clinical Laboratory</t>
  </si>
  <si>
    <t>Clinical Laboratory Science</t>
  </si>
  <si>
    <t>Clinical Linguistics and Phonetics</t>
  </si>
  <si>
    <t>Clinical Lung Cancer</t>
  </si>
  <si>
    <t>Clinical Lymphoma, Myeloma and Leukemia</t>
  </si>
  <si>
    <t>Clinical Medicine</t>
  </si>
  <si>
    <t>Clinical Medicine and Research</t>
  </si>
  <si>
    <t>Clinical Medicine Insights: Circulatory, Respiratory and Pulmonary Medicine</t>
  </si>
  <si>
    <t>Clinical Medicine Insights: Endocrinology and Diabetes</t>
  </si>
  <si>
    <t>Clinical Medicine Insights: Gastroenterology</t>
  </si>
  <si>
    <t>Clinical Medicine Insights: Geriatrics</t>
  </si>
  <si>
    <t>Clinical Medicine Insights: Oncology</t>
  </si>
  <si>
    <t>Clinical Medicine Insights: Therapeutics</t>
  </si>
  <si>
    <t>Clinical Microbiology and Infection</t>
  </si>
  <si>
    <t>Clinical Microbiology Newsletter</t>
  </si>
  <si>
    <t>Clinical Microbiology Reviews</t>
  </si>
  <si>
    <t>Clinical Nephrology</t>
  </si>
  <si>
    <t>Clinical Neurology</t>
  </si>
  <si>
    <t>Clinical Neurology and Neurosurgery</t>
  </si>
  <si>
    <t>Clinical Neuropathology</t>
  </si>
  <si>
    <t>Clinical Neuropharmacology</t>
  </si>
  <si>
    <t>Clinical Neurophysiology</t>
  </si>
  <si>
    <t>Clinical Neuropsychiatry</t>
  </si>
  <si>
    <t>Clinical Neuropsychologist</t>
  </si>
  <si>
    <t>Clinical Neurosurgery</t>
  </si>
  <si>
    <t>Clinical Nuclear Medicine</t>
  </si>
  <si>
    <t>Clinical Nurse Specialist</t>
  </si>
  <si>
    <t>Clinical Nursing Research</t>
  </si>
  <si>
    <t>Clinical Nutrition</t>
  </si>
  <si>
    <t>Clinical Obstetrics and Gynecology</t>
  </si>
  <si>
    <t>Clinical Oncology</t>
  </si>
  <si>
    <t>Clinical Ophthalmology</t>
  </si>
  <si>
    <t>Clinical Oral Implants Research</t>
  </si>
  <si>
    <t>Clinical Oral Investigations</t>
  </si>
  <si>
    <t>Clinical Orthopaedics and Related Research</t>
  </si>
  <si>
    <t>Clinical Otolaryngology</t>
  </si>
  <si>
    <t>Clinical Ovarian and other Gynecologic Cancer</t>
  </si>
  <si>
    <t>Clinical Pediatric Emergency Medicine</t>
  </si>
  <si>
    <t>Clinical Pediatric Endocrinology</t>
  </si>
  <si>
    <t>Clinical Pediatrics</t>
  </si>
  <si>
    <t>Clinical Pharmacist</t>
  </si>
  <si>
    <t>Clinical Pharmacokinetics</t>
  </si>
  <si>
    <t>Clinical Pharmacology: Advances and Applications</t>
  </si>
  <si>
    <t>Clinical Pharmacology and Therapeutics</t>
  </si>
  <si>
    <t>Clinical Physiology and Functional Imaging</t>
  </si>
  <si>
    <t>Clinical Practice</t>
  </si>
  <si>
    <t>Clinical Practice and Epidemiology in Mental Health</t>
  </si>
  <si>
    <t>Clinical privilege white paper</t>
  </si>
  <si>
    <t>Clinical Proteomics</t>
  </si>
  <si>
    <t>Clinical Psychologist</t>
  </si>
  <si>
    <t>Clinical Psychology and Psychotherapy</t>
  </si>
  <si>
    <t>Clinical Psychology Forum</t>
  </si>
  <si>
    <t>Clinical Psychology Review</t>
  </si>
  <si>
    <t>Clinical Psychology: Science and Practice</t>
  </si>
  <si>
    <t>Clinical Psychopharmacology and Neuroscience</t>
  </si>
  <si>
    <t>Clinical Pulmonary Medicine</t>
  </si>
  <si>
    <t>Clinical Radiology</t>
  </si>
  <si>
    <t>Clinical Rehabilitation</t>
  </si>
  <si>
    <t>Clinical Research and Regulatory Affairs</t>
  </si>
  <si>
    <t>Clinical Research in Cardiology</t>
  </si>
  <si>
    <t>Clinical Research in Cardiology Supplements</t>
  </si>
  <si>
    <t>Clinical Respiratory Journal</t>
  </si>
  <si>
    <t>Clinical Reviews in Allergy and Immunology</t>
  </si>
  <si>
    <t>Clinical Reviews in Bone and Mineral Metabolism</t>
  </si>
  <si>
    <t>Clinical Rheumatology</t>
  </si>
  <si>
    <t>Clinical Rhinology</t>
  </si>
  <si>
    <t>Clinical Risk</t>
  </si>
  <si>
    <t>Clinical Schizophrenia and Related Psychoses</t>
  </si>
  <si>
    <t>Clinical Science</t>
  </si>
  <si>
    <t>Clinical Simulation in Nursing</t>
  </si>
  <si>
    <t>Clinical Social Work Journal</t>
  </si>
  <si>
    <t>Clinical Supervisor, The</t>
  </si>
  <si>
    <t>Clinical Teacher</t>
  </si>
  <si>
    <t>Clinical Therapeutics</t>
  </si>
  <si>
    <t>Clinical Toxicology</t>
  </si>
  <si>
    <t>Clinical Transplantation</t>
  </si>
  <si>
    <t>Clinical transplants</t>
  </si>
  <si>
    <t>Clinical Trials</t>
  </si>
  <si>
    <t>Clinica Terapeutica</t>
  </si>
  <si>
    <t>ClinicoEconomics and Outcomes Research</t>
  </si>
  <si>
    <t>Clinics</t>
  </si>
  <si>
    <t>Clinics and Research in Hepatology and Gastroenterology</t>
  </si>
  <si>
    <t>Clinics in Chest Medicine</t>
  </si>
  <si>
    <t>Clinics in Colon and Rectal Surgery</t>
  </si>
  <si>
    <t>Clinics in Dermatology</t>
  </si>
  <si>
    <t>Clinics in Geriatric Medicine</t>
  </si>
  <si>
    <t>Clinics in Laboratory Medicine</t>
  </si>
  <si>
    <t>Clinics in Liver Disease</t>
  </si>
  <si>
    <t>Clinics in Orthopedic Surgery</t>
  </si>
  <si>
    <t>Clinics in Perinatology</t>
  </si>
  <si>
    <t>Clinics in Plastic Surgery</t>
  </si>
  <si>
    <t>Clinics in Podiatric Medicine and Surgery</t>
  </si>
  <si>
    <t>Clinics in Sports Medicine</t>
  </si>
  <si>
    <t>Cliniques Mediterraneennes</t>
  </si>
  <si>
    <t>Clio</t>
  </si>
  <si>
    <t>Clio: Histoire, Femmes et Societes</t>
  </si>
  <si>
    <t>Cliometrica</t>
  </si>
  <si>
    <t>Clothing and Textiles Research Journal</t>
  </si>
  <si>
    <t>Cluster Computing</t>
  </si>
  <si>
    <t>CME</t>
  </si>
  <si>
    <t>CME Journal Geriatric Medicine</t>
  </si>
  <si>
    <t>CMES - Computer Modeling in Engineering and Sciences</t>
  </si>
  <si>
    <t>CNS and Neurological Disorders - Drug Targets</t>
  </si>
  <si>
    <t>CNS Drugs</t>
  </si>
  <si>
    <t>CNS Neuroscience and Therapeutics</t>
  </si>
  <si>
    <t>CNS Spectrums</t>
  </si>
  <si>
    <t>Coastal Engineering</t>
  </si>
  <si>
    <t>Coastal Engineering Journal</t>
  </si>
  <si>
    <t>Coastal Management</t>
  </si>
  <si>
    <t>Cochlear Implants International</t>
  </si>
  <si>
    <t>Cochrane Database of Systematic Reviews</t>
  </si>
  <si>
    <t>Cocuk Enfeksiyon Dergisi</t>
  </si>
  <si>
    <t>Cocuk Sagligi ve Hastaliklari Dergisi</t>
  </si>
  <si>
    <t>Coffee Science</t>
  </si>
  <si>
    <t>Cognition</t>
  </si>
  <si>
    <t>Cognition and Emotion</t>
  </si>
  <si>
    <t>Cognition and Instruction</t>
  </si>
  <si>
    <t>Cognition, Brain, Behavior</t>
  </si>
  <si>
    <t>Cognition, Technology and Work</t>
  </si>
  <si>
    <t>Cognitive, Affective and Behavioral Neuroscience</t>
  </si>
  <si>
    <t>Cognitive and Behavioral Neurology</t>
  </si>
  <si>
    <t>Cognitive and Behavioral Practice</t>
  </si>
  <si>
    <t>Cognitive Behaviour Therapy</t>
  </si>
  <si>
    <t>Cognitive Computation</t>
  </si>
  <si>
    <t>Cognitive Development</t>
  </si>
  <si>
    <t>Cognitive Linguistics</t>
  </si>
  <si>
    <t>Cognitive Neurodynamics</t>
  </si>
  <si>
    <t>Cognitive Neuropsychiatry</t>
  </si>
  <si>
    <t>Cognitive Neuropsychology</t>
  </si>
  <si>
    <t>Cognitive Neuroscience</t>
  </si>
  <si>
    <t>Cognitive Processing</t>
  </si>
  <si>
    <t>Cognitive Psychology</t>
  </si>
  <si>
    <t>Cognitive Science</t>
  </si>
  <si>
    <t>Cognitive Systems Research</t>
  </si>
  <si>
    <t>Cognitive Technologies</t>
  </si>
  <si>
    <t>Cognitive Therapy and Research</t>
  </si>
  <si>
    <t>Coke and Chemistry</t>
  </si>
  <si>
    <t>Cold Regions, Science and Technology</t>
  </si>
  <si>
    <t>Cold Spring Harbor perspectives in biology</t>
  </si>
  <si>
    <t>Cold Spring Harbor Protocols</t>
  </si>
  <si>
    <t>Cold Spring Harbor Symposia on Quantitative Biology</t>
  </si>
  <si>
    <t>Cold War History</t>
  </si>
  <si>
    <t>Coleopterists Bulletin</t>
  </si>
  <si>
    <t>Collectanea Botanica</t>
  </si>
  <si>
    <t>Collectanea Mathematica</t>
  </si>
  <si>
    <t>Collectanea Theologica</t>
  </si>
  <si>
    <t>Collection Building</t>
  </si>
  <si>
    <t>Collection Management</t>
  </si>
  <si>
    <t>Collection of Technical Papers - AIAA/ASME/ASCE/AHS/ASC Structures, Structural Dynamics and Materials Conference</t>
  </si>
  <si>
    <t>College and Research Libraries</t>
  </si>
  <si>
    <t>College and Research Libraries News</t>
  </si>
  <si>
    <t>College and Undergraduate Libraries</t>
  </si>
  <si>
    <t>College Composition and Communication</t>
  </si>
  <si>
    <t>College English</t>
  </si>
  <si>
    <t>College Literature</t>
  </si>
  <si>
    <t>College Mathematics Journal</t>
  </si>
  <si>
    <t>Collegian</t>
  </si>
  <si>
    <t>Collegiate Aviation Review</t>
  </si>
  <si>
    <t>Collegium Antropologicum</t>
  </si>
  <si>
    <t>Colloid and Polymer Science</t>
  </si>
  <si>
    <t>Colloid Journal of the Russian Academy of Sciences: Kolloidnyi Zhurnal</t>
  </si>
  <si>
    <t>Colloids and Surfaces A: Physicochemical and Engineering Aspects</t>
  </si>
  <si>
    <t>Colloids and Surfaces B: Biointerfaces</t>
  </si>
  <si>
    <t>Colloquium Mathematicum</t>
  </si>
  <si>
    <t>Colombia Internacional</t>
  </si>
  <si>
    <t>Colombia Medica</t>
  </si>
  <si>
    <t>Colon and Rectum</t>
  </si>
  <si>
    <t>Colonial Latin American Historical Review</t>
  </si>
  <si>
    <t>Colonial Latin American Review</t>
  </si>
  <si>
    <t>Coloproctology</t>
  </si>
  <si>
    <t>Coloquio-Letras</t>
  </si>
  <si>
    <t>Colorado nurse</t>
  </si>
  <si>
    <t>Colorado State University, Dissertation</t>
  </si>
  <si>
    <t>Coloration Technology</t>
  </si>
  <si>
    <t>Colorectal Disease</t>
  </si>
  <si>
    <t>Color Research and Application</t>
  </si>
  <si>
    <t>Columbia Journal of Law and Social Problems</t>
  </si>
  <si>
    <t>Columbia Law Review</t>
  </si>
  <si>
    <t>Coluna/ Columna</t>
  </si>
  <si>
    <t>Combinatorial Chemistry and High Throughput Screening</t>
  </si>
  <si>
    <t>Combinatorica</t>
  </si>
  <si>
    <t>Combinatorics Probability and Computing</t>
  </si>
  <si>
    <t>Combustion and Flame</t>
  </si>
  <si>
    <t>Combustion, Explosion, and Shock Waves</t>
  </si>
  <si>
    <t>Combustion Science and Technology</t>
  </si>
  <si>
    <t>Combustion Theory and Modelling</t>
  </si>
  <si>
    <t>Commentarii Mathematici Helvetici</t>
  </si>
  <si>
    <t>Commentary</t>
  </si>
  <si>
    <t>Commentationes Mathematicae Universitatis Carolinae</t>
  </si>
  <si>
    <t>Comments on Inorganic Chemistry</t>
  </si>
  <si>
    <t>Common Market Law Review</t>
  </si>
  <si>
    <t>Commonwealth and Comparative Politics</t>
  </si>
  <si>
    <t>Commonwealth Law Bulletin</t>
  </si>
  <si>
    <t>Communicable diseases intelligence</t>
  </si>
  <si>
    <t>Communicatio</t>
  </si>
  <si>
    <t>Communication and Medicine</t>
  </si>
  <si>
    <t>Communication Disorders Quarterly</t>
  </si>
  <si>
    <t>Communication Education</t>
  </si>
  <si>
    <t>Communication Law and Policy</t>
  </si>
  <si>
    <t>Communication Monographs</t>
  </si>
  <si>
    <t>Communication Quarterly</t>
  </si>
  <si>
    <t>Communication Reports</t>
  </si>
  <si>
    <t>Communication Research</t>
  </si>
  <si>
    <t>Communication Research Reports</t>
  </si>
  <si>
    <t>Communication Review</t>
  </si>
  <si>
    <t>Communications</t>
  </si>
  <si>
    <t>Communications in agricultural and applied biological sciences</t>
  </si>
  <si>
    <t>Communications in Algebra</t>
  </si>
  <si>
    <t>Communications in Analysis and Geometry</t>
  </si>
  <si>
    <t>Communications in Applied Analysis</t>
  </si>
  <si>
    <t>Communications in Biometry and Crop Science</t>
  </si>
  <si>
    <t>Communications in Computational Physics</t>
  </si>
  <si>
    <t>Communications in Computer and Information Science</t>
  </si>
  <si>
    <t>Communications in Contemporary Mathematics</t>
  </si>
  <si>
    <t>Communications in Information Literacy</t>
  </si>
  <si>
    <t>Communications in Mathematical Analysis</t>
  </si>
  <si>
    <t>Communications in Mathematical Physics</t>
  </si>
  <si>
    <t>Communications in Mathematical Sciences</t>
  </si>
  <si>
    <t>Communications in Nonlinear Science and Numerical Simulation</t>
  </si>
  <si>
    <t>Communications in Number Theory and Physics</t>
  </si>
  <si>
    <t>Communications in Partial Differential Equations</t>
  </si>
  <si>
    <t>Communications in Soil Sccience and Plant Analysis</t>
  </si>
  <si>
    <t>Communications in Statistics Part B: Simulation and Computation</t>
  </si>
  <si>
    <t>Communications in Statistics - Theory and Methods</t>
  </si>
  <si>
    <t>Communications in Theoretical Physics</t>
  </si>
  <si>
    <t>Communications Law</t>
  </si>
  <si>
    <t>Communications of the ACM</t>
  </si>
  <si>
    <t>Communications of the Association for Information Systems</t>
  </si>
  <si>
    <t>Communications of the Korean Mathematical Society</t>
  </si>
  <si>
    <t>Communications on Applied Nonlinear Analysis</t>
  </si>
  <si>
    <t>Communications on Pure and Applied Analysis</t>
  </si>
  <si>
    <t>Communications on Pure and Applied Mathematics</t>
  </si>
  <si>
    <t>Communication Studies</t>
  </si>
  <si>
    <t>Communication Teacher</t>
  </si>
  <si>
    <t>Communication Theory</t>
  </si>
  <si>
    <t>Communicative &amp; Integrative Biology</t>
  </si>
  <si>
    <t>Communist and Post-Communist Studies</t>
  </si>
  <si>
    <t>Community and Junior College Libraries</t>
  </si>
  <si>
    <t>Community Care</t>
  </si>
  <si>
    <t>Community College Journal of Research and Practice</t>
  </si>
  <si>
    <t>Community College Review</t>
  </si>
  <si>
    <t>Community Dental Health</t>
  </si>
  <si>
    <t>Community Dentistry and Oral Epidemiology</t>
  </si>
  <si>
    <t>Community Development Journal</t>
  </si>
  <si>
    <t>Community Development: Journal of the Community Development Society</t>
  </si>
  <si>
    <t>Community Ecology</t>
  </si>
  <si>
    <t>Community Mental Health Journal</t>
  </si>
  <si>
    <t>Community Oncology</t>
  </si>
  <si>
    <t>Community practitioner : the journal of the Community Practitioners' &amp; Health Visitors' Association</t>
  </si>
  <si>
    <t>Community, Work and Family</t>
  </si>
  <si>
    <t>Comparative American Studies</t>
  </si>
  <si>
    <t>Comparative and Functional Genomics</t>
  </si>
  <si>
    <t>Comparative Biochemistry and Physiology - B Biochemistry and Molecular Biology</t>
  </si>
  <si>
    <t>Comparative biochemistry and physiology. Part A, Molecular &amp; integrative physiology</t>
  </si>
  <si>
    <t>Comparative Biochemistry and Physiology, Part C</t>
  </si>
  <si>
    <t>Comparative Biochemistry and Physiology - Part D: Genomics and Proteomics</t>
  </si>
  <si>
    <t>Comparative Clinical Pathology</t>
  </si>
  <si>
    <t>Comparative Critical Studies</t>
  </si>
  <si>
    <t>Comparative Drama</t>
  </si>
  <si>
    <t>Comparative Economic Studies</t>
  </si>
  <si>
    <t>Comparative Education</t>
  </si>
  <si>
    <t>Comparative Education Review</t>
  </si>
  <si>
    <t>Comparative European Politics</t>
  </si>
  <si>
    <t>Comparative Hepatology</t>
  </si>
  <si>
    <t>Comparative Immunology, Microbiology and Infectious Diseases</t>
  </si>
  <si>
    <t>Comparative Literature</t>
  </si>
  <si>
    <t>Comparative Literature Studies</t>
  </si>
  <si>
    <t>Comparative Medicine</t>
  </si>
  <si>
    <t>Comparative Parasitology</t>
  </si>
  <si>
    <t>Comparative Political Studies</t>
  </si>
  <si>
    <t>Comparative Politics</t>
  </si>
  <si>
    <t>Comparative Sociology</t>
  </si>
  <si>
    <t>Comparative Strategy</t>
  </si>
  <si>
    <t>Comparative Studies in Society and History</t>
  </si>
  <si>
    <t>Comparative Studies of South Asia, Africa and the Middle East</t>
  </si>
  <si>
    <t>Compare</t>
  </si>
  <si>
    <t>COMPEL - The International Journal for Computation and Mathematics in Electrical and Electronic Engineering</t>
  </si>
  <si>
    <t>Compendium: Continuing Education For Veterinarians</t>
  </si>
  <si>
    <t>Compendium of continuing education in dentistry (Jamesburg, N.J. : 1995)</t>
  </si>
  <si>
    <t>Competition Policy International</t>
  </si>
  <si>
    <t>Complementary Therapies in Clinical Practice</t>
  </si>
  <si>
    <t>Complementary Therapies in Medicine</t>
  </si>
  <si>
    <t>Complex Analysis and Operator Theory</t>
  </si>
  <si>
    <t>Complexity</t>
  </si>
  <si>
    <t>Complex Systems</t>
  </si>
  <si>
    <t>Complex Variables and Elliptic Equations</t>
  </si>
  <si>
    <t>Complutum</t>
  </si>
  <si>
    <t>Composite Interfaces</t>
  </si>
  <si>
    <t>Composites: Mechanics, Computations, Applications</t>
  </si>
  <si>
    <t>Composites - Part A: Applied Science and Manufacturing</t>
  </si>
  <si>
    <t>Composites Part B: Engineering</t>
  </si>
  <si>
    <t>Composites Science and Technology</t>
  </si>
  <si>
    <t>Composite Structures</t>
  </si>
  <si>
    <t>Compositio Mathematica</t>
  </si>
  <si>
    <t>Compost Science and Utilization</t>
  </si>
  <si>
    <t>Comprehensive Analytical Chemistry</t>
  </si>
  <si>
    <t>Comprehensive Physiology</t>
  </si>
  <si>
    <t>Comprehensive Psychiatry</t>
  </si>
  <si>
    <t>Comprehensive Reviews in Food Science and Food Safety</t>
  </si>
  <si>
    <t>Comptes Rendus - Biologies</t>
  </si>
  <si>
    <t>Comptes Rendus Chimie</t>
  </si>
  <si>
    <t>Comptes Rendus de L'Academie Bulgare des Sciences</t>
  </si>
  <si>
    <t>Comptes Rendus - Geoscience</t>
  </si>
  <si>
    <t>Comptes Rendus Mathematique</t>
  </si>
  <si>
    <t>Comptes Rendus - Mecanique</t>
  </si>
  <si>
    <t>Comptes Rendus - Palevol</t>
  </si>
  <si>
    <t>Comptes Rendus Physique</t>
  </si>
  <si>
    <t>Computacion y Sistemas</t>
  </si>
  <si>
    <t>Computational and Applied Mathematics</t>
  </si>
  <si>
    <t>Computational and Mathematical Methods in Medicine</t>
  </si>
  <si>
    <t>Computational and Mathematical Organization Theory</t>
  </si>
  <si>
    <t>Computational and Theoretical Chemistry</t>
  </si>
  <si>
    <t>Computational Biology and Chemistry</t>
  </si>
  <si>
    <t>Computational Complexity</t>
  </si>
  <si>
    <t>Computational Economics</t>
  </si>
  <si>
    <t>Computational Geometry: Theory and Applications</t>
  </si>
  <si>
    <t>Computational Geosciences</t>
  </si>
  <si>
    <t>Computational Intelligence</t>
  </si>
  <si>
    <t>Computational Intelligence and Neuroscience</t>
  </si>
  <si>
    <t>Computational Linguistics</t>
  </si>
  <si>
    <t>Computational Management Science</t>
  </si>
  <si>
    <t>Computational Materials Science</t>
  </si>
  <si>
    <t>Computational Mathematics and Mathematical Physics</t>
  </si>
  <si>
    <t>Computational Mathematics and Modeling</t>
  </si>
  <si>
    <t>Computational Mechanics</t>
  </si>
  <si>
    <t>Computational Methods and Function Theory</t>
  </si>
  <si>
    <t>Computational Optimization and Applications</t>
  </si>
  <si>
    <t>Computational Science and Discovery</t>
  </si>
  <si>
    <t>Computational Statistics</t>
  </si>
  <si>
    <t>Computational Statistics and Data Analysis</t>
  </si>
  <si>
    <t>Computational Thermal Sciences</t>
  </si>
  <si>
    <t>Computer Aided Chemical Engineering</t>
  </si>
  <si>
    <t>Computer-Aided Civil and Infrastructure Engineering</t>
  </si>
  <si>
    <t>Computer-Aided Design and Applications</t>
  </si>
  <si>
    <t>Computer Aided Geometric Design</t>
  </si>
  <si>
    <t>Computer Aided Surgery</t>
  </si>
  <si>
    <t>Computer Animation and Virtual Worlds</t>
  </si>
  <si>
    <t>Computer Applications in Engineering Education</t>
  </si>
  <si>
    <t>Computer Assisted Language Learning</t>
  </si>
  <si>
    <t>Computer Assisted Mechanics and Engineering Sciences</t>
  </si>
  <si>
    <t>Computer-Assisted Radiology and Surgery</t>
  </si>
  <si>
    <t>Computer Communication Review</t>
  </si>
  <si>
    <t>Computer Communications</t>
  </si>
  <si>
    <t>Computer Fraud and Security</t>
  </si>
  <si>
    <t>Computer Graphics Forum</t>
  </si>
  <si>
    <t>Computerized Medical Imaging and Graphics</t>
  </si>
  <si>
    <t>Computer Journal</t>
  </si>
  <si>
    <t>Computer Languages, Systems and Structures</t>
  </si>
  <si>
    <t>Computer Law and Security Report</t>
  </si>
  <si>
    <t>Computer Methods and Programs in Biomedicine</t>
  </si>
  <si>
    <t>Computer Methods in Applied Mechanics and Engineering</t>
  </si>
  <si>
    <t>Computer Methods in Biomechanics and Biomedical Engineering</t>
  </si>
  <si>
    <t>Computer Music Journal</t>
  </si>
  <si>
    <t>Computer Networks</t>
  </si>
  <si>
    <t>Computer Optics</t>
  </si>
  <si>
    <t>Computer Physics Communications</t>
  </si>
  <si>
    <t>Computers and Chemical Engineering</t>
  </si>
  <si>
    <t>Computers and Composition</t>
  </si>
  <si>
    <t>Computers and Concrete</t>
  </si>
  <si>
    <t>Computers and Education</t>
  </si>
  <si>
    <t>Computers and Electrical Engineering</t>
  </si>
  <si>
    <t>Computers and Electronics in Agriculture</t>
  </si>
  <si>
    <t>Computers and Fluids</t>
  </si>
  <si>
    <t>Computers and Geosciences</t>
  </si>
  <si>
    <t>Computers and Geotechnics</t>
  </si>
  <si>
    <t>Computers and Graphics</t>
  </si>
  <si>
    <t>Computers and Industrial Engineering</t>
  </si>
  <si>
    <t>Computers and Mathematics with Applications</t>
  </si>
  <si>
    <t>Computers and Operations Research</t>
  </si>
  <si>
    <t>Computers and Security</t>
  </si>
  <si>
    <t>Computers and Structures</t>
  </si>
  <si>
    <t>Computer Science and Information Systems</t>
  </si>
  <si>
    <t>Computer Science - Research and Development</t>
  </si>
  <si>
    <t>Computer Science Review</t>
  </si>
  <si>
    <t>Computers, Environments and Urban Systems</t>
  </si>
  <si>
    <t>Computers in Biology and Medicine</t>
  </si>
  <si>
    <t>Computers in Cardiology</t>
  </si>
  <si>
    <t>Computers in Education Journal</t>
  </si>
  <si>
    <t>Computers in Entertainment</t>
  </si>
  <si>
    <t>Computers in Human Behavior</t>
  </si>
  <si>
    <t>Computers in Industry</t>
  </si>
  <si>
    <t>Computers in the Schools</t>
  </si>
  <si>
    <t>Computers, Materials and Continua</t>
  </si>
  <si>
    <t>Computer Software</t>
  </si>
  <si>
    <t>Computer Speech and Language</t>
  </si>
  <si>
    <t>Computer Standards and Interfaces</t>
  </si>
  <si>
    <t>Computer Supported Cooperative Work</t>
  </si>
  <si>
    <t>Computer Systems Science and Engineering</t>
  </si>
  <si>
    <t>Computer Vision and Image Understanding</t>
  </si>
  <si>
    <t>Computing</t>
  </si>
  <si>
    <t>Computing and Informatics</t>
  </si>
  <si>
    <t>Computing and Visualization in Science</t>
  </si>
  <si>
    <t>Computing in Science and Engineering</t>
  </si>
  <si>
    <t>Comunicacion y Sociedad</t>
  </si>
  <si>
    <t>Comunicacoes Geologicas</t>
  </si>
  <si>
    <t>Comunicar</t>
  </si>
  <si>
    <t>Comunicata Scientiae</t>
  </si>
  <si>
    <t>CONCAWE Reports</t>
  </si>
  <si>
    <t>CONCAWE Review</t>
  </si>
  <si>
    <t>Concepts in Magnetic Resonance Part A: Bridging Education and Research</t>
  </si>
  <si>
    <t>Concepts in Magnetic Resonance Part B: Magnetic Resonance Engineering</t>
  </si>
  <si>
    <t>Concurrency Computation Practice and Experience</t>
  </si>
  <si>
    <t>Concurrent Engineering Research and Applications</t>
  </si>
  <si>
    <t>Concurrent Systems Engineering Series</t>
  </si>
  <si>
    <t>Condensed Matter Physics</t>
  </si>
  <si>
    <t>Condor</t>
  </si>
  <si>
    <t>Conference Digest - IEEE International Semiconductor Laser Conference</t>
  </si>
  <si>
    <t>Conference on Human Factors in Computing Systems - Proceedings</t>
  </si>
  <si>
    <t>Conference Proceedings from the International Symposium for Testing and Failure Analysis</t>
  </si>
  <si>
    <t>Conference Proceedings - IEEE Applied Power Electronics Conference and Exposition - APEC</t>
  </si>
  <si>
    <t>Conference Proceedings - International Conference on Indium Phosphide and Related Materials</t>
  </si>
  <si>
    <t>Conference Record - IAS Annual Meeting (IEEE Industry Applications Society)</t>
  </si>
  <si>
    <t>Conference Record - IEEE Cement Industry Technical Conference</t>
  </si>
  <si>
    <t>Conference Record - IEEE Instrumentation and Measurement Technology Conference</t>
  </si>
  <si>
    <t>Conference Record - International Conference on Communications</t>
  </si>
  <si>
    <t>Conference Record of the Annual ACM Symposium on Principles of Programming Languages</t>
  </si>
  <si>
    <t>Conference Record of the Asilomar Conference on Signals, Systems and Computers</t>
  </si>
  <si>
    <t>Conference Record of the IEEE Photovoltaic Specialists Conference</t>
  </si>
  <si>
    <t>Configurations</t>
  </si>
  <si>
    <t>Confinia Cephalalgica</t>
  </si>
  <si>
    <t>Conflict and Health</t>
  </si>
  <si>
    <t>Conflict Management and Peace Science</t>
  </si>
  <si>
    <t>Conflict Resolution Quarterly</t>
  </si>
  <si>
    <t>Conflict, Security and Development</t>
  </si>
  <si>
    <t>Conformal Geometry and Dynamics</t>
  </si>
  <si>
    <t>Confrontation</t>
  </si>
  <si>
    <t>Congenital Anomalies</t>
  </si>
  <si>
    <t>Congenital Heart Disease</t>
  </si>
  <si>
    <t>Congestive Heart Failure</t>
  </si>
  <si>
    <t>Congress and the Presidency</t>
  </si>
  <si>
    <t>Congress on Computing in Civil Engineering, Proceedings</t>
  </si>
  <si>
    <t>Connaissance des Arts</t>
  </si>
  <si>
    <t>Connecticut Medicine</t>
  </si>
  <si>
    <t>Connection Science</t>
  </si>
  <si>
    <t>Connective Tissue Research</t>
  </si>
  <si>
    <t>Connexions</t>
  </si>
  <si>
    <t>Consciousness and Cognition</t>
  </si>
  <si>
    <t>Conservation and Management of Archaeological Sites</t>
  </si>
  <si>
    <t>Conservation and Society</t>
  </si>
  <si>
    <t>Conservation Biology</t>
  </si>
  <si>
    <t>Conservation Evidence</t>
  </si>
  <si>
    <t>Conservation Genetics</t>
  </si>
  <si>
    <t>Conservation Genetics Resources</t>
  </si>
  <si>
    <t>Conservation Letters</t>
  </si>
  <si>
    <t>Conservation Science Western Australia</t>
  </si>
  <si>
    <t>Constitutional Political Economy</t>
  </si>
  <si>
    <t>Constraints</t>
  </si>
  <si>
    <t>Construction and Building Materials</t>
  </si>
  <si>
    <t>Construction History</t>
  </si>
  <si>
    <t>Construction Innovation</t>
  </si>
  <si>
    <t>Construction Management and Economics</t>
  </si>
  <si>
    <t>Constructions and Frames</t>
  </si>
  <si>
    <t>Constructive Approximation</t>
  </si>
  <si>
    <t>Constructivist Foundations</t>
  </si>
  <si>
    <t>Consultant</t>
  </si>
  <si>
    <t>Consultant Pharmacist</t>
  </si>
  <si>
    <t>Consulting Psychology Journal</t>
  </si>
  <si>
    <t>Consumer reports</t>
  </si>
  <si>
    <t>Contact Dermatitis</t>
  </si>
  <si>
    <t>Contact Lens and Anterior Eye</t>
  </si>
  <si>
    <t>Contagion: Journal of Violence, Mimesis, and Culture</t>
  </si>
  <si>
    <t>Contemporanea</t>
  </si>
  <si>
    <t>Contemporary Accounting Research</t>
  </si>
  <si>
    <t>Contemporary British History</t>
  </si>
  <si>
    <t>Contemporary Buddhism</t>
  </si>
  <si>
    <t>Contemporary Chinese Thought</t>
  </si>
  <si>
    <t>Contemporary Clinical Trials</t>
  </si>
  <si>
    <t>Contemporary Concepts of Condensed Matter Science</t>
  </si>
  <si>
    <t>Contemporary Economic Policy</t>
  </si>
  <si>
    <t>Contemporary Economics</t>
  </si>
  <si>
    <t>Contemporary Educational Psychology</t>
  </si>
  <si>
    <t>Contemporary European History</t>
  </si>
  <si>
    <t>Contemporary Family Therapy</t>
  </si>
  <si>
    <t>Contemporary French and Francophone Studies</t>
  </si>
  <si>
    <t>Contemporary Islam</t>
  </si>
  <si>
    <t>Contemporary Issues in Early Childhood</t>
  </si>
  <si>
    <t>Contemporary Jewry</t>
  </si>
  <si>
    <t>Contemporary Justice Review</t>
  </si>
  <si>
    <t>Contemporary Literature</t>
  </si>
  <si>
    <t>Contemporary Music Review</t>
  </si>
  <si>
    <t>Contemporary Nurse</t>
  </si>
  <si>
    <t>Contemporary Ob/Gyn</t>
  </si>
  <si>
    <t>Contemporary Pacific</t>
  </si>
  <si>
    <t>Contemporary Pediatrics</t>
  </si>
  <si>
    <t>Contemporary Physics</t>
  </si>
  <si>
    <t>Contemporary Political Theory</t>
  </si>
  <si>
    <t>Contemporary Politics</t>
  </si>
  <si>
    <t>Contemporary Pragmatism</t>
  </si>
  <si>
    <t>Contemporary Problems of Ecology</t>
  </si>
  <si>
    <t>Contemporary Psychoanalysis</t>
  </si>
  <si>
    <t>Contemporary Rehab</t>
  </si>
  <si>
    <t>Contemporary Security Policy</t>
  </si>
  <si>
    <t>Contemporary Social Science: Journal of the Academy of Social Sciences</t>
  </si>
  <si>
    <t>Contemporary Sociology</t>
  </si>
  <si>
    <t>Contemporary South Asia</t>
  </si>
  <si>
    <t>Contemporary Southeast Asia</t>
  </si>
  <si>
    <t>Contemporary Studies in Economic and Financial Analysis</t>
  </si>
  <si>
    <t>Contemporary Theatre Review</t>
  </si>
  <si>
    <t>Contemporary Women's Writing</t>
  </si>
  <si>
    <t>Continental Philosophy Review</t>
  </si>
  <si>
    <t>Continental Shelf Research</t>
  </si>
  <si>
    <t>Continuing Education in Anaesthesia, Critical Care and Pain</t>
  </si>
  <si>
    <t>Continuity and Change</t>
  </si>
  <si>
    <t>Continuum</t>
  </si>
  <si>
    <t>CONTINUUM Lifelong Learning in Neurology</t>
  </si>
  <si>
    <t>Continuum Mechanics and Thermodynamics</t>
  </si>
  <si>
    <t>Contraception</t>
  </si>
  <si>
    <t>Contrast Media and Molecular Imaging</t>
  </si>
  <si>
    <t>Contributions of Mineralogy and Petrology</t>
  </si>
  <si>
    <t>Contributions of the Astronomical Observatory Skalnate Pleso</t>
  </si>
  <si>
    <t>Contributions to Economic Analysis and Policy</t>
  </si>
  <si>
    <t>Contributions to Economics</t>
  </si>
  <si>
    <t>Contributions to Geophysics and Geodesy</t>
  </si>
  <si>
    <t>Contributions to Human Development</t>
  </si>
  <si>
    <t>Contributions to Indian Sociology</t>
  </si>
  <si>
    <t>Contributions to Microbiology</t>
  </si>
  <si>
    <t>Contributions to Nephrology</t>
  </si>
  <si>
    <t>Contributions to Plasma Physics</t>
  </si>
  <si>
    <t>Contributions to Political Economy</t>
  </si>
  <si>
    <t>Contributions to the History of Concepts</t>
  </si>
  <si>
    <t>Contributions to Zoology</t>
  </si>
  <si>
    <t>Control and Cybernetics</t>
  </si>
  <si>
    <t>Control and Intelligent Systems</t>
  </si>
  <si>
    <t>Controle and Automacao</t>
  </si>
  <si>
    <t>Control Engineering and Applied Informatics</t>
  </si>
  <si>
    <t>Control Engineering Practice</t>
  </si>
  <si>
    <t>Convergence</t>
  </si>
  <si>
    <t>Convergencia</t>
  </si>
  <si>
    <t>Cooperation and Conflict</t>
  </si>
  <si>
    <t>Coordination Chemistry Reviews</t>
  </si>
  <si>
    <t>COPD: Journal of Chronic Obstructive Pulmonary Disease</t>
  </si>
  <si>
    <t>Copeia</t>
  </si>
  <si>
    <t>Copenhagen Journal of Asian Studies</t>
  </si>
  <si>
    <t>Coral Reefs</t>
  </si>
  <si>
    <t>Core Evidence</t>
  </si>
  <si>
    <t>Corella</t>
  </si>
  <si>
    <t>Cor et Vasa</t>
  </si>
  <si>
    <t>Cornea</t>
  </si>
  <si>
    <t>Cornell Hospitality Quarterly</t>
  </si>
  <si>
    <t>Cornell International Law Journal</t>
  </si>
  <si>
    <t>Cornell Law Review</t>
  </si>
  <si>
    <t>Cornell University, Dissertation</t>
  </si>
  <si>
    <t>Coronary Artery Disease</t>
  </si>
  <si>
    <t>Corpora</t>
  </si>
  <si>
    <t>Corporate Communications</t>
  </si>
  <si>
    <t>Corporate Governance</t>
  </si>
  <si>
    <t>Corporate Reputation Review</t>
  </si>
  <si>
    <t>Corporate Social Responsibility and Environmental Management</t>
  </si>
  <si>
    <t>Corpus Linguistics and Linguistic Theory</t>
  </si>
  <si>
    <t>Correspondances en MHND</t>
  </si>
  <si>
    <t>Corrosion</t>
  </si>
  <si>
    <t>Corrosion and Protection</t>
  </si>
  <si>
    <t>Corrosion Engineering Science and Technology</t>
  </si>
  <si>
    <t>Corrosion Reviews</t>
  </si>
  <si>
    <t>Corrosion Science</t>
  </si>
  <si>
    <t>Corrosion Science and Protection Technology</t>
  </si>
  <si>
    <t>Cortex; a journal devoted to the study of the nervous system and behavior</t>
  </si>
  <si>
    <t>Cosmetic Dermatology</t>
  </si>
  <si>
    <t>Cosmic Research (English translation of Kosimicheskie Issledovaniya)</t>
  </si>
  <si>
    <t>Cosmos and History</t>
  </si>
  <si>
    <t>COSSMA</t>
  </si>
  <si>
    <t>Cost Effectiveness and Resource Allocation</t>
  </si>
  <si>
    <t>Costume</t>
  </si>
  <si>
    <t>Cotinga</t>
  </si>
  <si>
    <t>Cough</t>
  </si>
  <si>
    <t>Counseling and Values</t>
  </si>
  <si>
    <t>Counseling Psychologist</t>
  </si>
  <si>
    <t>Counselling and Psychotherapy Research</t>
  </si>
  <si>
    <t>Counselling Psychology Quarterly</t>
  </si>
  <si>
    <t>Counselor Education and Supervision</t>
  </si>
  <si>
    <t>CPD Anaesthesia</t>
  </si>
  <si>
    <t>CPD Bulletin Clinical Biochemistry</t>
  </si>
  <si>
    <t>CPEM Digest (Conference on Precision Electromagnetic Measurements)</t>
  </si>
  <si>
    <t>Crafts</t>
  </si>
  <si>
    <t>Cranio - Journal of Craniomandibular Practice</t>
  </si>
  <si>
    <t>Creative nursing</t>
  </si>
  <si>
    <t>Creativity and Innovation Management</t>
  </si>
  <si>
    <t>Creativity Research Journal</t>
  </si>
  <si>
    <t>Cretaceous Research</t>
  </si>
  <si>
    <t>Crime and Delinquency</t>
  </si>
  <si>
    <t>Crime and Justice</t>
  </si>
  <si>
    <t>Crime, Law and Social Change</t>
  </si>
  <si>
    <t>Crime, Media, Culture</t>
  </si>
  <si>
    <t>Crime Prevention and Community Safety: An International Journal</t>
  </si>
  <si>
    <t>Criminal Behaviour and Mental Health</t>
  </si>
  <si>
    <t>Criminal Justice and Behavior</t>
  </si>
  <si>
    <t>Criminal Justice Ethics</t>
  </si>
  <si>
    <t>Criminal Justice Matters</t>
  </si>
  <si>
    <t>Criminal Justice Policy Review</t>
  </si>
  <si>
    <t>Criminal Justice Review</t>
  </si>
  <si>
    <t>Criminal Justice Studies</t>
  </si>
  <si>
    <t>Criminal Law and Philosophy</t>
  </si>
  <si>
    <t>Criminal Law Forum</t>
  </si>
  <si>
    <t>Criminal Law Review</t>
  </si>
  <si>
    <t>Criminology</t>
  </si>
  <si>
    <t>Criminology and Criminal Justice</t>
  </si>
  <si>
    <t>Criminology Journal of Baikal National University of Economics and Law</t>
  </si>
  <si>
    <t>Crisis</t>
  </si>
  <si>
    <t>Critica d'Arte</t>
  </si>
  <si>
    <t>Critica del Testo</t>
  </si>
  <si>
    <t>Critica Hispanica</t>
  </si>
  <si>
    <t>Critical Asian Studies</t>
  </si>
  <si>
    <t>Critical Care</t>
  </si>
  <si>
    <t>Critical care and resuscitation : journal of the Australasian Academy of Critical Care Medicine.</t>
  </si>
  <si>
    <t>Critical Care and Shock</t>
  </si>
  <si>
    <t>Critical Care Clinics</t>
  </si>
  <si>
    <t>Critical Care Medicine</t>
  </si>
  <si>
    <t>Critical Care Nurse</t>
  </si>
  <si>
    <t>Critical Care Nursing Clinics of North America</t>
  </si>
  <si>
    <t>Critical Care Nursing Quarterly</t>
  </si>
  <si>
    <t>Critical Care Research and Practice</t>
  </si>
  <si>
    <t>Critical Criminology</t>
  </si>
  <si>
    <t>Critical Discourse Studies</t>
  </si>
  <si>
    <t>Critica Letteraria</t>
  </si>
  <si>
    <t>Critical Horizons</t>
  </si>
  <si>
    <t>Critical Inquiry</t>
  </si>
  <si>
    <t>Critical Inquiry in Language Studies</t>
  </si>
  <si>
    <t>Critical Pathways in Cardiology</t>
  </si>
  <si>
    <t>Critical Perspectives on Accounting</t>
  </si>
  <si>
    <t>Critical Perspectives on International Business</t>
  </si>
  <si>
    <t>Critical Policy Studies</t>
  </si>
  <si>
    <t>Critical Public Health</t>
  </si>
  <si>
    <t>Critical Quarterly</t>
  </si>
  <si>
    <t>Critical Review</t>
  </si>
  <si>
    <t>Critical Review of International Social and Political Philosophy (CRISPP)</t>
  </si>
  <si>
    <t>Critical Reviews in Analytical Chemistry</t>
  </si>
  <si>
    <t>Critical Reviews in Biochemistry and Molecular Biology</t>
  </si>
  <si>
    <t>Critical Reviews in Biomedical Engineering</t>
  </si>
  <si>
    <t>Critical Reviews in Biotechnology</t>
  </si>
  <si>
    <t>Critical Reviews in Clinical Laboratory Sciences</t>
  </si>
  <si>
    <t>Critical Reviews in Environmental Science and Technology</t>
  </si>
  <si>
    <t>Critical Reviews in Eukaryotic Gene Expression</t>
  </si>
  <si>
    <t>Critical Reviews in Food Science and Nutrition</t>
  </si>
  <si>
    <t>Critical Reviews in Immunology</t>
  </si>
  <si>
    <t>Critical Reviews in Microbiology</t>
  </si>
  <si>
    <t>Critical Reviews in Oncogenesis</t>
  </si>
  <si>
    <t>Critical Reviews in Oncology/Hematology</t>
  </si>
  <si>
    <t>Critical Reviews in Physical and Rehabilitation Medicine</t>
  </si>
  <si>
    <t>Critical Reviews in Plant Sciences</t>
  </si>
  <si>
    <t>Critical Reviews in Solid State and Materials Sciences</t>
  </si>
  <si>
    <t>Critical Reviews in Therapeutic Drug Carrier Systems</t>
  </si>
  <si>
    <t>Critical Reviews in Toxicology</t>
  </si>
  <si>
    <t>Critical Social Policy</t>
  </si>
  <si>
    <t>Critical Sociology</t>
  </si>
  <si>
    <t>Critical Studies</t>
  </si>
  <si>
    <t>Critical Studies in Education</t>
  </si>
  <si>
    <t>Critical Studies in Media Communication</t>
  </si>
  <si>
    <t>Critical Survey</t>
  </si>
  <si>
    <t>Critical Ultrasound Journal</t>
  </si>
  <si>
    <t>Critica-Revista Hispanoamericana de Filosofia</t>
  </si>
  <si>
    <t>Criticism</t>
  </si>
  <si>
    <t>Critique</t>
  </si>
  <si>
    <t>Critique Internationale</t>
  </si>
  <si>
    <t>Critique of Anthropology</t>
  </si>
  <si>
    <t>Critique - Studies in Contemporary Fiction</t>
  </si>
  <si>
    <t>Crkva u Svijetu</t>
  </si>
  <si>
    <t>Croatian Economic Survey</t>
  </si>
  <si>
    <t>Croatian Journal of Forest Engineering</t>
  </si>
  <si>
    <t>Croatian Journal of Philosophy</t>
  </si>
  <si>
    <t>Croatian Medical Journal</t>
  </si>
  <si>
    <t>Croatian Yearbook of European Law and Policy</t>
  </si>
  <si>
    <t>Croatica Chemica Acta</t>
  </si>
  <si>
    <t>Croatica Christiana Periodica</t>
  </si>
  <si>
    <t>Cromohs</t>
  </si>
  <si>
    <t>Crop and Pasture Science</t>
  </si>
  <si>
    <t>Crop Breeding and Applied Biotechnology</t>
  </si>
  <si>
    <t>Crop Protection</t>
  </si>
  <si>
    <t>Crop Science</t>
  </si>
  <si>
    <t>Cross Cultural Management</t>
  </si>
  <si>
    <t>Cross-Cultural Research</t>
  </si>
  <si>
    <t>CrossTalk</t>
  </si>
  <si>
    <t>CR: The New Centennial Review</t>
  </si>
  <si>
    <t>Crustaceana</t>
  </si>
  <si>
    <t>Cryobiology</t>
  </si>
  <si>
    <t>Cryogenics</t>
  </si>
  <si>
    <t>Cryo-Letters</t>
  </si>
  <si>
    <t>Cryosphere</t>
  </si>
  <si>
    <t>Cryptogamie, Algologie</t>
  </si>
  <si>
    <t>Cryptogamie, Bryologie</t>
  </si>
  <si>
    <t>Cryptogamie, Mycologie</t>
  </si>
  <si>
    <t>Cryptography and Communications</t>
  </si>
  <si>
    <t>Cryptologia</t>
  </si>
  <si>
    <t>Crystal Growth and Design</t>
  </si>
  <si>
    <t>Crystallography Reports</t>
  </si>
  <si>
    <t>Crystallography Reviews</t>
  </si>
  <si>
    <t>Crystal Research and Technology</t>
  </si>
  <si>
    <t>CrystEngComm</t>
  </si>
  <si>
    <t>CSUG/SPE Canadian Unconventional Resources Conference [CURC] (Calgary, Alberta, 11/15-17/2011) Proceedings</t>
  </si>
  <si>
    <t>CTBUH Journal</t>
  </si>
  <si>
    <t>CT y F - Ciencia, Tecnologia y Futuro</t>
  </si>
  <si>
    <t>Cuadernos de Administracion</t>
  </si>
  <si>
    <t>Cuadernos de bioeÌtica : revista oficial de la AsociacioÌn EspanÌƒola de BioeÌtica y EÌtica MeÌdica</t>
  </si>
  <si>
    <t>Cuadernos de Desarrollo Rural</t>
  </si>
  <si>
    <t>Cuadernos de Economia</t>
  </si>
  <si>
    <t>Cuadernos de Estudios Gallegos</t>
  </si>
  <si>
    <t>Cuadernos de Gestion</t>
  </si>
  <si>
    <t>Cuadernos de Investigacion Geografica</t>
  </si>
  <si>
    <t>Cuadernos del Cendes</t>
  </si>
  <si>
    <t>Cuadernos de Medicina Forense</t>
  </si>
  <si>
    <t>Cuadernos de Musica, Artes Visuales y Artes Escenicas</t>
  </si>
  <si>
    <t>Cuadernos de Psicologia del Deporte</t>
  </si>
  <si>
    <t>Cuadernos de Vivienda y Urbanismo</t>
  </si>
  <si>
    <t>Cuadernos Geograficos</t>
  </si>
  <si>
    <t>Cuadernos Hispanoamericanos</t>
  </si>
  <si>
    <t>Cuadernos Laboratoiro Xeoloxico de Laxe</t>
  </si>
  <si>
    <t>Cuaternario y Geomorfologia</t>
  </si>
  <si>
    <t>Cuban Journal of Agricultural Science</t>
  </si>
  <si>
    <t>Cultura, Ciencia y Deporte</t>
  </si>
  <si>
    <t>Cultura. International Journal of Philosophy of Culture and Axiology</t>
  </si>
  <si>
    <t>Cultural and Social History</t>
  </si>
  <si>
    <t>Cultural Anthropology</t>
  </si>
  <si>
    <t>Cultural Critique</t>
  </si>
  <si>
    <t>Cultural Diversity and Ethnic Minority Psychology</t>
  </si>
  <si>
    <t>Cultural Dynamics</t>
  </si>
  <si>
    <t>Cultura, Lenguaje y Representacion</t>
  </si>
  <si>
    <t>Cultural Geographies</t>
  </si>
  <si>
    <t>Cultural Politics</t>
  </si>
  <si>
    <t>Cultural Sociology</t>
  </si>
  <si>
    <t>Cultural Studies</t>
  </si>
  <si>
    <t>Cultural Studies - Critical Methodologies</t>
  </si>
  <si>
    <t>Cultural Studies of Science Education</t>
  </si>
  <si>
    <t>Cultural Trends</t>
  </si>
  <si>
    <t>Cultura Neolatina</t>
  </si>
  <si>
    <t>Cultura y Educacion</t>
  </si>
  <si>
    <t>Culture, Agriculture, Food and Environment</t>
  </si>
  <si>
    <t>Culture and Organization</t>
  </si>
  <si>
    <t>Culture and Psychology</t>
  </si>
  <si>
    <t>Culture and Religion</t>
  </si>
  <si>
    <t>Culture, Health and Sexuality</t>
  </si>
  <si>
    <t>Culture, Medicine and Psychiatry</t>
  </si>
  <si>
    <t>Culture, Theory and Critique</t>
  </si>
  <si>
    <t>Current Aging Science</t>
  </si>
  <si>
    <t>Current Allergy and Asthma Reports</t>
  </si>
  <si>
    <t>Current Allergy and Clinical Immunology</t>
  </si>
  <si>
    <t>Current Alzheimer Research</t>
  </si>
  <si>
    <t>Current Analytical Chemistry</t>
  </si>
  <si>
    <t>Current Anthropology</t>
  </si>
  <si>
    <t>Current Applied Physics</t>
  </si>
  <si>
    <t>Current Atherosclerosis Reports</t>
  </si>
  <si>
    <t>Current Bioactive Compounds</t>
  </si>
  <si>
    <t>Current Bioinformatics</t>
  </si>
  <si>
    <t>Current Biology</t>
  </si>
  <si>
    <t>Current Bladder Dysfunction Reports</t>
  </si>
  <si>
    <t>Current Breast Cancer Reports</t>
  </si>
  <si>
    <t>Current Cancer Drug Targets</t>
  </si>
  <si>
    <t>Current Cancer Research</t>
  </si>
  <si>
    <t>Current Cancer Therapy Reviews</t>
  </si>
  <si>
    <t>Current Cardiology Reports</t>
  </si>
  <si>
    <t>Current Cardiology Reviews</t>
  </si>
  <si>
    <t>Current Cardiovascular Imaging Reports</t>
  </si>
  <si>
    <t>Current Cardiovascular Risk Reports</t>
  </si>
  <si>
    <t>Current Chemical Biology</t>
  </si>
  <si>
    <t>Current Chemical Genomics</t>
  </si>
  <si>
    <t>Current Clinical Pharmacology</t>
  </si>
  <si>
    <t>Current Colorectal Cancer Reports</t>
  </si>
  <si>
    <t>Current Computer-Aided Drug Design</t>
  </si>
  <si>
    <t>Current Diabetes Reports</t>
  </si>
  <si>
    <t>Current Diabetes Reviews</t>
  </si>
  <si>
    <t>Current Directions in Psychological Science</t>
  </si>
  <si>
    <t>Current Drug Abuse Reviews</t>
  </si>
  <si>
    <t>Current Drug Delivery</t>
  </si>
  <si>
    <t>Current Drug Discovery Technologies</t>
  </si>
  <si>
    <t>Current Drug Metabolism</t>
  </si>
  <si>
    <t>Current Drug Safety</t>
  </si>
  <si>
    <t>Current Drug Targets</t>
  </si>
  <si>
    <t>Current Drug Therapy</t>
  </si>
  <si>
    <t>Current Enzyme Inhibition</t>
  </si>
  <si>
    <t>Current Eye Research</t>
  </si>
  <si>
    <t>Current Fungal Infection Reports</t>
  </si>
  <si>
    <t>Current Gastroenterology Reports</t>
  </si>
  <si>
    <t>Current Gene Therapy</t>
  </si>
  <si>
    <t>Current Genetics</t>
  </si>
  <si>
    <t>Current Genomics</t>
  </si>
  <si>
    <t>Current Gerontology and Geriatrics Research</t>
  </si>
  <si>
    <t>Current Gynecologic Oncology</t>
  </si>
  <si>
    <t>Current Heart Failure Reports</t>
  </si>
  <si>
    <t>Current Hematologic Malignancy Reports</t>
  </si>
  <si>
    <t>Current Hepatitis Reports</t>
  </si>
  <si>
    <t>Current Herpetology</t>
  </si>
  <si>
    <t>Current History</t>
  </si>
  <si>
    <t>Current HIV/AIDS Reports</t>
  </si>
  <si>
    <t>Current HIV Research</t>
  </si>
  <si>
    <t>Current Hypertension Reports</t>
  </si>
  <si>
    <t>Current Hypertension Reviews</t>
  </si>
  <si>
    <t>Current Immunology Reviews</t>
  </si>
  <si>
    <t>Current Infectious Disease Reports</t>
  </si>
  <si>
    <t>Current Issues in Education</t>
  </si>
  <si>
    <t>Current Issues in Language Planning</t>
  </si>
  <si>
    <t>Current Issues in Molecular Biology</t>
  </si>
  <si>
    <t>Current Issues in Tourism</t>
  </si>
  <si>
    <t>Current Medical Imaging Reviews</t>
  </si>
  <si>
    <t>Current Medical Research and Opinion</t>
  </si>
  <si>
    <t>Current Medicinal Chemistry</t>
  </si>
  <si>
    <t>Current Medicinal Chemistry - Anti-Cancer Agents</t>
  </si>
  <si>
    <t>Current Microbiology</t>
  </si>
  <si>
    <t>Current Molecular Medicine</t>
  </si>
  <si>
    <t>Current Molecular Pharmacology</t>
  </si>
  <si>
    <t>Current Nanoscience</t>
  </si>
  <si>
    <t>Current Neurology and Neuroscience Reports</t>
  </si>
  <si>
    <t>Current Neuropharmacology</t>
  </si>
  <si>
    <t>Current Neurovascular Research</t>
  </si>
  <si>
    <t>Current Nutrition and Food Science</t>
  </si>
  <si>
    <t>Current Oncology</t>
  </si>
  <si>
    <t>Current Oncology Reports</t>
  </si>
  <si>
    <t>Current Opinion in Allergy and Clinical Immunology</t>
  </si>
  <si>
    <t>Current Opinion in Anaesthesiology</t>
  </si>
  <si>
    <t>Current Opinion in Biotechnology</t>
  </si>
  <si>
    <t>Current Opinion in Cardiology</t>
  </si>
  <si>
    <t>Current Opinion in Cell Biology</t>
  </si>
  <si>
    <t>Current Opinion in Chemical Biology</t>
  </si>
  <si>
    <t>Current Opinion in Chemical Engineering</t>
  </si>
  <si>
    <t>Current Opinion in Clinical Nutrition and Metabolic Care</t>
  </si>
  <si>
    <t>Current Opinion in Colloid and Interface Science</t>
  </si>
  <si>
    <t>Current Opinion in Critical Care</t>
  </si>
  <si>
    <t>Current Opinion in Endocrinology, Diabetes and Obesity</t>
  </si>
  <si>
    <t>Current Opinion in Environmental Sustainability</t>
  </si>
  <si>
    <t>Current Opinion in Gastroenterology</t>
  </si>
  <si>
    <t>Current Opinion in Genetics and Development</t>
  </si>
  <si>
    <t>Current Opinion in Hematology</t>
  </si>
  <si>
    <t>Current Opinion in HIV and AIDS</t>
  </si>
  <si>
    <t>Current Opinion in Immunology</t>
  </si>
  <si>
    <t>Current Opinion in Infectious Diseases</t>
  </si>
  <si>
    <t>Current Opinion in Lipidology</t>
  </si>
  <si>
    <t>Current Opinion in Microbiology</t>
  </si>
  <si>
    <t>Current Opinion in Nephrology and Hypertension</t>
  </si>
  <si>
    <t>Current Opinion in Neurobiology</t>
  </si>
  <si>
    <t>Current Opinion in Neurology</t>
  </si>
  <si>
    <t>Current Opinion in Obstetrics and Gynecology</t>
  </si>
  <si>
    <t>Current Opinion in Oncology</t>
  </si>
  <si>
    <t>Current Opinion in Ophthalmology</t>
  </si>
  <si>
    <t>Current Opinion in Organ Transplantation</t>
  </si>
  <si>
    <t>Current Opinion in Otolaryngology and Head and Neck Surgery</t>
  </si>
  <si>
    <t>Current Opinion in Pediatrics</t>
  </si>
  <si>
    <t>Current Opinion in Pharmacology</t>
  </si>
  <si>
    <t>Current Opinion in Plant Biology</t>
  </si>
  <si>
    <t>Current Opinion in Psychiatry</t>
  </si>
  <si>
    <t>Current Opinion in Pulmonary Medicine</t>
  </si>
  <si>
    <t>Current Opinion in Rheumatology</t>
  </si>
  <si>
    <t>Current Opinion in Solid State and Materials Science</t>
  </si>
  <si>
    <t>Current Opinion in Structural Biology</t>
  </si>
  <si>
    <t>Current Opinion in Supportive and Palliative Care</t>
  </si>
  <si>
    <t>Current Opinion in Urology</t>
  </si>
  <si>
    <t>Current Opinion in Virology</t>
  </si>
  <si>
    <t>Current Organic Chemistry</t>
  </si>
  <si>
    <t>Current Organic Synthesis</t>
  </si>
  <si>
    <t>Current Orthopaedic Practice</t>
  </si>
  <si>
    <t>Current Osteoporosis Reports</t>
  </si>
  <si>
    <t>Current Pain and Headache Reports</t>
  </si>
  <si>
    <t>Current Pediatric Research</t>
  </si>
  <si>
    <t>Current Pediatric Reviews</t>
  </si>
  <si>
    <t>Current Perspectives in Social Theory</t>
  </si>
  <si>
    <t>Current Pharmaceutical Analysis</t>
  </si>
  <si>
    <t>Current Pharmaceutical Biotechnology</t>
  </si>
  <si>
    <t>Current Pharmaceutical Design</t>
  </si>
  <si>
    <t>Current Pharmacogenomics and Personalized Medicine</t>
  </si>
  <si>
    <t>Current Problems in Cancer</t>
  </si>
  <si>
    <t>Current Problems in Cardiology</t>
  </si>
  <si>
    <t>Current Problems in Dermatology</t>
  </si>
  <si>
    <t>Current Problems in Diagnostic Radiology</t>
  </si>
  <si>
    <t>Current Problems in Pediatric and Adolescent Health Care</t>
  </si>
  <si>
    <t>Current Problems in Surgery</t>
  </si>
  <si>
    <t>Current Protein and Peptide Science</t>
  </si>
  <si>
    <t>Current Proteomics</t>
  </si>
  <si>
    <t>Current Protocols in Bioinformatics</t>
  </si>
  <si>
    <t>Current Protocols in Cell Biology</t>
  </si>
  <si>
    <t>Current Protocols in Cytometry</t>
  </si>
  <si>
    <t>Current Protocols in Essential Laboratory Techniques</t>
  </si>
  <si>
    <t>Current Protocols in Human Genetics</t>
  </si>
  <si>
    <t>Current Protocols in Immunology</t>
  </si>
  <si>
    <t>Current Protocols in Microbiology</t>
  </si>
  <si>
    <t>Current Protocols in Molecular Biology</t>
  </si>
  <si>
    <t>Current Protocols in Neuroscience</t>
  </si>
  <si>
    <t>Current Protocols in Nucleic Acid Chemistry</t>
  </si>
  <si>
    <t>Current Protocols in Pharmacology</t>
  </si>
  <si>
    <t>Current Protocols in Protein Science</t>
  </si>
  <si>
    <t>Current Protocols in Stem Cell Biology</t>
  </si>
  <si>
    <t>Current Protocols in Toxicology</t>
  </si>
  <si>
    <t>Current Psychiatry</t>
  </si>
  <si>
    <t>Current Psychiatry Reports</t>
  </si>
  <si>
    <t>Current Psychiatry Reviews</t>
  </si>
  <si>
    <t>Current Psychology</t>
  </si>
  <si>
    <t>Current Radiopharmaceuticals</t>
  </si>
  <si>
    <t>Current Research in Earth Sciences</t>
  </si>
  <si>
    <t>Current Research in Social Psychology</t>
  </si>
  <si>
    <t>Current Research in Tuberculosis</t>
  </si>
  <si>
    <t>Current Respiratory Medicine Reviews</t>
  </si>
  <si>
    <t>Current Reviews in Musculoskeletal Medicine</t>
  </si>
  <si>
    <t>Current Rheumatology Reports</t>
  </si>
  <si>
    <t>Current Rheumatology Reviews</t>
  </si>
  <si>
    <t>Current Science</t>
  </si>
  <si>
    <t>Current Signal Transduction Therapy</t>
  </si>
  <si>
    <t>Currents in Pharmacy Teaching and Learning</t>
  </si>
  <si>
    <t>Current Sociology</t>
  </si>
  <si>
    <t>Current Sports Medicine Reports</t>
  </si>
  <si>
    <t>Current Stem Cell Research and Therapy</t>
  </si>
  <si>
    <t>Current Swedish Archaeology</t>
  </si>
  <si>
    <t>Current Therapeutic Research - Clinical and Experimental</t>
  </si>
  <si>
    <t>Current Topics in Behavioral Neurosciences</t>
  </si>
  <si>
    <t>Current Topics in Developmental Biology</t>
  </si>
  <si>
    <t>Current Topics in Medicinal Chemistry</t>
  </si>
  <si>
    <t>Current Topics in Microbiology and Immunology</t>
  </si>
  <si>
    <t>Current Topics in Peptide and Protein Research</t>
  </si>
  <si>
    <t>Current Topics in Pharmacology</t>
  </si>
  <si>
    <t>Current Topics in Toxicology</t>
  </si>
  <si>
    <t>Current Topis in Membranes</t>
  </si>
  <si>
    <t>Current Treatment Options in Cardiovascular Medicine</t>
  </si>
  <si>
    <t>Current Treatment Options in Neurology</t>
  </si>
  <si>
    <t>Current Treatment Options in Oncology</t>
  </si>
  <si>
    <t>Current Trends in Biotechnology and Pharmacy</t>
  </si>
  <si>
    <t>Current Trends in Immunology</t>
  </si>
  <si>
    <t>Current Urology</t>
  </si>
  <si>
    <t>Current Urology Reports</t>
  </si>
  <si>
    <t>Current Vascular Pharmacology</t>
  </si>
  <si>
    <t>Current Women's Health Reviews</t>
  </si>
  <si>
    <t>Current Zoology</t>
  </si>
  <si>
    <t>Curriculo sem Fronteiras</t>
  </si>
  <si>
    <t>Curriculum Inquiry</t>
  </si>
  <si>
    <t>Curriculum Perspectives</t>
  </si>
  <si>
    <t>Custos e Agronegocio</t>
  </si>
  <si>
    <t>Cutaneous and Ocular Toxicology</t>
  </si>
  <si>
    <t>Cutis; cutaneous medicine for the practitioner</t>
  </si>
  <si>
    <t>Cutter IT Journal</t>
  </si>
  <si>
    <t>CyberGeo</t>
  </si>
  <si>
    <t>Cybermetrics</t>
  </si>
  <si>
    <t>Cybernetics and Information Technologies</t>
  </si>
  <si>
    <t>Cybernetics and Systems</t>
  </si>
  <si>
    <t>Cybernetics and Systems Analysis</t>
  </si>
  <si>
    <t>Cyberpsychology</t>
  </si>
  <si>
    <t>Cyberpsychology, Behavior, and Social Networking</t>
  </si>
  <si>
    <t>Cybium</t>
  </si>
  <si>
    <t>Cyprus Review</t>
  </si>
  <si>
    <t>Cyprus</t>
  </si>
  <si>
    <t>Cytogenetic and Genome Research</t>
  </si>
  <si>
    <t>CytoJournal</t>
  </si>
  <si>
    <t>Cytokine</t>
  </si>
  <si>
    <t>Cytokine and Growth Factor Reviews</t>
  </si>
  <si>
    <t>Cytologia</t>
  </si>
  <si>
    <t>Cytometry. Part A : the journal of the International Society for Analytical Cytology</t>
  </si>
  <si>
    <t>Cytometry Part B - Clinical Cytometry</t>
  </si>
  <si>
    <t>Cytopathology</t>
  </si>
  <si>
    <t>Cytoskeleton</t>
  </si>
  <si>
    <t>Cytotechnology</t>
  </si>
  <si>
    <t>Cytotherapy</t>
  </si>
  <si>
    <t>Czasopismo Geographiczne</t>
  </si>
  <si>
    <t>Czech Journal of Animal Science</t>
  </si>
  <si>
    <t>Czech Journal of Food Sciences</t>
  </si>
  <si>
    <t>Czech Journal of Genetics and Plant Breeding</t>
  </si>
  <si>
    <t>Czechoslovak Mathematical Journal</t>
  </si>
  <si>
    <t>Dacoromania</t>
  </si>
  <si>
    <t>Dados</t>
  </si>
  <si>
    <t>Daedalus</t>
  </si>
  <si>
    <t>Daimon</t>
  </si>
  <si>
    <t>Dairy Industries International</t>
  </si>
  <si>
    <t>Dairy Science and Technology</t>
  </si>
  <si>
    <t>Dalhousie Review</t>
  </si>
  <si>
    <t>Dalian Haishi Daxue Xuebao/Journal of Dalian Maritime University</t>
  </si>
  <si>
    <t>Dalian Ligong Daxue Xuebao/Journal of Dalian University of Technology</t>
  </si>
  <si>
    <t>Dalton Transactions</t>
  </si>
  <si>
    <t>Dams and Reservoirs</t>
  </si>
  <si>
    <t>Dance Chronicle</t>
  </si>
  <si>
    <t>Dance Magazine</t>
  </si>
  <si>
    <t>Dance Research</t>
  </si>
  <si>
    <t>Dance Theatre Journal</t>
  </si>
  <si>
    <t>Dancing Times</t>
  </si>
  <si>
    <t>Dandao Xuebao/Journal of Ballistics</t>
  </si>
  <si>
    <t>Danish Medical Journal</t>
  </si>
  <si>
    <t>Dansk medicinhistorisk arbog</t>
  </si>
  <si>
    <t>Dansk Teologisk Tidsskrift</t>
  </si>
  <si>
    <t>Dao</t>
  </si>
  <si>
    <t>Daphnis</t>
  </si>
  <si>
    <t>Daru</t>
  </si>
  <si>
    <t>Darwiniana</t>
  </si>
  <si>
    <t>Data and Knowledge Engineering</t>
  </si>
  <si>
    <t>Data Base for Advances in Information Systems</t>
  </si>
  <si>
    <t>Database : the journal of biological databases and curation</t>
  </si>
  <si>
    <t>Data Mining and Knowledge Discovery</t>
  </si>
  <si>
    <t>Data Science Journal</t>
  </si>
  <si>
    <t>Dead Sea Discoveries</t>
  </si>
  <si>
    <t>Deafness and Education International</t>
  </si>
  <si>
    <t>Death Studies</t>
  </si>
  <si>
    <t>Debatte</t>
  </si>
  <si>
    <t>Decision Analysis</t>
  </si>
  <si>
    <t>Decision Sciences</t>
  </si>
  <si>
    <t>Decision Sciences Journal of Innovative Education</t>
  </si>
  <si>
    <t>Decisions in Economics and Finance</t>
  </si>
  <si>
    <t>Decision Support Systems</t>
  </si>
  <si>
    <t>De Economist</t>
  </si>
  <si>
    <t>Deep-Sea Research Part II: Topical Studies in Oceanography</t>
  </si>
  <si>
    <t>Deep-Sea Research Part I: Oceanographic Research Papers</t>
  </si>
  <si>
    <t>Defect and Diffusion Forum</t>
  </si>
  <si>
    <t>Defence and Peace Economics</t>
  </si>
  <si>
    <t>Defence S and T Technical Bulletin</t>
  </si>
  <si>
    <t>Defence Science Journal</t>
  </si>
  <si>
    <t>Defence Studies</t>
  </si>
  <si>
    <t>Defense and Security Analysis</t>
  </si>
  <si>
    <t>Degres</t>
  </si>
  <si>
    <t>Dela</t>
  </si>
  <si>
    <t>Delaware medical journal</t>
  </si>
  <si>
    <t>DELTA Documentacao de Estudos em Linguistica Teorica e Aplicada</t>
  </si>
  <si>
    <t>Dementia</t>
  </si>
  <si>
    <t>Dementia and Geriatric Cognitive Disorders</t>
  </si>
  <si>
    <t>Dementia e Neuropsychologia</t>
  </si>
  <si>
    <t>Democracy and Security</t>
  </si>
  <si>
    <t>Democratization</t>
  </si>
  <si>
    <t>Demographic Research</t>
  </si>
  <si>
    <t>Demography</t>
  </si>
  <si>
    <t>Demokratizatsiya</t>
  </si>
  <si>
    <t>Demonstratio Mathematica</t>
  </si>
  <si>
    <t>Dendrobiology</t>
  </si>
  <si>
    <t>Dendrochronologia</t>
  </si>
  <si>
    <t>Denkmalpflege</t>
  </si>
  <si>
    <t>Dental and Medical Problems</t>
  </si>
  <si>
    <t>Dental assistant (Chicago, Ill. : 1994)</t>
  </si>
  <si>
    <t>Dental Cadmos</t>
  </si>
  <si>
    <t>Dental Clinics of North America</t>
  </si>
  <si>
    <t>Dental implantology update</t>
  </si>
  <si>
    <t>Dental Materials</t>
  </si>
  <si>
    <t>Dental Materials Journal</t>
  </si>
  <si>
    <t>Dental Press Journal of Orthodontics</t>
  </si>
  <si>
    <t>Dental Traumatology</t>
  </si>
  <si>
    <t>Dental update</t>
  </si>
  <si>
    <t>Dentistry Today</t>
  </si>
  <si>
    <t>Dentomaxillofacial Radiology</t>
  </si>
  <si>
    <t>Denver University Law Review</t>
  </si>
  <si>
    <t>Depression and Anxiety</t>
  </si>
  <si>
    <t>Depression Research and Treatment</t>
  </si>
  <si>
    <t>Der Anaesthesist</t>
  </si>
  <si>
    <t>Der Chirurg; Zeitschrift fur alle Gebiete der operativen Medizen</t>
  </si>
  <si>
    <t>Der Gynakologe</t>
  </si>
  <si>
    <t>Der Hautarzt; Zeitschrift fur Dermatologie, Venerologie, und verwandte Gebiete</t>
  </si>
  <si>
    <t>Deri Hastaliklari ve Frengi Arsivi</t>
  </si>
  <si>
    <t>Der Internist</t>
  </si>
  <si>
    <t>Der Kardiologe</t>
  </si>
  <si>
    <t>Dermatitis</t>
  </si>
  <si>
    <t>Dermatologia Cosmetica, Medica y Quirurgica</t>
  </si>
  <si>
    <t>Dermatologia Kliniczna</t>
  </si>
  <si>
    <t>Dermatologia Revista Mexicana</t>
  </si>
  <si>
    <t>Dermatologica Sinica</t>
  </si>
  <si>
    <t>Dermatologic Clinics</t>
  </si>
  <si>
    <t>Dermatologic Surgery</t>
  </si>
  <si>
    <t>Dermatologic Therapy</t>
  </si>
  <si>
    <t>Dermatologie in Beruf und Umwelt</t>
  </si>
  <si>
    <t>Dermatology</t>
  </si>
  <si>
    <t>Dermatology and Therapy</t>
  </si>
  <si>
    <t>Dermatology Online Journal</t>
  </si>
  <si>
    <t>Dermatology Research and Practice</t>
  </si>
  <si>
    <t>Der Nervenarzt</t>
  </si>
  <si>
    <t>Der Ophthalmologe : Zeitschrift der Deutschen Ophthalmologischen Gesellschaft</t>
  </si>
  <si>
    <t>Der Orthopade</t>
  </si>
  <si>
    <t>Der Pathologe</t>
  </si>
  <si>
    <t>Der Pharma Chemica</t>
  </si>
  <si>
    <t>Der Radiologe</t>
  </si>
  <si>
    <t>Der Unfallchirurg</t>
  </si>
  <si>
    <t>Desalination</t>
  </si>
  <si>
    <t>Desalination and Water Treatment</t>
  </si>
  <si>
    <t>Desarrollo Economico: Revista de Ciencias Sociales</t>
  </si>
  <si>
    <t>Descant</t>
  </si>
  <si>
    <t>Design Automation for Embedded Systems</t>
  </si>
  <si>
    <t>Designed Monomers and Polymers</t>
  </si>
  <si>
    <t>Design Issues</t>
  </si>
  <si>
    <t>Design Journal, The</t>
  </si>
  <si>
    <t>Design Principles and Practices</t>
  </si>
  <si>
    <t>Designs, Codes, and Cryptography</t>
  </si>
  <si>
    <t>Design Studies</t>
  </si>
  <si>
    <t>Deutsche Apotheker Zeitung</t>
  </si>
  <si>
    <t>Deutsche Lebensmittel-Rundschau</t>
  </si>
  <si>
    <t>Deutsche Medizinische Wochenschrift</t>
  </si>
  <si>
    <t>Deutsches Archiv fur Erforschung des Mittelalters</t>
  </si>
  <si>
    <t>Deutsches Arzteblatt</t>
  </si>
  <si>
    <t>Deutsches AÌˆrzteblatt international</t>
  </si>
  <si>
    <t>Deutsche Sprache</t>
  </si>
  <si>
    <t>Deutsche Vierteljahrsschrift fur Literaturwissenschaft und Geistesgeschichte</t>
  </si>
  <si>
    <t>Deutsche Zeitschrift fur Akupunktur</t>
  </si>
  <si>
    <t>Deutsche Zeitschrift fur Onkologie</t>
  </si>
  <si>
    <t>Deutsche Zeitschrift fur Philosophie</t>
  </si>
  <si>
    <t>Deutsche Zeitschrift fur Sportmedizin</t>
  </si>
  <si>
    <t>Developing Economies</t>
  </si>
  <si>
    <t>Developing World Bioethics</t>
  </si>
  <si>
    <t>Development</t>
  </si>
  <si>
    <t>Developmental and Comparative Immunology</t>
  </si>
  <si>
    <t>Developmental Biology</t>
  </si>
  <si>
    <t>Developmental Cell</t>
  </si>
  <si>
    <t>Developmental Cognitive Neuroscience</t>
  </si>
  <si>
    <t>Developmental Disabilities Research Reviews</t>
  </si>
  <si>
    <t>Developmental Dynamics</t>
  </si>
  <si>
    <t>Developmental Medicine and Child Neurology</t>
  </si>
  <si>
    <t>Developmental Neurobiology</t>
  </si>
  <si>
    <t>Developmental Neuropsychology</t>
  </si>
  <si>
    <t>Developmental Neurorehabilitation</t>
  </si>
  <si>
    <t>Developmental Neuroscience</t>
  </si>
  <si>
    <t>Developmental Psychobiology</t>
  </si>
  <si>
    <t>Developmental Psychology</t>
  </si>
  <si>
    <t>Developmental Review</t>
  </si>
  <si>
    <t>Developmental Science</t>
  </si>
  <si>
    <t>Development and Change</t>
  </si>
  <si>
    <t>Development and Learning in Organisations</t>
  </si>
  <si>
    <t>Development and Psychopathology</t>
  </si>
  <si>
    <t>Development Dialogue</t>
  </si>
  <si>
    <t>Development Genes and Evolution</t>
  </si>
  <si>
    <t>Development Growth and Differentiation</t>
  </si>
  <si>
    <t>Development in Practice</t>
  </si>
  <si>
    <t>Development Policy Review</t>
  </si>
  <si>
    <t>Developments in Biologicals</t>
  </si>
  <si>
    <t>Developments in Clay Science</t>
  </si>
  <si>
    <t>Developments in Earth and Environmental Sciences</t>
  </si>
  <si>
    <t>Developments in Earth Surface Processes</t>
  </si>
  <si>
    <t>Developments in Environmental Modelling</t>
  </si>
  <si>
    <t>Developments in Environmental Science</t>
  </si>
  <si>
    <t>Developments in health economics and public policy</t>
  </si>
  <si>
    <t>Developments in Mathematics</t>
  </si>
  <si>
    <t>Developments in Ophthalmology</t>
  </si>
  <si>
    <t>Developments in Palaeontology and Stratigraphy</t>
  </si>
  <si>
    <t>Developments in Petroleum Science</t>
  </si>
  <si>
    <t>Developments in Quaternary Science</t>
  </si>
  <si>
    <t>Developments in Sedimentology</t>
  </si>
  <si>
    <t>Development Southern Africa</t>
  </si>
  <si>
    <t>Devenir</t>
  </si>
  <si>
    <t>Deviance et Societe</t>
  </si>
  <si>
    <t>Deviant Behavior</t>
  </si>
  <si>
    <t>DGMK/OGEW Spring Meeting (Celle, Germany, 4/11-12/2011) Proceedings [DGMK Meeting Report No. 2011-1]</t>
  </si>
  <si>
    <t>Dhaka University Journal of Pharmaceutical Sciences</t>
  </si>
  <si>
    <t>Diabetes</t>
  </si>
  <si>
    <t>Diabetes Aktuell</t>
  </si>
  <si>
    <t>Diabetes and Metabolic Syndrome: Clinical Research and Reviews</t>
  </si>
  <si>
    <t>Diabetes and Metabolism</t>
  </si>
  <si>
    <t>Diabetes and Vascular Disease Research</t>
  </si>
  <si>
    <t>Diabetes Care</t>
  </si>
  <si>
    <t>Diabetes Educator</t>
  </si>
  <si>
    <t>Diabetes Forecast</t>
  </si>
  <si>
    <t>Diabetes, Metabolic Syndrome and Obesity: Targets and Therapy</t>
  </si>
  <si>
    <t>Diabetes/Metabolism Research and Reviews</t>
  </si>
  <si>
    <t>Diabetes, Obesity and Metabolism</t>
  </si>
  <si>
    <t>Diabetes, Obesity and Metabolism, Supplement</t>
  </si>
  <si>
    <t>Diabetes Primary Care</t>
  </si>
  <si>
    <t>Diabetes Research and Clinical Practice</t>
  </si>
  <si>
    <t>Diabetes self-management</t>
  </si>
  <si>
    <t>Diabetes Spectrum</t>
  </si>
  <si>
    <t>Diabetes, Stoffwechsel und Herz</t>
  </si>
  <si>
    <t>Diabetes Technology and Therapeutics</t>
  </si>
  <si>
    <t>Diabetes Therapy</t>
  </si>
  <si>
    <t>Diabetic Hypoglycemia</t>
  </si>
  <si>
    <t>Diabetic Medicine</t>
  </si>
  <si>
    <t>Diabetologe</t>
  </si>
  <si>
    <t>Diabetologia</t>
  </si>
  <si>
    <t>Diabetologia Croatica</t>
  </si>
  <si>
    <t>Diabetologia Doswiadczalna i Kliniczna</t>
  </si>
  <si>
    <t>Diabetologie Metabolismus Endokrinologie Vyziva</t>
  </si>
  <si>
    <t>Diabetologie und Stoffwechsel</t>
  </si>
  <si>
    <t>Diabetology and Metabolic Syndrome</t>
  </si>
  <si>
    <t>Diachronica</t>
  </si>
  <si>
    <t>Diacritics</t>
  </si>
  <si>
    <t>Diagnostica</t>
  </si>
  <si>
    <t>Diagnostic and interventional imaging</t>
  </si>
  <si>
    <t>Diagnostic and Interventional Radiology</t>
  </si>
  <si>
    <t>Diagnostic and Therapeutic Endoscopy</t>
  </si>
  <si>
    <t>Diagnostic Cytopathology</t>
  </si>
  <si>
    <t>Diagnostic Histopathology</t>
  </si>
  <si>
    <t>Diagnostic Microbiology and Infectious Disease</t>
  </si>
  <si>
    <t>Diagnostic Molecular Pathology</t>
  </si>
  <si>
    <t>Diagnostico Prenatal</t>
  </si>
  <si>
    <t>Diagnostic Pathology</t>
  </si>
  <si>
    <t>Dialectica</t>
  </si>
  <si>
    <t>Dialectical Anthropology</t>
  </si>
  <si>
    <t>Dialectologia</t>
  </si>
  <si>
    <t>Dialectologia et Geolinguistica</t>
  </si>
  <si>
    <t>Dialisis y Trasplante</t>
  </si>
  <si>
    <t>Dialog</t>
  </si>
  <si>
    <t>Dialogos</t>
  </si>
  <si>
    <t>Dialogue</t>
  </si>
  <si>
    <t>Dialogue-Canadian Philosophical Review</t>
  </si>
  <si>
    <t>Dialogues d'Histoire Ancienne</t>
  </si>
  <si>
    <t>Dialogues in Cardiovascular Medicine</t>
  </si>
  <si>
    <t>Dialogues in Clinical Neuroscience</t>
  </si>
  <si>
    <t>Dialysis and Transplantation</t>
  </si>
  <si>
    <t>Diametros</t>
  </si>
  <si>
    <t>Diamond and Related Materials</t>
  </si>
  <si>
    <t>Dianbo Kexue Xuebao/Chinese Journal of Radio Science</t>
  </si>
  <si>
    <t>Diangong Jishu Xuebao/Transactions of China Electrotechnical Society</t>
  </si>
  <si>
    <t>Dianji yu Kongzhi Xuebao/Electric Machines and Control</t>
  </si>
  <si>
    <t>Dianli Xitong Baohu yu Kongzhi/Power System Protection and Control</t>
  </si>
  <si>
    <t>Dianli Xitong Zidonghua/Automation of Electric Power Systems</t>
  </si>
  <si>
    <t>Dianli Zidonghua Shebei / Electric Power Automation Equipment</t>
  </si>
  <si>
    <t>Dianzi Keji Daxue Xuebao/Journal of the University of Electronic Science and Technology of China</t>
  </si>
  <si>
    <t>Dianzi Yu Xinxi Xuebao/Journal of Electronics and Information Technology</t>
  </si>
  <si>
    <t>Diaspora, Indigenous, and Minority Education</t>
  </si>
  <si>
    <t>Diatom Research</t>
  </si>
  <si>
    <t>Dickens Quarterly</t>
  </si>
  <si>
    <t>Die Erde</t>
  </si>
  <si>
    <t>Die Medizinische Welt</t>
  </si>
  <si>
    <t>Die Naturwissenschaften</t>
  </si>
  <si>
    <t>Die Pharmazie</t>
  </si>
  <si>
    <t>Die Rehabilitation</t>
  </si>
  <si>
    <t>Die Welt des Islams</t>
  </si>
  <si>
    <t>Differences</t>
  </si>
  <si>
    <t>Differential Equations</t>
  </si>
  <si>
    <t>Differential Equations and Dynamical Systems</t>
  </si>
  <si>
    <t>Differential Geometry and its Applications</t>
  </si>
  <si>
    <t>Differentiation</t>
  </si>
  <si>
    <t>Diffusion and Defect Data Pt.B: Solid State Phenomena</t>
  </si>
  <si>
    <t>Digestion</t>
  </si>
  <si>
    <t>Digestive and Liver Disease</t>
  </si>
  <si>
    <t>Digestive and Liver Disease Supplements</t>
  </si>
  <si>
    <t>Digestive Diseases</t>
  </si>
  <si>
    <t>Digestive Diseases and Sciences</t>
  </si>
  <si>
    <t>Digestive Endoscopy</t>
  </si>
  <si>
    <t>Digestive Surgery</t>
  </si>
  <si>
    <t>Digest Journal of Nanomaterials and Biostructures</t>
  </si>
  <si>
    <t>Digest of Papers - IEEE Radio Frequency Integrated Circuits Symposium</t>
  </si>
  <si>
    <t>Digest of Technical Papers - IEEE International Conference on Consumer Electronics</t>
  </si>
  <si>
    <t>Digest of Technical Papers-IEEE International Pulsed Power Conference</t>
  </si>
  <si>
    <t>Digest of Technical Papers - IEEE International Solid-State Circuits Conference</t>
  </si>
  <si>
    <t>Digest of Technical Papers - Symposium on VLSI Technology</t>
  </si>
  <si>
    <t>Digital Creativity</t>
  </si>
  <si>
    <t>Digital Investigation</t>
  </si>
  <si>
    <t>Digital Signal Processing: A Review Journal</t>
  </si>
  <si>
    <t>Digital Textile</t>
  </si>
  <si>
    <t>Digital TV Europe</t>
  </si>
  <si>
    <t>Dimensions of Critical Care Nursing</t>
  </si>
  <si>
    <t>Diogenes</t>
  </si>
  <si>
    <t>Diplomacy and Statecraft</t>
  </si>
  <si>
    <t>Diplomatic History</t>
  </si>
  <si>
    <t>Diqiu Kexue - Zhongguo Dizhi Daxue Xuebao/Earth Science - Journal of China University of Geosciences</t>
  </si>
  <si>
    <t>Direccion y Organizacion</t>
  </si>
  <si>
    <t>Disability and Health Journal</t>
  </si>
  <si>
    <t>Disability and Rehabilitation</t>
  </si>
  <si>
    <t>Disability and Rehabilitation: Assistive Technology</t>
  </si>
  <si>
    <t>Disability and Society</t>
  </si>
  <si>
    <t>Disaster Advances</t>
  </si>
  <si>
    <t>Disaster Medicine and Public Health Preparedness</t>
  </si>
  <si>
    <t>Disaster Prevention and Management</t>
  </si>
  <si>
    <t>Disasters</t>
  </si>
  <si>
    <t>Discourse</t>
  </si>
  <si>
    <t>Discourse and Communication</t>
  </si>
  <si>
    <t>Discourse and Society</t>
  </si>
  <si>
    <t>Discourse, Context and Media</t>
  </si>
  <si>
    <t>Discourse Processes</t>
  </si>
  <si>
    <t>Discourse Studies</t>
  </si>
  <si>
    <t>Discovery medicine</t>
  </si>
  <si>
    <t>Discrete and Computational Geometry</t>
  </si>
  <si>
    <t>Discrete and Continuous Dynamical Systems</t>
  </si>
  <si>
    <t>Discrete and Continuous Dynamical Systems - Series B</t>
  </si>
  <si>
    <t>Discrete Applied Mathematics</t>
  </si>
  <si>
    <t>Discrete Dynamics in Nature and Society</t>
  </si>
  <si>
    <t>Discrete Event Dynamic Systems: Theory and Applications</t>
  </si>
  <si>
    <t>Discrete Mathematics</t>
  </si>
  <si>
    <t>Discrete Mathematics and Applications</t>
  </si>
  <si>
    <t>Discrete Mathematics and Theoretical Computer Science</t>
  </si>
  <si>
    <t>Discrete Optimization</t>
  </si>
  <si>
    <t>Discussiones Mathematicae - Graph Theory</t>
  </si>
  <si>
    <t>Disease-a-Month</t>
  </si>
  <si>
    <t>Disease Markers</t>
  </si>
  <si>
    <t>Diseases of Aquatic Organisms</t>
  </si>
  <si>
    <t>Diseases of the Colon and Rectum</t>
  </si>
  <si>
    <t>Diseases of the Esophagus</t>
  </si>
  <si>
    <t>Displays</t>
  </si>
  <si>
    <t>Disputatio</t>
  </si>
  <si>
    <t>Dissent</t>
  </si>
  <si>
    <t>Dissertationes Mathematicae</t>
  </si>
  <si>
    <t>Dissolution Technologies</t>
  </si>
  <si>
    <t>Distance Education</t>
  </si>
  <si>
    <t>Distances et Savoirs</t>
  </si>
  <si>
    <t>Distributed and Parallel Databases</t>
  </si>
  <si>
    <t>Distributed Computing</t>
  </si>
  <si>
    <t>Distributed Generation and Alternative Energy Journal</t>
  </si>
  <si>
    <t>Divadelni Revue</t>
  </si>
  <si>
    <t>Diversity and Distributions</t>
  </si>
  <si>
    <t>Diving and Hyperbaric Medicine</t>
  </si>
  <si>
    <t>Dix-Huitieme Siecle</t>
  </si>
  <si>
    <t>Dix-Septieme Siecle</t>
  </si>
  <si>
    <t>Dizhen Dizhi</t>
  </si>
  <si>
    <t>D-Lib Magazine</t>
  </si>
  <si>
    <t>DLR Deutsches Zentrum fur Luft- und Raumfahrt e.V. - Forschungsberichte</t>
  </si>
  <si>
    <t>DLSU Business and Economics Review</t>
  </si>
  <si>
    <t>DMM Disease Models and Mechanisms</t>
  </si>
  <si>
    <t>DNA and Cell Biology</t>
  </si>
  <si>
    <t>DNA Repair</t>
  </si>
  <si>
    <t>DNA Reporter</t>
  </si>
  <si>
    <t>DNA Research</t>
  </si>
  <si>
    <t>DoctorConsult - The Journal. Wissen fur Klinik und Praxis</t>
  </si>
  <si>
    <t>Documentaliste: Sciences de l'Information</t>
  </si>
  <si>
    <t>Documenta Mathematica</t>
  </si>
  <si>
    <t>Documenta Ophthalmologica</t>
  </si>
  <si>
    <t>Documenta Praehistorica</t>
  </si>
  <si>
    <t>Documentatieblad voor de Nederlandse Kerkgeschiedenis na 1800</t>
  </si>
  <si>
    <t>Document Numerique</t>
  </si>
  <si>
    <t>Documents d' Analisi Geografica</t>
  </si>
  <si>
    <t>Doga, Turkish Journal of Botany</t>
  </si>
  <si>
    <t>Dokkyo Journal of Medical Sciences</t>
  </si>
  <si>
    <t>Doklady Biochemistry and Biophysics</t>
  </si>
  <si>
    <t>Doklady Biological Sciences</t>
  </si>
  <si>
    <t>Doklady Chemistry</t>
  </si>
  <si>
    <t>Doklady Earth Sciences</t>
  </si>
  <si>
    <t>Doklady Mathematics</t>
  </si>
  <si>
    <t>Doklady Physical Chemistry</t>
  </si>
  <si>
    <t>Doklady Physics</t>
  </si>
  <si>
    <t>DOLOR</t>
  </si>
  <si>
    <t>Domestic Animal Endocrinology</t>
  </si>
  <si>
    <t>Donald School Journal of Ultrasound in Obstetrics and Gynecology</t>
  </si>
  <si>
    <t>Dongbei Daxue Xuebao/Journal of Northeastern University</t>
  </si>
  <si>
    <t>Dongli Gongcheng Xuebao/Journal of Chinese Society of Power Engineering</t>
  </si>
  <si>
    <t>Dongnan Daxue Xuebao (Ziran Kexue Ban)/Journal of Southeast University (Natural Science Edition)</t>
  </si>
  <si>
    <t>Dose-Response</t>
  </si>
  <si>
    <t>Douleur et Analgesie</t>
  </si>
  <si>
    <t>Douleurs</t>
  </si>
  <si>
    <t>DOWNBEAT</t>
  </si>
  <si>
    <t>Drapers</t>
  </si>
  <si>
    <t>Dreaming</t>
  </si>
  <si>
    <t>Drexel University, Dissertation</t>
  </si>
  <si>
    <t>Drilling Fluid and Completion Fluid</t>
  </si>
  <si>
    <t>Droit, Deontologie et Soin</t>
  </si>
  <si>
    <t>Droit et Societe</t>
  </si>
  <si>
    <t>Drug and Alcohol Dependence</t>
  </si>
  <si>
    <t>Drug and Alcohol Review</t>
  </si>
  <si>
    <t>Drug and Chemical Toxicology</t>
  </si>
  <si>
    <t>Drug and Therapeutics Bulletin</t>
  </si>
  <si>
    <t>Drug Delivery and Translational Research</t>
  </si>
  <si>
    <t>Drug Delivery: Journal of Delivery and Targeting of Therapeutic Agents</t>
  </si>
  <si>
    <t>Drug Delivery System</t>
  </si>
  <si>
    <t>Drug Design, Development and Therapy</t>
  </si>
  <si>
    <t>Drug Development and Industrial Pharmacy</t>
  </si>
  <si>
    <t>Drug Development Research</t>
  </si>
  <si>
    <t>Drug Discovery Today</t>
  </si>
  <si>
    <t>Drug Discovery Today: Disease Mechanisms</t>
  </si>
  <si>
    <t>Drug Discovery Today: Disease Models</t>
  </si>
  <si>
    <t>Drug Discovery Today: Technologies</t>
  </si>
  <si>
    <t>Drug Discovery Today: Therapeutic Strategies</t>
  </si>
  <si>
    <t>Drug Discovery World</t>
  </si>
  <si>
    <t>Drug, Healthcare and Patient Safety</t>
  </si>
  <si>
    <t>Drug Information Journal</t>
  </si>
  <si>
    <t>Drug Invention Today</t>
  </si>
  <si>
    <t>Drug Metabolism and Disposition</t>
  </si>
  <si>
    <t>Drug Metabolism and Drug Interactions</t>
  </si>
  <si>
    <t>Drug Metabolism and Pharmacokinetics</t>
  </si>
  <si>
    <t>Drug Metabolism Letters</t>
  </si>
  <si>
    <t>Drug Metabolism Reviews</t>
  </si>
  <si>
    <t>Drug Resistance Updates</t>
  </si>
  <si>
    <t>Drugs</t>
  </si>
  <si>
    <t>Drug Safety</t>
  </si>
  <si>
    <t>Drugs and Aging</t>
  </si>
  <si>
    <t>Drugs and Alcohol Today</t>
  </si>
  <si>
    <t>Drugs and Therapy Perspectives</t>
  </si>
  <si>
    <t>Drugs: Education, Prevention and Policy</t>
  </si>
  <si>
    <t>Drugs in Context</t>
  </si>
  <si>
    <t>Drugs in R and D</t>
  </si>
  <si>
    <t>Drugs of the Future</t>
  </si>
  <si>
    <t>Drugs of Today</t>
  </si>
  <si>
    <t>Drug Target Insights</t>
  </si>
  <si>
    <t>Drug Testing and Analysis</t>
  </si>
  <si>
    <t>Drug Topics</t>
  </si>
  <si>
    <t>Drustvena Istrazivanja</t>
  </si>
  <si>
    <t>Drvna Industrija</t>
  </si>
  <si>
    <t>Drying Technology</t>
  </si>
  <si>
    <t>Duke Environmental Law and Policy Forum</t>
  </si>
  <si>
    <t>Duke Law Journal</t>
  </si>
  <si>
    <t>Duke Mathematical Journal</t>
  </si>
  <si>
    <t>DukeMedicine healthnews</t>
  </si>
  <si>
    <t>Duodecim; laaketieteellinen aikakauskirja</t>
  </si>
  <si>
    <t>Durkheimian Studies/Etudes durkheimiennes</t>
  </si>
  <si>
    <t>Dusunen Adam</t>
  </si>
  <si>
    <t>Dutch Crossing</t>
  </si>
  <si>
    <t>Duzce Medical Journal</t>
  </si>
  <si>
    <t>Du: Zeitschrift Der Kultur</t>
  </si>
  <si>
    <t>Dve Domovini</t>
  </si>
  <si>
    <t>Dyes and Pigments</t>
  </si>
  <si>
    <t>DYNA</t>
  </si>
  <si>
    <t>Dynamical Psychology</t>
  </si>
  <si>
    <t>Dynamical Systems</t>
  </si>
  <si>
    <t>Dynamics of Asymmetric Conflict: Pathways toward Terrorism and Genocide</t>
  </si>
  <si>
    <t>Dynamics of Atmospheres and Oceans</t>
  </si>
  <si>
    <t>Dynamics of Continuous, Discrete and Impulsive Systems Series A: Mathematical Analysis</t>
  </si>
  <si>
    <t>Dynamics of Continuous, Discrete and Impulsive Systems Series B: Applications and Algorithms</t>
  </si>
  <si>
    <t>Dynamics of Partial Differential Equations</t>
  </si>
  <si>
    <t>Dynamics (Pembroke, Ont.)</t>
  </si>
  <si>
    <t>Dynamic Systems and Applications</t>
  </si>
  <si>
    <t>Dynamische Psychiatrie</t>
  </si>
  <si>
    <t>Dynamis (Granada, Spain)</t>
  </si>
  <si>
    <t>Dyna (Spain)</t>
  </si>
  <si>
    <t>Dyslexia</t>
  </si>
  <si>
    <t>Dysphagia</t>
  </si>
  <si>
    <t>EAAP Scientific Series</t>
  </si>
  <si>
    <t>E a M: Ekonomie a Management</t>
  </si>
  <si>
    <t>Ear and Hearing</t>
  </si>
  <si>
    <t>Early American Literature</t>
  </si>
  <si>
    <t>Early Child Development and Care</t>
  </si>
  <si>
    <t>Early Childhood Education Journal</t>
  </si>
  <si>
    <t>Early Childhood Research and Practice</t>
  </si>
  <si>
    <t>Early Childhood Research Quarterly</t>
  </si>
  <si>
    <t>Early Education and Development</t>
  </si>
  <si>
    <t>Early Human Development</t>
  </si>
  <si>
    <t>Early Intervention in Psychiatry</t>
  </si>
  <si>
    <t>Early Medieval Europe</t>
  </si>
  <si>
    <t>Early Modern Women: An Interdisciplinary Journal</t>
  </si>
  <si>
    <t>Early Music</t>
  </si>
  <si>
    <t>Early Music History</t>
  </si>
  <si>
    <t>Early Popular Visual Culture</t>
  </si>
  <si>
    <t>Early Science and Medicine</t>
  </si>
  <si>
    <t>Ear, Nose and Throat Journal</t>
  </si>
  <si>
    <t>Earth</t>
  </si>
  <si>
    <t>Earth and Environmental Science Transactions of the Royal Society of Edinburgh</t>
  </si>
  <si>
    <t>Earth and Planetary Sciences Letters</t>
  </si>
  <si>
    <t>Earth Interactions</t>
  </si>
  <si>
    <t>Earth, Moon and Planets</t>
  </si>
  <si>
    <t>Earth, Planets and Space</t>
  </si>
  <si>
    <t>Earthquake</t>
  </si>
  <si>
    <t>Earthquake Engineering and Engineering Vibration</t>
  </si>
  <si>
    <t>Earthquake Engineering and Structural Dynamics</t>
  </si>
  <si>
    <t>Earthquake Science</t>
  </si>
  <si>
    <t>Earthquake Spectra</t>
  </si>
  <si>
    <t>Earth Science Informatics</t>
  </si>
  <si>
    <t>Earth-Science Reviews</t>
  </si>
  <si>
    <t>Earth Sciences History</t>
  </si>
  <si>
    <t>Earth Sciences Research Journal</t>
  </si>
  <si>
    <t>Earth's Cryosphere</t>
  </si>
  <si>
    <t>Earth Surface Processes and Landforms</t>
  </si>
  <si>
    <t>Earth System Dynamics</t>
  </si>
  <si>
    <t>Earth System Monitor</t>
  </si>
  <si>
    <t>EAS Publications Series</t>
  </si>
  <si>
    <t>East African journal of public health</t>
  </si>
  <si>
    <t>Tanzania</t>
  </si>
  <si>
    <t>East Asia: An International Quarterly</t>
  </si>
  <si>
    <t>East Asian Archives of Psychiatry</t>
  </si>
  <si>
    <t>East Asian Science, Technology and Society</t>
  </si>
  <si>
    <t>East Central Europe</t>
  </si>
  <si>
    <t>Eastern Anthropologist, The</t>
  </si>
  <si>
    <t>Eastern Economic Journal</t>
  </si>
  <si>
    <t>Eastern European Countryside</t>
  </si>
  <si>
    <t>Eastern European Economics</t>
  </si>
  <si>
    <t>Eastern Journal of Medicine</t>
  </si>
  <si>
    <t>Eastern Mediterranean Health Journal</t>
  </si>
  <si>
    <t>East European Jewish Affairs</t>
  </si>
  <si>
    <t>East European Politics and Societies</t>
  </si>
  <si>
    <t>Eating and Weight Disorders</t>
  </si>
  <si>
    <t>Eating Behaviors</t>
  </si>
  <si>
    <t>Eating Disorders</t>
  </si>
  <si>
    <t>Eau, l'INDUSTRIE, les Nuisances</t>
  </si>
  <si>
    <t>EBR - European Biopharmaceutical Review</t>
  </si>
  <si>
    <t>EBRI issue brief / Employee Benefit Research Institute</t>
  </si>
  <si>
    <t>Echocardiography</t>
  </si>
  <si>
    <t>Ecletica Quimica</t>
  </si>
  <si>
    <t>Ecography</t>
  </si>
  <si>
    <t>EcoHealth</t>
  </si>
  <si>
    <t>Ecohydrology</t>
  </si>
  <si>
    <t>Ecohydrology and Hydrobiology</t>
  </si>
  <si>
    <t>Ecologia Austral</t>
  </si>
  <si>
    <t>Ecological Appplications</t>
  </si>
  <si>
    <t>Ecological Chemistry and Engineering S</t>
  </si>
  <si>
    <t>Ecological Complexity</t>
  </si>
  <si>
    <t>Ecological Economics</t>
  </si>
  <si>
    <t>Ecological Engineering</t>
  </si>
  <si>
    <t>Ecological Entomology</t>
  </si>
  <si>
    <t>Ecological Indicators</t>
  </si>
  <si>
    <t>Ecological Informatics</t>
  </si>
  <si>
    <t>Ecological Management and Restoration</t>
  </si>
  <si>
    <t>Ecological Modelling</t>
  </si>
  <si>
    <t>Ecological Monographs</t>
  </si>
  <si>
    <t>Ecological Psychology</t>
  </si>
  <si>
    <t>Ecological Research</t>
  </si>
  <si>
    <t>Ecological Restoration</t>
  </si>
  <si>
    <t>Ecology</t>
  </si>
  <si>
    <t>Ecology and Civil Engineering</t>
  </si>
  <si>
    <t>Ecology and Society</t>
  </si>
  <si>
    <t>Ecology, Environment and Conservation</t>
  </si>
  <si>
    <t>Ecology Law Quarterly</t>
  </si>
  <si>
    <t>Ecology Letters</t>
  </si>
  <si>
    <t>Ecology of Food and Nutrition</t>
  </si>
  <si>
    <t>Ecology of Freshwater Fish</t>
  </si>
  <si>
    <t>Eco.mont</t>
  </si>
  <si>
    <t>Econ Journal Watch</t>
  </si>
  <si>
    <t>Econometrica</t>
  </si>
  <si>
    <t>Econometric Reviews</t>
  </si>
  <si>
    <t>Econometrics Journal</t>
  </si>
  <si>
    <t>Econometric Theory</t>
  </si>
  <si>
    <t>Economia Agraria y Recursos Naturales</t>
  </si>
  <si>
    <t>Economia Aplicada</t>
  </si>
  <si>
    <t>Economia Chilena</t>
  </si>
  <si>
    <t>Economia delle Fonti di Energia e dell'Ambiente</t>
  </si>
  <si>
    <t>Economia Mexicana, Nueva Epoca</t>
  </si>
  <si>
    <t>Economia Politica</t>
  </si>
  <si>
    <t>Economica</t>
  </si>
  <si>
    <t>Economic Affairs</t>
  </si>
  <si>
    <t>Economic and Industrial Democracy</t>
  </si>
  <si>
    <t>Economic and Labour Market Review</t>
  </si>
  <si>
    <t>Economic and Labour Relations Review</t>
  </si>
  <si>
    <t>Economic and Political Weekly</t>
  </si>
  <si>
    <t>Economic and Social Review</t>
  </si>
  <si>
    <t>Economic Annals</t>
  </si>
  <si>
    <t>Economic Botany</t>
  </si>
  <si>
    <t>Economic Change and Restructuring</t>
  </si>
  <si>
    <t>Economic Computation and Economic Cybernetics Studies and Research</t>
  </si>
  <si>
    <t>Economic Development and Cultural Change</t>
  </si>
  <si>
    <t>Economic Development Quarterly</t>
  </si>
  <si>
    <t>Economic Geograpaphy</t>
  </si>
  <si>
    <t>Economic Geology</t>
  </si>
  <si>
    <t>Economic History Review</t>
  </si>
  <si>
    <t>Economic Inquiry</t>
  </si>
  <si>
    <t>Economic Journal</t>
  </si>
  <si>
    <t>Economic Modelling</t>
  </si>
  <si>
    <t>Economic Notes</t>
  </si>
  <si>
    <t>Economic Outlook</t>
  </si>
  <si>
    <t>Economic Policy</t>
  </si>
  <si>
    <t>Economic Record</t>
  </si>
  <si>
    <t>Economics and Human Biology</t>
  </si>
  <si>
    <t>Economics and Philosophy</t>
  </si>
  <si>
    <t>Economics and Policy of Energy and the Environment</t>
  </si>
  <si>
    <t>Economics and Politics</t>
  </si>
  <si>
    <t>Economics Bulletin</t>
  </si>
  <si>
    <t>Economics Letters</t>
  </si>
  <si>
    <t>Economics of Education Review</t>
  </si>
  <si>
    <t>Economics of Governance</t>
  </si>
  <si>
    <t>Economics of Innovation and New Technology</t>
  </si>
  <si>
    <t>Economics of Transition</t>
  </si>
  <si>
    <t>Economics of Transportation</t>
  </si>
  <si>
    <t>Economic Systems</t>
  </si>
  <si>
    <t>Economic Systems Research</t>
  </si>
  <si>
    <t>Economic Theory</t>
  </si>
  <si>
    <t>Economie et Statistique</t>
  </si>
  <si>
    <t>Economie Internationale</t>
  </si>
  <si>
    <t>Economies et Societes</t>
  </si>
  <si>
    <t>Economist</t>
  </si>
  <si>
    <t>Economists' Voice</t>
  </si>
  <si>
    <t>Economy and Society</t>
  </si>
  <si>
    <t>Ecopsychology</t>
  </si>
  <si>
    <t>Ecos - A Review of Conservation</t>
  </si>
  <si>
    <t>Ecoscience</t>
  </si>
  <si>
    <t>Ecosystems</t>
  </si>
  <si>
    <t>Ecosystem Services</t>
  </si>
  <si>
    <t>Ecotoxicology</t>
  </si>
  <si>
    <t>Ecotoxicology and Environmental Safety</t>
  </si>
  <si>
    <t>Ecotropica</t>
  </si>
  <si>
    <t>Ecquid Novi</t>
  </si>
  <si>
    <t>Ecumenical Review</t>
  </si>
  <si>
    <t>Edad de Oro</t>
  </si>
  <si>
    <t>Edinburgh Journal of Botany</t>
  </si>
  <si>
    <t>ED management : the monthly update on emergency department management</t>
  </si>
  <si>
    <t>ED Nursing</t>
  </si>
  <si>
    <t>Educacao e Pesquisa</t>
  </si>
  <si>
    <t>Educacao e Sociedade</t>
  </si>
  <si>
    <t>Educacion Medica</t>
  </si>
  <si>
    <t>Educacion XX1</t>
  </si>
  <si>
    <t>Educational Action Research</t>
  </si>
  <si>
    <t>Educational Administration Quarterly</t>
  </si>
  <si>
    <t>Educational and Child Psychology</t>
  </si>
  <si>
    <t>Educational and Psychological Measurement</t>
  </si>
  <si>
    <t>Educational Assessment</t>
  </si>
  <si>
    <t>Educational Assessment, Evaluation and Accountability</t>
  </si>
  <si>
    <t>Educational Evaluation and Policy Analysis</t>
  </si>
  <si>
    <t>Educational Gerontology</t>
  </si>
  <si>
    <t>Educational Leadership</t>
  </si>
  <si>
    <t>Educational Management Administration and Leadership</t>
  </si>
  <si>
    <t>Educational Measurement: Issues and Practice</t>
  </si>
  <si>
    <t>Educational Media International</t>
  </si>
  <si>
    <t>Educational Philosophy and Theory</t>
  </si>
  <si>
    <t>Educational Policy</t>
  </si>
  <si>
    <t>Educational Psychologist</t>
  </si>
  <si>
    <t>Educational Psychology</t>
  </si>
  <si>
    <t>Educational Psychology in Practice</t>
  </si>
  <si>
    <t>Educational Psychology Review</t>
  </si>
  <si>
    <t>Educational Research</t>
  </si>
  <si>
    <t>Educational Research and Evaluation</t>
  </si>
  <si>
    <t>Educational Research and Reviews</t>
  </si>
  <si>
    <t>Educational Researcher</t>
  </si>
  <si>
    <t>Educational Research for Policy and Practice</t>
  </si>
  <si>
    <t>Educational Research Review</t>
  </si>
  <si>
    <t>Educational Review</t>
  </si>
  <si>
    <t>Educational Studies</t>
  </si>
  <si>
    <t>Educational Studies in Mathematics</t>
  </si>
  <si>
    <t>Educational Technology and Society</t>
  </si>
  <si>
    <t>Educational Technology Research and Development</t>
  </si>
  <si>
    <t>Educational Theory</t>
  </si>
  <si>
    <t>Education and Health</t>
  </si>
  <si>
    <t>Education and Information Technologies</t>
  </si>
  <si>
    <t>Education and Training</t>
  </si>
  <si>
    <t>Education and Training in Autism and Developmental Disabilities</t>
  </si>
  <si>
    <t>Education and Treatment of Children</t>
  </si>
  <si>
    <t>Education and Urban Society</t>
  </si>
  <si>
    <t>Education as Change</t>
  </si>
  <si>
    <t>Education, Business and Society: Contemporary Middle Eastern Issues</t>
  </si>
  <si>
    <t>Education, Citizenship and Social Justice</t>
  </si>
  <si>
    <t>Education Economics</t>
  </si>
  <si>
    <t>Education et Societes</t>
  </si>
  <si>
    <t>Education Finance and Policy</t>
  </si>
  <si>
    <t>Education for Chemical Engineers</t>
  </si>
  <si>
    <t>Education for Health: Change in Learning and Practice</t>
  </si>
  <si>
    <t>Education for Information</t>
  </si>
  <si>
    <t>Education for Primary Care</t>
  </si>
  <si>
    <t>Education in Chemistry</t>
  </si>
  <si>
    <t>Education Next</t>
  </si>
  <si>
    <t>Education Policy Analysis Archives</t>
  </si>
  <si>
    <t>Education Therapeutique du Patient</t>
  </si>
  <si>
    <t>EEAG Report on the European Economy</t>
  </si>
  <si>
    <t>Eesti Rakenduslingvistika Uhingu Aastaraamat</t>
  </si>
  <si>
    <t>Effective Education</t>
  </si>
  <si>
    <t>EGA Revista de Expression Grafica Arquitectonica</t>
  </si>
  <si>
    <t>Egitim Arastirmalari - Eurasian Journal of Educational Research</t>
  </si>
  <si>
    <t>Egyptian Informatics Journal</t>
  </si>
  <si>
    <t>Egyptian Journal of Anaesthesia</t>
  </si>
  <si>
    <t>Egyptian Journal of Biological Pest Control</t>
  </si>
  <si>
    <t>Egyptian Journal of Chemistry</t>
  </si>
  <si>
    <t>Egyptian Journal of Histology</t>
  </si>
  <si>
    <t>Egyptian journal of immunology / Egyptian Association of Immunologists, The</t>
  </si>
  <si>
    <t>Egyptian Journal of Neurology, Psychiatry and Neurosurgery</t>
  </si>
  <si>
    <t>Egyptian Journal of Radiology and Nuclear Medicine</t>
  </si>
  <si>
    <t>Egyptian Journal of Remote Sensing and Space Science</t>
  </si>
  <si>
    <t>Eighteenth Century</t>
  </si>
  <si>
    <t>Eighteenth-Century Fiction</t>
  </si>
  <si>
    <t>Eighteenth-Century Ireland</t>
  </si>
  <si>
    <t>Eighteenth-Century Life</t>
  </si>
  <si>
    <t>Eighteenth Century Studies</t>
  </si>
  <si>
    <t>Eikasmos</t>
  </si>
  <si>
    <t>Einstein (São Paulo, Brazil)</t>
  </si>
  <si>
    <t>Eire-Ireland; a journal of Irish studies</t>
  </si>
  <si>
    <t>Eirene</t>
  </si>
  <si>
    <t>E-Journal of Chemistry</t>
  </si>
  <si>
    <t>E-Journal of Portuguese History</t>
  </si>
  <si>
    <t>e-Journal of Surface Science and Nanotechnology</t>
  </si>
  <si>
    <t>EJVES Extra</t>
  </si>
  <si>
    <t>Eklem Hastaliklari ve Cerrahisi</t>
  </si>
  <si>
    <t>Ekologia Bratislava</t>
  </si>
  <si>
    <t>Ekoloji</t>
  </si>
  <si>
    <t>Ekonomicky Casopis</t>
  </si>
  <si>
    <t>Ekonomiska Samfundets Tidskrift</t>
  </si>
  <si>
    <t>Ekonomska Istrazivanja</t>
  </si>
  <si>
    <t>Ekonomski Pregled</t>
  </si>
  <si>
    <t>Eksperimental'naia i klinicheskaia gastroenterologiia = Experimental &amp; clinical gastroenterology</t>
  </si>
  <si>
    <t>Eksperimental'naya i Klinicheskaya Farmakologiya</t>
  </si>
  <si>
    <t>Eksperimentalnaya Onkologiya</t>
  </si>
  <si>
    <t>Eksploatacja i Niezawodnosc</t>
  </si>
  <si>
    <t>E-Learning</t>
  </si>
  <si>
    <t>Electoral Studies</t>
  </si>
  <si>
    <t>Electrical Contacts, Proceedings of the Annual Holm Conference on Electrical Contacts</t>
  </si>
  <si>
    <t>Electrical Engineering</t>
  </si>
  <si>
    <t>Electrical Engineering in Japan (English translation of Denki Gakkai Ronbunshi)</t>
  </si>
  <si>
    <t>Electricity Journal</t>
  </si>
  <si>
    <t>Electric Power Components and Systems</t>
  </si>
  <si>
    <t>Electric Power Systems Research</t>
  </si>
  <si>
    <t>Electroanalysis</t>
  </si>
  <si>
    <t>Electrocatalysis</t>
  </si>
  <si>
    <t>Electrochemical and Solid-State Letters</t>
  </si>
  <si>
    <t>Electrochemical Society Interface</t>
  </si>
  <si>
    <t>Electrochemistry</t>
  </si>
  <si>
    <t>Electrochemistry Communications</t>
  </si>
  <si>
    <t>Electrochimica Acta</t>
  </si>
  <si>
    <t>Electrolyte and Blood Pressure</t>
  </si>
  <si>
    <t>Electromagnetic Biology and Medicine</t>
  </si>
  <si>
    <t>Electromagnetics</t>
  </si>
  <si>
    <t>Electronic Commerce Research</t>
  </si>
  <si>
    <t>Electronic Commerce Research and Applications</t>
  </si>
  <si>
    <t>Electronic Communications in Probability</t>
  </si>
  <si>
    <t>Electronic Device Failure Analysis</t>
  </si>
  <si>
    <t>Electronic Government</t>
  </si>
  <si>
    <t>Electronic Green Journal</t>
  </si>
  <si>
    <t>Electronic Journal of Applied Statistical Analysis</t>
  </si>
  <si>
    <t>Electronic Journal of Biotechnology</t>
  </si>
  <si>
    <t>Electronic Journal of Combinatorics</t>
  </si>
  <si>
    <t>Electronic Journal of Differential Equations</t>
  </si>
  <si>
    <t>Electronic Journal of e-Learning</t>
  </si>
  <si>
    <t>Electronic Journal of Environmental, Agricultural and Food Chemistry</t>
  </si>
  <si>
    <t>Electronic Journal of Foreign Language Teaching</t>
  </si>
  <si>
    <t>Electronic Journal of Geotechnical Engineering</t>
  </si>
  <si>
    <t>Electronic Journal of Human Sexuality</t>
  </si>
  <si>
    <t>Electronic Journal of Information Systems in Developing Countries</t>
  </si>
  <si>
    <t>Electronic Journal of Information Technology in Construction</t>
  </si>
  <si>
    <t>Electronic Journal of Linear Algebra</t>
  </si>
  <si>
    <t>Electronic Journal of Probability</t>
  </si>
  <si>
    <t>Electronic Journal of Qualitative Theory of Differential Equations</t>
  </si>
  <si>
    <t>Electronic Journal of Research in Educational Psychology</t>
  </si>
  <si>
    <t>Electronic Journal of Statistics</t>
  </si>
  <si>
    <t>Electronic Journal of Structural Engineering</t>
  </si>
  <si>
    <t>Electronic Journal of Theoretical Physics</t>
  </si>
  <si>
    <t>Electronic Letters on Computer Vision and Image Analysis</t>
  </si>
  <si>
    <t>Electronic Library</t>
  </si>
  <si>
    <t>Electronic Markets</t>
  </si>
  <si>
    <t>Electronic Materials Letters</t>
  </si>
  <si>
    <t>Electronic Notes in Discrete Mathematics</t>
  </si>
  <si>
    <t>Electronic Notes in Theoretical Computer Science</t>
  </si>
  <si>
    <t>Electronic Research Announcements in Mathematical Sciences</t>
  </si>
  <si>
    <t>Electronics and Communications in Japan</t>
  </si>
  <si>
    <t>Electronics Letters</t>
  </si>
  <si>
    <t>Electronic Transactions on Numerical Analysis</t>
  </si>
  <si>
    <t>Electrophoresis</t>
  </si>
  <si>
    <t>Elektronika ir Elektrotechnika</t>
  </si>
  <si>
    <t>Elektrotechnik und Informationstechnik</t>
  </si>
  <si>
    <t>Elektrotehniski Vestnik/Electrotechnical Review</t>
  </si>
  <si>
    <t>Elelmiszervizsgalati Kozlemenyek</t>
  </si>
  <si>
    <t>Elementary School Journal</t>
  </si>
  <si>
    <t>Elements</t>
  </si>
  <si>
    <t>Elenchos</t>
  </si>
  <si>
    <t>ELH - English Literary History</t>
  </si>
  <si>
    <t>EMA - Emergency Medicine Australasia</t>
  </si>
  <si>
    <t>Emblematica</t>
  </si>
  <si>
    <t>EMBO Journal</t>
  </si>
  <si>
    <t>EMBO Molecular Medicine</t>
  </si>
  <si>
    <t>EMBO Reports</t>
  </si>
  <si>
    <t>Emergence: Complexity and Organization</t>
  </si>
  <si>
    <t>Emergencias</t>
  </si>
  <si>
    <t>Emergency Medicine</t>
  </si>
  <si>
    <t>Emergency Medicine Clinics of North America</t>
  </si>
  <si>
    <t>Emergency Medicine Journal</t>
  </si>
  <si>
    <t>Emergency medicine practice</t>
  </si>
  <si>
    <t>Emergency Nurse</t>
  </si>
  <si>
    <t>Emergency Radiology</t>
  </si>
  <si>
    <t>Emerging Health Threats Journal</t>
  </si>
  <si>
    <t>Emerging Infectious Diseases</t>
  </si>
  <si>
    <t>Emerging Markets Finance and Trade</t>
  </si>
  <si>
    <t>Emerging Markets Review</t>
  </si>
  <si>
    <t>Emerging Themes in Epidemiology</t>
  </si>
  <si>
    <t>Emerita, Revista de linguistica y filologia clasica</t>
  </si>
  <si>
    <t>Emily Dickinson Journal</t>
  </si>
  <si>
    <t>Emirates Journal of Food and Agriculture</t>
  </si>
  <si>
    <t>EMJ - Engineering Management Journal</t>
  </si>
  <si>
    <t>Emotion</t>
  </si>
  <si>
    <t>Emotional and Behavioural Difficulties</t>
  </si>
  <si>
    <t>Emotion Review</t>
  </si>
  <si>
    <t>Emotion, Space and Society</t>
  </si>
  <si>
    <t>Empan</t>
  </si>
  <si>
    <t>Empirica</t>
  </si>
  <si>
    <t>Empirical Economics</t>
  </si>
  <si>
    <t>Empirical Software Engineering</t>
  </si>
  <si>
    <t>Employee Relations</t>
  </si>
  <si>
    <t>Employee Relations Law Journal</t>
  </si>
  <si>
    <t>Employee Responsibilities and Rights Journal</t>
  </si>
  <si>
    <t>EMS world</t>
  </si>
  <si>
    <t>Emu</t>
  </si>
  <si>
    <t>Endangered Species Research</t>
  </si>
  <si>
    <t>Endeavour</t>
  </si>
  <si>
    <t>Endocrine</t>
  </si>
  <si>
    <t>Endocrine Development</t>
  </si>
  <si>
    <t>Endocrine Journal</t>
  </si>
  <si>
    <t>Endocrine, Metabolic and Immune Disorders - Drug Targets</t>
  </si>
  <si>
    <t>Endocrine Pathology</t>
  </si>
  <si>
    <t>Endocrine Practice</t>
  </si>
  <si>
    <t>Endocrine Regulations</t>
  </si>
  <si>
    <t>Endocrine-Related Cancer</t>
  </si>
  <si>
    <t>Endocrine Research</t>
  </si>
  <si>
    <t>Endocrine Reviews</t>
  </si>
  <si>
    <t>Endocrinologia y Nutricion</t>
  </si>
  <si>
    <t>Endocrinology</t>
  </si>
  <si>
    <t>Endocrinology and Metabolism Clinics of North America</t>
  </si>
  <si>
    <t>Endokrinologya</t>
  </si>
  <si>
    <t>Endokrynologia, Diabetologia i Choroby Przemiany Materii Wieku Rozwojowego</t>
  </si>
  <si>
    <t>Endokrynologia Polska</t>
  </si>
  <si>
    <t>Endoscopic Forum for Digestive Disease</t>
  </si>
  <si>
    <t>Endoscopy</t>
  </si>
  <si>
    <t>Endoskopie</t>
  </si>
  <si>
    <t>Endoskopie Heute</t>
  </si>
  <si>
    <t>Energetika</t>
  </si>
  <si>
    <t>Energia Elettrica</t>
  </si>
  <si>
    <t>Energies</t>
  </si>
  <si>
    <t>Energy</t>
  </si>
  <si>
    <t>Energy and Buildings</t>
  </si>
  <si>
    <t>Energy and Environment</t>
  </si>
  <si>
    <t>Energy and Environmental Science</t>
  </si>
  <si>
    <t>Energy and Fuels</t>
  </si>
  <si>
    <t>Energy Conversion and Management</t>
  </si>
  <si>
    <t>Energy Economics</t>
  </si>
  <si>
    <t>Energy Education Science and Technology Part A: Energy Science and Research</t>
  </si>
  <si>
    <t>Energy Education Science and Technology Part B: Social and Educational Studies</t>
  </si>
  <si>
    <t>Energy Efficiency</t>
  </si>
  <si>
    <t>Energy Engineering: Journal of the Association of Energy Engineers</t>
  </si>
  <si>
    <t>Energy Exploration and Exploitation</t>
  </si>
  <si>
    <t>Energy for Sustainable Development</t>
  </si>
  <si>
    <t>Energy Materials: Materials Science and Engineering for Energy Systems</t>
  </si>
  <si>
    <t>Energy Policy</t>
  </si>
  <si>
    <t>Energy Procedia</t>
  </si>
  <si>
    <t>Energy Sources, Part A: Recovery, Utilization and Environmental Effects</t>
  </si>
  <si>
    <t>Energy Sources, Part B: Economics, Planning and Policy</t>
  </si>
  <si>
    <t>Energy Strategy Reviews</t>
  </si>
  <si>
    <t>Energy Studies Review</t>
  </si>
  <si>
    <t>Energy Systems</t>
  </si>
  <si>
    <t>Enfance</t>
  </si>
  <si>
    <t>Enfances et Psy</t>
  </si>
  <si>
    <t>Enfances, Familles, Generations</t>
  </si>
  <si>
    <t>Enfermedades Emergentes</t>
  </si>
  <si>
    <t>Enfermedades Infecciosas y Microbiologia</t>
  </si>
  <si>
    <t>Enfermedades Infecciosas y Microbiologia Clinica</t>
  </si>
  <si>
    <t>Enfermeria Clinica</t>
  </si>
  <si>
    <t>Enfermeria Global</t>
  </si>
  <si>
    <t>Enfermeria Intensiva</t>
  </si>
  <si>
    <t>Engenharia Agricola</t>
  </si>
  <si>
    <t>Engenharia Sanitaria e Ambiental</t>
  </si>
  <si>
    <t>Engineering</t>
  </si>
  <si>
    <t>Engineering Analysis with Boundary Elements</t>
  </si>
  <si>
    <t>Engineering Applications of Artificial Intelligence</t>
  </si>
  <si>
    <t>Engineering Computations</t>
  </si>
  <si>
    <t>Engineering, Construction and Architectural Management</t>
  </si>
  <si>
    <t>Engineering Design Graphics Journal</t>
  </si>
  <si>
    <t>Engineering Economics</t>
  </si>
  <si>
    <t>Engineering Economist</t>
  </si>
  <si>
    <t>Engineering Failure Analysis</t>
  </si>
  <si>
    <t>Engineering Fracture Mechanics</t>
  </si>
  <si>
    <t>Engineering Geology</t>
  </si>
  <si>
    <t>Engineering in Agriculture, Environment and Food</t>
  </si>
  <si>
    <t>Engineering in Life Sciences</t>
  </si>
  <si>
    <t>Engineering Journal</t>
  </si>
  <si>
    <t>Engineering Letters</t>
  </si>
  <si>
    <t>Engineering Optimization</t>
  </si>
  <si>
    <t>Engineering Review</t>
  </si>
  <si>
    <t>Engineering Structures</t>
  </si>
  <si>
    <t>Engineering Studies</t>
  </si>
  <si>
    <t>Engineering with Computers</t>
  </si>
  <si>
    <t>Englera</t>
  </si>
  <si>
    <t>English</t>
  </si>
  <si>
    <t>English Academy Review</t>
  </si>
  <si>
    <t>English for Specific Purposes</t>
  </si>
  <si>
    <t>English Historical Review</t>
  </si>
  <si>
    <t>English in Australia</t>
  </si>
  <si>
    <t>English in Education</t>
  </si>
  <si>
    <t>English Language and Linguistics</t>
  </si>
  <si>
    <t>English Language Notes</t>
  </si>
  <si>
    <t>English Language Teaching</t>
  </si>
  <si>
    <t>English Language Teaching Journal</t>
  </si>
  <si>
    <t>English Literary Renaissance</t>
  </si>
  <si>
    <t>English Literature in Transition, 1880-1920</t>
  </si>
  <si>
    <t>English Manuscript Studies: 1100-1700</t>
  </si>
  <si>
    <t>English Studies</t>
  </si>
  <si>
    <t>English Studies in Africa</t>
  </si>
  <si>
    <t>English Studies in Canada</t>
  </si>
  <si>
    <t>English Teaching</t>
  </si>
  <si>
    <t>English World-Wide</t>
  </si>
  <si>
    <t>Ensaio</t>
  </si>
  <si>
    <t>Ensayos Sobre Politica Economica</t>
  </si>
  <si>
    <t>Ensenanza de las Ciencias</t>
  </si>
  <si>
    <t>Enterprise and Society</t>
  </si>
  <si>
    <t>Enterprise Development and Microfinance</t>
  </si>
  <si>
    <t>Enterprise Information Systems</t>
  </si>
  <si>
    <t>Entertainment Computing</t>
  </si>
  <si>
    <t>Entomologia Experimentalis et Applicata</t>
  </si>
  <si>
    <t>Entomologica Americana</t>
  </si>
  <si>
    <t>Entomologica Fennica</t>
  </si>
  <si>
    <t>Entomological News</t>
  </si>
  <si>
    <t>Entomological Research</t>
  </si>
  <si>
    <t>Entomological Review</t>
  </si>
  <si>
    <t>Entomological Science</t>
  </si>
  <si>
    <t>Entomologist's Gazette</t>
  </si>
  <si>
    <t>Entomotropica</t>
  </si>
  <si>
    <t>Entrepreneurial Executive</t>
  </si>
  <si>
    <t>Entrepreneurship and Regional Development</t>
  </si>
  <si>
    <t>Entrepreneurship Theory and Practice</t>
  </si>
  <si>
    <t>Entreprises et Histoire</t>
  </si>
  <si>
    <t>Entropy</t>
  </si>
  <si>
    <t>Environment</t>
  </si>
  <si>
    <t>Environmental and Ecological Statistics</t>
  </si>
  <si>
    <t>Environmental and Engineering Geoscience</t>
  </si>
  <si>
    <t>Environmental and Experimental Botany</t>
  </si>
  <si>
    <t>Environmental and Molecular Mutagenesis</t>
  </si>
  <si>
    <t>Environmental and Planning Law Journal</t>
  </si>
  <si>
    <t>Environmental and Resource Economics</t>
  </si>
  <si>
    <t>Environmental Archaeology</t>
  </si>
  <si>
    <t>Environmental Biology of Fishes</t>
  </si>
  <si>
    <t>Environmental Biosafety Research</t>
  </si>
  <si>
    <t>Environmental Carcinogenesis and Ecotoxicology Reviews</t>
  </si>
  <si>
    <t>Environmental Chemistry</t>
  </si>
  <si>
    <t>Environmental Chemistry Letters</t>
  </si>
  <si>
    <t>Environmental Claims Journal</t>
  </si>
  <si>
    <t>Environmental Communication</t>
  </si>
  <si>
    <t>Environmental Conservation</t>
  </si>
  <si>
    <t>Environmental Development</t>
  </si>
  <si>
    <t>Environmental Earth Sciences</t>
  </si>
  <si>
    <t>Environmental Economics and Policy Studies</t>
  </si>
  <si>
    <t>Environmental Education Research</t>
  </si>
  <si>
    <t>Environmental Engineering and Management Journal</t>
  </si>
  <si>
    <t>Environmental Engineering Research</t>
  </si>
  <si>
    <t>Environmental Engineering Science</t>
  </si>
  <si>
    <t>Environmental Entomology</t>
  </si>
  <si>
    <t>Environmental Fluid Mechanics</t>
  </si>
  <si>
    <t>Environmental Forensics</t>
  </si>
  <si>
    <t>Environmental Geochemistry and Health</t>
  </si>
  <si>
    <t>Environmental Geosciences</t>
  </si>
  <si>
    <t>Environmental Hazards</t>
  </si>
  <si>
    <t>Environmental Health: A Global Access Science Source</t>
  </si>
  <si>
    <t>Environmental Health and Preventive Medicine</t>
  </si>
  <si>
    <t>Environmental Health Criteria</t>
  </si>
  <si>
    <t>Environmental Health Perspectives</t>
  </si>
  <si>
    <t>Environmental History</t>
  </si>
  <si>
    <t>Environmental Impact Assessment Review</t>
  </si>
  <si>
    <t>Environmental International</t>
  </si>
  <si>
    <t>Environmentalist</t>
  </si>
  <si>
    <t>Environmental Justice</t>
  </si>
  <si>
    <t>Environmental Law and Management</t>
  </si>
  <si>
    <t>Environmental Management</t>
  </si>
  <si>
    <t>Environmental Microbiology</t>
  </si>
  <si>
    <t>Environmental Microbiology Reports</t>
  </si>
  <si>
    <t>Environmental Modeling and Assessment</t>
  </si>
  <si>
    <t>Environmental Modelling and Software</t>
  </si>
  <si>
    <t>Environmental Monitoring and Assessment</t>
  </si>
  <si>
    <t>Environmental Policy and Governance</t>
  </si>
  <si>
    <t>Environmental Policy and Law</t>
  </si>
  <si>
    <t>Environmental Politics</t>
  </si>
  <si>
    <t>Environmental Pollution</t>
  </si>
  <si>
    <t>Environmental Practice</t>
  </si>
  <si>
    <t>Environmental Progress and Sustainable Energy</t>
  </si>
  <si>
    <t>Environmental Protection Engineering</t>
  </si>
  <si>
    <t>Environmental Quality Management</t>
  </si>
  <si>
    <t>Environmental Research</t>
  </si>
  <si>
    <t>Environmental Research Letters</t>
  </si>
  <si>
    <t>Environmental Reviews</t>
  </si>
  <si>
    <t>Environmental Science and Policy</t>
  </si>
  <si>
    <t>Environmental Science and Pollution Research</t>
  </si>
  <si>
    <t>Environmental Science and Technology</t>
  </si>
  <si>
    <t>Environmental Sciences Europe</t>
  </si>
  <si>
    <t>Environmental Technology (United Kingdom)</t>
  </si>
  <si>
    <t>Environmental Toxicology</t>
  </si>
  <si>
    <t>Environmental Toxicology and Chemistry</t>
  </si>
  <si>
    <t>Environmental Toxicology and Pharmacology</t>
  </si>
  <si>
    <t>Environmental Values</t>
  </si>
  <si>
    <t>Environment and Behavior</t>
  </si>
  <si>
    <t>Environment and Development Economics</t>
  </si>
  <si>
    <t>Environment and History</t>
  </si>
  <si>
    <t>Environment and Planning A</t>
  </si>
  <si>
    <t>Environment and Planning B: Planning and Design</t>
  </si>
  <si>
    <t>Environment and Planning C: Government and Policy</t>
  </si>
  <si>
    <t>Environment and Planning D: Society and Space</t>
  </si>
  <si>
    <t>Environment and Urbanization</t>
  </si>
  <si>
    <t>EnvironmentAsia</t>
  </si>
  <si>
    <t>Environment, Development and Sustainability</t>
  </si>
  <si>
    <t>Environmetrics</t>
  </si>
  <si>
    <t>Environnement, Risques et Sante</t>
  </si>
  <si>
    <t>Enzyme and Microbial Technology</t>
  </si>
  <si>
    <t>Enzyme Research</t>
  </si>
  <si>
    <t>Enzymes</t>
  </si>
  <si>
    <t>Eos</t>
  </si>
  <si>
    <t>EPC - European Pharmaceutical Contractor</t>
  </si>
  <si>
    <t>EPE Journal (European Power Electronics and Drives Journal)</t>
  </si>
  <si>
    <t>Ephemerides Theologicae Lovanienses</t>
  </si>
  <si>
    <t>Epidemics</t>
  </si>
  <si>
    <t>Epidemiologia e prevenzione</t>
  </si>
  <si>
    <t>Epidemiologic Perspectives and Innovations</t>
  </si>
  <si>
    <t>Epidemiologic Reviews</t>
  </si>
  <si>
    <t>Epidemiologie, Mikrobiologie, Imunologie</t>
  </si>
  <si>
    <t>Epidemiology</t>
  </si>
  <si>
    <t>Epidemiology and Infection</t>
  </si>
  <si>
    <t>Epidemiology and Psychiatric Sciences</t>
  </si>
  <si>
    <t>Epigenetics</t>
  </si>
  <si>
    <t>Epigenetics and Chromatin</t>
  </si>
  <si>
    <t>Epigenetics and Human Health</t>
  </si>
  <si>
    <t>Epigenomics</t>
  </si>
  <si>
    <t>Epigraphica</t>
  </si>
  <si>
    <t>Epilepsia</t>
  </si>
  <si>
    <t>Epilepsy and Behavior</t>
  </si>
  <si>
    <t>Epilepsy and Seizure</t>
  </si>
  <si>
    <t>Epilepsy Currents</t>
  </si>
  <si>
    <t>Epilepsy Research</t>
  </si>
  <si>
    <t>Epileptic Disorders</t>
  </si>
  <si>
    <t>Episodes</t>
  </si>
  <si>
    <t>Epistemologia</t>
  </si>
  <si>
    <t>Epites-Epiteszettudomany</t>
  </si>
  <si>
    <t>Epitheorese Klinikes Farmakologias kai Farmakokinetikes</t>
  </si>
  <si>
    <t>EPJ Applied Physics</t>
  </si>
  <si>
    <t>EPMA Journal</t>
  </si>
  <si>
    <t>E-Polymers</t>
  </si>
  <si>
    <t>EPPO Bulletin</t>
  </si>
  <si>
    <t>Equality, Diversity and Inclusion</t>
  </si>
  <si>
    <t>Equilibrium Research</t>
  </si>
  <si>
    <t>Equine Veterinary Education</t>
  </si>
  <si>
    <t>Equine Veterinary Journal</t>
  </si>
  <si>
    <t>Equine veterinary journal. Supplement</t>
  </si>
  <si>
    <t>Equity and Excellence in Education</t>
  </si>
  <si>
    <t>ERA Forum</t>
  </si>
  <si>
    <t>Erciyes Tip Dergisi</t>
  </si>
  <si>
    <t>Erdkunde</t>
  </si>
  <si>
    <t>e-Review of Tourism Research</t>
  </si>
  <si>
    <t>Ergebnisse der Mathematik und ihrer Grenzgebiete</t>
  </si>
  <si>
    <t>Ergodic Theory and Dynamical Systems</t>
  </si>
  <si>
    <t>Ergonomics</t>
  </si>
  <si>
    <t>Ergonomics in Design</t>
  </si>
  <si>
    <t>Ergotherapie und Rehabilitation</t>
  </si>
  <si>
    <t>Eriu</t>
  </si>
  <si>
    <t>Erkenntnis</t>
  </si>
  <si>
    <t>Ernahrung</t>
  </si>
  <si>
    <t>Ernahrungs Umschau</t>
  </si>
  <si>
    <t>Erosion Control</t>
  </si>
  <si>
    <t>Erwerbs-Obstbau</t>
  </si>
  <si>
    <t>ESAIM - Control, Optimisation and Calculus of Variations</t>
  </si>
  <si>
    <t>ESAIM - Probability and Statistics</t>
  </si>
  <si>
    <t>Esophagus</t>
  </si>
  <si>
    <t>Espace Geographique</t>
  </si>
  <si>
    <t>Espace-Populations-Societes</t>
  </si>
  <si>
    <t>Espacios</t>
  </si>
  <si>
    <t>e-SPEN</t>
  </si>
  <si>
    <t>Esprit Createur</t>
  </si>
  <si>
    <t>ESQ - Journal of the American Renaissance</t>
  </si>
  <si>
    <t>Essaim</t>
  </si>
  <si>
    <t>Essays and Studies</t>
  </si>
  <si>
    <t>Essays in Biochemistry</t>
  </si>
  <si>
    <t>Essays in Criticism</t>
  </si>
  <si>
    <t>Estetika : The Central European Journal of Aesthetics</t>
  </si>
  <si>
    <t>Estonian Journal of Archaeology</t>
  </si>
  <si>
    <t>Estonian Journal of Earth Sciences</t>
  </si>
  <si>
    <t>Estonian Journal of Ecology</t>
  </si>
  <si>
    <t>Estuaries and Coasts</t>
  </si>
  <si>
    <t>Estuarine, Coastal and Shelf Science</t>
  </si>
  <si>
    <t>Estudios Atacamenos</t>
  </si>
  <si>
    <t>Estudios Constitucionales</t>
  </si>
  <si>
    <t>Estudios de Economia</t>
  </si>
  <si>
    <t>Estudios de Fonetica Experimental</t>
  </si>
  <si>
    <t>Estudios de Historia Moderna Contemporanea de Mexico</t>
  </si>
  <si>
    <t>Estudios de Linguistica Inglesa Aplicada (ELIA)</t>
  </si>
  <si>
    <t>Estudios de Psicologia</t>
  </si>
  <si>
    <t>Estudios Filologicos</t>
  </si>
  <si>
    <t>Estudios Geograficos</t>
  </si>
  <si>
    <t>Estudios Geologicos</t>
  </si>
  <si>
    <t>Estudios Irlandeses</t>
  </si>
  <si>
    <t>Estudios Migratorios Latinoamericanos</t>
  </si>
  <si>
    <t>Estudios Pedagogicos</t>
  </si>
  <si>
    <t>Estudios Romanicos</t>
  </si>
  <si>
    <t>Estudios Sobre Educacion</t>
  </si>
  <si>
    <t>Estudios Sobre el Mensaje Periodistico</t>
  </si>
  <si>
    <t>Estudos Avancados</t>
  </si>
  <si>
    <t>Estudos de Linguistica Galega</t>
  </si>
  <si>
    <t>Estudos de Psicologia</t>
  </si>
  <si>
    <t>Estudos Economicos</t>
  </si>
  <si>
    <t>Estudos Feministas</t>
  </si>
  <si>
    <t>Estudos Ibero-Americanos</t>
  </si>
  <si>
    <t>Ethical Human Psychology and Psychiatry</t>
  </si>
  <si>
    <t>Ethical Perspectives</t>
  </si>
  <si>
    <t>Ethical Theory and Moral Practice</t>
  </si>
  <si>
    <t>Ethics</t>
  </si>
  <si>
    <t>Ethics and Behavior</t>
  </si>
  <si>
    <t>Ethics and Education</t>
  </si>
  <si>
    <t>Ethics and Global Politics</t>
  </si>
  <si>
    <t>Ethics and Information Technology</t>
  </si>
  <si>
    <t>Ethics in Science and Environmental Politics</t>
  </si>
  <si>
    <t>Ethics &amp; medicine : a Christian perspective on issues in bioethics</t>
  </si>
  <si>
    <t>Ethics, Place and Environment</t>
  </si>
  <si>
    <t>Ethik in der Medizin</t>
  </si>
  <si>
    <t>Ethiopian Journal of Health Development</t>
  </si>
  <si>
    <t>Ethiopian Medical Journal</t>
  </si>
  <si>
    <t>Ethique et Sante</t>
  </si>
  <si>
    <t>Ethische Perspectieven</t>
  </si>
  <si>
    <t>Ethnic and Racial Studies</t>
  </si>
  <si>
    <t>Ethnicities</t>
  </si>
  <si>
    <t>Ethnicity and Disease</t>
  </si>
  <si>
    <t>Ethnicity and Health</t>
  </si>
  <si>
    <t>Ethnicity and Inequalities in Health and Social Care</t>
  </si>
  <si>
    <t>Ethnobotany Research and Applications</t>
  </si>
  <si>
    <t>Ethnographia</t>
  </si>
  <si>
    <t>Ethnography</t>
  </si>
  <si>
    <t>Ethnography and Education</t>
  </si>
  <si>
    <t>Ethnohistory</t>
  </si>
  <si>
    <t>Ethnologia Europaea</t>
  </si>
  <si>
    <t>Ethnologie Francaise</t>
  </si>
  <si>
    <t>Ethnomusicology</t>
  </si>
  <si>
    <t>Ethnopolitics</t>
  </si>
  <si>
    <t>Ethnos</t>
  </si>
  <si>
    <t>Ethology</t>
  </si>
  <si>
    <t>Ethology Ecology and Evolution</t>
  </si>
  <si>
    <t>Ethos</t>
  </si>
  <si>
    <t>Ethylene Industry</t>
  </si>
  <si>
    <t>Etikk i Praksis</t>
  </si>
  <si>
    <t>Etnografia e ricerca qualitativa</t>
  </si>
  <si>
    <t>Etnografica</t>
  </si>
  <si>
    <t>Etnolog</t>
  </si>
  <si>
    <t>Etnoloska Tribina</t>
  </si>
  <si>
    <t>ETRI Journal</t>
  </si>
  <si>
    <t>Etudes Anglaises</t>
  </si>
  <si>
    <t>Etudes Classiques</t>
  </si>
  <si>
    <t>Etudes de Linguistique Appliquee</t>
  </si>
  <si>
    <t>Etudes Francaises</t>
  </si>
  <si>
    <t>Etudes Germaniques</t>
  </si>
  <si>
    <t>Etudes Philosophiques</t>
  </si>
  <si>
    <t>Etudes Photographiques</t>
  </si>
  <si>
    <t>Etudes Rurales</t>
  </si>
  <si>
    <t>Etudes sur la Mort</t>
  </si>
  <si>
    <t>Etudes Theologiques et Religieuses</t>
  </si>
  <si>
    <t>Eukaryotic Cell</t>
  </si>
  <si>
    <t>Euphorion - Zeitschrift fur Literaturgeschichte</t>
  </si>
  <si>
    <t>Euphrosyne</t>
  </si>
  <si>
    <t>Euphytica</t>
  </si>
  <si>
    <t>Eurasia Journal of Mathematics, Science and Technology Education</t>
  </si>
  <si>
    <t>Eurasian Chemico-Technological Journal</t>
  </si>
  <si>
    <t>Kazakhstan</t>
  </si>
  <si>
    <t>Eurasian Geography and Economics</t>
  </si>
  <si>
    <t>Eurasian Journal of Analytical Chemistry</t>
  </si>
  <si>
    <t>Eurasian Journal of Medicine</t>
  </si>
  <si>
    <t>Eurasian Soil Science</t>
  </si>
  <si>
    <t>Eurasip Journal of Embedded Systems</t>
  </si>
  <si>
    <t>Eurasip Journal on Advances in Signal Processing</t>
  </si>
  <si>
    <t>Eurasip Journal on Audio, Speech, and Music Processing</t>
  </si>
  <si>
    <t>Eurasip Journal on Bioinformatics and Systems Biology</t>
  </si>
  <si>
    <t>Eurasip Journal on Image and Video Processing</t>
  </si>
  <si>
    <t>Eurasip Journal on Information Security</t>
  </si>
  <si>
    <t>Eurasip Journal on Wireless Communications and Networking</t>
  </si>
  <si>
    <t>Eure</t>
  </si>
  <si>
    <t>EuroAsia Semiconductor</t>
  </si>
  <si>
    <t>EuroChoices</t>
  </si>
  <si>
    <t>Euroheat and Power (English Edition)</t>
  </si>
  <si>
    <t>EuroIntervention</t>
  </si>
  <si>
    <t>Europace</t>
  </si>
  <si>
    <t>Europe</t>
  </si>
  <si>
    <t>European Accounting Review</t>
  </si>
  <si>
    <t>European Addiction Research</t>
  </si>
  <si>
    <t>European Annals of Allergy and Clinical Immunology</t>
  </si>
  <si>
    <t>European Annals of Otorhinolaryngology, Head and Neck Diseases</t>
  </si>
  <si>
    <t>European Archives of Oto-Rhino-Laryngology</t>
  </si>
  <si>
    <t>European archives of paediatric dentistry : official journal of the European Academy of Paediatric Dentistry</t>
  </si>
  <si>
    <t>European Archives of Psychiatry and Clinical Neuroscience</t>
  </si>
  <si>
    <t>European Biophysics Journal</t>
  </si>
  <si>
    <t>European Biotechnology Science and Industry News</t>
  </si>
  <si>
    <t>European Business Organization Law Review</t>
  </si>
  <si>
    <t>European Business Review</t>
  </si>
  <si>
    <t>European Cells and Materials</t>
  </si>
  <si>
    <t>European Child and Adolescent Psychiatry</t>
  </si>
  <si>
    <t>European Constitutional Law Review</t>
  </si>
  <si>
    <t>European Cytokine Network</t>
  </si>
  <si>
    <t>European Diabetes Nursing</t>
  </si>
  <si>
    <t>European Early Childhood Education Research Journal</t>
  </si>
  <si>
    <t>European Eating Disorders Review</t>
  </si>
  <si>
    <t>European Economic Review</t>
  </si>
  <si>
    <t>European Educational Research Journal</t>
  </si>
  <si>
    <t>European Energy and Environmental Law Review</t>
  </si>
  <si>
    <t>European Financial Management</t>
  </si>
  <si>
    <t>European Food Research and Technology</t>
  </si>
  <si>
    <t>European Geriatric Medicine</t>
  </si>
  <si>
    <t>European Heart Journal</t>
  </si>
  <si>
    <t>European Heart Journal Cardiovascular Imaging</t>
  </si>
  <si>
    <t>European Heart Journal, Supplement</t>
  </si>
  <si>
    <t>European History Quarterly</t>
  </si>
  <si>
    <t>European Infectious Disease</t>
  </si>
  <si>
    <t>European Integration - Online Papers</t>
  </si>
  <si>
    <t>European Journal for Philosophy of Science</t>
  </si>
  <si>
    <t>European Journal of Ageing</t>
  </si>
  <si>
    <t>European Journal of Agronomy</t>
  </si>
  <si>
    <t>European Journal of Anaesthesiology</t>
  </si>
  <si>
    <t>European Journal of Anatomy</t>
  </si>
  <si>
    <t>European Journal of Applied Mathematics</t>
  </si>
  <si>
    <t>European Journal of Applied Physiology</t>
  </si>
  <si>
    <t>European Journal of Archaeology</t>
  </si>
  <si>
    <t>European Journal of Cancer</t>
  </si>
  <si>
    <t>European Journal of Cancer Care</t>
  </si>
  <si>
    <t>European Journal of Cancer Prevention</t>
  </si>
  <si>
    <t>European Journal of Cancer, Supplement</t>
  </si>
  <si>
    <t>European Journal of Cardio-thoracic Surgery</t>
  </si>
  <si>
    <t>European Journal of Cardiovascular Nursing</t>
  </si>
  <si>
    <t>European Journal of Cardiovascular Prevention and Rehabilitation</t>
  </si>
  <si>
    <t>European Journal of Cell Biology</t>
  </si>
  <si>
    <t>European Journal of Clinical Investigation</t>
  </si>
  <si>
    <t>European Journal of Clinical Microbiology and Infectious Diseases</t>
  </si>
  <si>
    <t>European Journal of Clinical Nutrition</t>
  </si>
  <si>
    <t>European Journal of Clinical Pharmacology</t>
  </si>
  <si>
    <t>European Journal of Combinatorics</t>
  </si>
  <si>
    <t>European Journal of Communication</t>
  </si>
  <si>
    <t>European Journal of Computational Mechanics</t>
  </si>
  <si>
    <t>European Journal of Contraception and Reproductive Health Care</t>
  </si>
  <si>
    <t>European Journal of Control</t>
  </si>
  <si>
    <t>European Journal of Crime, Criminal Law and Criminal Justice</t>
  </si>
  <si>
    <t>European Journal of Criminology</t>
  </si>
  <si>
    <t>European Journal of Cultural Studies</t>
  </si>
  <si>
    <t>European Journal of Dental Education</t>
  </si>
  <si>
    <t>European Journal of Dentistry</t>
  </si>
  <si>
    <t>European Journal of Dermatology</t>
  </si>
  <si>
    <t>European Journal of Developmental Psychology</t>
  </si>
  <si>
    <t>European Journal of Development Research</t>
  </si>
  <si>
    <t>European Journal of Drug Metabolism and Pharmacokinetics</t>
  </si>
  <si>
    <t>European Journal of East Asian Studies</t>
  </si>
  <si>
    <t>European Journal of Economics, Finance and Administrative Sciences</t>
  </si>
  <si>
    <t>European Journal of Education</t>
  </si>
  <si>
    <t>European Journal of Electrical Engineering</t>
  </si>
  <si>
    <t>European Journal of Emergency Medicine</t>
  </si>
  <si>
    <t>European Journal of Endocrinology</t>
  </si>
  <si>
    <t>European Journal of Endocrinology, Supplement</t>
  </si>
  <si>
    <t>European Journal of Engineering Education</t>
  </si>
  <si>
    <t>European Journal of English Studies</t>
  </si>
  <si>
    <t>European Journal of Entomology</t>
  </si>
  <si>
    <t>European Journal of Environmental and Civil Engineering</t>
  </si>
  <si>
    <t>European Journal of Epidemiology</t>
  </si>
  <si>
    <t>European journal of esthetic dentistry : official journal of the European Academy of Esthetic Dentistry, The</t>
  </si>
  <si>
    <t>European Journal of Finance</t>
  </si>
  <si>
    <t>European Journal of Forest Research</t>
  </si>
  <si>
    <t>European Journal of Gastroenterology and Hepatology</t>
  </si>
  <si>
    <t>European Journal of General Medicine</t>
  </si>
  <si>
    <t>European Journal of General Practice</t>
  </si>
  <si>
    <t>European Journal of Gynaecological Oncology</t>
  </si>
  <si>
    <t>European Journal of Haematology</t>
  </si>
  <si>
    <t>European Journal of Health Economics</t>
  </si>
  <si>
    <t>European Journal of Health Law</t>
  </si>
  <si>
    <t>European Journal of Heart Failure</t>
  </si>
  <si>
    <t>European Journal of Histochemistry</t>
  </si>
  <si>
    <t>European Journal of Horticultural Science</t>
  </si>
  <si>
    <t>European Journal of Hospital Pharmacy: Science and Practice</t>
  </si>
  <si>
    <t>European Journal of Housing Policy</t>
  </si>
  <si>
    <t>European Journal of Human Genetics</t>
  </si>
  <si>
    <t>European Journal of Immunology</t>
  </si>
  <si>
    <t>European Journal of Industrial Engineering</t>
  </si>
  <si>
    <t>European Journal of Industrial Relations</t>
  </si>
  <si>
    <t>European Journal of Inflammation</t>
  </si>
  <si>
    <t>European Journal of Information Systems</t>
  </si>
  <si>
    <t>European Journal of Innovation Management</t>
  </si>
  <si>
    <t>European Journal of Inorganic Chemistry</t>
  </si>
  <si>
    <t>European Journal of Integrative Medicine</t>
  </si>
  <si>
    <t>European Journal of Internal Medicine</t>
  </si>
  <si>
    <t>European Journal of International Law</t>
  </si>
  <si>
    <t>European Journal of International Management</t>
  </si>
  <si>
    <t>European Journal of International Relations</t>
  </si>
  <si>
    <t>European Journal of Jewish Studies</t>
  </si>
  <si>
    <t>European Journal of Law and Economics</t>
  </si>
  <si>
    <t>European Journal of Lipid Science and Technology</t>
  </si>
  <si>
    <t>European Journal of Lymphology and Related Problems</t>
  </si>
  <si>
    <t>European Journal of Marketing</t>
  </si>
  <si>
    <t>European Journal of Mass Spectrometry</t>
  </si>
  <si>
    <t>European Journal of Mechanics, A/Solids</t>
  </si>
  <si>
    <t>European Journal of Mechanics, B/Fluids</t>
  </si>
  <si>
    <t>European Journal of Medical Genetics</t>
  </si>
  <si>
    <t>European Journal of Medical Research</t>
  </si>
  <si>
    <t>European Journal of Medicinal Chemistry</t>
  </si>
  <si>
    <t>European Journal of Mental Health</t>
  </si>
  <si>
    <t>European Journal of Migration and Law</t>
  </si>
  <si>
    <t>European Journal of Mineralogy</t>
  </si>
  <si>
    <t>European Journal of Neurology</t>
  </si>
  <si>
    <t>European Journal of Neuroscience</t>
  </si>
  <si>
    <t>European Journal of Nuclear Medicine and Molecular Imaging</t>
  </si>
  <si>
    <t>European Journal of Nutrition</t>
  </si>
  <si>
    <t>European Journal of Obstetrics, Gynecology and Reproductive Biology</t>
  </si>
  <si>
    <t>European Journal of Oncology</t>
  </si>
  <si>
    <t>European Journal of Oncology Nursing</t>
  </si>
  <si>
    <t>European Journal of Oncology Pharmacy</t>
  </si>
  <si>
    <t>European Journal of Operational Research</t>
  </si>
  <si>
    <t>European Journal of Ophthalmology</t>
  </si>
  <si>
    <t>European journal of oral implantology</t>
  </si>
  <si>
    <t>European Journal of Oral Sciences</t>
  </si>
  <si>
    <t>European Journal of Organic Chemistry</t>
  </si>
  <si>
    <t>European Journal of Oriental Medicine</t>
  </si>
  <si>
    <t>European Journal of Orthodontics</t>
  </si>
  <si>
    <t>European Journal of Orthopaedic Surgery and Traumatology</t>
  </si>
  <si>
    <t>European Journal of Paediatric Neurology</t>
  </si>
  <si>
    <t>European Journal of Pain</t>
  </si>
  <si>
    <t>European Journal of Pain Supplements</t>
  </si>
  <si>
    <t>European Journal of Palliative Care</t>
  </si>
  <si>
    <t>European Journal of Parenteral and Pharmaceutical Sciences</t>
  </si>
  <si>
    <t>European Journal of Pediatric Dermatology</t>
  </si>
  <si>
    <t>European Journal of Pediatrics</t>
  </si>
  <si>
    <t>European Journal of Pediatric Surgery</t>
  </si>
  <si>
    <t>European Journal of Personality</t>
  </si>
  <si>
    <t>European Journal of Pharmaceutical Sciences</t>
  </si>
  <si>
    <t>European Journal of Pharmaceutics and Biopharmaceutics</t>
  </si>
  <si>
    <t>European Journal of Pharmacology</t>
  </si>
  <si>
    <t>European Journal of Philosophy</t>
  </si>
  <si>
    <t>European Journal of Phycology</t>
  </si>
  <si>
    <t>European Journal of Physical and Rehabilitation Medicine</t>
  </si>
  <si>
    <t>European Journal of Physics</t>
  </si>
  <si>
    <t>European Journal of Plant Pathology</t>
  </si>
  <si>
    <t>European Journal of Plastic Surgery</t>
  </si>
  <si>
    <t>European Journal of Political Economy</t>
  </si>
  <si>
    <t>European Journal of Political Research</t>
  </si>
  <si>
    <t>European Journal of Political Theory</t>
  </si>
  <si>
    <t>European Journal of Population</t>
  </si>
  <si>
    <t>European journal of prosthodontics and restorative dentistry, The</t>
  </si>
  <si>
    <t>European Journal of Protistology</t>
  </si>
  <si>
    <t>European Journal of Psychiatry</t>
  </si>
  <si>
    <t>European Journal of Psychological Assessment</t>
  </si>
  <si>
    <t>European Journal of Psychology Applied to Legal Context</t>
  </si>
  <si>
    <t>European Journal of Psychology of Education</t>
  </si>
  <si>
    <t>European Journal of Psychotherapy and Counselling</t>
  </si>
  <si>
    <t>European Journal of Public Health</t>
  </si>
  <si>
    <t>European Journal of Radiology</t>
  </si>
  <si>
    <t>European Journal of Radiology Extra</t>
  </si>
  <si>
    <t>European Journal of Scandinavian Studies</t>
  </si>
  <si>
    <t>European Journal of Science and Theology</t>
  </si>
  <si>
    <t>European Journal of Scientific Research</t>
  </si>
  <si>
    <t>European Journal of Social Psychology</t>
  </si>
  <si>
    <t>European Journal of Social Sciences</t>
  </si>
  <si>
    <t>European Journal of Social Theory</t>
  </si>
  <si>
    <t>European Journal of Social Work</t>
  </si>
  <si>
    <t>European Journal of Soil Biology</t>
  </si>
  <si>
    <t>European Journal of Soil Science</t>
  </si>
  <si>
    <t>European Journal of Spatial Development</t>
  </si>
  <si>
    <t>European Journal of Special Needs Education</t>
  </si>
  <si>
    <t>European Journal of Sport Science</t>
  </si>
  <si>
    <t>European Journal of Surgical Oncology</t>
  </si>
  <si>
    <t>European Journal of Teacher Education</t>
  </si>
  <si>
    <t>European Journal of the History of Economic Thought</t>
  </si>
  <si>
    <t>European Journal of Theology</t>
  </si>
  <si>
    <t>European Journal of Tourism Research</t>
  </si>
  <si>
    <t>European Journal of Training and Development</t>
  </si>
  <si>
    <t>European Journal of Transport and Infrastructure Research</t>
  </si>
  <si>
    <t>European Journal of Trauma and Emergency Surgery</t>
  </si>
  <si>
    <t>European Journal of Vascular and Endovascular Surgery</t>
  </si>
  <si>
    <t>European Journal of Wildlife Research</t>
  </si>
  <si>
    <t>European Journal of Women's Studies</t>
  </si>
  <si>
    <t>European Journal of Work and Organizational Psychology</t>
  </si>
  <si>
    <t>European Journal on Criminal Policy and Research</t>
  </si>
  <si>
    <t>European Joyce Studies</t>
  </si>
  <si>
    <t>European Law Journal</t>
  </si>
  <si>
    <t>European Law Review</t>
  </si>
  <si>
    <t>European Legacy</t>
  </si>
  <si>
    <t>European Management Journal</t>
  </si>
  <si>
    <t>European Management Review</t>
  </si>
  <si>
    <t>European Medieval Drama</t>
  </si>
  <si>
    <t>European Neurological Journal</t>
  </si>
  <si>
    <t>European Neurological Review</t>
  </si>
  <si>
    <t>European Neurology</t>
  </si>
  <si>
    <t>European Neuropsychopharmacology</t>
  </si>
  <si>
    <t>European Orthopaedics and Traumatology</t>
  </si>
  <si>
    <t>European Physical Education Review</t>
  </si>
  <si>
    <t>European Physical Journal A</t>
  </si>
  <si>
    <t>European Physical Journal B</t>
  </si>
  <si>
    <t>European Physical Journal C</t>
  </si>
  <si>
    <t>European Physical Journal D</t>
  </si>
  <si>
    <t>European Physical Journal E</t>
  </si>
  <si>
    <t>European Physical Journal H</t>
  </si>
  <si>
    <t>European Physical Journal Plus</t>
  </si>
  <si>
    <t>European Physical Journal: Special Topics</t>
  </si>
  <si>
    <t>European Planning Studies</t>
  </si>
  <si>
    <t>European Political Science</t>
  </si>
  <si>
    <t>European Polymer Journal</t>
  </si>
  <si>
    <t>European Psychiatric Review</t>
  </si>
  <si>
    <t>European Psychiatry</t>
  </si>
  <si>
    <t>European Psychologist</t>
  </si>
  <si>
    <t>European Radiology</t>
  </si>
  <si>
    <t>European Research Studies Journal</t>
  </si>
  <si>
    <t>European Respiratory Disease</t>
  </si>
  <si>
    <t>European Respiratory Journal</t>
  </si>
  <si>
    <t>European Respiratory Monograph</t>
  </si>
  <si>
    <t>European Respiratory Review</t>
  </si>
  <si>
    <t>European Review</t>
  </si>
  <si>
    <t>European Review for Medical and Pharmacological Sciences</t>
  </si>
  <si>
    <t>European Review of Aging and Physical Activity</t>
  </si>
  <si>
    <t>European Review of Agricultural Economics</t>
  </si>
  <si>
    <t>European Review of Economic History</t>
  </si>
  <si>
    <t>European Review of History/Revue Europeenne d'Histoire</t>
  </si>
  <si>
    <t>European Review of Social Psychology</t>
  </si>
  <si>
    <t>European Romantic Review</t>
  </si>
  <si>
    <t>European Science Editing</t>
  </si>
  <si>
    <t>European Societies</t>
  </si>
  <si>
    <t>European Sociological Review</t>
  </si>
  <si>
    <t>European Space Agency Bulletin</t>
  </si>
  <si>
    <t>European Spatial Research and Policy</t>
  </si>
  <si>
    <t>European Spine Journal</t>
  </si>
  <si>
    <t>European Sport Management Quarterly</t>
  </si>
  <si>
    <t>European Surgery - Acta Chirurgica Austriaca</t>
  </si>
  <si>
    <t>European Surgical Research</t>
  </si>
  <si>
    <t>European Transactions on Electrical Power</t>
  </si>
  <si>
    <t>European Transactions on Telecommunications</t>
  </si>
  <si>
    <t>European Transport Research Review</t>
  </si>
  <si>
    <t>European Transport - Trasporti Europei</t>
  </si>
  <si>
    <t>European Union Politics</t>
  </si>
  <si>
    <t>European Urban and Regional Studies</t>
  </si>
  <si>
    <t>European Urological Review</t>
  </si>
  <si>
    <t>European Urology</t>
  </si>
  <si>
    <t>European Urology, Supplements</t>
  </si>
  <si>
    <t>Europe-Asia Studies</t>
  </si>
  <si>
    <t>Europe's Journal of Psychology</t>
  </si>
  <si>
    <t>Europhysics Letters</t>
  </si>
  <si>
    <t>Europhysics News</t>
  </si>
  <si>
    <t>Eurosurveillance</t>
  </si>
  <si>
    <t>Evaluation</t>
  </si>
  <si>
    <t>Evaluation and Program Planning</t>
  </si>
  <si>
    <t>Evaluation and Research in Education</t>
  </si>
  <si>
    <t>Evaluation and the Health Professions</t>
  </si>
  <si>
    <t>Evaluation Review</t>
  </si>
  <si>
    <t>Event Management</t>
  </si>
  <si>
    <t>Evidence and Policy</t>
  </si>
  <si>
    <t>Evidence-Based Child Health</t>
  </si>
  <si>
    <t>Evidence-Based Communication Assessment and Intervention</t>
  </si>
  <si>
    <t>Evidence-based Complementary and Alternative Medicine</t>
  </si>
  <si>
    <t>Evidence-Based Dentistry</t>
  </si>
  <si>
    <t>Evidence Based Library and Information Practice</t>
  </si>
  <si>
    <t>Evidence-Based Medicine</t>
  </si>
  <si>
    <t>Evidence-Based Mental Health</t>
  </si>
  <si>
    <t>Evidence-based nursing</t>
  </si>
  <si>
    <t>Evidence-Based Ophthalmology</t>
  </si>
  <si>
    <t>Evidence-Based Practice</t>
  </si>
  <si>
    <t>Evidence report/technology assessment</t>
  </si>
  <si>
    <t>EvoDevo</t>
  </si>
  <si>
    <t>Evolution and Development</t>
  </si>
  <si>
    <t>Evolution and Human Behavior</t>
  </si>
  <si>
    <t>Evolutionary Anthropology</t>
  </si>
  <si>
    <t>Evolutionary Applications</t>
  </si>
  <si>
    <t>Evolutionary Bioinformatics</t>
  </si>
  <si>
    <t>Evolutionary Biology</t>
  </si>
  <si>
    <t>Evolutionary Computation</t>
  </si>
  <si>
    <t>Evolutionary Ecology</t>
  </si>
  <si>
    <t>Evolutionary Ecology Research</t>
  </si>
  <si>
    <t>Evolutionary Intelligence</t>
  </si>
  <si>
    <t>Evolutionary Psychology</t>
  </si>
  <si>
    <t>Evolution; international journal of organic evolution</t>
  </si>
  <si>
    <t>Evolution Psychiatrique</t>
  </si>
  <si>
    <t>Evolving Systems</t>
  </si>
  <si>
    <t>Exartisis</t>
  </si>
  <si>
    <t>Excellence in Ecology</t>
  </si>
  <si>
    <t>Exceptional Children</t>
  </si>
  <si>
    <t>Exceptionality</t>
  </si>
  <si>
    <t>Exceptionality Education International</t>
  </si>
  <si>
    <t>Exchange</t>
  </si>
  <si>
    <t>EXCLI Journal</t>
  </si>
  <si>
    <t>Exemplaria</t>
  </si>
  <si>
    <t>Exemplaria Classica</t>
  </si>
  <si>
    <t>Exercise and Sport Sciences Reviews</t>
  </si>
  <si>
    <t>Exercise Immunology Review</t>
  </si>
  <si>
    <t>Experimental Aging Research</t>
  </si>
  <si>
    <t>Experimental Agriculture</t>
  </si>
  <si>
    <t>Experimental and Applied Acarology</t>
  </si>
  <si>
    <t>Experimental and Clinical Cardiology</t>
  </si>
  <si>
    <t>Experimental and Clinical Endocrinology and Diabetes</t>
  </si>
  <si>
    <t>Experimental and Clinical Hepatology</t>
  </si>
  <si>
    <t>Experimental and Clinical Psychopharmacology</t>
  </si>
  <si>
    <t>Experimental and Clinical Transplantation</t>
  </si>
  <si>
    <t>Experimental and Molecular Medicine</t>
  </si>
  <si>
    <t>Experimental and Molecular Pathology</t>
  </si>
  <si>
    <t>Experimental and Therapeutic Medicine</t>
  </si>
  <si>
    <t>Experimental and Toxicologic Pathology</t>
  </si>
  <si>
    <t>Experimental and Translational Stroke Medicine</t>
  </si>
  <si>
    <t>Experimental Animals</t>
  </si>
  <si>
    <t>Experimental Astronomy</t>
  </si>
  <si>
    <t>Experimental Biology and Medicine</t>
  </si>
  <si>
    <t>Experimental Brain Research</t>
  </si>
  <si>
    <t>Experimental Cell Research</t>
  </si>
  <si>
    <t>Experimental Dermatology</t>
  </si>
  <si>
    <t>Experimental Diabetes Research</t>
  </si>
  <si>
    <t>Experimental Economics</t>
  </si>
  <si>
    <t>Experimental Eye Research</t>
  </si>
  <si>
    <t>Experimental Gerontology</t>
  </si>
  <si>
    <t>Experimental Heat Transfer</t>
  </si>
  <si>
    <t>Experimental Hematology</t>
  </si>
  <si>
    <t>Experimental Lung Research</t>
  </si>
  <si>
    <t>Experimental Mathematics</t>
  </si>
  <si>
    <t>Experimental Mechanics</t>
  </si>
  <si>
    <t>Experimental Neurology</t>
  </si>
  <si>
    <t>Experimental Parasitology</t>
  </si>
  <si>
    <t>Experimental Physiology</t>
  </si>
  <si>
    <t>Experimental Psychology</t>
  </si>
  <si>
    <t>Experimental Techniques</t>
  </si>
  <si>
    <t>Experimental Thermal and Fluid Science</t>
  </si>
  <si>
    <t>Experiments in Fluids</t>
  </si>
  <si>
    <t>Expert Opinion on Biological Therapy</t>
  </si>
  <si>
    <t>Expert Opinion on Drug Delivery</t>
  </si>
  <si>
    <t>Expert Opinion on Drug Discovery</t>
  </si>
  <si>
    <t>Expert Opinion on Drug Metabolism and Toxicology</t>
  </si>
  <si>
    <t>Expert Opinion on Drug Safety</t>
  </si>
  <si>
    <t>Expert Opinion on Emerging Drugs</t>
  </si>
  <si>
    <t>Expert Opinion on Investigational Drugs</t>
  </si>
  <si>
    <t>Expert Opinion on Medical Diagnostics</t>
  </si>
  <si>
    <t>Expert Opinion on Pharmacotherapy</t>
  </si>
  <si>
    <t>Expert Opinion on Therapeutic Patents</t>
  </si>
  <si>
    <t>Expert Opinion on Therapeutic Targets</t>
  </si>
  <si>
    <t>Expert Review of Anticancer Therapy</t>
  </si>
  <si>
    <t>Expert Review of Anti-Infective Therapy</t>
  </si>
  <si>
    <t>Expert Review of Cardiovascular Therapy</t>
  </si>
  <si>
    <t>Expert Review of Clinical Immunology</t>
  </si>
  <si>
    <t>Expert Review of Clinical Pharmacology</t>
  </si>
  <si>
    <t>Expert Review of Dermatology</t>
  </si>
  <si>
    <t>Expert Review of Endocrinology and Metabolism</t>
  </si>
  <si>
    <t>Expert Review of Gastroenterology and Hepatology</t>
  </si>
  <si>
    <t>Expert Review of Hematology</t>
  </si>
  <si>
    <t>Expert Review of Medical Devices</t>
  </si>
  <si>
    <t>Expert Review of Molecular Diagnostics</t>
  </si>
  <si>
    <t>Expert Review of Neurotherapeutics</t>
  </si>
  <si>
    <t>Expert Review of Obstetrics and Gynecology</t>
  </si>
  <si>
    <t>Expert Review of Ophthalmology</t>
  </si>
  <si>
    <t>Expert Review of Pharmacoeconomics and Outcomes Research</t>
  </si>
  <si>
    <t>Expert Review of Proteomics</t>
  </si>
  <si>
    <t>Expert Review of Respiratory Medicine</t>
  </si>
  <si>
    <t>Expert Review of Vaccines</t>
  </si>
  <si>
    <t>Expert Reviews in Molecular Medicine</t>
  </si>
  <si>
    <t>Expert Systems</t>
  </si>
  <si>
    <t>Expert Systems with Applications</t>
  </si>
  <si>
    <t>Explicator</t>
  </si>
  <si>
    <t>Exploration and Research for Atomic Minerals</t>
  </si>
  <si>
    <t>Exploration Geophysics</t>
  </si>
  <si>
    <t>Explorations in Economic History</t>
  </si>
  <si>
    <t>Explore: The Journal of Science and Healing</t>
  </si>
  <si>
    <t>Explosion</t>
  </si>
  <si>
    <t>Expositiones Mathematicae</t>
  </si>
  <si>
    <t>Expository Times</t>
  </si>
  <si>
    <t>Expressions Maghrebines</t>
  </si>
  <si>
    <t>Express Polymer Letters</t>
  </si>
  <si>
    <t>EXS</t>
  </si>
  <si>
    <t>Extrapolation</t>
  </si>
  <si>
    <t>Extremes</t>
  </si>
  <si>
    <t>Extremophiles : life under extreme conditions</t>
  </si>
  <si>
    <t>Eye</t>
  </si>
  <si>
    <t>Eye &amp; Contact Lens: Science &amp; Clinical Practice</t>
  </si>
  <si>
    <t>Eye - International Review of Graphic Design</t>
  </si>
  <si>
    <t>F1000 Biology Reports</t>
  </si>
  <si>
    <t>F1000 Medicine Reports</t>
  </si>
  <si>
    <t>Fabula</t>
  </si>
  <si>
    <t>Fachsprache</t>
  </si>
  <si>
    <t>Facial Plastic Surgery</t>
  </si>
  <si>
    <t>Facial Plastic Surgery Clinics of North America</t>
  </si>
  <si>
    <t>Facies</t>
  </si>
  <si>
    <t>Facilities</t>
  </si>
  <si>
    <t>Familial Cancer</t>
  </si>
  <si>
    <t>Familiendynamik</t>
  </si>
  <si>
    <t>Families in Society</t>
  </si>
  <si>
    <t>Families, Systems and Health</t>
  </si>
  <si>
    <t>Family and Community Health</t>
  </si>
  <si>
    <t>Family and Consumer Sciences Research Journal</t>
  </si>
  <si>
    <t>Family Business Review</t>
  </si>
  <si>
    <t>Family Journal</t>
  </si>
  <si>
    <t>Family Law Quarterly</t>
  </si>
  <si>
    <t>Family Matters</t>
  </si>
  <si>
    <t>Family Medicine</t>
  </si>
  <si>
    <t>Family Medicine and Primary Care Review</t>
  </si>
  <si>
    <t>Family Practice</t>
  </si>
  <si>
    <t>Family Practice Management</t>
  </si>
  <si>
    <t>Family Process</t>
  </si>
  <si>
    <t>Family Relations</t>
  </si>
  <si>
    <t>Family Science</t>
  </si>
  <si>
    <t>Fangzhi Gaoxiao Jichukexue Xuebao</t>
  </si>
  <si>
    <t>Faraday Discussions</t>
  </si>
  <si>
    <t>Far East Journal of Mathematical Sciences</t>
  </si>
  <si>
    <t>Farmaceuticky Obzor</t>
  </si>
  <si>
    <t>Farmaceuticos de Atencion Primaria</t>
  </si>
  <si>
    <t>Farmaceutisch Tijdschrift voor Belgie</t>
  </si>
  <si>
    <t>Farmaceutski Glasnik</t>
  </si>
  <si>
    <t>Farmaceutyczny Przeglad Naukowy</t>
  </si>
  <si>
    <t>Farmacevtski Vestnik</t>
  </si>
  <si>
    <t>Farmacia</t>
  </si>
  <si>
    <t>Farmacia Hospitalaria</t>
  </si>
  <si>
    <t>FASEB Journal</t>
  </si>
  <si>
    <t>Fashion Theory - Journal of Dress Body and Culture</t>
  </si>
  <si>
    <t>Fathering</t>
  </si>
  <si>
    <t>Fatigue and Fracture of Engineering Materials and Structures</t>
  </si>
  <si>
    <t>Fauna Norvegica</t>
  </si>
  <si>
    <t>FEBS Journal</t>
  </si>
  <si>
    <t>FEBS Letters</t>
  </si>
  <si>
    <t>FEBS Open Bio</t>
  </si>
  <si>
    <t>Feddes Repertorium</t>
  </si>
  <si>
    <t>Federal Probation</t>
  </si>
  <si>
    <t>Federal Register</t>
  </si>
  <si>
    <t>Federal Reserve Bank of St. Louis Review</t>
  </si>
  <si>
    <t>Felsbau Magazin</t>
  </si>
  <si>
    <t>Female Pelvic Medicine and Reconstructive Surgery</t>
  </si>
  <si>
    <t>Feminism and Psychology</t>
  </si>
  <si>
    <t>Feminist Criminology</t>
  </si>
  <si>
    <t>Feminist Economics</t>
  </si>
  <si>
    <t>Feministische Studien</t>
  </si>
  <si>
    <t>Feminist Legal Studies</t>
  </si>
  <si>
    <t>Feminist Media Studies</t>
  </si>
  <si>
    <t>Feminist Review</t>
  </si>
  <si>
    <t>Feminist Studies</t>
  </si>
  <si>
    <t>Feminist Theology</t>
  </si>
  <si>
    <t>Feminist Theory</t>
  </si>
  <si>
    <t>FEMS Immunology and Medical Microbiology</t>
  </si>
  <si>
    <t>FEMS Microbiology Ecology</t>
  </si>
  <si>
    <t>FEMS Microbiology Letters</t>
  </si>
  <si>
    <t>FEMS Microbiology Reviews</t>
  </si>
  <si>
    <t>FEMS Yeast Research</t>
  </si>
  <si>
    <t>Fenmo Yejin Cailiao Kexue yu Gongcheng/Materials Science and Engineering of Powder Metallurgy</t>
  </si>
  <si>
    <t>Fenmo Yejin Jishu/Powder Metallurgy Technology</t>
  </si>
  <si>
    <t>Fennia</t>
  </si>
  <si>
    <t>Fenxi Huaxue</t>
  </si>
  <si>
    <t>Fern Gazette</t>
  </si>
  <si>
    <t>Ferroelectrics</t>
  </si>
  <si>
    <t>Ferroelectrics, Letters Section</t>
  </si>
  <si>
    <t>Fertility and Sterility</t>
  </si>
  <si>
    <t>Fetal and Maternal Medicine Review</t>
  </si>
  <si>
    <t>Fetal and Pediatric Pathology</t>
  </si>
  <si>
    <t>Fetal Diagnosis and Therapy</t>
  </si>
  <si>
    <t>Feuillets de Biologie</t>
  </si>
  <si>
    <t>Feuillets de Radiologie</t>
  </si>
  <si>
    <t>Few-Body Systems</t>
  </si>
  <si>
    <t>Fiber and Integrated Optics</t>
  </si>
  <si>
    <t>Fibers and Polymers</t>
  </si>
  <si>
    <t>Fibonacci Quarterly</t>
  </si>
  <si>
    <t>Fibre Chemistry (English Translation of Khimicheskie Volokna)</t>
  </si>
  <si>
    <t>Fibres and Textiles in Eastern Europe</t>
  </si>
  <si>
    <t>Fichte-Studien</t>
  </si>
  <si>
    <t>Field Actions Science Report</t>
  </si>
  <si>
    <t>Field Crops Research</t>
  </si>
  <si>
    <t>Field Methods</t>
  </si>
  <si>
    <t>Field Mycology</t>
  </si>
  <si>
    <t>Fifteenth-Century Studies</t>
  </si>
  <si>
    <t>Figures de la Psychanalyse</t>
  </si>
  <si>
    <t>Film and History</t>
  </si>
  <si>
    <t>Film Comment</t>
  </si>
  <si>
    <t>Film Criticism</t>
  </si>
  <si>
    <t>Film History: An International Journal</t>
  </si>
  <si>
    <t>Film International</t>
  </si>
  <si>
    <t>Film Quarterly</t>
  </si>
  <si>
    <t>Filologija</t>
  </si>
  <si>
    <t>Filomat</t>
  </si>
  <si>
    <t>Filosofia Politica</t>
  </si>
  <si>
    <t>Filosoficky Casopis</t>
  </si>
  <si>
    <t>Filosofija, Sociologija</t>
  </si>
  <si>
    <t>Filozofia</t>
  </si>
  <si>
    <t>Filozofia Nauki</t>
  </si>
  <si>
    <t>Filozofska Istrazivanja</t>
  </si>
  <si>
    <t>Filozofski Vestnik</t>
  </si>
  <si>
    <t>Filtration</t>
  </si>
  <si>
    <t>Filtration and Separation</t>
  </si>
  <si>
    <t>Finance and Development</t>
  </si>
  <si>
    <t>Finance and Stochastics</t>
  </si>
  <si>
    <t>Finance a Uver</t>
  </si>
  <si>
    <t>Finance Research Letters</t>
  </si>
  <si>
    <t>Financial Analysts Journal</t>
  </si>
  <si>
    <t>Financial History Review</t>
  </si>
  <si>
    <t>Financial Management</t>
  </si>
  <si>
    <t>Financial Markets and Portfolio Management</t>
  </si>
  <si>
    <t>Financial Markets, Institutions and Instruments</t>
  </si>
  <si>
    <t>Financial Review</t>
  </si>
  <si>
    <t>FinanzArchiv</t>
  </si>
  <si>
    <t>Findings brief : health care financing &amp; organization</t>
  </si>
  <si>
    <t>Finisterra</t>
  </si>
  <si>
    <t>Finite Elements in Analysis and Design</t>
  </si>
  <si>
    <t>Finite Fields and Their Applications</t>
  </si>
  <si>
    <t>Fire and Materials</t>
  </si>
  <si>
    <t>Fire Ecology</t>
  </si>
  <si>
    <t>Fire Rescue Magazine</t>
  </si>
  <si>
    <t>Fire Safety Journal</t>
  </si>
  <si>
    <t>Fire Technology</t>
  </si>
  <si>
    <t>First Break</t>
  </si>
  <si>
    <t>First Language</t>
  </si>
  <si>
    <t>First Monday</t>
  </si>
  <si>
    <t>First World War Studies</t>
  </si>
  <si>
    <t>Fiscal Studies</t>
  </si>
  <si>
    <t>Fish and Fisheries</t>
  </si>
  <si>
    <t>Fish and Shellfish Immunology</t>
  </si>
  <si>
    <t>Fisheries</t>
  </si>
  <si>
    <t>Fisheries Management and Ecology</t>
  </si>
  <si>
    <t>Fisheries Oceanography</t>
  </si>
  <si>
    <t>Fisheries Research</t>
  </si>
  <si>
    <t>Fisheries Science</t>
  </si>
  <si>
    <t>Fishery Bulletin</t>
  </si>
  <si>
    <t>Fish Pathology</t>
  </si>
  <si>
    <t>Fish Physiology</t>
  </si>
  <si>
    <t>Fish Physiology and Biochemistry</t>
  </si>
  <si>
    <t>Fisioterapia</t>
  </si>
  <si>
    <t>Fitosociologia</t>
  </si>
  <si>
    <t>Fitoterapia</t>
  </si>
  <si>
    <t>Fixed Point Theory</t>
  </si>
  <si>
    <t>Fixed Point Theory and Applications</t>
  </si>
  <si>
    <t>Fizika B</t>
  </si>
  <si>
    <t>Fiziologicheskii Zhurnal</t>
  </si>
  <si>
    <t>Fiziologiia cheloveka</t>
  </si>
  <si>
    <t>Fizjoterapia</t>
  </si>
  <si>
    <t>Fizjoterapia Polska</t>
  </si>
  <si>
    <t>Fizyoterapi Rehabilitasyon</t>
  </si>
  <si>
    <t>Flavour and Fragrance Journal</t>
  </si>
  <si>
    <t>Flexible Services and Manufacturing Journal</t>
  </si>
  <si>
    <t>Flora</t>
  </si>
  <si>
    <t>Floresta</t>
  </si>
  <si>
    <t>Florida Entomologist</t>
  </si>
  <si>
    <t>Florida Geographer</t>
  </si>
  <si>
    <t>Florida nurse, The</t>
  </si>
  <si>
    <t>Flow Measurement and Instrumentation</t>
  </si>
  <si>
    <t>Flow, Turbulence and Combustion</t>
  </si>
  <si>
    <t>Fluctuation and Noise Letters</t>
  </si>
  <si>
    <t>Fluid Dynamics</t>
  </si>
  <si>
    <t>Fluid Dynamics and Materials Processing</t>
  </si>
  <si>
    <t>Fluid Dynamics Research</t>
  </si>
  <si>
    <t>Fluid Mechanics and its Applications</t>
  </si>
  <si>
    <t>Fluid Phase Equilibria</t>
  </si>
  <si>
    <t>Fluids and Barriers of the CNS</t>
  </si>
  <si>
    <t>Fluminensia</t>
  </si>
  <si>
    <t>Fluoride - Quarterly Reports</t>
  </si>
  <si>
    <t>Flux</t>
  </si>
  <si>
    <t>Fly</t>
  </si>
  <si>
    <t>FMC Formacion Medica Continuada en Atencion Primaria</t>
  </si>
  <si>
    <t>FME Transactions</t>
  </si>
  <si>
    <t>Focaal</t>
  </si>
  <si>
    <t>Focus on Alternative and Complementary Therapies</t>
  </si>
  <si>
    <t>Focus on Autism and Other Developmental Disabilities</t>
  </si>
  <si>
    <t>Focus on Cancer Medicine</t>
  </si>
  <si>
    <t>Focus on Exceptional Children</t>
  </si>
  <si>
    <t>Focus on Geography</t>
  </si>
  <si>
    <t>Focus on Parkinson's Disease</t>
  </si>
  <si>
    <t>FOG - Freiberg Online Geoscience</t>
  </si>
  <si>
    <t>Fogorvosi szemle</t>
  </si>
  <si>
    <t>Foldrajzi Ertesito</t>
  </si>
  <si>
    <t>Foldtani Kozlony</t>
  </si>
  <si>
    <t>Folia Biologica</t>
  </si>
  <si>
    <t>Folia Cryptogamica Estonica</t>
  </si>
  <si>
    <t>Folia Forestalia Polonica, Series A</t>
  </si>
  <si>
    <t>Folia Geobotanica</t>
  </si>
  <si>
    <t>Folia Histochemica et Cytobiologica</t>
  </si>
  <si>
    <t>Folia Japonica de Ophthalmologica Clinica</t>
  </si>
  <si>
    <t>Folia Linguistica</t>
  </si>
  <si>
    <t>Folia Linguistica Historica</t>
  </si>
  <si>
    <t>Folia Medica</t>
  </si>
  <si>
    <t>Folia Medica Cracoviensia</t>
  </si>
  <si>
    <t>Folia Microbiologica</t>
  </si>
  <si>
    <t>Folia Morphologica</t>
  </si>
  <si>
    <t>Folia Neuropathologica</t>
  </si>
  <si>
    <t>Folia Oecologica</t>
  </si>
  <si>
    <t>Folia Onomastica Croatica</t>
  </si>
  <si>
    <t>Folia Parasitologica</t>
  </si>
  <si>
    <t>Folia Pharmacologica Japonica</t>
  </si>
  <si>
    <t>Folia Phoniatrica et Logopaedica</t>
  </si>
  <si>
    <t>Folia Primatologica</t>
  </si>
  <si>
    <t>Folia Zoologica</t>
  </si>
  <si>
    <t>Folk Life</t>
  </si>
  <si>
    <t>Folklore</t>
  </si>
  <si>
    <t>Folklore (Estonia)</t>
  </si>
  <si>
    <t>Folk Music Journal</t>
  </si>
  <si>
    <t>Fontes Artis Musicae</t>
  </si>
  <si>
    <t>Food Additives and Contaminants - Part A Chemistry, Analysis, Control, Exposure and Risk Assessment</t>
  </si>
  <si>
    <t>Food Additives and Contaminants: Part B Surveillance</t>
  </si>
  <si>
    <t>Food Analytical Methods</t>
  </si>
  <si>
    <t>Food and Agricultural Immunology</t>
  </si>
  <si>
    <t>Food and Bioprocess Technology</t>
  </si>
  <si>
    <t>Food and Bioproducts Processing</t>
  </si>
  <si>
    <t>Food and Chemical Toxicology</t>
  </si>
  <si>
    <t>Food and Drug Law Journal</t>
  </si>
  <si>
    <t>Food and Environmental Virology</t>
  </si>
  <si>
    <t>Food and Foodways</t>
  </si>
  <si>
    <t>Food and Function</t>
  </si>
  <si>
    <t>Food and Nutrition Bulletin</t>
  </si>
  <si>
    <t>Food Australia</t>
  </si>
  <si>
    <t>Food Biophysics</t>
  </si>
  <si>
    <t>Food Biotechnology</t>
  </si>
  <si>
    <t>Foodborne Pathogens and Disease</t>
  </si>
  <si>
    <t>Food Chemistry</t>
  </si>
  <si>
    <t>Food Control</t>
  </si>
  <si>
    <t>Food, Culture and Society</t>
  </si>
  <si>
    <t>Food Digestion</t>
  </si>
  <si>
    <t>Food Engineering Reviews</t>
  </si>
  <si>
    <t>Food Hydrocolloids</t>
  </si>
  <si>
    <t>Food Microbiology</t>
  </si>
  <si>
    <t>Food Policy</t>
  </si>
  <si>
    <t>Food Protection Trends</t>
  </si>
  <si>
    <t>Food Quality and Preference</t>
  </si>
  <si>
    <t>Food Research International</t>
  </si>
  <si>
    <t>Food Reviews International</t>
  </si>
  <si>
    <t>Food Science and Biotechnology</t>
  </si>
  <si>
    <t>Food Science and Technology</t>
  </si>
  <si>
    <t>Food Science and Technology International</t>
  </si>
  <si>
    <t>Food Science and Technology Research</t>
  </si>
  <si>
    <t>Food Security</t>
  </si>
  <si>
    <t>Food Technology and Biotechnology</t>
  </si>
  <si>
    <t>Foot</t>
  </si>
  <si>
    <t>Foot and Ankle Clinics</t>
  </si>
  <si>
    <t>Foot and Ankle International</t>
  </si>
  <si>
    <t>Foot and Ankle Specialist</t>
  </si>
  <si>
    <t>Foot and Ankle Surgery</t>
  </si>
  <si>
    <t>Footprint</t>
  </si>
  <si>
    <t>Fordham Law Review</t>
  </si>
  <si>
    <t>Foreign Affairs</t>
  </si>
  <si>
    <t>Foreign Language Annals</t>
  </si>
  <si>
    <t>Foreign Policy</t>
  </si>
  <si>
    <t>Foreign Policy Analysis</t>
  </si>
  <si>
    <t>Forensic Science International</t>
  </si>
  <si>
    <t>Forensic Science International: Genetics</t>
  </si>
  <si>
    <t>Forensic Science International: Genetics Supplement Series</t>
  </si>
  <si>
    <t>Forensic Science, Medicine, and Pathology</t>
  </si>
  <si>
    <t>Forensic Toxicology</t>
  </si>
  <si>
    <t>Forensische Psychiatrie, Psychologie, Kriminologie</t>
  </si>
  <si>
    <t>Foresight</t>
  </si>
  <si>
    <t>Forest Ecology and Management</t>
  </si>
  <si>
    <t>Forest Pathology</t>
  </si>
  <si>
    <t>Forest Policy and Economics</t>
  </si>
  <si>
    <t>Forest Products Journal</t>
  </si>
  <si>
    <t>Forest Research</t>
  </si>
  <si>
    <t>Forestry</t>
  </si>
  <si>
    <t>Forestry Chronicle</t>
  </si>
  <si>
    <t>Forestry Studies</t>
  </si>
  <si>
    <t>Forestry Studies in China</t>
  </si>
  <si>
    <t>Forests</t>
  </si>
  <si>
    <t>Forest Science</t>
  </si>
  <si>
    <t>Forest Science and Technology</t>
  </si>
  <si>
    <t>Forests Trees and Livelihoods</t>
  </si>
  <si>
    <t>Forest Systems</t>
  </si>
  <si>
    <t>Formal Aspects of Computing</t>
  </si>
  <si>
    <t>Formalized Mathematics</t>
  </si>
  <si>
    <t>Formal Methods in System Design</t>
  </si>
  <si>
    <t>Formosan Journal of Surgery</t>
  </si>
  <si>
    <t>Formulary</t>
  </si>
  <si>
    <t>Forschende Komplementarmedizin</t>
  </si>
  <si>
    <t>Forschung im Ingenieurwesen/Engineering Research</t>
  </si>
  <si>
    <t>Forstarchiv</t>
  </si>
  <si>
    <t>For the Learning of Mathematics</t>
  </si>
  <si>
    <t>Fortschritte der Chemie Organischer Naturstoffe</t>
  </si>
  <si>
    <t>Fortschritte der Neurologie Psychiatrie</t>
  </si>
  <si>
    <t>Fortschritte der Physik</t>
  </si>
  <si>
    <t>Fortune</t>
  </si>
  <si>
    <t>Forum: A Journal of Applied Research in Contemporary Politics</t>
  </si>
  <si>
    <t>Forum der Psychoanalyse</t>
  </si>
  <si>
    <t>Forum for Development Studies</t>
  </si>
  <si>
    <t>Forum for Modern Language Studies</t>
  </si>
  <si>
    <t>Forum for Nordic Dermato-Venerology</t>
  </si>
  <si>
    <t>Forum for World Literature Studies</t>
  </si>
  <si>
    <t>Forum Italicum</t>
  </si>
  <si>
    <t>Forum Logopadie</t>
  </si>
  <si>
    <t>Forum Mathematicum</t>
  </si>
  <si>
    <t>Forum of Clinical Oncology</t>
  </si>
  <si>
    <t>Forum Qualitative Sozialforschung</t>
  </si>
  <si>
    <t>Fossil Record</t>
  </si>
  <si>
    <t>Fossils</t>
  </si>
  <si>
    <t>Fottea</t>
  </si>
  <si>
    <t>Foundations and Trends in Accounting</t>
  </si>
  <si>
    <t>Foundations and Trends in Communications and Information Theory</t>
  </si>
  <si>
    <t>Foundations and Trends in Computer Graphics and Vision</t>
  </si>
  <si>
    <t>Foundations and Trends in Databases</t>
  </si>
  <si>
    <t>Foundations and Trends in Electronic Design Automation</t>
  </si>
  <si>
    <t>Foundations and Trends in Entrepreneurship</t>
  </si>
  <si>
    <t>Foundations and Trends in Finance</t>
  </si>
  <si>
    <t>Foundations and Trends in Human-Computer Interaction</t>
  </si>
  <si>
    <t>Foundations and Trends in Information Retrieval</t>
  </si>
  <si>
    <t>Foundations and Trends in Machine Learning</t>
  </si>
  <si>
    <t>Foundations and Trends in Marketing</t>
  </si>
  <si>
    <t>Foundations and Trends in Microeconomics</t>
  </si>
  <si>
    <t>Foundations and Trends in Networking</t>
  </si>
  <si>
    <t>Foundations and Trends in Signal Processing</t>
  </si>
  <si>
    <t>Foundations and Trends in Technology, Information and Operations Management</t>
  </si>
  <si>
    <t>Foundations and Trends in Theoretical Computer Science</t>
  </si>
  <si>
    <t>Foundations and Trends in Web Science</t>
  </si>
  <si>
    <t>Foundations in Engineering Mechanics</t>
  </si>
  <si>
    <t>Foundations of Chemistry</t>
  </si>
  <si>
    <t>Foundations of Computational Mathematics</t>
  </si>
  <si>
    <t>Foundations of Physics</t>
  </si>
  <si>
    <t>Foundations of Science</t>
  </si>
  <si>
    <t>Fourth Genre: Explorations in Nonfiction</t>
  </si>
  <si>
    <t>Fractals</t>
  </si>
  <si>
    <t>Fragmenta Floristica et Geobotanica Polonica</t>
  </si>
  <si>
    <t>Francais Moderne</t>
  </si>
  <si>
    <t>Francia. Forschungen zur Westeuropaischen Geschichte</t>
  </si>
  <si>
    <t>Franciscan Studies</t>
  </si>
  <si>
    <t>Free Radical Biology and Medicine</t>
  </si>
  <si>
    <t>Free Radical Research</t>
  </si>
  <si>
    <t>French Colonial History</t>
  </si>
  <si>
    <t>French Cultural Studies</t>
  </si>
  <si>
    <t>French Forum</t>
  </si>
  <si>
    <t>French Historical Studies</t>
  </si>
  <si>
    <t>French History</t>
  </si>
  <si>
    <t>French Literature Series</t>
  </si>
  <si>
    <t>French Politics</t>
  </si>
  <si>
    <t>French Review, The</t>
  </si>
  <si>
    <t>French Studies</t>
  </si>
  <si>
    <t>French Studies Bulletin</t>
  </si>
  <si>
    <t>Frequenz</t>
  </si>
  <si>
    <t>Fresenius Environmental Bulletin</t>
  </si>
  <si>
    <t>Freshwater Biology</t>
  </si>
  <si>
    <t>Frontiers</t>
  </si>
  <si>
    <t>Frontiers in Aging Neuroscience</t>
  </si>
  <si>
    <t>Frontiers in Artificial Intelligence and Applications</t>
  </si>
  <si>
    <t>Frontiers in Behavioral Neuroscience</t>
  </si>
  <si>
    <t>Frontiers in Bioscience</t>
  </si>
  <si>
    <t>Frontiers in bioscience (Elite edition)</t>
  </si>
  <si>
    <t>Frontiers in bioscience (Scholar edition)</t>
  </si>
  <si>
    <t>Frontiers in Cellular Neuroscience</t>
  </si>
  <si>
    <t>Frontiers in Computational Neuroscience</t>
  </si>
  <si>
    <t>Frontiers in Diabetes</t>
  </si>
  <si>
    <t>Frontiers in Earth Sciences</t>
  </si>
  <si>
    <t>Frontiers in Ecology and the Environment</t>
  </si>
  <si>
    <t>Frontiers in Human Neuroscience</t>
  </si>
  <si>
    <t>Frontiers in Integrative Neuroscience</t>
  </si>
  <si>
    <t>Frontiers in Mathematics</t>
  </si>
  <si>
    <t>Frontiers in Molecular Neuroscience</t>
  </si>
  <si>
    <t>Frontiers in Neural Circuits</t>
  </si>
  <si>
    <t>Frontiers in Neuroanatomy</t>
  </si>
  <si>
    <t>Frontiers in Neuroendocrinology</t>
  </si>
  <si>
    <t>Frontiers in Neuroenergetics</t>
  </si>
  <si>
    <t>Frontiers in Neuroengineering</t>
  </si>
  <si>
    <t>Frontiers in Neuroinformatics</t>
  </si>
  <si>
    <t>Frontiers in Neurorobotics</t>
  </si>
  <si>
    <t>Frontiers in Neuroscience</t>
  </si>
  <si>
    <t>Frontiers in Pharmacology</t>
  </si>
  <si>
    <t>Frontiers in Physiology</t>
  </si>
  <si>
    <t>Frontiers in Psychiatry</t>
  </si>
  <si>
    <t>Frontiers in Psychology</t>
  </si>
  <si>
    <t>Frontiers in Synaptic Neuroscience</t>
  </si>
  <si>
    <t>Frontiers in Systems Neuroscience</t>
  </si>
  <si>
    <t>Frontiers in Zoology</t>
  </si>
  <si>
    <t>Frontiers of Agriculture in China</t>
  </si>
  <si>
    <t>Frontiers of Biology in China</t>
  </si>
  <si>
    <t>Frontiers of Business Research in China</t>
  </si>
  <si>
    <t>Frontiers of Chemical Science and Engineering</t>
  </si>
  <si>
    <t>Frontiers of Chemistry in China</t>
  </si>
  <si>
    <t>Frontiers of Computer Science</t>
  </si>
  <si>
    <t>Frontiers of Economics in China</t>
  </si>
  <si>
    <t>Frontiers of Education in China</t>
  </si>
  <si>
    <t>Frontiers of Electrical and Electronic Engineering in China</t>
  </si>
  <si>
    <t>Frontiers of Energy and Power Engineering in China</t>
  </si>
  <si>
    <t>Frontiers of Environmental Science &amp; Engineering</t>
  </si>
  <si>
    <t>Frontiers of Gastrointestinal Research</t>
  </si>
  <si>
    <t>Frontiers of Health Services Management</t>
  </si>
  <si>
    <t>Frontiers of History in China</t>
  </si>
  <si>
    <t>Frontiers of Hormone Research</t>
  </si>
  <si>
    <t>Frontiers of Law in China</t>
  </si>
  <si>
    <t>Frontiers of Literary Studies in China</t>
  </si>
  <si>
    <t>Frontiers of Materials Science</t>
  </si>
  <si>
    <t>Frontiers of Mathematics in China</t>
  </si>
  <si>
    <t>Frontiers of Medicine</t>
  </si>
  <si>
    <t>Frontiers of Nanoscience</t>
  </si>
  <si>
    <t>Frontiers of Neurology and Neuroscience</t>
  </si>
  <si>
    <t>Frontiers of Optoelectronics</t>
  </si>
  <si>
    <t>Frontiers of Optoelectronics in China</t>
  </si>
  <si>
    <t>Frontiers of oral biology</t>
  </si>
  <si>
    <t>Frontiers of Philosophy in China</t>
  </si>
  <si>
    <t>Frontiers of Physics in China</t>
  </si>
  <si>
    <t>Frontiers of Radiation Therapy and Oncology</t>
  </si>
  <si>
    <t>Frontiers of Structural and Civil Engineering</t>
  </si>
  <si>
    <t>Fruits</t>
  </si>
  <si>
    <t>FTR - Turkiye Fiziksel Tip ve Rehabilitasyon Dergisi</t>
  </si>
  <si>
    <t>Fudan University Journal of Medical Sciences</t>
  </si>
  <si>
    <t>Fuel</t>
  </si>
  <si>
    <t>Fuel Cells</t>
  </si>
  <si>
    <t>Fuel Cells Bulletin</t>
  </si>
  <si>
    <t>Fuel Processing Technology</t>
  </si>
  <si>
    <t>Fuels and Lubes International</t>
  </si>
  <si>
    <t>Fuhe Cailiao Xuebao/Acta Materiae Compositae Sinica</t>
  </si>
  <si>
    <t>Fujitsu Scientific and Technical Journal</t>
  </si>
  <si>
    <t>Fukuoka Acta Medica</t>
  </si>
  <si>
    <t>Fukushima Journal of Medical Sciences</t>
  </si>
  <si>
    <t>Fullerenes Nanotubes and Carbon Nanostructures</t>
  </si>
  <si>
    <t>Functional Analysis and its Applications</t>
  </si>
  <si>
    <t>Functional and Integrative Genomics</t>
  </si>
  <si>
    <t>Functional Ecology</t>
  </si>
  <si>
    <t>Functional Materials Letters</t>
  </si>
  <si>
    <t>Functional Neurology</t>
  </si>
  <si>
    <t>Functional Plant Biology</t>
  </si>
  <si>
    <t>Functions of Language</t>
  </si>
  <si>
    <t>Fundamenta Informaticae</t>
  </si>
  <si>
    <t>Fundamental and Applied Limnology</t>
  </si>
  <si>
    <t>Fundamental and Applied Mathematics</t>
  </si>
  <si>
    <t>Fundamental and Clinical Pharmacology</t>
  </si>
  <si>
    <t>Fundamenta Mathematicae</t>
  </si>
  <si>
    <t>Fungal Biology</t>
  </si>
  <si>
    <t>Fungal Biology Reviews</t>
  </si>
  <si>
    <t>Fungal Diversity</t>
  </si>
  <si>
    <t>Fungal Ecology</t>
  </si>
  <si>
    <t>Fungal Genetics and Biology</t>
  </si>
  <si>
    <t>Funkcialaj Ekvacioj</t>
  </si>
  <si>
    <t>Funtai Oyobi Fummatsu Yakin/Journal of the Japan Society of Powder and Powder Metallurgy</t>
  </si>
  <si>
    <t>Furukawa Review</t>
  </si>
  <si>
    <t>Fusion Engineering and Design</t>
  </si>
  <si>
    <t>Fusion Science and Technology</t>
  </si>
  <si>
    <t>Fuss und Sprunggelenk</t>
  </si>
  <si>
    <t>Future Cardiology</t>
  </si>
  <si>
    <t>Future Generation Computer Systems</t>
  </si>
  <si>
    <t>Future Lipidology</t>
  </si>
  <si>
    <t>Future Medicinal Chemistry</t>
  </si>
  <si>
    <t>Future Microbiology</t>
  </si>
  <si>
    <t>Future Neurology</t>
  </si>
  <si>
    <t>Future of Children</t>
  </si>
  <si>
    <t>Future Oncology</t>
  </si>
  <si>
    <t>Futures</t>
  </si>
  <si>
    <t>Future Virology</t>
  </si>
  <si>
    <t>Futuribles</t>
  </si>
  <si>
    <t>Futurist, The</t>
  </si>
  <si>
    <t>Fuzzy Economic Review</t>
  </si>
  <si>
    <t>Fuzzy Optimization and Decision Making</t>
  </si>
  <si>
    <t>Fuzzy Sets and Systems</t>
  </si>
  <si>
    <t>Gaceta Medica de Bilbao</t>
  </si>
  <si>
    <t>Gaceta Medica de Caracas</t>
  </si>
  <si>
    <t>Gaceta Medica de Mexico</t>
  </si>
  <si>
    <t>Gaceta Sanitaria</t>
  </si>
  <si>
    <t>Gadjah Mada International Journal of Business</t>
  </si>
  <si>
    <t>GAIA</t>
  </si>
  <si>
    <t>Gait and Posture</t>
  </si>
  <si>
    <t>Games and Culture</t>
  </si>
  <si>
    <t>Games and Economic Behavior</t>
  </si>
  <si>
    <t>Game Studies</t>
  </si>
  <si>
    <t>Gamma Gazette</t>
  </si>
  <si>
    <t>GAMM Mitteilungen</t>
  </si>
  <si>
    <t>Gaodianya Jishu/High Voltage Engineering</t>
  </si>
  <si>
    <t>Gaofenzi Cailiao Kexue Yu Gongcheng/Polymeric Materials Science and Engineering</t>
  </si>
  <si>
    <t>Gaojishu Tongxin/High Technology Letters</t>
  </si>
  <si>
    <t>Gao Xiao Hua Xue Gong Cheng Xue Bao/Journal of Chemical Engineering of Chinese Universities</t>
  </si>
  <si>
    <t>Gaoya Dianqi/High Voltage Apparatus</t>
  </si>
  <si>
    <t>Gaoya Wuli Xuebao/Chinese Journal of High Pressure Physics</t>
  </si>
  <si>
    <t>Gas International, Engineering and Management</t>
  </si>
  <si>
    <t>Gastric and Breast Cancer</t>
  </si>
  <si>
    <t>Gastric Cancer</t>
  </si>
  <si>
    <t>Gastroenterologe</t>
  </si>
  <si>
    <t>Gastroenterologia Polska</t>
  </si>
  <si>
    <t>Gastroenterologia y Hepatologia</t>
  </si>
  <si>
    <t>Gastroenterologia y Hepatologia Continuada</t>
  </si>
  <si>
    <t>Gastroenterological Endoscopy</t>
  </si>
  <si>
    <t>Gastroenterologie a Hepatologie</t>
  </si>
  <si>
    <t>Gastroenterology</t>
  </si>
  <si>
    <t>Gastroenterology and Hepatology</t>
  </si>
  <si>
    <t>Gastroenterology Clinics of North America</t>
  </si>
  <si>
    <t>Gastroenterology Nursing</t>
  </si>
  <si>
    <t>Gastroenterology Research and Practice</t>
  </si>
  <si>
    <t>Gastrointestinal Cancer Research</t>
  </si>
  <si>
    <t>Gastrointestinal Endoscopy</t>
  </si>
  <si>
    <t>Gastrointestinal Endoscopy Clinics of North America</t>
  </si>
  <si>
    <t>Gastrointestinal Nursing</t>
  </si>
  <si>
    <t>Gastronomica</t>
  </si>
  <si>
    <t>Gas Wasserfach Wasser Abwasser</t>
  </si>
  <si>
    <t>Gayana</t>
  </si>
  <si>
    <t>Gayana - Botanica</t>
  </si>
  <si>
    <t>Gazeta de Antropologia</t>
  </si>
  <si>
    <t>Gazi Medical Journal</t>
  </si>
  <si>
    <t>Gazi University Journal of Science</t>
  </si>
  <si>
    <t>Gazzetta Medica Italiana Archivio per le Scienze Mediche</t>
  </si>
  <si>
    <t>GCB Bioenergy</t>
  </si>
  <si>
    <t>Geburtshilfe und Frauenheilkunde</t>
  </si>
  <si>
    <t>GED - Gastrenterologia Endoscopia Digestiva</t>
  </si>
  <si>
    <t>Gefahrstoffe Reinhaltung der Luft</t>
  </si>
  <si>
    <t>Gefasschirurgie</t>
  </si>
  <si>
    <t>Gema Online Journal of Language Studies</t>
  </si>
  <si>
    <t>Gematologiya i Transfuziologiya</t>
  </si>
  <si>
    <t>GEM - International Journal on Geomathematics</t>
  </si>
  <si>
    <t>Gems and Gemology</t>
  </si>
  <si>
    <t>Gender and Development</t>
  </si>
  <si>
    <t>Gender and Education</t>
  </si>
  <si>
    <t>Gender and History</t>
  </si>
  <si>
    <t>Gender and Society</t>
  </si>
  <si>
    <t>Gender in Management</t>
  </si>
  <si>
    <t>Gender Issues</t>
  </si>
  <si>
    <t>Gender Medicine</t>
  </si>
  <si>
    <t>Gender, Place, and Culture</t>
  </si>
  <si>
    <t>Gender, Technology and Development</t>
  </si>
  <si>
    <t>Gender, Work and Organization</t>
  </si>
  <si>
    <t>Gene</t>
  </si>
  <si>
    <t>Geneesmiddelenbulletin</t>
  </si>
  <si>
    <t>Gene Expression</t>
  </si>
  <si>
    <t>Gene Expression Patterns</t>
  </si>
  <si>
    <t>General and Comparative Endocrinology</t>
  </si>
  <si>
    <t>General Anthropology</t>
  </si>
  <si>
    <t>General Dentistry</t>
  </si>
  <si>
    <t>General Hospital Psychiatry</t>
  </si>
  <si>
    <t>General Medicine</t>
  </si>
  <si>
    <t>General Physiology and Biophysics</t>
  </si>
  <si>
    <t>General Relativity and Gravitation</t>
  </si>
  <si>
    <t>General Thoracic and Cardiovascular Surgery</t>
  </si>
  <si>
    <t>Generations</t>
  </si>
  <si>
    <t>Gene Regulation and Systems Biology</t>
  </si>
  <si>
    <t>Genes</t>
  </si>
  <si>
    <t>Genes and Development</t>
  </si>
  <si>
    <t>Genes and Environment</t>
  </si>
  <si>
    <t>Genes and Genetic Systems</t>
  </si>
  <si>
    <t>Genes and Genomics</t>
  </si>
  <si>
    <t>Genes and Immunity</t>
  </si>
  <si>
    <t>Genes and Nutrition</t>
  </si>
  <si>
    <t>Genes, Brain and Behavior</t>
  </si>
  <si>
    <t>Genes Chromosomes and Cancer</t>
  </si>
  <si>
    <t>Geneses</t>
  </si>
  <si>
    <t>Genesis</t>
  </si>
  <si>
    <t>Genes to Cells</t>
  </si>
  <si>
    <t>Gene Therapy</t>
  </si>
  <si>
    <t>Gene Therapy and Molecular Biology</t>
  </si>
  <si>
    <t>Gene Therapy and Regulation</t>
  </si>
  <si>
    <t>Genetica</t>
  </si>
  <si>
    <t>Genetical Research</t>
  </si>
  <si>
    <t>Genetic Counseling</t>
  </si>
  <si>
    <t>Genetic Engineering and Biotechnology News</t>
  </si>
  <si>
    <t>Genetic Epidemiology</t>
  </si>
  <si>
    <t>Genetic Programming and Evolvable Machines</t>
  </si>
  <si>
    <t>Genetic Resources and Crop Evolution</t>
  </si>
  <si>
    <t>Genetics</t>
  </si>
  <si>
    <t>Genetics and Molecular Biology</t>
  </si>
  <si>
    <t>Genetics and Molecular Research</t>
  </si>
  <si>
    <t>Genetics in Medicine</t>
  </si>
  <si>
    <t>Genetics Selection Evolution</t>
  </si>
  <si>
    <t>Genetic Testing and Molecular Biomarkers</t>
  </si>
  <si>
    <t>Genetic Vaccines and Therapy</t>
  </si>
  <si>
    <t>Genetika</t>
  </si>
  <si>
    <t>Geneva Papers on Risk and Insurance: Issues and Practice</t>
  </si>
  <si>
    <t>GENEVA Risk and Insurance Review</t>
  </si>
  <si>
    <t>Genome Biology</t>
  </si>
  <si>
    <t>Genome Biology and Evolution</t>
  </si>
  <si>
    <t>Genome Dynamics</t>
  </si>
  <si>
    <t>Genome Medicine</t>
  </si>
  <si>
    <t>Genome / National Research Council Canada = Genome / Conseil national de recherches Canada</t>
  </si>
  <si>
    <t>Genome Research</t>
  </si>
  <si>
    <t>Genomic Medicine, Biomarkers, and Health Sciences</t>
  </si>
  <si>
    <t>Genomics</t>
  </si>
  <si>
    <t>Genomics Insights</t>
  </si>
  <si>
    <t>Genomics Proteomics Bioinformatics</t>
  </si>
  <si>
    <t>Genus</t>
  </si>
  <si>
    <t>GeoArabia</t>
  </si>
  <si>
    <t>Geoarchaeology - An International Journal</t>
  </si>
  <si>
    <t>Geobiology</t>
  </si>
  <si>
    <t>Geobios</t>
  </si>
  <si>
    <t>Geocarto International</t>
  </si>
  <si>
    <t>Geochemical Journal</t>
  </si>
  <si>
    <t>Geochemical Transactions</t>
  </si>
  <si>
    <t>Geochemistry: Exploration, Environment, Analysis</t>
  </si>
  <si>
    <t>Geochemistry, Geophysics, Geosystems</t>
  </si>
  <si>
    <t>Geochemistry International</t>
  </si>
  <si>
    <t>Geochmica et Cosmochimica Acta</t>
  </si>
  <si>
    <t>Geochronometria</t>
  </si>
  <si>
    <t>Geociencias</t>
  </si>
  <si>
    <t>Geoderma</t>
  </si>
  <si>
    <t>Geodesy and Cartography</t>
  </si>
  <si>
    <t>Geodetski List</t>
  </si>
  <si>
    <t>Geodetski Vestnik</t>
  </si>
  <si>
    <t>Geodinamica Acta</t>
  </si>
  <si>
    <t>Geodiversitas</t>
  </si>
  <si>
    <t>Geo-Eco-Marina</t>
  </si>
  <si>
    <t>Geo-Eco-Trop</t>
  </si>
  <si>
    <t>Geofisica International</t>
  </si>
  <si>
    <t>Geofizika</t>
  </si>
  <si>
    <t>Geofluids</t>
  </si>
  <si>
    <t>Geoforum; journal of physical, human, and regional geosciences</t>
  </si>
  <si>
    <t>Geografia Fisica e Dinamicca Quaternaria</t>
  </si>
  <si>
    <t>Geograficky Casopis</t>
  </si>
  <si>
    <t>Geografija v Soli</t>
  </si>
  <si>
    <t>Geografiska Annaler, Series A: Physical Geography</t>
  </si>
  <si>
    <t>Geografiska Annaler, Series B: Human Geography</t>
  </si>
  <si>
    <t>Geografisk Tidsskrift</t>
  </si>
  <si>
    <t>Geografski Obzornik</t>
  </si>
  <si>
    <t>Geografski Vestnik</t>
  </si>
  <si>
    <t>Geographia Polonica</t>
  </si>
  <si>
    <t>Geographia Technica</t>
  </si>
  <si>
    <t>Geographical Analysis</t>
  </si>
  <si>
    <t>Geographical Bulletin - Gamma Theta Upsilon</t>
  </si>
  <si>
    <t>Geographical Journal</t>
  </si>
  <si>
    <t>Geographical Research</t>
  </si>
  <si>
    <t>Geographical Review</t>
  </si>
  <si>
    <t>Geographica Pannonica</t>
  </si>
  <si>
    <t>Geographie Economie Societe</t>
  </si>
  <si>
    <t>Geographische Raudschau</t>
  </si>
  <si>
    <t>Geographische Zeitschrift</t>
  </si>
  <si>
    <t>Geography</t>
  </si>
  <si>
    <t>Geography and Natural Resources</t>
  </si>
  <si>
    <t>Geography Compass</t>
  </si>
  <si>
    <t>Geography Research Forum</t>
  </si>
  <si>
    <t>Geoheritage</t>
  </si>
  <si>
    <t>Geo-Info</t>
  </si>
  <si>
    <t>GeoInformatica</t>
  </si>
  <si>
    <t>Geoingegneria Ambientale e Mineraria</t>
  </si>
  <si>
    <t>Geo Journal</t>
  </si>
  <si>
    <t>Geologia Croatica</t>
  </si>
  <si>
    <t>Geologia USP - Serie Cientifica</t>
  </si>
  <si>
    <t>Geologica Acta</t>
  </si>
  <si>
    <t>Geologica Belgica</t>
  </si>
  <si>
    <t>Geologica Carpathica</t>
  </si>
  <si>
    <t>Geological Journal</t>
  </si>
  <si>
    <t>Geological Magazine</t>
  </si>
  <si>
    <t>Geological Quarterly</t>
  </si>
  <si>
    <t>Geological Society Engineering Geology Special Publication</t>
  </si>
  <si>
    <t>Geological Society Memoir</t>
  </si>
  <si>
    <t>Geological Society of America Bulletin</t>
  </si>
  <si>
    <t>Geological Society Special Publication</t>
  </si>
  <si>
    <t>Geological Survey of Denmark and Greenland Bulletin</t>
  </si>
  <si>
    <t>Geologie de la France</t>
  </si>
  <si>
    <t>Geologie en Mihnbouw</t>
  </si>
  <si>
    <t>Geologie und Palaeontologie in Westfalen</t>
  </si>
  <si>
    <t>Geologos</t>
  </si>
  <si>
    <t>Geology</t>
  </si>
  <si>
    <t>Geology in China</t>
  </si>
  <si>
    <t>Geology of Ore Deposits</t>
  </si>
  <si>
    <t>Geomagnetism and Aeronomy</t>
  </si>
  <si>
    <t>Geo-Marine Letters</t>
  </si>
  <si>
    <t>Geomatica</t>
  </si>
  <si>
    <t>Geomechanics and Engineering</t>
  </si>
  <si>
    <t>Geomechanics and Geoengineering</t>
  </si>
  <si>
    <t>Geomechanik und Tunnelbau</t>
  </si>
  <si>
    <t>Geometriae Dedicata</t>
  </si>
  <si>
    <t>Geometric and Functional Analysis</t>
  </si>
  <si>
    <t>Geometry and Topology</t>
  </si>
  <si>
    <t>Geomicrobiology Journal</t>
  </si>
  <si>
    <t>Geomorfologiya</t>
  </si>
  <si>
    <t>Geomorphologie. Relief, Processus, Environnement</t>
  </si>
  <si>
    <t>Geomorphology</t>
  </si>
  <si>
    <t>Geophysica</t>
  </si>
  <si>
    <t>Geophysical and Astrophysical Fluid Dynamics</t>
  </si>
  <si>
    <t>Geophysical Journal International</t>
  </si>
  <si>
    <t>Geophysical Prospecting</t>
  </si>
  <si>
    <t>Geophysical Research Letters</t>
  </si>
  <si>
    <t>Geophysical Transactions</t>
  </si>
  <si>
    <t>Geophysics</t>
  </si>
  <si>
    <t>Geopolitics</t>
  </si>
  <si>
    <t>Geopolitics of Energy</t>
  </si>
  <si>
    <t>Geo-Regards</t>
  </si>
  <si>
    <t>George Mason University, Dissertation</t>
  </si>
  <si>
    <t>Georgetown Law Journal</t>
  </si>
  <si>
    <t>George Washington Law Review</t>
  </si>
  <si>
    <t>Georgia Institute of Technology, Dissertation</t>
  </si>
  <si>
    <t>Georgian Mathematical Journal</t>
  </si>
  <si>
    <t>Georgian medical news</t>
  </si>
  <si>
    <t>Georgia Review</t>
  </si>
  <si>
    <t>Georisk</t>
  </si>
  <si>
    <t>Geoscience Canada</t>
  </si>
  <si>
    <t>Geoscience Frontiers</t>
  </si>
  <si>
    <t>Geoscience in South-West England</t>
  </si>
  <si>
    <t>Geosciences Journal</t>
  </si>
  <si>
    <t>Geoscientific Model Development</t>
  </si>
  <si>
    <t>Geospatial health</t>
  </si>
  <si>
    <t>Geo-Spatial Information Science</t>
  </si>
  <si>
    <t>Geosphere</t>
  </si>
  <si>
    <t>Geostandards and Geoanalytical Research</t>
  </si>
  <si>
    <t>Geosynthetics International</t>
  </si>
  <si>
    <t>Geotechnical and Geological Engineering</t>
  </si>
  <si>
    <t>Geotechnical News</t>
  </si>
  <si>
    <t>Geotechnical Special Publication</t>
  </si>
  <si>
    <t>Geotechnical Testing Journal</t>
  </si>
  <si>
    <t>Geotechnik</t>
  </si>
  <si>
    <t>Geotechnique</t>
  </si>
  <si>
    <t>Geotechnique Letters</t>
  </si>
  <si>
    <t>Geotectonics (English Translation of Geotektonika)</t>
  </si>
  <si>
    <t>Geotermia</t>
  </si>
  <si>
    <t>Geotextiles and Geomembranes</t>
  </si>
  <si>
    <t>Geothermics</t>
  </si>
  <si>
    <t>Geriatric Nursing</t>
  </si>
  <si>
    <t>Geriatrics and Gerontology International</t>
  </si>
  <si>
    <t>Geriatrie et Psychologie Neuropsychiatrie du Vieillissement</t>
  </si>
  <si>
    <t>German Economic Review</t>
  </si>
  <si>
    <t>German Historical Institute London Bulletin</t>
  </si>
  <si>
    <t>German History</t>
  </si>
  <si>
    <t>Germanic Notes and Reviews</t>
  </si>
  <si>
    <t>Germanic Review, The</t>
  </si>
  <si>
    <t>Germanisch-Romanische Monatsschrift</t>
  </si>
  <si>
    <t>German Journal of Agricultural Economics</t>
  </si>
  <si>
    <t>German Journal of Psychiatry</t>
  </si>
  <si>
    <t>German Life and Letters</t>
  </si>
  <si>
    <t>German Monitor</t>
  </si>
  <si>
    <t>Germano-Slavica</t>
  </si>
  <si>
    <t>German Politics</t>
  </si>
  <si>
    <t>German Quarterly, The</t>
  </si>
  <si>
    <t>German Studies Review</t>
  </si>
  <si>
    <t>Gerodontology</t>
  </si>
  <si>
    <t>Gerokomos</t>
  </si>
  <si>
    <t>Gerontologie et Societe</t>
  </si>
  <si>
    <t>Gerontologist, The</t>
  </si>
  <si>
    <t>Gerontology</t>
  </si>
  <si>
    <t>Gerontology and Geriatrics Education</t>
  </si>
  <si>
    <t>GeroPsych: The Journal of Gerontopsychology and Geriatric Psychiatry</t>
  </si>
  <si>
    <t>Geschichte und Gesellschaft</t>
  </si>
  <si>
    <t>Gesnerus</t>
  </si>
  <si>
    <t>GESTA-International Center of Medieval Art</t>
  </si>
  <si>
    <t>Gestalt</t>
  </si>
  <si>
    <t>Gestao e Producao</t>
  </si>
  <si>
    <t>Gestion y Politica Publica</t>
  </si>
  <si>
    <t>Gesture</t>
  </si>
  <si>
    <t>Gesunde Pflanzen</t>
  </si>
  <si>
    <t>Gesundheitsokonomie und Qualitatsmanagement</t>
  </si>
  <si>
    <t>Gesundheitswesen</t>
  </si>
  <si>
    <t>Gesundheitswesen, Supplement</t>
  </si>
  <si>
    <t>GFF</t>
  </si>
  <si>
    <t>Ghana Medical Journal</t>
  </si>
  <si>
    <t>Gifted Child Quarterly</t>
  </si>
  <si>
    <t>Gigiena i sanitariia</t>
  </si>
  <si>
    <t>Ginecologia y Obstetricia Clinica</t>
  </si>
  <si>
    <t>Ginecologia y Obstetricia de Mexico</t>
  </si>
  <si>
    <t>Gineco.ro</t>
  </si>
  <si>
    <t>Ginekologia i Poloznictwo</t>
  </si>
  <si>
    <t>Ginekologia Polska</t>
  </si>
  <si>
    <t>Giornale Critico della Filosofia Italiana</t>
  </si>
  <si>
    <t>Giornale dell'Odontoiatra</t>
  </si>
  <si>
    <t>Giornale di Chirurgia</t>
  </si>
  <si>
    <t>Giornale di Gerontologia</t>
  </si>
  <si>
    <t>Giornale di Storia Costituzionale</t>
  </si>
  <si>
    <t>Giornale Italiano di Cardiologia</t>
  </si>
  <si>
    <t>Giornale Italiano di Dermatologia e Venereologia</t>
  </si>
  <si>
    <t>Giornale Italiano di Diabetologia e Metabolismo</t>
  </si>
  <si>
    <t>Giornale Italiano di Endodonzia</t>
  </si>
  <si>
    <t>Giornale Italiano di Endoscopia Digestiva</t>
  </si>
  <si>
    <t>Giornale Italiano di Farmacia Clinica</t>
  </si>
  <si>
    <t>Giornale Italiano di Medicina del Lavoro ed Ergonomia</t>
  </si>
  <si>
    <t>Giornale Italiano di Medicina Tropicale</t>
  </si>
  <si>
    <t>Giornale Italiano di Nefrologia</t>
  </si>
  <si>
    <t>Giornale Italiano di Ostetricia e Ginecologia</t>
  </si>
  <si>
    <t>Giornale Italiano di Psicologia</t>
  </si>
  <si>
    <t>Giornale Italiano di Psicopatologia</t>
  </si>
  <si>
    <t>Giornale Storico della Letteratura Italiana</t>
  </si>
  <si>
    <t>GIS-Business</t>
  </si>
  <si>
    <t>GIScience and Remote Sensing</t>
  </si>
  <si>
    <t>GIS-Zeitschrift fur Geoinformatik</t>
  </si>
  <si>
    <t>Glasgow Mathematical Journal</t>
  </si>
  <si>
    <t>Glasnik Matematicki</t>
  </si>
  <si>
    <t>Glasnik SED</t>
  </si>
  <si>
    <t>Glasnik za Sumske Pokuse</t>
  </si>
  <si>
    <t>Glass and Ceramics (English translation of Steklo i Keramika)</t>
  </si>
  <si>
    <t>Glass Physics and Chemistry</t>
  </si>
  <si>
    <t>Glas Srpske Academija Nauka i Umetnosti Odeljenje Mediciniskich Nauka</t>
  </si>
  <si>
    <t>Glass Technology: European Journal of Glass Science and Technology Part A</t>
  </si>
  <si>
    <t>Glia</t>
  </si>
  <si>
    <t>Global and Planetary Change</t>
  </si>
  <si>
    <t>Global Biogeochemical Cycles</t>
  </si>
  <si>
    <t>Global Business and Economics Review</t>
  </si>
  <si>
    <t>Global Business and Organizational Excellence</t>
  </si>
  <si>
    <t>Global Business Review</t>
  </si>
  <si>
    <t>Global Change Biology</t>
  </si>
  <si>
    <t>Global Change, Peace and Security</t>
  </si>
  <si>
    <t>Global Crime</t>
  </si>
  <si>
    <t>Global Ecology and Biogeography</t>
  </si>
  <si>
    <t>Global Economic Review</t>
  </si>
  <si>
    <t>Global Economy Journal</t>
  </si>
  <si>
    <t>Global Environmental Change</t>
  </si>
  <si>
    <t>Global Environmental Politics</t>
  </si>
  <si>
    <t>Global Finance Journal</t>
  </si>
  <si>
    <t>Global Food Security</t>
  </si>
  <si>
    <t>Global Governance</t>
  </si>
  <si>
    <t>Global Health Action</t>
  </si>
  <si>
    <t>Global Health Promotion</t>
  </si>
  <si>
    <t>Global Heart</t>
  </si>
  <si>
    <t>Globalisation, Societies and Education</t>
  </si>
  <si>
    <t>Globalization and Health</t>
  </si>
  <si>
    <t>Globalizations</t>
  </si>
  <si>
    <t>Global Journal of Flexible Systems Management</t>
  </si>
  <si>
    <t>Global journal of health science</t>
  </si>
  <si>
    <t>Global Journal of Pharmacology</t>
  </si>
  <si>
    <t>Global Jurist</t>
  </si>
  <si>
    <t>Global Media and Communication</t>
  </si>
  <si>
    <t>Global Media Journal</t>
  </si>
  <si>
    <t>Global Nest Journal</t>
  </si>
  <si>
    <t>Global Networks</t>
  </si>
  <si>
    <t>Global Public Health</t>
  </si>
  <si>
    <t>Global Social Policy</t>
  </si>
  <si>
    <t>Global Society</t>
  </si>
  <si>
    <t>Global Veterinaria</t>
  </si>
  <si>
    <t>Glotta - Zeitschrift fur Griechische und Lateinische Sprache</t>
  </si>
  <si>
    <t>GLQ</t>
  </si>
  <si>
    <t>Glycobiology</t>
  </si>
  <si>
    <t>Glycoconjugate Journal</t>
  </si>
  <si>
    <t>GM crops</t>
  </si>
  <si>
    <t>GM crops &amp; food</t>
  </si>
  <si>
    <t>GMS German Medical Science</t>
  </si>
  <si>
    <t>GMS Psycho-Social-Medicine</t>
  </si>
  <si>
    <t>GMS Zeitschrift für medizinische Ausbildung</t>
  </si>
  <si>
    <t>Goethe Jahrbuch</t>
  </si>
  <si>
    <t>Gogus-Kalp-Damar Anestezi ve Yogun Bakim Dernegi Dergisi</t>
  </si>
  <si>
    <t>Gold Bulletin</t>
  </si>
  <si>
    <t>Gondwana Research</t>
  </si>
  <si>
    <t>Gong Cheng Li Xue/Engineering Mechanics</t>
  </si>
  <si>
    <t>Gongneng Cailiao/Journal of Functional Materials</t>
  </si>
  <si>
    <t>Good Society</t>
  </si>
  <si>
    <t>Gorteria</t>
  </si>
  <si>
    <t>Gospodarka Surowcami Mineralnymi / Mineral Resources Management</t>
  </si>
  <si>
    <t>Govaresh</t>
  </si>
  <si>
    <t>Governance</t>
  </si>
  <si>
    <t>Government and Opposition</t>
  </si>
  <si>
    <t>Government Information Quarterly</t>
  </si>
  <si>
    <t>GOVOR: Casopis za fonetiku</t>
  </si>
  <si>
    <t>Goya</t>
  </si>
  <si>
    <t>Goztepe Tip Dergisi</t>
  </si>
  <si>
    <t>GPS Solutions</t>
  </si>
  <si>
    <t>Gradiva</t>
  </si>
  <si>
    <t>Graefe's Archive for Clinical and Experimental Ophthalmology</t>
  </si>
  <si>
    <t>Graellsia</t>
  </si>
  <si>
    <t>Grana</t>
  </si>
  <si>
    <t>Granular Matter</t>
  </si>
  <si>
    <t>Graphical Models</t>
  </si>
  <si>
    <t>Graphs and Combinatorics</t>
  </si>
  <si>
    <t>Grasas y Aceites</t>
  </si>
  <si>
    <t>Grass and Forage Science</t>
  </si>
  <si>
    <t>Grassland Science</t>
  </si>
  <si>
    <t>Gravitation and Cosmology</t>
  </si>
  <si>
    <t>Grazer Philosophische Studien</t>
  </si>
  <si>
    <t>Graziadio Business Report</t>
  </si>
  <si>
    <t>Great Lakes Entomologist</t>
  </si>
  <si>
    <t>Great Plains Quarterly</t>
  </si>
  <si>
    <t>Great Plains Research</t>
  </si>
  <si>
    <t>Greece and Rome</t>
  </si>
  <si>
    <t>Greek, Roman and Byzantine Studies</t>
  </si>
  <si>
    <t>Green Chemistry</t>
  </si>
  <si>
    <t>Green Chemistry Letters and Reviews</t>
  </si>
  <si>
    <t>Greenhouse Gases: Science and Technology</t>
  </si>
  <si>
    <t>Gregorianum</t>
  </si>
  <si>
    <t>Grey Journal</t>
  </si>
  <si>
    <t>Grey Room</t>
  </si>
  <si>
    <t>Gripla</t>
  </si>
  <si>
    <t>Iceland</t>
  </si>
  <si>
    <t>Grotiana</t>
  </si>
  <si>
    <t>Ground Water</t>
  </si>
  <si>
    <t>Ground Water Monitoring and Remediation</t>
  </si>
  <si>
    <t>Group Analysis</t>
  </si>
  <si>
    <t>Group and Organization Management</t>
  </si>
  <si>
    <t>Group Decision and Negotiation</t>
  </si>
  <si>
    <t>Group Dynamics</t>
  </si>
  <si>
    <t>Group Processes and Intergroup Relations</t>
  </si>
  <si>
    <t>Groups, Complexity, Cryptology</t>
  </si>
  <si>
    <t>Groups, Geometry, and Dynamics</t>
  </si>
  <si>
    <t>Groupwork</t>
  </si>
  <si>
    <t>Growth and Change</t>
  </si>
  <si>
    <t>Growth Factors</t>
  </si>
  <si>
    <t>Growth Hormone and IGF Research</t>
  </si>
  <si>
    <t>Grundwasser</t>
  </si>
  <si>
    <t>Gruppendynamik und Organisationsberatung</t>
  </si>
  <si>
    <t>Gruppenpsychotherapie und Gruppendynamik</t>
  </si>
  <si>
    <t>GSA Today</t>
  </si>
  <si>
    <t>Guangdian Gongcheng/Opto-Electronic Engineering</t>
  </si>
  <si>
    <t>Guangdianzi Jiguang/Journal of Optoelectronics Laser</t>
  </si>
  <si>
    <t>Guang Pu Xue Yu Guang Pu Fen Xi/Spectroscopy and Spectral Analysis</t>
  </si>
  <si>
    <t>Guangxue Jingmi Gongcheng/Optics and Precision Engineering</t>
  </si>
  <si>
    <t>Guangxue Jishu/Optical Technique</t>
  </si>
  <si>
    <t>Guangxue Xuebao/Acta Optica Sinica</t>
  </si>
  <si>
    <t>Guangzi Xuebao/Acta Photonica Sinica</t>
  </si>
  <si>
    <t>Guerres Mondiales et Conflicts Contemporains</t>
  </si>
  <si>
    <t>Gulf of Mexico Science</t>
  </si>
  <si>
    <t>Gulhane Medical Journal</t>
  </si>
  <si>
    <t>Guncel Pediatri</t>
  </si>
  <si>
    <t>Guocheng Gongcheng Xuebao/The Chinese Journal of Process Engineering</t>
  </si>
  <si>
    <t>Guofang Keji Daxue Xuebao/Journal of National University of Defense Technology</t>
  </si>
  <si>
    <t>Gut</t>
  </si>
  <si>
    <t>Gut and Liver</t>
  </si>
  <si>
    <t>Guti Dianzixue Yanjiu Yu Jinzhan/Research and Progress of Solid State Electronics</t>
  </si>
  <si>
    <t>Guti Huojian Jishu/Journal of Solid Rocket Technology</t>
  </si>
  <si>
    <t>Guti Lixue Xuebao/Acta Mechanica Solida Sinica</t>
  </si>
  <si>
    <t>Gut Microbes</t>
  </si>
  <si>
    <t>Gut Pathogens</t>
  </si>
  <si>
    <t>Gymnasium</t>
  </si>
  <si>
    <t>Gynaecologia et Perinatologia</t>
  </si>
  <si>
    <t>Gynakologie fur Hausarzte</t>
  </si>
  <si>
    <t>Gynakologische Endokrinologie</t>
  </si>
  <si>
    <t>Gynakologische Praxis</t>
  </si>
  <si>
    <t>Gynecological Endocrinology</t>
  </si>
  <si>
    <t>Gynecological Surgery</t>
  </si>
  <si>
    <t>Gynecologic and Obstetric Investigation</t>
  </si>
  <si>
    <t>Gynecologic Oncology</t>
  </si>
  <si>
    <t>Gynecologic Oncology Reports</t>
  </si>
  <si>
    <t>Gynecologie Obstetrique Fertilite</t>
  </si>
  <si>
    <t>Gyroscopy and Navigation</t>
  </si>
  <si>
    <t>Habitat International</t>
  </si>
  <si>
    <t>Hacettepe Egitim Dergisi</t>
  </si>
  <si>
    <t>Hacettepe Journal of Mathematics and Statistics</t>
  </si>
  <si>
    <t>Hacettepe University Journal of the Faculty of Pharmacy</t>
  </si>
  <si>
    <t>Hacienda Publica Espanola</t>
  </si>
  <si>
    <t>Hacquetia</t>
  </si>
  <si>
    <t>Haematologica</t>
  </si>
  <si>
    <t>Haemophilia</t>
  </si>
  <si>
    <t>Hague Journal of Diplomacy, The</t>
  </si>
  <si>
    <t>HAHR - Hispanic American Historical Review</t>
  </si>
  <si>
    <t>Halduskultuur</t>
  </si>
  <si>
    <t>Hali</t>
  </si>
  <si>
    <t>Hamostaseologie</t>
  </si>
  <si>
    <t>Hand</t>
  </si>
  <si>
    <t>Handbook of Clinical Neurology</t>
  </si>
  <si>
    <t>Handbook of Experimental Pharmacology</t>
  </si>
  <si>
    <t>Handbook of Geophysical Exploration: Seismic Exploration</t>
  </si>
  <si>
    <t>Handbook of Health Economics</t>
  </si>
  <si>
    <t>Handbook of Labour Economics</t>
  </si>
  <si>
    <t>Handbook of Magnetic Materials</t>
  </si>
  <si>
    <t>Handbook of Numerical Analysis</t>
  </si>
  <si>
    <t>Handbook of Petroleum Exploration and Production</t>
  </si>
  <si>
    <t>Handbook of Social Choice and Welfare</t>
  </si>
  <si>
    <t>Handbook of Social Economics</t>
  </si>
  <si>
    <t>Handbook of Statistics</t>
  </si>
  <si>
    <t>Handbook of the Economics of Education</t>
  </si>
  <si>
    <t>Handbook of the Economics of Finance</t>
  </si>
  <si>
    <t>Handbook of the History of Logic</t>
  </si>
  <si>
    <t>Handbook on the Physics and Chemistry of Rare Earths</t>
  </si>
  <si>
    <t>Handchirurgie Mikrochirurgie Plastische Chirurgie</t>
  </si>
  <si>
    <t>Hand Clinics</t>
  </si>
  <si>
    <t>Hand surgery : an international journal devoted to hand and upper limb surgery and related research : journal of the Asia-Pacific Federation of Societies for Surgery of the Hand</t>
  </si>
  <si>
    <t>Hand Therapy</t>
  </si>
  <si>
    <t>Hangkong Cailiao Xuebao/Journal of Aeronautical Materials</t>
  </si>
  <si>
    <t>Hangkong Dongli Xuebao/Journal of Aerospace Power</t>
  </si>
  <si>
    <t>Hangkong Xuebao/Acta Aeronautica et Astronautica Sinica</t>
  </si>
  <si>
    <t>Hanjie Xuebao/Transactions of the China Welding Institution</t>
  </si>
  <si>
    <t>Hanneng Cailiao/Chinese Journal of Energetic Materials</t>
  </si>
  <si>
    <t>Harbin Gongcheng Daxue Xuebao/Journal of Harbin Engineering University</t>
  </si>
  <si>
    <t>Harbin Gongye Daxue Xuebao/Journal of Harbin Institute of Technology</t>
  </si>
  <si>
    <t>Harefuah</t>
  </si>
  <si>
    <t>Harmful Algae</t>
  </si>
  <si>
    <t>Harm Reduction Journal</t>
  </si>
  <si>
    <t>Hart Bulletin</t>
  </si>
  <si>
    <t>Harvard Business Review</t>
  </si>
  <si>
    <t>Harvard Civil Rights-Civil Liberties Law Review</t>
  </si>
  <si>
    <t>Harvard Design Magazine</t>
  </si>
  <si>
    <t>Harvard Educational Review</t>
  </si>
  <si>
    <t>Harvard health letter / from Harvard Medical School</t>
  </si>
  <si>
    <t>Harvard heart letter : from Harvard Medical School</t>
  </si>
  <si>
    <t>Harvard International Law Journal</t>
  </si>
  <si>
    <t>Harvard International Review</t>
  </si>
  <si>
    <t>Harvard Journal of Law and Public Policy</t>
  </si>
  <si>
    <t>Harvard Journal of Legislation</t>
  </si>
  <si>
    <t>Harvard Law Review</t>
  </si>
  <si>
    <t>Harvard men's health watch</t>
  </si>
  <si>
    <t>Harvard mental health letter / from Harvard Medical School, The</t>
  </si>
  <si>
    <t>Harvard Papers in Botany</t>
  </si>
  <si>
    <t>Harvard Review of Psychiatry</t>
  </si>
  <si>
    <t>Harvard Theological Review</t>
  </si>
  <si>
    <t>Harvard University, Dissertation</t>
  </si>
  <si>
    <t>Harvard women's health watch</t>
  </si>
  <si>
    <t>Harvarrd Environmental Law Review</t>
  </si>
  <si>
    <t>Haseltonia</t>
  </si>
  <si>
    <t>Hastings Center Report</t>
  </si>
  <si>
    <t>Hastings Law Journal</t>
  </si>
  <si>
    <t>Haut</t>
  </si>
  <si>
    <t>Hawai'i journal of medicine &amp; public health : a journal of Asia Pacific Medicine &amp; Public Health</t>
  </si>
  <si>
    <t>Hawaii Medical Journal</t>
  </si>
  <si>
    <t>Hawwa</t>
  </si>
  <si>
    <t>HAYAT</t>
  </si>
  <si>
    <t>HDA now / Hawaii Dental Association</t>
  </si>
  <si>
    <t>Headache</t>
  </si>
  <si>
    <t>Head and Face Medicine</t>
  </si>
  <si>
    <t>Head and Neck</t>
  </si>
  <si>
    <t>Head and Neck Oncology</t>
  </si>
  <si>
    <t>Head and Neck Pathology</t>
  </si>
  <si>
    <t>Health</t>
  </si>
  <si>
    <t>Health Affairs</t>
  </si>
  <si>
    <t>Health and history</t>
  </si>
  <si>
    <t>Health and Human Rights</t>
  </si>
  <si>
    <t>Health and Place</t>
  </si>
  <si>
    <t>Health and Quality of Life Outcomes</t>
  </si>
  <si>
    <t>Health and Social Care in the Community</t>
  </si>
  <si>
    <t>Health and Social Work</t>
  </si>
  <si>
    <t>Health and Technology</t>
  </si>
  <si>
    <t>Health Care Analysis</t>
  </si>
  <si>
    <t>Health Care and Informatics Review Online</t>
  </si>
  <si>
    <t>Healthcare benchmarks and quality improvement</t>
  </si>
  <si>
    <t>Healthcare executive</t>
  </si>
  <si>
    <t>Healthcare Financial Management</t>
  </si>
  <si>
    <t>Health Care for Women International</t>
  </si>
  <si>
    <t>Healthcare Infection</t>
  </si>
  <si>
    <t>Healthcare informatics : the business magazine for information and communication systems</t>
  </si>
  <si>
    <t>Health care law monthly</t>
  </si>
  <si>
    <t>Healthcare Management Forum</t>
  </si>
  <si>
    <t>Health Care Management Review</t>
  </si>
  <si>
    <t>Health Care Management Science</t>
  </si>
  <si>
    <t>Health Care Manager</t>
  </si>
  <si>
    <t>Healthcare Papers</t>
  </si>
  <si>
    <t>Healthcare Policy</t>
  </si>
  <si>
    <t>Healthcare quarterly (Toronto, Ont.)</t>
  </si>
  <si>
    <t>Health Communication</t>
  </si>
  <si>
    <t>Health data management</t>
  </si>
  <si>
    <t>Health Economics</t>
  </si>
  <si>
    <t>Health Economics, Policy and Law</t>
  </si>
  <si>
    <t>Health Education</t>
  </si>
  <si>
    <t>Health Education and Behavior</t>
  </si>
  <si>
    <t>Health Education Journal</t>
  </si>
  <si>
    <t>Health Education Research</t>
  </si>
  <si>
    <t>Health estate</t>
  </si>
  <si>
    <t>Health Expectations</t>
  </si>
  <si>
    <t>Health facilities management</t>
  </si>
  <si>
    <t>Health Informatics Journal</t>
  </si>
  <si>
    <t>Health Information and Libraries Journal</t>
  </si>
  <si>
    <t>Health Information Management Journal</t>
  </si>
  <si>
    <t>Health law in Canada</t>
  </si>
  <si>
    <t>Health Law Journal</t>
  </si>
  <si>
    <t>Health management technology</t>
  </si>
  <si>
    <t>Health Marketing Quarterly</t>
  </si>
  <si>
    <t>Health matrix (Cleveland, Ohio : 1991)</t>
  </si>
  <si>
    <t>HealthMED</t>
  </si>
  <si>
    <t>Health Outcomes Research in Medicine</t>
  </si>
  <si>
    <t>Health Physics</t>
  </si>
  <si>
    <t>Health Policy</t>
  </si>
  <si>
    <t>Health Policy and Planning</t>
  </si>
  <si>
    <t>Health Policy and Technology</t>
  </si>
  <si>
    <t>Health Progress</t>
  </si>
  <si>
    <t>Health Promotion International</t>
  </si>
  <si>
    <t>Health Promotion Journal of Australia</t>
  </si>
  <si>
    <t>Health Promotion Practice</t>
  </si>
  <si>
    <t>Health Psychology</t>
  </si>
  <si>
    <t>Health Psychology Review</t>
  </si>
  <si>
    <t>Health Reports</t>
  </si>
  <si>
    <t>Health Research Policy and Systems</t>
  </si>
  <si>
    <t>Health, Risk and Society</t>
  </si>
  <si>
    <t>Health SA Gesondheid</t>
  </si>
  <si>
    <t>Health Science Journal</t>
  </si>
  <si>
    <t>Health service journal, The</t>
  </si>
  <si>
    <t>Health Services and Outcomes Research Methodology</t>
  </si>
  <si>
    <t>Health Services Management Research</t>
  </si>
  <si>
    <t>Health Services Research</t>
  </si>
  <si>
    <t>Health Sociology Review</t>
  </si>
  <si>
    <t>Health statistics quarterly / Office for National Statistics</t>
  </si>
  <si>
    <t>Health Technology Assessment</t>
  </si>
  <si>
    <t>Hearing Journal</t>
  </si>
  <si>
    <t>Hearing Research</t>
  </si>
  <si>
    <t>Heart</t>
  </si>
  <si>
    <t>Heart advisor / the Cleveland Clinic</t>
  </si>
  <si>
    <t>Heart and Lung: Journal of Acute and Critical Care</t>
  </si>
  <si>
    <t>Heart and Metabolism</t>
  </si>
  <si>
    <t>Heart and Vessels</t>
  </si>
  <si>
    <t>Heart Failure Clinics</t>
  </si>
  <si>
    <t>Heart Failure Reviews</t>
  </si>
  <si>
    <t>Heart International</t>
  </si>
  <si>
    <t>Heart Lung and Circulation</t>
  </si>
  <si>
    <t>Heart Rhythm</t>
  </si>
  <si>
    <t>Heart Surgery Forum</t>
  </si>
  <si>
    <t>Heat and Mass Transfer</t>
  </si>
  <si>
    <t>Heat Transfer - Asian Research</t>
  </si>
  <si>
    <t>Heat Transfer Engineering</t>
  </si>
  <si>
    <t>Heat Transfer Research</t>
  </si>
  <si>
    <t>Hebrew Studies</t>
  </si>
  <si>
    <t>HEC Forum</t>
  </si>
  <si>
    <t>Hecheng Shuzhi Ji Suliao/China Synthetic Resin and Plastics</t>
  </si>
  <si>
    <t>Hedianzixue Yu Tance Jishu/Nuclear Electronics &amp; Detection Technology</t>
  </si>
  <si>
    <t>Hedongli Gongcheng/Nuclear Power Engineering</t>
  </si>
  <si>
    <t>Hegel-Jahrbuch</t>
  </si>
  <si>
    <t>He-Huaxue yu Fangshe Huaxue/Journal of Nuclear and Radiochemistry</t>
  </si>
  <si>
    <t>He Jishu/Nuclear Techniques</t>
  </si>
  <si>
    <t>Hejubian Yu Dengliziti Wuli/Nuclear Fusion and Plasma Physics</t>
  </si>
  <si>
    <t>Helgoland Marine Research</t>
  </si>
  <si>
    <t>Helia</t>
  </si>
  <si>
    <t>Helicobacter</t>
  </si>
  <si>
    <t>Helios</t>
  </si>
  <si>
    <t>Hellenic Journal of Cardiology</t>
  </si>
  <si>
    <t>Hellenic journal of cardiology : HJC = Hellenike kardiologike epitheorese</t>
  </si>
  <si>
    <t>Hellenic Journal of Nuclear Medicine</t>
  </si>
  <si>
    <t>Hellenic Plant Protection Journal</t>
  </si>
  <si>
    <t>Helminthologia</t>
  </si>
  <si>
    <t>Helvetica Chimica Acta</t>
  </si>
  <si>
    <t>Hematological Oncology</t>
  </si>
  <si>
    <t>Hematologie</t>
  </si>
  <si>
    <t>Hematology</t>
  </si>
  <si>
    <t>Hematology/ Oncology and Stem Cell Therapy</t>
  </si>
  <si>
    <t>Saudi Arabia</t>
  </si>
  <si>
    <t>Hematology/Oncology Clinics of North America</t>
  </si>
  <si>
    <t>Hematology Reviews</t>
  </si>
  <si>
    <t>Hematology / the Education Program of the American Society of Hematology. American Society of Hematology. Education Program</t>
  </si>
  <si>
    <t>Hemijska Industrija</t>
  </si>
  <si>
    <t>Hemodialysis International</t>
  </si>
  <si>
    <t>Hemoglobin</t>
  </si>
  <si>
    <t>Henry James Review</t>
  </si>
  <si>
    <t>Hepatitis Monthly</t>
  </si>
  <si>
    <t>Hepatobiliary and Pancreatic Diseases International</t>
  </si>
  <si>
    <t>Hepato-Gastro</t>
  </si>
  <si>
    <t>Hepato-Gastroenterology</t>
  </si>
  <si>
    <t>Hepatology</t>
  </si>
  <si>
    <t>Hepatology International</t>
  </si>
  <si>
    <t>Hepatology Research</t>
  </si>
  <si>
    <t>Herald of the Russian Academy of Sciences</t>
  </si>
  <si>
    <t>Hercynia</t>
  </si>
  <si>
    <t>Hereditary Cancer in Clinical Practice</t>
  </si>
  <si>
    <t>Hereditas</t>
  </si>
  <si>
    <t>Heredity</t>
  </si>
  <si>
    <t>Hermeneus</t>
  </si>
  <si>
    <t>Hermes</t>
  </si>
  <si>
    <t>Hermes (Denmark)</t>
  </si>
  <si>
    <t>Hernia : the journal of hernias and abdominal wall surgery</t>
  </si>
  <si>
    <t>Herodote</t>
  </si>
  <si>
    <t>Heroin Addiction and Related Clinical Problems</t>
  </si>
  <si>
    <t>Heron</t>
  </si>
  <si>
    <t>Herpetologica</t>
  </si>
  <si>
    <t>Herpetological Bulletin</t>
  </si>
  <si>
    <t>Herpetological Conservation and Biology</t>
  </si>
  <si>
    <t>Herpetological Journal</t>
  </si>
  <si>
    <t>Herpetological Monographs</t>
  </si>
  <si>
    <t>Herpetological Review</t>
  </si>
  <si>
    <t>Herpetology Notes</t>
  </si>
  <si>
    <t>Herz</t>
  </si>
  <si>
    <t>Herzschrittmachertherapie und Elektrophysiologie</t>
  </si>
  <si>
    <t>Hesperia</t>
  </si>
  <si>
    <t>Heteroatom Chemistry</t>
  </si>
  <si>
    <t>Heterocycles</t>
  </si>
  <si>
    <t>Heterocyclic Communications</t>
  </si>
  <si>
    <t>Heythrop Journal</t>
  </si>
  <si>
    <t>Hidrobiologica</t>
  </si>
  <si>
    <t>High Ability Studies</t>
  </si>
  <si>
    <t>High Altitude Medicine and Biology</t>
  </si>
  <si>
    <t>High Blood Pressure and Cardiovascular Prevention</t>
  </si>
  <si>
    <t>High Energy Chemistry</t>
  </si>
  <si>
    <t>High Energy Density Physics</t>
  </si>
  <si>
    <t>Higher Education</t>
  </si>
  <si>
    <t>Higher Education Policy</t>
  </si>
  <si>
    <t>Higher Education Quarterly</t>
  </si>
  <si>
    <t>Higher Education Research and Development</t>
  </si>
  <si>
    <t>Higher Education, Skills and Work-based Learning</t>
  </si>
  <si>
    <t>Higher-Order and Symbolic Computation</t>
  </si>
  <si>
    <t>High Performance Polymers</t>
  </si>
  <si>
    <t>High Pressure Research</t>
  </si>
  <si>
    <t>High Technology Letters</t>
  </si>
  <si>
    <t>High Temperature</t>
  </si>
  <si>
    <t>High Temperature Materials and Processes</t>
  </si>
  <si>
    <t>High Temperatures - High Pressures</t>
  </si>
  <si>
    <t>Himalaya</t>
  </si>
  <si>
    <t>Himalayan Geology</t>
  </si>
  <si>
    <t>Hindsight (Saint Louis, Mo.)</t>
  </si>
  <si>
    <t>Hipertension y Riesgo Vascular</t>
  </si>
  <si>
    <t>HIP International</t>
  </si>
  <si>
    <t>Hippocampus</t>
  </si>
  <si>
    <t>Hippokratia</t>
  </si>
  <si>
    <t>Hirosaki Medical Journal</t>
  </si>
  <si>
    <t>Hiroshima Journal of Medical Sciences</t>
  </si>
  <si>
    <t>Hiroshima Mathematical Journal</t>
  </si>
  <si>
    <t>Hispamerica</t>
  </si>
  <si>
    <t>Hispania (Madrid, Spain : 1940)</t>
  </si>
  <si>
    <t>Hispania Sacra</t>
  </si>
  <si>
    <t>Hispanic Health Care International</t>
  </si>
  <si>
    <t>Hispanic Journal of Behavioral Sciences</t>
  </si>
  <si>
    <t>Hispanic Research Journal</t>
  </si>
  <si>
    <t>Hispanic Review</t>
  </si>
  <si>
    <t>Hispanofila</t>
  </si>
  <si>
    <t>Histochemistry and Cell Biology</t>
  </si>
  <si>
    <t>Histoire de l'Education</t>
  </si>
  <si>
    <t>Histoire des Sciences Medicales</t>
  </si>
  <si>
    <t>Histoire et Mesure</t>
  </si>
  <si>
    <t>Histoire et Societes Rurales</t>
  </si>
  <si>
    <t>Histoire Sociale</t>
  </si>
  <si>
    <t>Histoire Urbaine</t>
  </si>
  <si>
    <t>Histology and Histopathology</t>
  </si>
  <si>
    <t>Histopathology</t>
  </si>
  <si>
    <t>Historia</t>
  </si>
  <si>
    <t>Historia Agraria</t>
  </si>
  <si>
    <t>Historia (Chile)</t>
  </si>
  <si>
    <t>Historia, Ciencias, Saude - Manguinhos</t>
  </si>
  <si>
    <t>Historia Constitucional</t>
  </si>
  <si>
    <t>Historia Contemporanea</t>
  </si>
  <si>
    <t>Historia Critica</t>
  </si>
  <si>
    <t>Historia del Presente</t>
  </si>
  <si>
    <t>Historia (France)</t>
  </si>
  <si>
    <t>Historia Mathematica</t>
  </si>
  <si>
    <t>Historia medicinae veterinariae</t>
  </si>
  <si>
    <t>Historian; a journal of history, The</t>
  </si>
  <si>
    <t>Historia scientiarum : international journal of the History of Science Society of Japan</t>
  </si>
  <si>
    <t>Historia Unisinos</t>
  </si>
  <si>
    <t>Historia y Comunicacion Social</t>
  </si>
  <si>
    <t>Historia - Zeitschrift fur Alte Geschichte</t>
  </si>
  <si>
    <t>Historical Archaeology</t>
  </si>
  <si>
    <t>Historical Biology</t>
  </si>
  <si>
    <t>Historical Journal</t>
  </si>
  <si>
    <t>Historical Journal of Film, Radio and Television</t>
  </si>
  <si>
    <t>Historical Materialism</t>
  </si>
  <si>
    <t>Historical Methods</t>
  </si>
  <si>
    <t>Historical Records of Australian Science</t>
  </si>
  <si>
    <t>Historical Reflections/Reflexions Historiques</t>
  </si>
  <si>
    <t>Historical Research</t>
  </si>
  <si>
    <t>Historical Social Research</t>
  </si>
  <si>
    <t>Historical Studies in the Natural Sciences</t>
  </si>
  <si>
    <t>Historicky Casopis</t>
  </si>
  <si>
    <t>Historiographia Linguistica</t>
  </si>
  <si>
    <t>Historische Zeitschrift</t>
  </si>
  <si>
    <t>Historisk Tidsskrift</t>
  </si>
  <si>
    <t>History</t>
  </si>
  <si>
    <t>History and Anthropology</t>
  </si>
  <si>
    <t>History and Philosophy of Logic</t>
  </si>
  <si>
    <t>History and Philosophy of the Life Sciences</t>
  </si>
  <si>
    <t>History and Technology</t>
  </si>
  <si>
    <t>History and Theory</t>
  </si>
  <si>
    <t>History of Economic Ideas</t>
  </si>
  <si>
    <t>History of Education</t>
  </si>
  <si>
    <t>History of Education and Children's Literature</t>
  </si>
  <si>
    <t>History of Education Quarterly</t>
  </si>
  <si>
    <t>History of Education Review</t>
  </si>
  <si>
    <t>History of European Ideas</t>
  </si>
  <si>
    <t>History of Philosophy Quarterly</t>
  </si>
  <si>
    <t>History of Photography</t>
  </si>
  <si>
    <t>History of Political Economy</t>
  </si>
  <si>
    <t>History of Political Thought</t>
  </si>
  <si>
    <t>History of Psychiatry</t>
  </si>
  <si>
    <t>History of Psychology</t>
  </si>
  <si>
    <t>History of Religions</t>
  </si>
  <si>
    <t>History of Science</t>
  </si>
  <si>
    <t>History of the Family</t>
  </si>
  <si>
    <t>History of the Human Sciences</t>
  </si>
  <si>
    <t>History Today</t>
  </si>
  <si>
    <t>History Workshop Journal</t>
  </si>
  <si>
    <t>Hitotsubashi Journal of Economics</t>
  </si>
  <si>
    <t>HIV/AIDS policy * law review / Canadian HIV/AIDS Legal Network.</t>
  </si>
  <si>
    <t>HIV/AIDS - Research and Palliative Care</t>
  </si>
  <si>
    <t>HIV and AIDS Review</t>
  </si>
  <si>
    <t>HIV Clinical Trials</t>
  </si>
  <si>
    <t>HIV clinician / Delta Region AIDS Education &amp; Training Center</t>
  </si>
  <si>
    <t>HIV Medicine</t>
  </si>
  <si>
    <t>HIV Nursing</t>
  </si>
  <si>
    <t>HNO</t>
  </si>
  <si>
    <t>Hobbes Studies</t>
  </si>
  <si>
    <t>Hokkaido Journal of Medical Science</t>
  </si>
  <si>
    <t>Holistic Nursing Practice</t>
  </si>
  <si>
    <t>Holocaust and Genocide Studies</t>
  </si>
  <si>
    <t>Holocene</t>
  </si>
  <si>
    <t>Holy Land Studies</t>
  </si>
  <si>
    <t>Holz als Roh - und Werkstoff</t>
  </si>
  <si>
    <t>Holzforschung</t>
  </si>
  <si>
    <t>Home Cultures</t>
  </si>
  <si>
    <t>Home Health Care Management and Practice</t>
  </si>
  <si>
    <t>Home Healthcare Nurse</t>
  </si>
  <si>
    <t>Home Health Care Services Quarterly</t>
  </si>
  <si>
    <t>Homeland Security Affairs</t>
  </si>
  <si>
    <t>Homeopathy</t>
  </si>
  <si>
    <t>Homicide Studies</t>
  </si>
  <si>
    <t>Homme</t>
  </si>
  <si>
    <t>Homme et la Societe</t>
  </si>
  <si>
    <t>Homology, Homotopy and Applications</t>
  </si>
  <si>
    <t>Hong Kong Journal of Dermatology and Venereology</t>
  </si>
  <si>
    <t>Hong Kong Journal of Emergency Medicine</t>
  </si>
  <si>
    <t>Hong Kong Journal of Nephrology</t>
  </si>
  <si>
    <t>Hong Kong Journal of Occupational Therapy</t>
  </si>
  <si>
    <t>Hong Kong Journal of Paediatrics</t>
  </si>
  <si>
    <t>Hong Kong Journal of Radiology</t>
  </si>
  <si>
    <t>Hong Kong Law Journal</t>
  </si>
  <si>
    <t>Hong Kong Medical Journal</t>
  </si>
  <si>
    <t>Hong Kong Physiotherapy Journal</t>
  </si>
  <si>
    <t>Hong Kong Polytechnic University, Dissertation</t>
  </si>
  <si>
    <t>Hong Kong Practitioner</t>
  </si>
  <si>
    <t>Hong Kong University of Science and Technology, Dissertation</t>
  </si>
  <si>
    <t>Hongwai Yu Haomibo Xuebao/Journal of Infrared and Millimeter Waves</t>
  </si>
  <si>
    <t>Hongwai yu Jiguang Gongcheng/Infrared and Laser Engineering</t>
  </si>
  <si>
    <t>Horizons</t>
  </si>
  <si>
    <t>Horizons in Biblical Theology</t>
  </si>
  <si>
    <t>Horizontes Antropologicos</t>
  </si>
  <si>
    <t>Hormone and Metabolic Research</t>
  </si>
  <si>
    <t>Hormone Research in Paediatrics</t>
  </si>
  <si>
    <t>Hormones</t>
  </si>
  <si>
    <t>Hormones and Behavior</t>
  </si>
  <si>
    <t>Hormones and Cancer</t>
  </si>
  <si>
    <t>Horticultura Brasileira</t>
  </si>
  <si>
    <t>Horticultural Science</t>
  </si>
  <si>
    <t>Hortscience: A Publication of the American Society for Hortcultural Science</t>
  </si>
  <si>
    <t>HortTechnology</t>
  </si>
  <si>
    <t>Hortus Artium Mediaevalium</t>
  </si>
  <si>
    <t>Hospital case management : the monthly update on hospital-based care planning and critical paths</t>
  </si>
  <si>
    <t>Hospital Infection Control</t>
  </si>
  <si>
    <t>Hospital Medicine Clinics</t>
  </si>
  <si>
    <t>Hospital peer review</t>
  </si>
  <si>
    <t>Hospital Pharmacy</t>
  </si>
  <si>
    <t>Hospital practice (1995)</t>
  </si>
  <si>
    <t>Hospitals and Health Networks</t>
  </si>
  <si>
    <t>Hospital Topics</t>
  </si>
  <si>
    <t>Hotel Management</t>
  </si>
  <si>
    <t>Hot Topics in Cardiology</t>
  </si>
  <si>
    <t>Hot Topics in Hypertension</t>
  </si>
  <si>
    <t>Hot Topics in Neurology and Psychiatry</t>
  </si>
  <si>
    <t>Hot Topics in Oncology</t>
  </si>
  <si>
    <t>Hot Topics in Respiratory Medicine</t>
  </si>
  <si>
    <t>Hot Topics in Viral Hepatitis</t>
  </si>
  <si>
    <t>Houille Blanche</t>
  </si>
  <si>
    <t>Housing, Care and Support</t>
  </si>
  <si>
    <t>Housing Policy Debate</t>
  </si>
  <si>
    <t>Housing Studies</t>
  </si>
  <si>
    <t>Housing, Theory and Society</t>
  </si>
  <si>
    <t>Houston Journal of Mathematics</t>
  </si>
  <si>
    <t>Howard Journal of Communications</t>
  </si>
  <si>
    <t>Howard Journal of Criminal Justice</t>
  </si>
  <si>
    <t>Howard University, Dissertation</t>
  </si>
  <si>
    <t>HPB</t>
  </si>
  <si>
    <t>HPB Surgery</t>
  </si>
  <si>
    <t>HP Laboratories Technical Report</t>
  </si>
  <si>
    <t>Hrvatska Revija Za Rehabilitacijska Istrazivanja</t>
  </si>
  <si>
    <t>Hrvatske Vode</t>
  </si>
  <si>
    <t>Hrvatski Filmski Ljetopis</t>
  </si>
  <si>
    <t>Hrvatski Geografski Glasnik</t>
  </si>
  <si>
    <t>Hrvatski Meteoroloski Casopis/Croatian Meteorological Journal</t>
  </si>
  <si>
    <t>HSB International</t>
  </si>
  <si>
    <t>Hsi-An Chiao Tung Ta Hsueh/Journal of Xi'an Jiaotong University</t>
  </si>
  <si>
    <t>HSS Journal</t>
  </si>
  <si>
    <t>HTS Teologiese Studies / Theological Studies</t>
  </si>
  <si>
    <t>Huadong Ligong Daxue Xuebao /Journal of East China University of Science and Technology</t>
  </si>
  <si>
    <t>Huagong Xuebao/Journal of Chemical Industry and Engineering (China)</t>
  </si>
  <si>
    <t>Huanan Ligong Daxue Xuebao/Journal of South China University of Technology (Natural Science)</t>
  </si>
  <si>
    <t>Huanjing Kexue/Environmental Science</t>
  </si>
  <si>
    <t>Huanjing Kexue Xuebao / Acta Scientiae Circumstantiae</t>
  </si>
  <si>
    <t>Huaxue Fanying Gongcheng Yu Gongyi/Chemical Reaction Engineering and Technology</t>
  </si>
  <si>
    <t>Huaxue Gongcheng/Chemical Engineering</t>
  </si>
  <si>
    <t>Huazhong Keji Daxue Xuebao (Ziran Kexue Ban)/Journal of Huazhong University of Science and Technology (Natural Science Edition)</t>
  </si>
  <si>
    <t>Hudebni Veda</t>
  </si>
  <si>
    <t>HUGO Journal</t>
  </si>
  <si>
    <t>Huisarts en Wetenschap</t>
  </si>
  <si>
    <t>Human Affairs</t>
  </si>
  <si>
    <t>Human and Ecological Risk Assessment (HERA)</t>
  </si>
  <si>
    <t>Human and Experimental Toxicology</t>
  </si>
  <si>
    <t>Human and Veterinary Medicine</t>
  </si>
  <si>
    <t>Human Antibodies</t>
  </si>
  <si>
    <t>Human Biology</t>
  </si>
  <si>
    <t>Human Brain Mapping</t>
  </si>
  <si>
    <t>Human Cell</t>
  </si>
  <si>
    <t>Human Communication Research</t>
  </si>
  <si>
    <t>Human-Computer Interaction</t>
  </si>
  <si>
    <t>Human Development</t>
  </si>
  <si>
    <t>Human Dimensions of Wildlife</t>
  </si>
  <si>
    <t>Human Ecology</t>
  </si>
  <si>
    <t>Human Ecology Review</t>
  </si>
  <si>
    <t>Human Evolution</t>
  </si>
  <si>
    <t>Human Factors</t>
  </si>
  <si>
    <t>Human Factors and Ergonomics In Manufacturing</t>
  </si>
  <si>
    <t>Human Fertility</t>
  </si>
  <si>
    <t>Human gene therapy methods</t>
  </si>
  <si>
    <t>Human Genetics</t>
  </si>
  <si>
    <t>Human Genomics</t>
  </si>
  <si>
    <t>Human Genomics and Proteomics</t>
  </si>
  <si>
    <t>Human Geographies</t>
  </si>
  <si>
    <t>Human Heredity</t>
  </si>
  <si>
    <t>Human Immunology</t>
  </si>
  <si>
    <t>Human IT</t>
  </si>
  <si>
    <t>Humanities Diliman</t>
  </si>
  <si>
    <t>Human Molecular Genetics</t>
  </si>
  <si>
    <t>Human Movement</t>
  </si>
  <si>
    <t>Human Movement Science</t>
  </si>
  <si>
    <t>Human Mutation</t>
  </si>
  <si>
    <t>Human Nature</t>
  </si>
  <si>
    <t>Human Organization</t>
  </si>
  <si>
    <t>Human Pathology</t>
  </si>
  <si>
    <t>Human Performance</t>
  </si>
  <si>
    <t>Human Physiology</t>
  </si>
  <si>
    <t>Human Psychopharmacology</t>
  </si>
  <si>
    <t>Human Relations</t>
  </si>
  <si>
    <t>Human Reproduction</t>
  </si>
  <si>
    <t>Human Reproduction and Genetic Ethics</t>
  </si>
  <si>
    <t>Human Reproduction Update</t>
  </si>
  <si>
    <t>Human Resource Development Quarterly</t>
  </si>
  <si>
    <t>Human Resource Development Review</t>
  </si>
  <si>
    <t>Human Resource Management</t>
  </si>
  <si>
    <t>Human Resource Management International Digest</t>
  </si>
  <si>
    <t>Human Resource Management Journal</t>
  </si>
  <si>
    <t>Human Resource Management Review</t>
  </si>
  <si>
    <t>Human Resources for Health</t>
  </si>
  <si>
    <t>Human Rights Law Review</t>
  </si>
  <si>
    <t>Human Rights Quarterly</t>
  </si>
  <si>
    <t>Human Rights Review</t>
  </si>
  <si>
    <t>Humans and Nature</t>
  </si>
  <si>
    <t>Human Studies</t>
  </si>
  <si>
    <t>Human Systems Management</t>
  </si>
  <si>
    <t>Human Vaccines</t>
  </si>
  <si>
    <t>Human Vaccines and Immunotherapeutics</t>
  </si>
  <si>
    <t>Human-Wildlife Interactions</t>
  </si>
  <si>
    <t>Humboldt Journal of Social Relations</t>
  </si>
  <si>
    <t>Humor</t>
  </si>
  <si>
    <t>Hunan Daxue Xuebao/Journal of Hunan University Natural Sciences</t>
  </si>
  <si>
    <t>Hungarian Quarterly</t>
  </si>
  <si>
    <t>Hungarian Studies</t>
  </si>
  <si>
    <t>Huntington Library Quarterly</t>
  </si>
  <si>
    <t>Huozhayao Xuebao/Chinese Journal of Explosives and Propellants</t>
  </si>
  <si>
    <t>Husserl Studies</t>
  </si>
  <si>
    <t>HVAC and R Research</t>
  </si>
  <si>
    <t>Hybridoma</t>
  </si>
  <si>
    <t>Hydrobiologia</t>
  </si>
  <si>
    <t>Hydrobiological Journal</t>
  </si>
  <si>
    <t>Hydrogeology Journal</t>
  </si>
  <si>
    <t>Hydrological Processes</t>
  </si>
  <si>
    <t>Hydrological Sciences Journal</t>
  </si>
  <si>
    <t>Hydrologie und Wasserbewirtschaftung</t>
  </si>
  <si>
    <t>Hydrology and Earth System Sciences</t>
  </si>
  <si>
    <t>Hydrology Research</t>
  </si>
  <si>
    <t>Hydrometallurgy</t>
  </si>
  <si>
    <t>Hygiea Internationalis</t>
  </si>
  <si>
    <t>Hygiena</t>
  </si>
  <si>
    <t>Hygiene + Medizin</t>
  </si>
  <si>
    <t>Hyle</t>
  </si>
  <si>
    <t>Hypatia</t>
  </si>
  <si>
    <t>Hyperfine Interaction</t>
  </si>
  <si>
    <t>Hypertension</t>
  </si>
  <si>
    <t>Hypertension in Pregnancy</t>
  </si>
  <si>
    <t>Hypertension Research</t>
  </si>
  <si>
    <t>Hystrix</t>
  </si>
  <si>
    <t>IAENG International Journal of Applied Mathematics</t>
  </si>
  <si>
    <t>IAENG International Journal of Computer Science</t>
  </si>
  <si>
    <t>IARC (International Agency for Research on Cancer) Scientific Publications</t>
  </si>
  <si>
    <t>IARC Monographs on the Evaluation of Carcinogenic Risks to Humans</t>
  </si>
  <si>
    <t>Iatreia</t>
  </si>
  <si>
    <t>IATSS Research</t>
  </si>
  <si>
    <t>IAVI report : newsletter on international AIDS vaccine research.</t>
  </si>
  <si>
    <t>IAWA Journal</t>
  </si>
  <si>
    <t>Iberica</t>
  </si>
  <si>
    <t>Iberoromania</t>
  </si>
  <si>
    <t>Ibis</t>
  </si>
  <si>
    <t>IBM Journal of Research and Development</t>
  </si>
  <si>
    <t>Icarus</t>
  </si>
  <si>
    <t>Icelandic Agricultural Sciences</t>
  </si>
  <si>
    <t>ICES Journal of Marine Science</t>
  </si>
  <si>
    <t>ICGA Journal</t>
  </si>
  <si>
    <t>Ichnos</t>
  </si>
  <si>
    <t>Ichthyological Exploration of Freshwaters</t>
  </si>
  <si>
    <t>Ichthyological Research</t>
  </si>
  <si>
    <t>ICIC Express Letters</t>
  </si>
  <si>
    <t>ICIC Express Letters, Part B: Applications</t>
  </si>
  <si>
    <t>ICU Director</t>
  </si>
  <si>
    <t>Idaho State University, Dissertation</t>
  </si>
  <si>
    <t>IDEA</t>
  </si>
  <si>
    <t>Ideas y Valores</t>
  </si>
  <si>
    <t>Ideggyogyaszati Szemle</t>
  </si>
  <si>
    <t>Identities: Global Studies in Culture and Power</t>
  </si>
  <si>
    <t>Identity</t>
  </si>
  <si>
    <t>Idesia</t>
  </si>
  <si>
    <t>Idojaras</t>
  </si>
  <si>
    <t>IDS Bulletin</t>
  </si>
  <si>
    <t>IECON Proceedings (Industrial Electronics Conference)</t>
  </si>
  <si>
    <t>IEEE/ACM International Conference on Computer-Aided Design, Digest of Technical Papers</t>
  </si>
  <si>
    <t>IEEE/ACM Transactions on Computational Biology and Bioinformatics</t>
  </si>
  <si>
    <t>IEEE/ACM Transactions on Networking</t>
  </si>
  <si>
    <t>IEEE Aerospace and Electronic Systems Magazine</t>
  </si>
  <si>
    <t>IEEE Aerospace Conference Proceedings</t>
  </si>
  <si>
    <t>IEEE AFRICON Conference</t>
  </si>
  <si>
    <t>IEEE Annals of the History of Computing</t>
  </si>
  <si>
    <t>IEEE Antennas and Propagation Magazine</t>
  </si>
  <si>
    <t>IEEE Antennas and Wireless Propagation Letters</t>
  </si>
  <si>
    <t>IEEE Asia-Pacific Conference on Circuits and Systems, Proceedings, APCCAS</t>
  </si>
  <si>
    <t>IEEE/ASME International Conference on Advanced Intelligent Mechatronics, AIM</t>
  </si>
  <si>
    <t>IEEE/ASME Transactions on Mechatronics</t>
  </si>
  <si>
    <t>IEEE Circuits and Systems Magazine</t>
  </si>
  <si>
    <t>IEEE Communications Letters</t>
  </si>
  <si>
    <t>IEEE Communications Magazine</t>
  </si>
  <si>
    <t>IEEE Communications Surveys and Tutorials</t>
  </si>
  <si>
    <t>IEEE Computational Intelligence Magazine</t>
  </si>
  <si>
    <t>IEEE Computer Architecture Letters</t>
  </si>
  <si>
    <t>IEEE Computer Graphics and Applications</t>
  </si>
  <si>
    <t>IEEE Conference on Intelligent Transportation Systems, Proceedings, ITSC</t>
  </si>
  <si>
    <t>IEEE Conference Record of Annual Pulp and Paper Industry Technical Conference</t>
  </si>
  <si>
    <t>IEEE Control Systems Magazine</t>
  </si>
  <si>
    <t>IEEE Design and Test of Computers</t>
  </si>
  <si>
    <t>IEEE Electrical Insulation Magazine</t>
  </si>
  <si>
    <t>IEEE Electron Device Letters</t>
  </si>
  <si>
    <t>IEEE Embedded Systems Letters</t>
  </si>
  <si>
    <t>IEEE Engineering Management Review</t>
  </si>
  <si>
    <t>IEEE Geoscience and Remote Sensing Letters</t>
  </si>
  <si>
    <t>IEEE Industrial Electronics Magazine</t>
  </si>
  <si>
    <t>IEEE Industry Applications Magazine</t>
  </si>
  <si>
    <t>IEEE Instrumentation and Measurement Magazine</t>
  </si>
  <si>
    <t>IEEE Intelligent Systems</t>
  </si>
  <si>
    <t>IEEE Intelligent Transportation Systems Magazine</t>
  </si>
  <si>
    <t>IEEE Intelligent Vehicles Symposium, Proceedings</t>
  </si>
  <si>
    <t>IEEE International Conference on Fuzzy Systems</t>
  </si>
  <si>
    <t>IEEE International Conference on Intelligent Robots and Systems</t>
  </si>
  <si>
    <t>IEEE International Conference on Microelectronic Test Structures</t>
  </si>
  <si>
    <t>IEEE ... International Conference on Rehabilitation Robotics : [proceedings]</t>
  </si>
  <si>
    <t>IEEE International Conference on Software Maintenance, ICSM</t>
  </si>
  <si>
    <t>IEEE International Professional Communication Conference</t>
  </si>
  <si>
    <t>IEEE International SOI Conference</t>
  </si>
  <si>
    <t>IEEE International Symposium on Electromagnetic Compatibility</t>
  </si>
  <si>
    <t>IEEE International Symposium on Information Theory - Proceedings</t>
  </si>
  <si>
    <t>IEEE International Symposium on Intelligent Control - Proceedings</t>
  </si>
  <si>
    <t>IEEE International Symposium on Personal, Indoor and Mobile Radio Communications, PIMRC</t>
  </si>
  <si>
    <t>IEEE International Symposium on Semiconductor Manufacturing Conference, Proceedings</t>
  </si>
  <si>
    <t>IEEE International Test Conference (TC)</t>
  </si>
  <si>
    <t>IEEE Internet Computing</t>
  </si>
  <si>
    <t>IEEE Journal of Oceanic Engineering</t>
  </si>
  <si>
    <t>IEEE Journal of Quantum Electronics</t>
  </si>
  <si>
    <t>IEEE Journal of Selected Topics in Applied Earth Observations and Remote Sensing</t>
  </si>
  <si>
    <t>IEEE Journal of Solid-State Circuits</t>
  </si>
  <si>
    <t>IEEE Journal on Selected Areas in Communications</t>
  </si>
  <si>
    <t>IEEE Journal on Selected Topics in Quantum Electronics</t>
  </si>
  <si>
    <t>IEEE Journal on Selected Topics in Signal Processing</t>
  </si>
  <si>
    <t>IEEE Latin America Transactions</t>
  </si>
  <si>
    <t>IEEE Magnetics Letters</t>
  </si>
  <si>
    <t>IEEE Micro</t>
  </si>
  <si>
    <t>IEEE Microwave and Wireless Components Letters</t>
  </si>
  <si>
    <t>IEEE Microwave Magazine</t>
  </si>
  <si>
    <t>IEEE MTT-S International Microwave Symposium Digest</t>
  </si>
  <si>
    <t>IEEE Multimedia</t>
  </si>
  <si>
    <t>IEEE Nanotechnology Magazine</t>
  </si>
  <si>
    <t>IEEE National Radar Conference - Proceedings</t>
  </si>
  <si>
    <t>IEEE Network</t>
  </si>
  <si>
    <t>IEEE Nuclear Science Symposium Conference Record</t>
  </si>
  <si>
    <t>IEEE/OSA Journal of Display Technology</t>
  </si>
  <si>
    <t>IEEE Pacific Rim Conference on Communications, Computers and Signal Processing Conference Proceedings</t>
  </si>
  <si>
    <t>IEEE Pervasive Computing</t>
  </si>
  <si>
    <t>IEEE Photonics Journal</t>
  </si>
  <si>
    <t>IEEE Photonics Technology Letters</t>
  </si>
  <si>
    <t>IEEE Potentials</t>
  </si>
  <si>
    <t>IEEE Power and Energy Magazine</t>
  </si>
  <si>
    <t>IEEE Pulse</t>
  </si>
  <si>
    <t>IEEE Region 10 Annual International Conference, Proceedings/TENCON</t>
  </si>
  <si>
    <t>IEEE Reviews in Biomedical Engineering</t>
  </si>
  <si>
    <t>IEEE Robotics and Automation Magazine</t>
  </si>
  <si>
    <t>IEEE Security and Privacy</t>
  </si>
  <si>
    <t>IEEE Sensors Journal</t>
  </si>
  <si>
    <t>IEEE Signal Processing Letters</t>
  </si>
  <si>
    <t>IEEE Signal Processing Magazine</t>
  </si>
  <si>
    <t>IEEE Software</t>
  </si>
  <si>
    <t>IEEE Spectrum</t>
  </si>
  <si>
    <t>IEEE Symposium on VLSI Circuits, Digest of Technical Papers</t>
  </si>
  <si>
    <t>IEEE Systems Journal</t>
  </si>
  <si>
    <t>IEEE Technology and Society Magazine</t>
  </si>
  <si>
    <t>IEEE Transactions on Aerospace and Electronic Systems</t>
  </si>
  <si>
    <t>IEEE Transactions on Affective Computing</t>
  </si>
  <si>
    <t>IEEE Transactions on Antennas and Propagation</t>
  </si>
  <si>
    <t>IEEE Transactions on Applied Superconductivity</t>
  </si>
  <si>
    <t>IEEE Transactions on Audio, Speech and Language Processing</t>
  </si>
  <si>
    <t>IEEE Transactions on Automatic Control</t>
  </si>
  <si>
    <t>IEEE Transactions on Automation Science and Engineering</t>
  </si>
  <si>
    <t>IEEE Transactions on Autonomous Mental Development</t>
  </si>
  <si>
    <t>IEEE Transactions on Biomedical Circuits and Systems</t>
  </si>
  <si>
    <t>IEEE Transactions on Biomedical Engineering</t>
  </si>
  <si>
    <t>IEEE Transactions on Broadcasting</t>
  </si>
  <si>
    <t>IEEE Transactions on Circuits and Systems for Video Technology</t>
  </si>
  <si>
    <t>IEEE Transactions on Circuits and Systems I: Regular Papers</t>
  </si>
  <si>
    <t>IEEE Transactions on Communications</t>
  </si>
  <si>
    <t>IEEE Transactions on Components, Packaging and Manufacturing Technology</t>
  </si>
  <si>
    <t>IEEE Transactions on Computational Intelligence and AI in Games</t>
  </si>
  <si>
    <t>IEEE Transactions on Computer-Aided Design of Integrated Circuits and Systems</t>
  </si>
  <si>
    <t>IEEE Transactions on Computers</t>
  </si>
  <si>
    <t>IEEE Transactions on Consumer Electronics</t>
  </si>
  <si>
    <t>IEEE Transactions on Control Systems Technology</t>
  </si>
  <si>
    <t>IEEE Transactions on Dependable and Secure Computing</t>
  </si>
  <si>
    <t>IEEE Transactions on Device and Materials Reliability</t>
  </si>
  <si>
    <t>IEEE Transactions on Dielectrics and Electrical Insulation</t>
  </si>
  <si>
    <t>IEEE Transactions on Education</t>
  </si>
  <si>
    <t>IEEE Transactions on Electromagnetic Compatibility</t>
  </si>
  <si>
    <t>IEEE Transactions on Electron Devices</t>
  </si>
  <si>
    <t>IEEE Transactions on Energy Conversion</t>
  </si>
  <si>
    <t>IEEE Transactions on Engineering Management</t>
  </si>
  <si>
    <t>IEEE Transactions on Evolutionary Computation</t>
  </si>
  <si>
    <t>IEEE Transactions on Fuzzy Systems</t>
  </si>
  <si>
    <t>IEEE Transactions on Geoscience and Remote Sensing</t>
  </si>
  <si>
    <t>IEEE Transactions on Haptics</t>
  </si>
  <si>
    <t>IEEE Transactions on Image Processing</t>
  </si>
  <si>
    <t>IEEE Transactions on Industrial Electronics</t>
  </si>
  <si>
    <t>IEEE Transactions on Industrial Informatics</t>
  </si>
  <si>
    <t>IEEE Transactions on Industry Applications</t>
  </si>
  <si>
    <t>IEEE Transactions on Information Forensics and Security</t>
  </si>
  <si>
    <t>IEEE Transactions on Information Technology in Biomedicine</t>
  </si>
  <si>
    <t>IEEE Transactions on Information Theory</t>
  </si>
  <si>
    <t>IEEE Transactions on Instrumentation and Measurement</t>
  </si>
  <si>
    <t>IEEE Transactions on Intelligent Transportation Systems</t>
  </si>
  <si>
    <t>IEEE Transactions on Knowledge and Data Engineering</t>
  </si>
  <si>
    <t>IEEE Transactions on Learning Technologies</t>
  </si>
  <si>
    <t>IEEE Transactions on Magnetics</t>
  </si>
  <si>
    <t>IEEE Transactions on Medical Imaging</t>
  </si>
  <si>
    <t>IEEE Transactions on Microwave Theory and Techniques</t>
  </si>
  <si>
    <t>IEEE Transactions on Mobile Computing</t>
  </si>
  <si>
    <t>IEEE Transactions on Multimedia</t>
  </si>
  <si>
    <t>IEEE Transactions on Nanobioscience</t>
  </si>
  <si>
    <t>IEEE Transactions on Nanotechnology</t>
  </si>
  <si>
    <t>IEEE Transactions on Network and Service Management</t>
  </si>
  <si>
    <t>IEEE Transactions on Neural Networks</t>
  </si>
  <si>
    <t>IEEE Transactions on Neural Systems and Rehabilitation Engineering</t>
  </si>
  <si>
    <t>IEEE Transactions on Nuclear Science</t>
  </si>
  <si>
    <t>IEEE Transactions on Parallel and Distributed Systems</t>
  </si>
  <si>
    <t>IEEE Transactions on Pattern Analysis and Machine Intelligence</t>
  </si>
  <si>
    <t>IEEE Transactions on Plasma Science</t>
  </si>
  <si>
    <t>IEEE Transactions on Power Delivery</t>
  </si>
  <si>
    <t>IEEE Transactions on Power Electronics</t>
  </si>
  <si>
    <t>IEEE Transactions on Power Systems</t>
  </si>
  <si>
    <t>IEEE Transactions on Professional Communication</t>
  </si>
  <si>
    <t>IEEE Transactions on Reliability</t>
  </si>
  <si>
    <t>IEEE Transactions on Robotics</t>
  </si>
  <si>
    <t>IEEE Transactions on Semiconductor Manufacturing</t>
  </si>
  <si>
    <t>IEEE Transactions on Services Computing</t>
  </si>
  <si>
    <t>IEEE Transactions on Signal Processing</t>
  </si>
  <si>
    <t>IEEE Transactions on Smart Grid</t>
  </si>
  <si>
    <t>IEEE Transactions on Software Engineering</t>
  </si>
  <si>
    <t>IEEE Transactions on Sustainable Energy</t>
  </si>
  <si>
    <t>IEEE Transactions on Systems, Man, and Cybernetics Part A:Systems and Humans.</t>
  </si>
  <si>
    <t>IEEE Transactions on Systems, Man, and Cybernetics, Part B: Cybernetics</t>
  </si>
  <si>
    <t>IEEE Transactions on Systems, Man and Cybernetics Part C: Applications and Reviews</t>
  </si>
  <si>
    <t>IEEE Transactions on Terahertz Science and Technology</t>
  </si>
  <si>
    <t>IEEE Transactions on Ultrasonics, Ferroelectrics, and Frequency Control</t>
  </si>
  <si>
    <t>IEEE Transactions on Vehicular Technology</t>
  </si>
  <si>
    <t>IEEE Transactions on Very Large Scale Integration (VLSI) Systems</t>
  </si>
  <si>
    <t>IEEE Transactions on Visualization and Computer Graphics</t>
  </si>
  <si>
    <t>IEEE Transactions on Wireless Communications</t>
  </si>
  <si>
    <t>IEEE Vehicular Technology Conference</t>
  </si>
  <si>
    <t>IEEE Vehicular Technology Magazine</t>
  </si>
  <si>
    <t>IEEE Wireless Communications</t>
  </si>
  <si>
    <t>IEEE Wireless Communications Letters</t>
  </si>
  <si>
    <t>IEEJ Transactions on Electrical and Electronic Engineering</t>
  </si>
  <si>
    <t>IEEJ Transactions on Electronics, Information and Systems</t>
  </si>
  <si>
    <t>IEEJ Transactions on Fundamentals and Materials</t>
  </si>
  <si>
    <t>IEEJ Transactions on Industry Applications</t>
  </si>
  <si>
    <t>IEEJ Transactions on Power and Energy</t>
  </si>
  <si>
    <t>IEEJ Transactions on Sensors and Micromachines</t>
  </si>
  <si>
    <t>IEICE Electronics Express</t>
  </si>
  <si>
    <t>IEICE Transactions on Communications</t>
  </si>
  <si>
    <t>IEICE Transactions on Electronics</t>
  </si>
  <si>
    <t>IEICE Transactions on Fundamentals of Electronics, Communications and Computer Sciences</t>
  </si>
  <si>
    <t>IEICE Transactions on Information and Systems</t>
  </si>
  <si>
    <t>IET Biometrics</t>
  </si>
  <si>
    <t>IET Circuits, Devices and Systems</t>
  </si>
  <si>
    <t>IET Communications</t>
  </si>
  <si>
    <t>IET Computers and Digital Techniques</t>
  </si>
  <si>
    <t>IET Computer Vision</t>
  </si>
  <si>
    <t>IET Control Theory and Applications</t>
  </si>
  <si>
    <t>IETE Journal of Research</t>
  </si>
  <si>
    <t>IET Electrical Systems in Transportation</t>
  </si>
  <si>
    <t>IET Electric Power Applications</t>
  </si>
  <si>
    <t>IETE Technical Review (Institution of Electronics and Telecommunication Engineers, India)</t>
  </si>
  <si>
    <t>IET Generation, Transmission and Distribution</t>
  </si>
  <si>
    <t>IET Image Processing</t>
  </si>
  <si>
    <t>IET Information Security</t>
  </si>
  <si>
    <t>IET Intelligent Transport Systems</t>
  </si>
  <si>
    <t>IET Microwaves, Antennas and Propagation</t>
  </si>
  <si>
    <t>IET Nanobiotechnology</t>
  </si>
  <si>
    <t>IET Optoelectronics</t>
  </si>
  <si>
    <t>IET Power Electronics</t>
  </si>
  <si>
    <t>IET Radar, Sonar and Navigation</t>
  </si>
  <si>
    <t>IET Renewable Power Generation</t>
  </si>
  <si>
    <t>IET Science, Measurement and Technology</t>
  </si>
  <si>
    <t>IET Signal Processing</t>
  </si>
  <si>
    <t>IET Software</t>
  </si>
  <si>
    <t>IET Systems Biology</t>
  </si>
  <si>
    <t>IET Wireless Sensor Systems</t>
  </si>
  <si>
    <t>IFAC Proceedings Volumes (IFAC-PapersOnline)</t>
  </si>
  <si>
    <t>IFIP Advances in Information and Communication Technology</t>
  </si>
  <si>
    <t>IFLA Journal</t>
  </si>
  <si>
    <t>IForest</t>
  </si>
  <si>
    <t>IFRF Combustion Journal</t>
  </si>
  <si>
    <t>Igaku butsuri : Nihon Igaku Butsuri Gakkai kikanshi = Japanese journal of medical physics : an official journal of Japan Society of Medical Physics</t>
  </si>
  <si>
    <t>Igiene e Sanita Pubblica</t>
  </si>
  <si>
    <t>Iheringia - Serie Botanica</t>
  </si>
  <si>
    <t>Iheringia - Serie Zoologia</t>
  </si>
  <si>
    <t>IIC International Review of Intellectual Property and Competition Law</t>
  </si>
  <si>
    <t>IIE Transactions (Institute of Industrial Engineers)</t>
  </si>
  <si>
    <t>IIMB Management Review</t>
  </si>
  <si>
    <t>Ikonomicheski Izsledvania</t>
  </si>
  <si>
    <t>ILAR Journal</t>
  </si>
  <si>
    <t>Ilha do Desterro</t>
  </si>
  <si>
    <t>Illinois Journal of Mathematics</t>
  </si>
  <si>
    <t>Illness Crisis and Loss</t>
  </si>
  <si>
    <t>Ilu. Revista de Ciencias de las Religiones</t>
  </si>
  <si>
    <t>Image Analysis and Stereology</t>
  </si>
  <si>
    <t>Image and Vision Computing</t>
  </si>
  <si>
    <t>Imagen Diagnostica</t>
  </si>
  <si>
    <t>Imagerie de la Femme</t>
  </si>
  <si>
    <t>Images</t>
  </si>
  <si>
    <t>Imaginaire et Inconscient</t>
  </si>
  <si>
    <t>Imaging in Medicine</t>
  </si>
  <si>
    <t>Imaging Science Journal</t>
  </si>
  <si>
    <t>Imago Mundi</t>
  </si>
  <si>
    <t>IMA Journal Management Mathematics</t>
  </si>
  <si>
    <t>IMA Journal of Applied Mathematics</t>
  </si>
  <si>
    <t>IMA Journal of Mathematical Control and Information</t>
  </si>
  <si>
    <t>IMA Journal of Numerical Analysis</t>
  </si>
  <si>
    <t>IMF Economic Review</t>
  </si>
  <si>
    <t>Immigrants and Minorities</t>
  </si>
  <si>
    <t>Immunity</t>
  </si>
  <si>
    <t>Immunity and Ageing</t>
  </si>
  <si>
    <t>Immuno-Analyse et Biologie Specialisee</t>
  </si>
  <si>
    <t>Immunobiology</t>
  </si>
  <si>
    <t>Immunogenetics</t>
  </si>
  <si>
    <t>Immunohematology</t>
  </si>
  <si>
    <t>Immunological Investigations</t>
  </si>
  <si>
    <t>Immunological Reviews</t>
  </si>
  <si>
    <t>Immunologic Research</t>
  </si>
  <si>
    <t>Immunology</t>
  </si>
  <si>
    <t>Immunology and Allergy Clinics of North America</t>
  </si>
  <si>
    <t>Immunology and Cell Biology</t>
  </si>
  <si>
    <t>Immunology and Immunogenetics Insights</t>
  </si>
  <si>
    <t>Immunology, Endocrine and Metabolic Agents in Medicinal Chemistry</t>
  </si>
  <si>
    <t>Immunology Letters</t>
  </si>
  <si>
    <t>Immunome Research</t>
  </si>
  <si>
    <t>Immunopharmacology and Immunotoxicology</t>
  </si>
  <si>
    <t>Immunotherapy</t>
  </si>
  <si>
    <t>Impact Assessment and Project Appraisal</t>
  </si>
  <si>
    <t>Implant Dentistry</t>
  </si>
  <si>
    <t>Implantoprotetyka</t>
  </si>
  <si>
    <t>Implementation Science</t>
  </si>
  <si>
    <t>Implicit Religion</t>
  </si>
  <si>
    <t>Imprint</t>
  </si>
  <si>
    <t>Improving Schools</t>
  </si>
  <si>
    <t>Incidenza dell' Antico</t>
  </si>
  <si>
    <t>Indagationes Mathematicae</t>
  </si>
  <si>
    <t>Independent Review</t>
  </si>
  <si>
    <t>Index de Enfermeria</t>
  </si>
  <si>
    <t>Index on Censorship</t>
  </si>
  <si>
    <t>Indiana Law Journal</t>
  </si>
  <si>
    <t>Indiana University Mathematics Journal</t>
  </si>
  <si>
    <t>Indian Drugs</t>
  </si>
  <si>
    <t>Indian Economic and Social History Review</t>
  </si>
  <si>
    <t>Indian Geotechnical Journal</t>
  </si>
  <si>
    <t>Indian Growth and Development Review</t>
  </si>
  <si>
    <t>Indian Heart Journal</t>
  </si>
  <si>
    <t>Indian Journal of Agricultural Biochemistry</t>
  </si>
  <si>
    <t>Indian Journal of Agricultural Economics</t>
  </si>
  <si>
    <t>Indian Journal of Agricultural Sciences</t>
  </si>
  <si>
    <t>Indian Journal of Agronomy</t>
  </si>
  <si>
    <t>Indian Journal of Anaesthesia</t>
  </si>
  <si>
    <t>Indian Journal of Animal Research</t>
  </si>
  <si>
    <t>Indian Journal of Animal Sciences</t>
  </si>
  <si>
    <t>Indian Journal of Biochemistry and Biophysics</t>
  </si>
  <si>
    <t>Indian Journal of Biotechnology</t>
  </si>
  <si>
    <t>Indian Journal of Cancer</t>
  </si>
  <si>
    <t>Indian Journal of Chemical Technology</t>
  </si>
  <si>
    <t>Indian Journal of Chemistry - Section A Inorganic, Physical, Theoretical and Analytical Chemistry</t>
  </si>
  <si>
    <t>Indian Journal of Chemistry - Section B Organic and Medicinal Chemistry</t>
  </si>
  <si>
    <t>Indian journal of chest diseases &amp; allied sciences, The</t>
  </si>
  <si>
    <t>Indian Journal of Clinical Biochemistry</t>
  </si>
  <si>
    <t>Indian Journal of Community Health</t>
  </si>
  <si>
    <t>Indian Journal of Community Medicine</t>
  </si>
  <si>
    <t>Indian Journal of Critical Care Medicine</t>
  </si>
  <si>
    <t>Indian Journal of Dental Research</t>
  </si>
  <si>
    <t>Indian Journal of Dermatology</t>
  </si>
  <si>
    <t>Indian Journal of Dermatology, Venereology and Leprology</t>
  </si>
  <si>
    <t>Indian Journal of Engineering and Materials Sciences</t>
  </si>
  <si>
    <t>Indian Journal of Environmental Protection</t>
  </si>
  <si>
    <t>Indian Journal of Experimental Biology</t>
  </si>
  <si>
    <t>Indian Journal of Fibre and Textile Research</t>
  </si>
  <si>
    <t>Indian Journal of Fisheries</t>
  </si>
  <si>
    <t>Indian Journal of Forensic Medicine and Toxicology</t>
  </si>
  <si>
    <t>Indian Journal of Gastroenterology</t>
  </si>
  <si>
    <t>Indian Journal of Gender Studies</t>
  </si>
  <si>
    <t>Indian Journal of Hematology and Blood Transfusion</t>
  </si>
  <si>
    <t>Indian Journal of Heterocyclic Chemistry</t>
  </si>
  <si>
    <t>Indian Journal of Horticulture</t>
  </si>
  <si>
    <t>Indian Journal of Human Genetics</t>
  </si>
  <si>
    <t>Indian Journal of Leprosy</t>
  </si>
  <si>
    <t>Indian Journal of Marine Sciences</t>
  </si>
  <si>
    <t>Indian Journal of Medical and Paediatric Oncology</t>
  </si>
  <si>
    <t>Indian journal of medical ethics</t>
  </si>
  <si>
    <t>Indian Journal of Medical Microbiology</t>
  </si>
  <si>
    <t>Indian Journal of Medical Research</t>
  </si>
  <si>
    <t>Indian Journal of Medical Research, Supplement</t>
  </si>
  <si>
    <t>Indian Journal of Medical Sciences</t>
  </si>
  <si>
    <t>Indian Journal of Microbiology</t>
  </si>
  <si>
    <t>Indian Journal of Natural Products and Resources</t>
  </si>
  <si>
    <t>Indian Journal of Nephrology</t>
  </si>
  <si>
    <t>Indian Journal of Nuclear Medicine</t>
  </si>
  <si>
    <t>Indian Journal of Occupational and Environmental Medicine</t>
  </si>
  <si>
    <t>Indian Journal of Ophthalmology</t>
  </si>
  <si>
    <t>Indian Journal of Orthopaedics</t>
  </si>
  <si>
    <t>Indian Journal of Otolaryngology and Head and Neck Surgery</t>
  </si>
  <si>
    <t>Indian Journal of Otology</t>
  </si>
  <si>
    <t>Indian Journal of Palliative Care</t>
  </si>
  <si>
    <t>Indian Journal of Pathology and Microbiology</t>
  </si>
  <si>
    <t>Indian Journal of Pediatrics</t>
  </si>
  <si>
    <t>Indian Journal of Pharmaceutical Education and Research</t>
  </si>
  <si>
    <t>Indian Journal of Pharmaceutical Sciences</t>
  </si>
  <si>
    <t>Indian Journal of Pharmacology</t>
  </si>
  <si>
    <t>Indian Journal of Physics</t>
  </si>
  <si>
    <t>Indian Journal of Physiology and Pharmacology</t>
  </si>
  <si>
    <t>Indian Journal of Plastic Surgery</t>
  </si>
  <si>
    <t>Indian Journal of Practical Pediatrics</t>
  </si>
  <si>
    <t>Indian Journal of Psychiatry</t>
  </si>
  <si>
    <t>Indian Journal of Psychological Medicine</t>
  </si>
  <si>
    <t>Indian journal of public health</t>
  </si>
  <si>
    <t>Indian Journal of Pure and Applied Mathematics</t>
  </si>
  <si>
    <t>Indian Journal of Pure and Applied Physics</t>
  </si>
  <si>
    <t>Indian Journal of Radio and Space Physics</t>
  </si>
  <si>
    <t>Indian Journal of Radiology and Imaging</t>
  </si>
  <si>
    <t>Indian Journal of Rheumatology</t>
  </si>
  <si>
    <t>Indian Journal of Science and Technology</t>
  </si>
  <si>
    <t>Indian Journal of Sexually Transmitted Diseases</t>
  </si>
  <si>
    <t>Indian Journal of Social Work</t>
  </si>
  <si>
    <t>Indian Journal of Surgery</t>
  </si>
  <si>
    <t>Indian Journal of Surgical Oncology</t>
  </si>
  <si>
    <t>Indian Journal of Thoracic and Cardiovascular Surgery</t>
  </si>
  <si>
    <t>Indian Journal of Traditional Knowledge</t>
  </si>
  <si>
    <t>Indian Journal of Tuberculosis</t>
  </si>
  <si>
    <t>Indian Journal of Urology</t>
  </si>
  <si>
    <t>Indian Journal of Virology</t>
  </si>
  <si>
    <t>Indian Pacing and Electrophysiology Journal</t>
  </si>
  <si>
    <t>Indian Pediatrics</t>
  </si>
  <si>
    <t>Indian Veterinary Journal</t>
  </si>
  <si>
    <t>India Review</t>
  </si>
  <si>
    <t>Individual Differences Research</t>
  </si>
  <si>
    <t>Indogermanischen Forschungen</t>
  </si>
  <si>
    <t>Indo-Iranian Journal</t>
  </si>
  <si>
    <t>Indonesia and the Malay World</t>
  </si>
  <si>
    <t>Indonesian Journal of Chemistry</t>
  </si>
  <si>
    <t>Indoor Air</t>
  </si>
  <si>
    <t>Indoor and Built Environment</t>
  </si>
  <si>
    <t>Industrial and Commercial Training</t>
  </si>
  <si>
    <t>Industrial and Corporate Change</t>
  </si>
  <si>
    <t>Industrial and Engineering Chemistry Research</t>
  </si>
  <si>
    <t>Industrial and Labor Relations Review</t>
  </si>
  <si>
    <t>Industrial and Organizational Psychology</t>
  </si>
  <si>
    <t>Industrial Archaeology Review</t>
  </si>
  <si>
    <t>Industrial Biotechnology</t>
  </si>
  <si>
    <t>Industrial Ceramics</t>
  </si>
  <si>
    <t>Industrial Crops and Products</t>
  </si>
  <si>
    <t>Industrial Health</t>
  </si>
  <si>
    <t>Industrial Law Journal</t>
  </si>
  <si>
    <t>Industrial Lubrication and Tribology</t>
  </si>
  <si>
    <t>Industrial Management and Data Systems</t>
  </si>
  <si>
    <t>Industrial Management (Norcross, Georgia)</t>
  </si>
  <si>
    <t>Industrial Marketing Management</t>
  </si>
  <si>
    <t>Industrial Relations</t>
  </si>
  <si>
    <t>Industrial Robot</t>
  </si>
  <si>
    <t>Industria Textila</t>
  </si>
  <si>
    <t>Industrie Alimentari</t>
  </si>
  <si>
    <t>Industrielle Beziehungen</t>
  </si>
  <si>
    <t>Industry and Innovation</t>
  </si>
  <si>
    <t>Infancia y Aprendizaje</t>
  </si>
  <si>
    <t>Infancy</t>
  </si>
  <si>
    <t>Infant and Child Development</t>
  </si>
  <si>
    <t>Infant Behavior and Development</t>
  </si>
  <si>
    <t>Infant Mental Health Journal</t>
  </si>
  <si>
    <t>Infants and Young Children</t>
  </si>
  <si>
    <t>Infection</t>
  </si>
  <si>
    <t>Infection and Chemotherapy</t>
  </si>
  <si>
    <t>Infection and Drug Resistance</t>
  </si>
  <si>
    <t>Infection and Immunity</t>
  </si>
  <si>
    <t>Infection Control and Hospital Epidemiology</t>
  </si>
  <si>
    <t>Infection, Genetics and Evolution</t>
  </si>
  <si>
    <t>Infectious Agents and Cancer</t>
  </si>
  <si>
    <t>Infectious Disease Clinics of North America</t>
  </si>
  <si>
    <t>Infectious Diseases in Clinical Practice</t>
  </si>
  <si>
    <t>Infectious Diseases in Obstetrics and Gynecology</t>
  </si>
  <si>
    <t>Infectious Disorders - Drug Targets</t>
  </si>
  <si>
    <t>Infektoloski Glasnik</t>
  </si>
  <si>
    <t>Infezioni in Medicina</t>
  </si>
  <si>
    <t>Infini</t>
  </si>
  <si>
    <t>Infinite Dimensional Analysis, Quantum Probability and Related Topics</t>
  </si>
  <si>
    <t>Inflammation</t>
  </si>
  <si>
    <t>Inflammation and Allergy - Drug Targets</t>
  </si>
  <si>
    <t>Inflammation Research</t>
  </si>
  <si>
    <t>Inflammatory Bowel Disease Monitor</t>
  </si>
  <si>
    <t>Inflammatory Bowel Diseases</t>
  </si>
  <si>
    <t>Inflammopharmacology</t>
  </si>
  <si>
    <t>Influenza and other Respiratory Viruses</t>
  </si>
  <si>
    <t>Info</t>
  </si>
  <si>
    <t>Infocommunications Journal</t>
  </si>
  <si>
    <t>InfoKara</t>
  </si>
  <si>
    <t>INFOR: Information Systems and Operational Research</t>
  </si>
  <si>
    <t>Informacao e Sociedade</t>
  </si>
  <si>
    <t>Informacije MIDEM</t>
  </si>
  <si>
    <t>Informacion, Cultura y Sociedad</t>
  </si>
  <si>
    <t>Informacion Tecnologica</t>
  </si>
  <si>
    <t>Informacios Tarsadalom</t>
  </si>
  <si>
    <t>Informal Logic</t>
  </si>
  <si>
    <t>Informatica</t>
  </si>
  <si>
    <t>Informatics for Health and Social Care</t>
  </si>
  <si>
    <t>Informatics in Education</t>
  </si>
  <si>
    <t>Informatics in Primary Care</t>
  </si>
  <si>
    <t>Informatik-Spektrum</t>
  </si>
  <si>
    <t>Information</t>
  </si>
  <si>
    <t>Information and Communications Technology Law</t>
  </si>
  <si>
    <t>Information and Computation</t>
  </si>
  <si>
    <t>Information and Management</t>
  </si>
  <si>
    <t>Information and Organization</t>
  </si>
  <si>
    <t>Information and Software Technology</t>
  </si>
  <si>
    <t>Information Bulletin on Variable Stars</t>
  </si>
  <si>
    <t>Information Communication and Society</t>
  </si>
  <si>
    <t>Information Design Journal</t>
  </si>
  <si>
    <t>Information Development</t>
  </si>
  <si>
    <t>Information Display</t>
  </si>
  <si>
    <t>Information Economics and Policy</t>
  </si>
  <si>
    <t>Information Fusion</t>
  </si>
  <si>
    <t>Information Interaction Intelligence</t>
  </si>
  <si>
    <t>Information Management</t>
  </si>
  <si>
    <t>Information Management and Computer Security</t>
  </si>
  <si>
    <t>Information Processing and Management</t>
  </si>
  <si>
    <t>Information Processing Letters</t>
  </si>
  <si>
    <t>Information Psychiatrique</t>
  </si>
  <si>
    <t>Information Research</t>
  </si>
  <si>
    <t>Information Resources Management Journal</t>
  </si>
  <si>
    <t>Information Retrieval</t>
  </si>
  <si>
    <t>Information Sciences</t>
  </si>
  <si>
    <t>Information Sciences and Technology</t>
  </si>
  <si>
    <t>Information Security Journal</t>
  </si>
  <si>
    <t>Information Security Technical Report</t>
  </si>
  <si>
    <t>Information Services and Use</t>
  </si>
  <si>
    <t>Information Society</t>
  </si>
  <si>
    <t>Information (Switzerland)</t>
  </si>
  <si>
    <t>Information Systems</t>
  </si>
  <si>
    <t>Information Systems and e-Business Management</t>
  </si>
  <si>
    <t>Information Systems Frontiers</t>
  </si>
  <si>
    <t>Information Systems Journal</t>
  </si>
  <si>
    <t>Information Systems Management</t>
  </si>
  <si>
    <t>Information Systems Research</t>
  </si>
  <si>
    <t>Information Technology and Control</t>
  </si>
  <si>
    <t>Information Technology and Libraries</t>
  </si>
  <si>
    <t>Information Technology and Management</t>
  </si>
  <si>
    <t>Information Technology and People</t>
  </si>
  <si>
    <t>Information Technology for Development</t>
  </si>
  <si>
    <t>Information Technology Journal</t>
  </si>
  <si>
    <t>Information Visualization</t>
  </si>
  <si>
    <t>Information-Wissenschaft und Praxis</t>
  </si>
  <si>
    <t>Informatologia</t>
  </si>
  <si>
    <t>Informe Medico</t>
  </si>
  <si>
    <t>Informes de la Construccion</t>
  </si>
  <si>
    <t>Informing Science</t>
  </si>
  <si>
    <t>INFORMS Journal on Computing</t>
  </si>
  <si>
    <t>Infosecurity</t>
  </si>
  <si>
    <t>Inf Process Med Imaging</t>
  </si>
  <si>
    <t>Infrared Physics and Technology</t>
  </si>
  <si>
    <t>Ingegneria Ferroviaria</t>
  </si>
  <si>
    <t>Ingegneria Sismica</t>
  </si>
  <si>
    <t>Ingeniare</t>
  </si>
  <si>
    <t>Ingenieria y Universidad</t>
  </si>
  <si>
    <t>Ingenierie des Systemes d'Information</t>
  </si>
  <si>
    <t>Inhalation Toxicology</t>
  </si>
  <si>
    <t>Injury</t>
  </si>
  <si>
    <t>Injury Prevention</t>
  </si>
  <si>
    <t>Inland Water Biology</t>
  </si>
  <si>
    <t>INMATEH - Agricultural Engineering</t>
  </si>
  <si>
    <t>Inmunologia</t>
  </si>
  <si>
    <t>Innate Immunity</t>
  </si>
  <si>
    <t>Inner Asia</t>
  </si>
  <si>
    <t>Innovar: Revista de Ciencias Administrativas y Sociales</t>
  </si>
  <si>
    <t>Innovation</t>
  </si>
  <si>
    <t>Innovation in Language Learning and Teaching</t>
  </si>
  <si>
    <t>Innovation Journal</t>
  </si>
  <si>
    <t>Innovation: Management, Policy and Practice</t>
  </si>
  <si>
    <t>Innovation Policy and the Economy</t>
  </si>
  <si>
    <t>Innovations</t>
  </si>
  <si>
    <t>Innovations in Clinical Neuroscience</t>
  </si>
  <si>
    <t>Innovations in Education and Teaching International</t>
  </si>
  <si>
    <t>Innovations in Systems and Software Engineering</t>
  </si>
  <si>
    <t>Innovations: Technology and Techniques in Cardiothoracic and Vascular Surgery</t>
  </si>
  <si>
    <t>Innovative Food Science and Emerging Technologies</t>
  </si>
  <si>
    <t>Innovative Higher Education</t>
  </si>
  <si>
    <t>Inorganica Chimica Acta</t>
  </si>
  <si>
    <t>Inorganic Chemistry</t>
  </si>
  <si>
    <t>Inorganic Chemistry Communication</t>
  </si>
  <si>
    <t>Inorganic Materials</t>
  </si>
  <si>
    <t>Inorganic Materials: Applied Research</t>
  </si>
  <si>
    <t>In Practice</t>
  </si>
  <si>
    <t>Inquiry : a journal of medical care organization, provision and financing</t>
  </si>
  <si>
    <t>Inquiry (United Kingdom)</t>
  </si>
  <si>
    <t>Insect Biochemistry and Molecular Biology</t>
  </si>
  <si>
    <t>Insect Conservation and Diversity</t>
  </si>
  <si>
    <t>Insectes Sociaux</t>
  </si>
  <si>
    <t>Insect Molecular Biology</t>
  </si>
  <si>
    <t>Insect Science</t>
  </si>
  <si>
    <t>Insect Systematics and Evolution</t>
  </si>
  <si>
    <t>Insight - Journal of the American Society of Ophthalmic Registered Nurses</t>
  </si>
  <si>
    <t>Insight: Non-Destructive Testing and Condition Monitoring</t>
  </si>
  <si>
    <t>Insight: Research and Practice in Visual Impairment and Blindness</t>
  </si>
  <si>
    <t>Insight Turkey</t>
  </si>
  <si>
    <t>In Silico Biology</t>
  </si>
  <si>
    <t>Institute of Marine Engineering, Science and Technology Part A: Journal of Marine Engineering and Technology, Proceedings of the</t>
  </si>
  <si>
    <t>Instructional Science</t>
  </si>
  <si>
    <t>Instrumentation Mesure Metrologie</t>
  </si>
  <si>
    <t>Instrumentation Science and Technology</t>
  </si>
  <si>
    <t>Instruments and Experimental Techniques</t>
  </si>
  <si>
    <t>Insula</t>
  </si>
  <si>
    <t>Insurance: Mathematics and Economics</t>
  </si>
  <si>
    <t>Intangible Capital</t>
  </si>
  <si>
    <t>Integral Equations and Operator Theory</t>
  </si>
  <si>
    <t>Integral Transforms and Special Functions</t>
  </si>
  <si>
    <t>Integrated Blood Pressure Control</t>
  </si>
  <si>
    <t>Integrated Computer-Aided Engineering</t>
  </si>
  <si>
    <t>Integrated Environmental Assessment and Management</t>
  </si>
  <si>
    <t>Integrated Ferroelectrics</t>
  </si>
  <si>
    <t>Integrated Ocean Drilling Program: Preliminary Reports</t>
  </si>
  <si>
    <t>Integration, the VLSI Journal</t>
  </si>
  <si>
    <t>Integrative and Comparative Biology</t>
  </si>
  <si>
    <t>Integrative Biology</t>
  </si>
  <si>
    <t>Integrative Cancer Therapies</t>
  </si>
  <si>
    <t>Integrative Medicine Insights</t>
  </si>
  <si>
    <t>Integrative Psychological and Behavioral Science</t>
  </si>
  <si>
    <t>Integrative Zoology</t>
  </si>
  <si>
    <t>INTELEC, International Telecommunications Energy Conference (Proceedings)</t>
  </si>
  <si>
    <t>Inteligencia Artificial</t>
  </si>
  <si>
    <t>Intellectual and Developmental Disabilities</t>
  </si>
  <si>
    <t>Intellectual Discourse</t>
  </si>
  <si>
    <t>Intellectual History Review</t>
  </si>
  <si>
    <t>Intelligence</t>
  </si>
  <si>
    <t>Intelligence and National Security</t>
  </si>
  <si>
    <t>Intelligent Automation and Soft Computing</t>
  </si>
  <si>
    <t>Intelligent Data Analysis</t>
  </si>
  <si>
    <t>Intelligent Service Robotics</t>
  </si>
  <si>
    <t>Intensive and Critical Care Nursing</t>
  </si>
  <si>
    <t>Intensive Care Medicine</t>
  </si>
  <si>
    <t>Intensivmedizin und Notfallmedizin</t>
  </si>
  <si>
    <t>Intensiv- und Notfallbehandlung</t>
  </si>
  <si>
    <t>Interacting with Computers</t>
  </si>
  <si>
    <t>Interaction of Mechanics and Mathematics</t>
  </si>
  <si>
    <t>Interaction Studies</t>
  </si>
  <si>
    <t>Interactive Cardiovascular and Thoracic Surgery</t>
  </si>
  <si>
    <t>Interactive Learning Environments</t>
  </si>
  <si>
    <t>Inter-Asia Cultural Studies</t>
  </si>
  <si>
    <t>Inter Bloc</t>
  </si>
  <si>
    <t>InterCeram: International Ceramic Review</t>
  </si>
  <si>
    <t>Interchange</t>
  </si>
  <si>
    <t>Interciencia</t>
  </si>
  <si>
    <t>Intercultural Education</t>
  </si>
  <si>
    <t>Intercultural Pragmatics</t>
  </si>
  <si>
    <t>Interdisciplinaria</t>
  </si>
  <si>
    <t>Interdisciplinary Perspectives on Infectious Diseases</t>
  </si>
  <si>
    <t>Interdisciplinary Science Reviews</t>
  </si>
  <si>
    <t>Interdisciplinary sciences, computational life sciences</t>
  </si>
  <si>
    <t>Inter economics</t>
  </si>
  <si>
    <t>Interface: Comunicacao, Saude, Educacao</t>
  </si>
  <si>
    <t>Interface Focus</t>
  </si>
  <si>
    <t>Interfaces</t>
  </si>
  <si>
    <t>Interfaces and Free Boundaries</t>
  </si>
  <si>
    <t>Interface Science and Technology</t>
  </si>
  <si>
    <t>Interlending and Document Supply</t>
  </si>
  <si>
    <t>Intermetallics</t>
  </si>
  <si>
    <t>Internal and Emergency Medicine</t>
  </si>
  <si>
    <t>Internal Medicine</t>
  </si>
  <si>
    <t>Internal Medicine Journal</t>
  </si>
  <si>
    <t>Internasjonal Politikk</t>
  </si>
  <si>
    <t>International Advances in Economic Research</t>
  </si>
  <si>
    <t>International Affairs</t>
  </si>
  <si>
    <t>International Agricultural Engineering Journal</t>
  </si>
  <si>
    <t>International Agrophysics</t>
  </si>
  <si>
    <t>International and Comparative Law Quarterly</t>
  </si>
  <si>
    <t>International Anesthesiology Clinics</t>
  </si>
  <si>
    <t>International Angiology</t>
  </si>
  <si>
    <t>International Applied Mechanics</t>
  </si>
  <si>
    <t>International Arab Journal of Information Technology</t>
  </si>
  <si>
    <t>International Archives of Allergy and Immunology</t>
  </si>
  <si>
    <t>International Archives of Medicine</t>
  </si>
  <si>
    <t>International Archives of Occupational and Environmental Health</t>
  </si>
  <si>
    <t>International Archives of Otorhinolaryngology</t>
  </si>
  <si>
    <t>International Biodeterioration and Biodegradation</t>
  </si>
  <si>
    <t>International braz j urol : official journal of the Brazilian Society of Urology</t>
  </si>
  <si>
    <t>International Breastfeeding Journal</t>
  </si>
  <si>
    <t>International Bulletin of Missionary Research</t>
  </si>
  <si>
    <t>International Business Management</t>
  </si>
  <si>
    <t>International Business Review</t>
  </si>
  <si>
    <t>International Cardiovascular Research Journal</t>
  </si>
  <si>
    <t>International Clinical Psychopharmacology</t>
  </si>
  <si>
    <t>International Commentary on Evidence</t>
  </si>
  <si>
    <t>International Commerce Review</t>
  </si>
  <si>
    <t>International Communication Gazette</t>
  </si>
  <si>
    <t>International Communications in Heat and Mass Transfer</t>
  </si>
  <si>
    <t>International Community Law Review</t>
  </si>
  <si>
    <t>International Conference on Application-Specific Systems, Architectures and Processors, Proceedings</t>
  </si>
  <si>
    <t>International Conference on Architectural Support for Programming Languages and Operating Systems - ASPLOS</t>
  </si>
  <si>
    <t>International Conference on Communication Technology Proceedings, ICCT</t>
  </si>
  <si>
    <t>International Conference on Debris-Flow Hazards Mitigation: Mechanics, Prediction, and Assessment, Proceedings</t>
  </si>
  <si>
    <t>International Conference on Digital Printing Technologies</t>
  </si>
  <si>
    <t>International Conference on Health, Safety and Environment in Oil and Gas Exploration and Production</t>
  </si>
  <si>
    <t>International Conference on ICT Convergence</t>
  </si>
  <si>
    <t>International Conference on Information and Knowledge Management, Proceedings</t>
  </si>
  <si>
    <t>International Conference on Intelligent User Interfaces, Proceedings IUI</t>
  </si>
  <si>
    <t>International Criminal Justice Review</t>
  </si>
  <si>
    <t>International Criminal Law Review</t>
  </si>
  <si>
    <t>International Dairy Journal</t>
  </si>
  <si>
    <t>International Dental Journal</t>
  </si>
  <si>
    <t>International Development Planning Review</t>
  </si>
  <si>
    <t>International Drug Discovery</t>
  </si>
  <si>
    <t>International Economic Journal</t>
  </si>
  <si>
    <t>International Economic Review</t>
  </si>
  <si>
    <t>International Economics and Economic Policy</t>
  </si>
  <si>
    <t>International Education Studies</t>
  </si>
  <si>
    <t>International Electronic Journal of Elementary Education</t>
  </si>
  <si>
    <t>International Electronic Journal of Mathematics Education</t>
  </si>
  <si>
    <t>International Emergency Nursing</t>
  </si>
  <si>
    <t>International Endodontic Journal</t>
  </si>
  <si>
    <t>International Energy Journal</t>
  </si>
  <si>
    <t>International Entrepreneurship and Management Journal</t>
  </si>
  <si>
    <t>International Environmental Agreements: Politics, Law and Economics</t>
  </si>
  <si>
    <t>Internationale Politik</t>
  </si>
  <si>
    <t>Internationale Politik und Gesellschaft</t>
  </si>
  <si>
    <t>Internationales Archiv fuer Sozialgeschichte der Deutschen Literatur</t>
  </si>
  <si>
    <t>International Feminist Journal of Politics</t>
  </si>
  <si>
    <t>International Finance</t>
  </si>
  <si>
    <t>International Food and Agribusiness Management Review</t>
  </si>
  <si>
    <t>International Food Research Journal</t>
  </si>
  <si>
    <t>International Forestry Review</t>
  </si>
  <si>
    <t>International Forum of Allergy and Rhinology</t>
  </si>
  <si>
    <t>International Forum of Psychoanalysis</t>
  </si>
  <si>
    <t>International Gambling Studies</t>
  </si>
  <si>
    <t>International Game Theory Review</t>
  </si>
  <si>
    <t>International Geology Review</t>
  </si>
  <si>
    <t>International Geophysics</t>
  </si>
  <si>
    <t>International Geoscience and Remote Sensing Symposium (IGARSS)</t>
  </si>
  <si>
    <t>International Health</t>
  </si>
  <si>
    <t>International Heart Journal</t>
  </si>
  <si>
    <t>International Heat Treatment and Surface Engineering</t>
  </si>
  <si>
    <t>International History Review</t>
  </si>
  <si>
    <t>International Immunology</t>
  </si>
  <si>
    <t>International Immunopharmacology</t>
  </si>
  <si>
    <t>International Information and Library Review</t>
  </si>
  <si>
    <t>International Insolvency Review</t>
  </si>
  <si>
    <t>International Interactions</t>
  </si>
  <si>
    <t>International Journal</t>
  </si>
  <si>
    <t>International Journal for Educational and Vocational Guidance</t>
  </si>
  <si>
    <t>International Journal for Engineering Modelling</t>
  </si>
  <si>
    <t>International Journal for Equity in Health</t>
  </si>
  <si>
    <t>International Journal for Housing Science and Its Applications</t>
  </si>
  <si>
    <t>International Journal for Ion Mobility Spectrometry</t>
  </si>
  <si>
    <t>International Journal for Multiscale Computational Engineering</t>
  </si>
  <si>
    <t>International Journal for Numerical and Analytical Methods in Geomechanics</t>
  </si>
  <si>
    <t>International Journal for Numerical Methods in Biomedical Engineering</t>
  </si>
  <si>
    <t>International Journal for Numerical Methods in Engineering</t>
  </si>
  <si>
    <t>International Journal for Numerical Methods in Fluids</t>
  </si>
  <si>
    <t>International Journal for Parasitology</t>
  </si>
  <si>
    <t>International Journal for Parasitology: Drugs and Drug Resistance</t>
  </si>
  <si>
    <t>International Journal for Parasitology: Parasites and Wildlife</t>
  </si>
  <si>
    <t>International Journal for Philosophy of Religion</t>
  </si>
  <si>
    <t>International Journal for Quality in Health Care</t>
  </si>
  <si>
    <t>International Journal for the Advancement of Counselling</t>
  </si>
  <si>
    <t>International Journal for the History of Engineering and Technology</t>
  </si>
  <si>
    <t>International Journal for the Psychology of Religion, The</t>
  </si>
  <si>
    <t>International Journal for the Semiotics of Law</t>
  </si>
  <si>
    <t>International Journal for Vitamin and Nutrition Research</t>
  </si>
  <si>
    <t>International Journal of Abrasive Technology</t>
  </si>
  <si>
    <t>International Journal of Acarology</t>
  </si>
  <si>
    <t>International Journal of Accounting</t>
  </si>
  <si>
    <t>International Journal of Accounting and Information Management</t>
  </si>
  <si>
    <t>International Journal of Accounting, Auditing and Performance Evaluation</t>
  </si>
  <si>
    <t>International Journal of Accounting Information Systems</t>
  </si>
  <si>
    <t>International Journal of Acoustics and Vibrations</t>
  </si>
  <si>
    <t>International Journal of Action Research</t>
  </si>
  <si>
    <t>International Journal of Adaptive Control and Signal Processing</t>
  </si>
  <si>
    <t>International Journal of Adhesion and Adhesives</t>
  </si>
  <si>
    <t>International Journal of Ad Hoc and Ubiquitous Computing</t>
  </si>
  <si>
    <t>International Journal of Adolescence and Youth</t>
  </si>
  <si>
    <t>International Journal of Adolescent Medicine and Health</t>
  </si>
  <si>
    <t>International Journal of Advanced Intelligence Paradigms</t>
  </si>
  <si>
    <t>International Journal of Advanced Manufacturing Technology</t>
  </si>
  <si>
    <t>International Journal of Advanced Mechatronic Systems</t>
  </si>
  <si>
    <t>International Journal of Advanced Robotic Systems</t>
  </si>
  <si>
    <t>International Journal of Advancements in Computing Technology</t>
  </si>
  <si>
    <t>International Journal of Advances in Rheumatology</t>
  </si>
  <si>
    <t>International Journal of Advances in Soft Computing and its Applications</t>
  </si>
  <si>
    <t>International Journal of Advertising</t>
  </si>
  <si>
    <t>International Journal of Aeronautical and Space Sciences</t>
  </si>
  <si>
    <t>International Journal of Aerospace Engineering</t>
  </si>
  <si>
    <t>International Journal of Aerospace Innovations</t>
  </si>
  <si>
    <t>International Journal of African Historical Studies</t>
  </si>
  <si>
    <t>International Journal of Ageing and Later Life</t>
  </si>
  <si>
    <t>International Journal of Agent-Oriented Software Engineering</t>
  </si>
  <si>
    <t>International Journal of Aging and Human Development</t>
  </si>
  <si>
    <t>International Journal of Agricultural and Biological Engineering</t>
  </si>
  <si>
    <t>International Journal of Agricultural and Statistical Sciences</t>
  </si>
  <si>
    <t>International Journal of Agricultural Research</t>
  </si>
  <si>
    <t>International Journal of Agricultural Resources, Governance and Ecology</t>
  </si>
  <si>
    <t>International Journal of Agricultural Sustainability</t>
  </si>
  <si>
    <t>International Journal of Agriculture and Biology</t>
  </si>
  <si>
    <t>International Journal of Algebra and Computation</t>
  </si>
  <si>
    <t>International Journal of Alternative Propulsion</t>
  </si>
  <si>
    <t>International Journal of Ambient Computing and Intelligence</t>
  </si>
  <si>
    <t>International Journal of Ambient Energy</t>
  </si>
  <si>
    <t>International Journal of American Linguistics</t>
  </si>
  <si>
    <t>International Journal of Andrology</t>
  </si>
  <si>
    <t>International Journal of Angiology</t>
  </si>
  <si>
    <t>International Journal of Antennas and Propagation</t>
  </si>
  <si>
    <t>International Journal of Antimicrobial Agents</t>
  </si>
  <si>
    <t>International Journal of Applied Business and Economic Research</t>
  </si>
  <si>
    <t>International Journal of Applied Ceramic Technology</t>
  </si>
  <si>
    <t>International Journal of Applied Cryptography</t>
  </si>
  <si>
    <t>International Journal of Applied Decision Sciences</t>
  </si>
  <si>
    <t>International Journal of Applied Earth Observation and Geoinformation</t>
  </si>
  <si>
    <t>International Journal of Applied Electromagnetics and Mechanics</t>
  </si>
  <si>
    <t>International Journal of Applied Engineering Research</t>
  </si>
  <si>
    <t>International Journal of Applied Environmental Sciences</t>
  </si>
  <si>
    <t>International Journal of Applied Linguistics</t>
  </si>
  <si>
    <t>International Journal of Applied Management Science</t>
  </si>
  <si>
    <t>International Journal of Applied Mathematics and Computer Science</t>
  </si>
  <si>
    <t>International Journal of Applied Mathematics and Statistics</t>
  </si>
  <si>
    <t>International Journal of Applied Mechanics</t>
  </si>
  <si>
    <t>International Journal of Applied Pharmaceutics</t>
  </si>
  <si>
    <t>International Journal of Applied Psychoanalytic Studies</t>
  </si>
  <si>
    <t>International Journal of Applied Research in Natural Products</t>
  </si>
  <si>
    <t>International Journal of Applied Research in Veterinary Medicine</t>
  </si>
  <si>
    <t>International Journal of Applied Systemic Studies</t>
  </si>
  <si>
    <t>International Journal of Applied Thermodynamics</t>
  </si>
  <si>
    <t>International Journal of Approximate Reasoning</t>
  </si>
  <si>
    <t>International Journal of Architectural Computing</t>
  </si>
  <si>
    <t>International Journal of Architectural Heritage</t>
  </si>
  <si>
    <t>International Journal of Art and Design Education</t>
  </si>
  <si>
    <t>International Journal of Artificial Intelligence</t>
  </si>
  <si>
    <t>International Journal of Artificial Intelligence in Education</t>
  </si>
  <si>
    <t>International Journal of Artificial Organs</t>
  </si>
  <si>
    <t>International Journal of Arts and Technology</t>
  </si>
  <si>
    <t>International Journal of Arts Management</t>
  </si>
  <si>
    <t>International Journal of Art Therapy</t>
  </si>
  <si>
    <t>International Journal of Asia-Pacific Studies</t>
  </si>
  <si>
    <t>International Journal of Astrobiology</t>
  </si>
  <si>
    <t>International Journal of Athletic Therapy and Training</t>
  </si>
  <si>
    <t>International Journal of Audiology</t>
  </si>
  <si>
    <t>International Journal of Auditing</t>
  </si>
  <si>
    <t>International Journal of Automation and Computing</t>
  </si>
  <si>
    <t>International Journal of Automation and Control</t>
  </si>
  <si>
    <t>International Journal of Automation Technology</t>
  </si>
  <si>
    <t>International Journal of Automotive Technology</t>
  </si>
  <si>
    <t>International Journal of Automotive Technology and Management</t>
  </si>
  <si>
    <t>International Journal of Autonomous and Adaptive Communications Systems</t>
  </si>
  <si>
    <t>International Journal of Aviation Psychology</t>
  </si>
  <si>
    <t>International Journal of Ayurveda Research</t>
  </si>
  <si>
    <t>International Journal of Banking, Accounting and Finance</t>
  </si>
  <si>
    <t>International Journal of Bank Marketing</t>
  </si>
  <si>
    <t>International Journal of Behavioral Development</t>
  </si>
  <si>
    <t>International Journal of Behavioral Medicine</t>
  </si>
  <si>
    <t>International Journal of Behavioral Nutrition and Physical Activity</t>
  </si>
  <si>
    <t>International Journal of Bifurcation and Chaos in Applied Sciences and Engineering</t>
  </si>
  <si>
    <t>International Journal of Bilingual Education and Bilingualism</t>
  </si>
  <si>
    <t>International Journal of Bilingualism</t>
  </si>
  <si>
    <t>International Journal of Biochemistry and Cell Biology</t>
  </si>
  <si>
    <t>International Journal of Biodiversity Science, Ecosystems Services and Management</t>
  </si>
  <si>
    <t>International Journal of Bioinformatics Research and Applications</t>
  </si>
  <si>
    <t>International Journal of Bio-Inspired Computation</t>
  </si>
  <si>
    <t>International Journal of Biological Chemistry</t>
  </si>
  <si>
    <t>International Journal of Biological Macromolecules</t>
  </si>
  <si>
    <t>International Journal of Biological Markers</t>
  </si>
  <si>
    <t>International Journal of Biological Sciences</t>
  </si>
  <si>
    <t>International Journal of Biomaterials</t>
  </si>
  <si>
    <t>International Journal of Biomathematics</t>
  </si>
  <si>
    <t>International Journal of Biomedical Engineering and Technology</t>
  </si>
  <si>
    <t>International Journal of Biomedical Imaging</t>
  </si>
  <si>
    <t>International Journal of Biomedical Science</t>
  </si>
  <si>
    <t>International Journal of Biometeorology</t>
  </si>
  <si>
    <t>International Journal of Biometrics</t>
  </si>
  <si>
    <t>International Journal of Bio-Science and Bio-Technology</t>
  </si>
  <si>
    <t>International Journal of Biostatistics</t>
  </si>
  <si>
    <t>International Journal of Biotechnology</t>
  </si>
  <si>
    <t>International Journal of Botany</t>
  </si>
  <si>
    <t>International Journal of Business and Society</t>
  </si>
  <si>
    <t>International Journal of Business Data Communications and Networking</t>
  </si>
  <si>
    <t>International Journal of Business Excellence</t>
  </si>
  <si>
    <t>International Journal of Business Governance and Ethics</t>
  </si>
  <si>
    <t>International Journal of Business Information Systems</t>
  </si>
  <si>
    <t>International Journal of Business Innovation and Research</t>
  </si>
  <si>
    <t>International Journal of Business Intelligence and Data Mining</t>
  </si>
  <si>
    <t>International Journal of Business Performance Management</t>
  </si>
  <si>
    <t>International Journal of Business Process Integration and Management</t>
  </si>
  <si>
    <t>International Journal of Business Science and Applied Management</t>
  </si>
  <si>
    <t>International Journal of Cancer</t>
  </si>
  <si>
    <t>International Journal of Cancer Research</t>
  </si>
  <si>
    <t>International Journal of Cancer Research and Prevention</t>
  </si>
  <si>
    <t>International Journal of Cardiology</t>
  </si>
  <si>
    <t>International Journal of Cardiovascular Imaging</t>
  </si>
  <si>
    <t>International Journal of Care Pathways</t>
  </si>
  <si>
    <t>International Journal of Cast Metals Research</t>
  </si>
  <si>
    <t>International Journal of Central Banking</t>
  </si>
  <si>
    <t>International Journal of Chemical Engineering</t>
  </si>
  <si>
    <t>International Journal of Chemical Kinetics</t>
  </si>
  <si>
    <t>International Journal of Chemical Reactor Engineering</t>
  </si>
  <si>
    <t>International Journal of Chemical Sciences</t>
  </si>
  <si>
    <t>International Journal of ChemTech Research</t>
  </si>
  <si>
    <t>International Journal of Children's Rights</t>
  </si>
  <si>
    <t>International Journal of Children's Spirituality</t>
  </si>
  <si>
    <t>International Journal of Circuits, Systems and Signal Processing</t>
  </si>
  <si>
    <t>International Journal of Circuit Theory and Applications</t>
  </si>
  <si>
    <t>International Journal of Circumpolar Health</t>
  </si>
  <si>
    <t>International Journal of Civil Engineering</t>
  </si>
  <si>
    <t>International Journal of Climatology</t>
  </si>
  <si>
    <t>International Journal of Clinical and Experimental Hypnosis</t>
  </si>
  <si>
    <t>International Journal of Clinical and Experimental Medicine</t>
  </si>
  <si>
    <t>International Journal of Clinical and Experimental Pathology</t>
  </si>
  <si>
    <t>International Journal of Clinical and Health Psychology</t>
  </si>
  <si>
    <t>International Journal of Clinical Dentistry</t>
  </si>
  <si>
    <t>International Journal of Clinical Leadership</t>
  </si>
  <si>
    <t>International Journal of Clinical Oncology</t>
  </si>
  <si>
    <t>International Journal of Clinical Pharmacology and Therapeutics</t>
  </si>
  <si>
    <t>International Journal of Clinical Pharmacy</t>
  </si>
  <si>
    <t>International Journal of Clinical Practice</t>
  </si>
  <si>
    <t>International Journal of Clinical Practice, Supplement</t>
  </si>
  <si>
    <t>International Journal of Clinical Rheumatology</t>
  </si>
  <si>
    <t>International Journal of Clinical Skills</t>
  </si>
  <si>
    <t>International Journal of Clothing Science and Technology</t>
  </si>
  <si>
    <t>International Journal of Coal Geology</t>
  </si>
  <si>
    <t>International Journal of Coal Preparation and Utilization</t>
  </si>
  <si>
    <t>International Journal of Cognitive Informatics and Natural Intelligence</t>
  </si>
  <si>
    <t>International Journal of Cognitive Therapy</t>
  </si>
  <si>
    <t>International Journal of Collaborative Research on Internal Medicine and Public Health</t>
  </si>
  <si>
    <t>International Journal of Colorectal Disease</t>
  </si>
  <si>
    <t>International Journal of COMADEM</t>
  </si>
  <si>
    <t>International Journal of Communication</t>
  </si>
  <si>
    <t>International Journal of Communication Networks and Distributed Systems</t>
  </si>
  <si>
    <t>International Journal of Communication Networks and Information Security</t>
  </si>
  <si>
    <t>International Journal of Communication Systems</t>
  </si>
  <si>
    <t>International Journal of Community Music</t>
  </si>
  <si>
    <t>International Journal of Comparative Sociology</t>
  </si>
  <si>
    <t>International Journal of Computational and Mathematical Sciences</t>
  </si>
  <si>
    <t>International Journal of Computational Biology and Drug Design</t>
  </si>
  <si>
    <t>International Journal of Computational Fluid Dynamics</t>
  </si>
  <si>
    <t>International Journal of Computational Geometry and Applications</t>
  </si>
  <si>
    <t>International Journal of Computational Intelligence and Applications</t>
  </si>
  <si>
    <t>International Journal of Computational Intelligence Systems</t>
  </si>
  <si>
    <t>International Journal of Computational Materials Science and Surface Engineering</t>
  </si>
  <si>
    <t>International Journal of Computational Methods</t>
  </si>
  <si>
    <t>International Journal of Computational Methods in Engineering Science and Mechanics</t>
  </si>
  <si>
    <t>International Journal of Computational Science and Engineering</t>
  </si>
  <si>
    <t>International Journal of Computer Aided Engineering and Technology</t>
  </si>
  <si>
    <t>International Journal of Computer Applications in Technology</t>
  </si>
  <si>
    <t>International Journal of Computer Games Technology</t>
  </si>
  <si>
    <t>International Journal of Computer Integrated Manufacturing</t>
  </si>
  <si>
    <t>International Journal of Computerized Dentistry</t>
  </si>
  <si>
    <t>International Journal of Computer Mathematics</t>
  </si>
  <si>
    <t>International Journal of Computers and Applications</t>
  </si>
  <si>
    <t>International Journal of Computers and their Applications</t>
  </si>
  <si>
    <t>International Journal of Computer Science and Applications</t>
  </si>
  <si>
    <t>International Journal of Computer Science in Sport</t>
  </si>
  <si>
    <t>International Journal of Computers, Communications and Control</t>
  </si>
  <si>
    <t>International Journal of Computer-Supported Collaborative Learning</t>
  </si>
  <si>
    <t>International Journal of Computer Vision</t>
  </si>
  <si>
    <t>International Journal of Computing Science and Mathematics</t>
  </si>
  <si>
    <t>International Journal of Conflict and Violence</t>
  </si>
  <si>
    <t>International Journal of Conflict Management</t>
  </si>
  <si>
    <t>International Journal of Conservation Science</t>
  </si>
  <si>
    <t>International Journal of Constitutional Law</t>
  </si>
  <si>
    <t>International Journal of Construction Education and Research</t>
  </si>
  <si>
    <t>International Journal of Construction Management</t>
  </si>
  <si>
    <t>International Journal of Consumer Studies</t>
  </si>
  <si>
    <t>International Journal of Contemporary Hospitality Management</t>
  </si>
  <si>
    <t>International Journal of Continuing Engineering Education and Life-Long Learning</t>
  </si>
  <si>
    <t>International Journal of Control</t>
  </si>
  <si>
    <t>International Journal of Control and Automation</t>
  </si>
  <si>
    <t>International Journal of Control, Automation and Systems</t>
  </si>
  <si>
    <t>International Journal of Cooperative Information Systems</t>
  </si>
  <si>
    <t>International Journal of COPD</t>
  </si>
  <si>
    <t>International Journal of Corpus Linguistics</t>
  </si>
  <si>
    <t>International Journal of Corrosion</t>
  </si>
  <si>
    <t>International Journal of Cosmetic Science</t>
  </si>
  <si>
    <t>International Journal of Crashworthiness</t>
  </si>
  <si>
    <t>International Journal of Critical Infrastructure Protection</t>
  </si>
  <si>
    <t>International Journal of Critical Infrastructures</t>
  </si>
  <si>
    <t>International Journal of Cross Cultural Management</t>
  </si>
  <si>
    <t>International Journal of Cultural Policy</t>
  </si>
  <si>
    <t>International Journal of Cultural Studies</t>
  </si>
  <si>
    <t>International Journal of Culture and Mental Health</t>
  </si>
  <si>
    <t>International Journal of Culture, Tourism, and Hospitality Research</t>
  </si>
  <si>
    <t>International Journal of Cyber Criminology</t>
  </si>
  <si>
    <t>International Journal of Dairy Science</t>
  </si>
  <si>
    <t>International Journal of Dairy Technology</t>
  </si>
  <si>
    <t>International Journal of Damage Mechanics</t>
  </si>
  <si>
    <t>International Journal of Data Analysis Techniques and Strategies</t>
  </si>
  <si>
    <t>International Journal of Data Mining and Bioinformatics</t>
  </si>
  <si>
    <t>International Journal of Data Mining, Modelling and Management</t>
  </si>
  <si>
    <t>International Journal of Data Warehousing and Mining</t>
  </si>
  <si>
    <t>International Journal of Decision Support System Technology</t>
  </si>
  <si>
    <t>International journal of dental hygiene</t>
  </si>
  <si>
    <t>International Journal of Dentistry</t>
  </si>
  <si>
    <t>International Journal of Dermatology</t>
  </si>
  <si>
    <t>International Journal of Design</t>
  </si>
  <si>
    <t>International Journal of Design and Nature and Ecodynamics</t>
  </si>
  <si>
    <t>International Journal of Design Sciences and Technology</t>
  </si>
  <si>
    <t>International Journal of Developmental Biology</t>
  </si>
  <si>
    <t>International Journal of Developmental Neuroscience</t>
  </si>
  <si>
    <t>International Journal of Diabetes and Metabolism</t>
  </si>
  <si>
    <t>International Journal of Diabetes in Developing Countries</t>
  </si>
  <si>
    <t>International Journal of Diabetes Mellitus</t>
  </si>
  <si>
    <t>International Journal of Digital Content Technology and its Applications</t>
  </si>
  <si>
    <t>International Journal of Digital Crime and Forensics</t>
  </si>
  <si>
    <t>International Journal of Digital Earth</t>
  </si>
  <si>
    <t>International Journal of Digital Multimedia Broadcasting</t>
  </si>
  <si>
    <t>International Journal of Disability, Development and Education</t>
  </si>
  <si>
    <t>International Journal of Disaster Resilience in the Built Environment</t>
  </si>
  <si>
    <t>International Journal of Disaster Risk Reduction</t>
  </si>
  <si>
    <t>International Journal of Disclosure and Governance</t>
  </si>
  <si>
    <t>International Journal of Discrimination and the Law</t>
  </si>
  <si>
    <t>International Journal of Distance Education Technologies</t>
  </si>
  <si>
    <t>International Journal of Distributed Sensor Networks</t>
  </si>
  <si>
    <t>International Journal of Diversity in Organisations, Communities and Nations</t>
  </si>
  <si>
    <t>International Journal of Doctoral Studies</t>
  </si>
  <si>
    <t>International Journal of Dream Research</t>
  </si>
  <si>
    <t>International Journal of Drug Delivery</t>
  </si>
  <si>
    <t>International Journal of Drug Development and Research</t>
  </si>
  <si>
    <t>International Journal of Drug Policy</t>
  </si>
  <si>
    <t>International Journal of Dynamical Systems and Differential Equations</t>
  </si>
  <si>
    <t>International Journal of Early Childhood</t>
  </si>
  <si>
    <t>International Journal of Early Childhood Special Education</t>
  </si>
  <si>
    <t>International Journal of Early Years Education</t>
  </si>
  <si>
    <t>International Journal of Earth Sciences</t>
  </si>
  <si>
    <t>International Journal of Earth Sciences and Engineering</t>
  </si>
  <si>
    <t>International Journal of Eating Disorders</t>
  </si>
  <si>
    <t>International Journal of e-Business Research</t>
  </si>
  <si>
    <t>International Journal of e-Collaboration</t>
  </si>
  <si>
    <t>International Journal of Ecology</t>
  </si>
  <si>
    <t>International Journal of Ecology and Development</t>
  </si>
  <si>
    <t>International Journal of Economic Policy in Emerging Economies</t>
  </si>
  <si>
    <t>International Journal of Economic Research</t>
  </si>
  <si>
    <t>International Journal of Economics and Management</t>
  </si>
  <si>
    <t>International Journal of Economic Theory</t>
  </si>
  <si>
    <t>International Journal of Educational Development</t>
  </si>
  <si>
    <t>International Journal of Educational Management</t>
  </si>
  <si>
    <t>International Journal of Educational Research</t>
  </si>
  <si>
    <t>International Journal of E-Health and Medical Communications</t>
  </si>
  <si>
    <t>International Journal of Electrical Engineering</t>
  </si>
  <si>
    <t>International Journal of Electrical Engineering Education</t>
  </si>
  <si>
    <t>International Journal of Electrical Power and Energy Systems</t>
  </si>
  <si>
    <t>International Journal of Electric and Hybrid Vehicles</t>
  </si>
  <si>
    <t>International Journal of Electrochemical Science</t>
  </si>
  <si>
    <t>International Journal of Electronic Commerce</t>
  </si>
  <si>
    <t>International Journal of Electronic Customer Relationship Management</t>
  </si>
  <si>
    <t>International Journal of Electronic Government Research</t>
  </si>
  <si>
    <t>International Journal of Electronic Healthcare</t>
  </si>
  <si>
    <t>International Journal of Electronic Marketing and Retailing</t>
  </si>
  <si>
    <t>International Journal of Electronics</t>
  </si>
  <si>
    <t>International Journal of Electronics and Telecommunications</t>
  </si>
  <si>
    <t>International Journal of Electronic Security and Digital Forensics</t>
  </si>
  <si>
    <t>International Journal of Embedded and Real-Time Communication Systems</t>
  </si>
  <si>
    <t>International Journal of Embedded Systems</t>
  </si>
  <si>
    <t>International Journal of Emergency Management</t>
  </si>
  <si>
    <t>International Journal of Emergency Medicine</t>
  </si>
  <si>
    <t>International Journal of Emergency Mental Health</t>
  </si>
  <si>
    <t>International Journal of Emerging Electric Power Systems</t>
  </si>
  <si>
    <t>International Journal of Emerging Multidisciplinary Fluid Sciences</t>
  </si>
  <si>
    <t>International Journal of Emerging Technologies in Learning</t>
  </si>
  <si>
    <t>International Journal of Endocrinology</t>
  </si>
  <si>
    <t>International Journal of Endocrinology and Metabolism</t>
  </si>
  <si>
    <t>International Journal of Energetic Materials and Chemical Propulsion</t>
  </si>
  <si>
    <t>International Journal of Energy and Environmental Engineering</t>
  </si>
  <si>
    <t>International Journal of Energy, Environment and Economics</t>
  </si>
  <si>
    <t>International Journal of Energy Research</t>
  </si>
  <si>
    <t>International Journal of Energy Sector Management</t>
  </si>
  <si>
    <t>International Journal of Energy Technology and Policy</t>
  </si>
  <si>
    <t>International Journal of Engineering and Technology</t>
  </si>
  <si>
    <t>International Journal of Engineering Business Management</t>
  </si>
  <si>
    <t>International Journal of Engineering Education</t>
  </si>
  <si>
    <t>International Journal of Engineering Intelligent Systems for Electrical Engineering and Communications</t>
  </si>
  <si>
    <t>International Journal of Engineering Research in Africa</t>
  </si>
  <si>
    <t>International Journal of Engineering Science</t>
  </si>
  <si>
    <t>International Journal of Engineering Systems Modelling and Simulation</t>
  </si>
  <si>
    <t>International Journal of Engineering, Transactions A: Basics</t>
  </si>
  <si>
    <t>International Journal of Engineering, Transactions B: Applications</t>
  </si>
  <si>
    <t>International Journal of Engine Research</t>
  </si>
  <si>
    <t>International Journal of Enterprise Information Systems</t>
  </si>
  <si>
    <t>International Journal of Enterprise Network Management</t>
  </si>
  <si>
    <t>International Journal of Entrepreneurial Behaviour and Research</t>
  </si>
  <si>
    <t>International Journal of Entrepreneurial Venturing</t>
  </si>
  <si>
    <t>International Journal of Entrepreneurship</t>
  </si>
  <si>
    <t>International Journal of Entrepreneurship and Innovation Management</t>
  </si>
  <si>
    <t>International Journal of Entrepreneurship and Small Business</t>
  </si>
  <si>
    <t>International Journal of Environmental Analytical Chemistry</t>
  </si>
  <si>
    <t>International Journal of Environmental and Science Education</t>
  </si>
  <si>
    <t>International Journal of Environmental, Cultural, Economic and Social Sustainability</t>
  </si>
  <si>
    <t>International Journal of Environmental Health Research</t>
  </si>
  <si>
    <t>International Journal of Environmental Research</t>
  </si>
  <si>
    <t>International Journal of Environmental Research and Public Health</t>
  </si>
  <si>
    <t>International Journal of Environmental Science and Technology</t>
  </si>
  <si>
    <t>International Journal of Environmental Studies</t>
  </si>
  <si>
    <t>International Journal of Environmental Technology and Management</t>
  </si>
  <si>
    <t>International Journal of Environment and Health</t>
  </si>
  <si>
    <t>International Journal of Environment and Pollution</t>
  </si>
  <si>
    <t>International Journal of Environment and Sustainable Development</t>
  </si>
  <si>
    <t>International Journal of Environment and Waste Management</t>
  </si>
  <si>
    <t>International Journal of Epidemiology</t>
  </si>
  <si>
    <t>International Journal of Evidence-Based Healthcare</t>
  </si>
  <si>
    <t>International Journal of Exergy</t>
  </si>
  <si>
    <t>International Journal of Experimental Pathology</t>
  </si>
  <si>
    <t>International Journal of Fashion Design, Technology and Education</t>
  </si>
  <si>
    <t>International Journal of Fatigue</t>
  </si>
  <si>
    <t>International Journal of Fertility and Sterility</t>
  </si>
  <si>
    <t>International Journal of Finance and Economics</t>
  </si>
  <si>
    <t>International Journal of Flow Control</t>
  </si>
  <si>
    <t>International Journal of Fluid Machinery and Systems</t>
  </si>
  <si>
    <t>International Journal of Fluid Mechanics Research</t>
  </si>
  <si>
    <t>International Journal of Fluid Power</t>
  </si>
  <si>
    <t>International Journal of Food Engineering</t>
  </si>
  <si>
    <t>International Journal of Food Microbiology</t>
  </si>
  <si>
    <t>International Journal of Food Properties</t>
  </si>
  <si>
    <t>International Journal of Food Science and Technology</t>
  </si>
  <si>
    <t>International Journal of Food Sciences and Nutrition</t>
  </si>
  <si>
    <t>International Journal of Forecasting</t>
  </si>
  <si>
    <t>International Journal of Foresight and Innovation Policy</t>
  </si>
  <si>
    <t>International Journal of Foundations of Computer Science</t>
  </si>
  <si>
    <t>International Journal of Fracture</t>
  </si>
  <si>
    <t>International Journal of Fruit Science</t>
  </si>
  <si>
    <t>International Journal of Fuzzy Systems</t>
  </si>
  <si>
    <t>International Journal of Game Theory</t>
  </si>
  <si>
    <t>International Journal of Gaming and Computer-Mediated Simulations</t>
  </si>
  <si>
    <t>International Journal of General Medicine</t>
  </si>
  <si>
    <t>International Journal of General Systems</t>
  </si>
  <si>
    <t>International Journal of Genetics and Molecular Biology</t>
  </si>
  <si>
    <t>International Journal of Geographical Information Science</t>
  </si>
  <si>
    <t>International Journal of Geoinformatics</t>
  </si>
  <si>
    <t>International Journal of Geomechanics</t>
  </si>
  <si>
    <t>International Journal of Geometric Methods in Modern Physics</t>
  </si>
  <si>
    <t>International Journal of Geophysics</t>
  </si>
  <si>
    <t>International Journal of Geotechnical Earthquake Engineering</t>
  </si>
  <si>
    <t>International Journal of Geriatric Psychiatry</t>
  </si>
  <si>
    <t>International Journal of Gerontology</t>
  </si>
  <si>
    <t>International Journal of Global Energy Issues</t>
  </si>
  <si>
    <t>International Journal of Global Environmental Issues</t>
  </si>
  <si>
    <t>International Journal of Globalisation and Small Business</t>
  </si>
  <si>
    <t>International Journal of Global Warming</t>
  </si>
  <si>
    <t>International Journal of Green Economics</t>
  </si>
  <si>
    <t>International Journal of Green Energy</t>
  </si>
  <si>
    <t>International Journal of Greenhouse Gas Control</t>
  </si>
  <si>
    <t>International Journal of Green Nanotechnology: Biomedicine</t>
  </si>
  <si>
    <t>International Journal of Green Nanotechnology: Physics and Chemistry</t>
  </si>
  <si>
    <t>International Journal of Green Pharmacy</t>
  </si>
  <si>
    <t>International Journal of Grid and High Performance Computing</t>
  </si>
  <si>
    <t>International Journal of Grid and Utility Computing</t>
  </si>
  <si>
    <t>International Journal of Group Psychotherapy</t>
  </si>
  <si>
    <t>International Journal of Gynecological Cancer</t>
  </si>
  <si>
    <t>International Journal of Gynecological Pathology</t>
  </si>
  <si>
    <t>International Journal of Gynecology and Obstetrics</t>
  </si>
  <si>
    <t>International Journal of Health Care Finance and Economics</t>
  </si>
  <si>
    <t>International Journal of Healthcare Information Systems and Informatics</t>
  </si>
  <si>
    <t>International Journal of Health Care Quality Assurance</t>
  </si>
  <si>
    <t>International Journal of Healthcare Technology and Management</t>
  </si>
  <si>
    <t>International Journal of Health Geographics</t>
  </si>
  <si>
    <t>International Journal of Health Planning and Management</t>
  </si>
  <si>
    <t>International Journal of Health Promotion and Education</t>
  </si>
  <si>
    <t>International Journal of Health Research</t>
  </si>
  <si>
    <t>International Journal of Health Services</t>
  </si>
  <si>
    <t>International Journal of Heat and Fluid Flow</t>
  </si>
  <si>
    <t>International Journal of Heat and Mass Transfer</t>
  </si>
  <si>
    <t>International Journal of Heat and Technology</t>
  </si>
  <si>
    <t>International Journal of Heavy Vehicle Systems</t>
  </si>
  <si>
    <t>International Journal of Hematology</t>
  </si>
  <si>
    <t>International Journal of Hematology-Oncology and Stem Cell Research</t>
  </si>
  <si>
    <t>International Journal of Heritage Studies</t>
  </si>
  <si>
    <t>International Journal of High Dilution Research</t>
  </si>
  <si>
    <t>International Journal of High Performance Computing and Networking</t>
  </si>
  <si>
    <t>International Journal of High Performance Computing Applications</t>
  </si>
  <si>
    <t>International Journal of High Performance Systems Architecture</t>
  </si>
  <si>
    <t>International Journal of High Speed Electronics and Systems</t>
  </si>
  <si>
    <t>International Journal of Hindu Studies</t>
  </si>
  <si>
    <t>International Journal of Historical Archaeology</t>
  </si>
  <si>
    <t>International Journal of Hospitality and Tourism Administration</t>
  </si>
  <si>
    <t>International Journal of Hospitality Management</t>
  </si>
  <si>
    <t>International Journal of Housing Markets and Analysis</t>
  </si>
  <si>
    <t>International Journal of Human-Computer Interaction</t>
  </si>
  <si>
    <t>International Journal of Human Computer Studies</t>
  </si>
  <si>
    <t>International Journal of Human Genetics</t>
  </si>
  <si>
    <t>International Journal of Humanoid Robotics</t>
  </si>
  <si>
    <t>International Journal of Human Resource Management</t>
  </si>
  <si>
    <t>International Journal of Human Resources Development and Management</t>
  </si>
  <si>
    <t>International Journal of Human Rights</t>
  </si>
  <si>
    <t>International Journal of Hydrogen Energy</t>
  </si>
  <si>
    <t>International Journal of Hygiene and Environmental Health</t>
  </si>
  <si>
    <t>International Journal of Hypertension</t>
  </si>
  <si>
    <t>International Journal of Hyperthermia</t>
  </si>
  <si>
    <t>International Journal of Iberian Studies</t>
  </si>
  <si>
    <t>International Journal of Imaging and Robotics</t>
  </si>
  <si>
    <t>International Journal of Imaging Systems and Technology</t>
  </si>
  <si>
    <t>International Journal of Immunogenetics</t>
  </si>
  <si>
    <t>International Journal of Immunopathology and Pharmacology</t>
  </si>
  <si>
    <t>International Journal of Impact Engineering</t>
  </si>
  <si>
    <t>International Journal of Impotence Research</t>
  </si>
  <si>
    <t>International Journal of Inclusive Education</t>
  </si>
  <si>
    <t>International Journal of Industrial and Systems Engineering</t>
  </si>
  <si>
    <t>International Journal of Industrial Engineering and Management</t>
  </si>
  <si>
    <t>International Journal of Industrial Engineering Computations</t>
  </si>
  <si>
    <t>International Journal of Industrial Engineering : Theory Applications and Practice</t>
  </si>
  <si>
    <t>International Journal of Industrial Ergonomics</t>
  </si>
  <si>
    <t>International Journal of Industrial Organization</t>
  </si>
  <si>
    <t>International Journal of Infectious Diseases</t>
  </si>
  <si>
    <t>International Journal of Information and Communication Technology</t>
  </si>
  <si>
    <t>International Journal of Information and Communication Technology Education</t>
  </si>
  <si>
    <t>International Journal of Information and Computer Security</t>
  </si>
  <si>
    <t>International Journal of Information and Management Sciences</t>
  </si>
  <si>
    <t>International Journal of Information Management</t>
  </si>
  <si>
    <t>International Journal of Information Processing and Management</t>
  </si>
  <si>
    <t>International Journal of Information Quality</t>
  </si>
  <si>
    <t>International Journal of Information Science and Management</t>
  </si>
  <si>
    <t>International Journal of Information Security</t>
  </si>
  <si>
    <t>International Journal of Information Security and Privacy</t>
  </si>
  <si>
    <t>International Journal of Information Systems and Change Management</t>
  </si>
  <si>
    <t>International Journal of Information Systems and Supply Chain Management</t>
  </si>
  <si>
    <t>International Journal of Information Technology and Decision Making</t>
  </si>
  <si>
    <t>International Journal of Information Technology and Management</t>
  </si>
  <si>
    <t>International Journal of Information Technology and Web Engineering</t>
  </si>
  <si>
    <t>International Journal of Injury Control and Safety Promotion</t>
  </si>
  <si>
    <t>International Journal of Innovation and Learning</t>
  </si>
  <si>
    <t>International Journal of Innovation and Sustainable Development</t>
  </si>
  <si>
    <t>International Journal of Innovation Management</t>
  </si>
  <si>
    <t>International Journal of Innovative Computing and Applications</t>
  </si>
  <si>
    <t>International Journal of Innovative Computing, Information and Control</t>
  </si>
  <si>
    <t>International Journal of Intangible Heritage</t>
  </si>
  <si>
    <t>International Journal of Integrated Supply Management</t>
  </si>
  <si>
    <t>International Journal of Integrative Biology</t>
  </si>
  <si>
    <t>International Journal of Intelligence and Counterintelligence</t>
  </si>
  <si>
    <t>International Journal of Intelligent Computing and Cybernetics</t>
  </si>
  <si>
    <t>International Journal of Intelligent Engineering and Systems</t>
  </si>
  <si>
    <t>International Journal of Intelligent Information and Database Systems</t>
  </si>
  <si>
    <t>International Journal of Intelligent Information Technologies</t>
  </si>
  <si>
    <t>International Journal of Intelligent Systems</t>
  </si>
  <si>
    <t>International Journal of Intelligent Systems Technologies and Applications</t>
  </si>
  <si>
    <t>International Journal of Intelligent Transportation Systems Research</t>
  </si>
  <si>
    <t>International Journal of Intercultural Relations</t>
  </si>
  <si>
    <t>International Journal of Interdisciplinary Social Sciences</t>
  </si>
  <si>
    <t>International Journal of Interferon, Cytokine and Mediator Research</t>
  </si>
  <si>
    <t>International Journal of Internet Manufacturing and Services</t>
  </si>
  <si>
    <t>International Journal of Internet Marketing and Advertising</t>
  </si>
  <si>
    <t>International Journal of Internet Protocol Technology</t>
  </si>
  <si>
    <t>International Journal of IT Standards and Standardization Research</t>
  </si>
  <si>
    <t>International Journal of Knowledge and Learning</t>
  </si>
  <si>
    <t>International Journal of Knowledge-Based Development</t>
  </si>
  <si>
    <t>International Journal of Knowledge, Culture and Change Management</t>
  </si>
  <si>
    <t>International Journal of Knowledge Management</t>
  </si>
  <si>
    <t>International Journal of Knowledge Management Studies</t>
  </si>
  <si>
    <t>International Journal of Laboratory Hematology</t>
  </si>
  <si>
    <t>International Journal of Language and Communication Disorders</t>
  </si>
  <si>
    <t>International Journal of Law and Information Technology</t>
  </si>
  <si>
    <t>International Journal of Law and Psychiatry</t>
  </si>
  <si>
    <t>International Journal of Law, Crime and Justice</t>
  </si>
  <si>
    <t>International Journal of Law, Policy and the Family</t>
  </si>
  <si>
    <t>International Journal of Leadership in Education</t>
  </si>
  <si>
    <t>International Journal of Learning</t>
  </si>
  <si>
    <t>International Journal of Learning and Intellectual Capital</t>
  </si>
  <si>
    <t>International Journal of Legal Medicine</t>
  </si>
  <si>
    <t>International Journal of Lexicography</t>
  </si>
  <si>
    <t>International Journal of Life Cycle Assessment</t>
  </si>
  <si>
    <t>International Journal of Lifelong Education</t>
  </si>
  <si>
    <t>International Journal of Listening</t>
  </si>
  <si>
    <t>International Journal of Logistics Research and Applications</t>
  </si>
  <si>
    <t>International Journal of Logistics Systems and Management</t>
  </si>
  <si>
    <t>International Journal of Low Carbon Technologies</t>
  </si>
  <si>
    <t>International Journal of Lower Extremity Wounds</t>
  </si>
  <si>
    <t>International Journal of Low Radiation</t>
  </si>
  <si>
    <t>International Journal of Machine Consciousness</t>
  </si>
  <si>
    <t>International Journal of Machine Tools and Manufacture</t>
  </si>
  <si>
    <t>International Journal of Machining and Machinability of Materials</t>
  </si>
  <si>
    <t>International Journal of Management and Decision Making</t>
  </si>
  <si>
    <t>International Journal of Management and Enterprise Development</t>
  </si>
  <si>
    <t>International Journal of Management in Education</t>
  </si>
  <si>
    <t>International Journal of Management Practice</t>
  </si>
  <si>
    <t>International Journal of Management Reviews</t>
  </si>
  <si>
    <t>International Journal of Managerial Finance</t>
  </si>
  <si>
    <t>International Journal of Manpower</t>
  </si>
  <si>
    <t>International Journal of Manufacturing Research</t>
  </si>
  <si>
    <t>International Journal of Manufacturing Technology and Management</t>
  </si>
  <si>
    <t>International Journal of Marine and Coastal Law</t>
  </si>
  <si>
    <t>International Journal of Market Research</t>
  </si>
  <si>
    <t>International Journal of Mass Spectrometry</t>
  </si>
  <si>
    <t>International Journal of Material Forming</t>
  </si>
  <si>
    <t>International Journal of Materials and Product Technology</t>
  </si>
  <si>
    <t>International Journal of Materials and Structural Integrity</t>
  </si>
  <si>
    <t>International Journal of Materials Engineering Innovation</t>
  </si>
  <si>
    <t>International Journal of Materials Research</t>
  </si>
  <si>
    <t>International Journal of Mathematical Analysis</t>
  </si>
  <si>
    <t>International Journal of Mathematical Education in Science and Technology</t>
  </si>
  <si>
    <t>International Journal of Mathematical Modelling and Numerical Optimisation</t>
  </si>
  <si>
    <t>International Journal of Mathematical Models and Methods in Applied Sciences</t>
  </si>
  <si>
    <t>International Journal of Mathematics</t>
  </si>
  <si>
    <t>International Journal of Mathematics and Computers in Simulation</t>
  </si>
  <si>
    <t>International Journal of Mathematics and Mathematical Sciences</t>
  </si>
  <si>
    <t>International Journal of Mathematics in Operational Research</t>
  </si>
  <si>
    <t>International Journal of Mechanical and Materials Engineering</t>
  </si>
  <si>
    <t>International Journal of Mechanical and Mechanics Engineering</t>
  </si>
  <si>
    <t>International Journal of Mechanical and Mechatronics Engineering</t>
  </si>
  <si>
    <t>International Journal of Mechanical Engineering Education</t>
  </si>
  <si>
    <t>International Journal of Mechanical Sciences</t>
  </si>
  <si>
    <t>International Journal of Mechanics</t>
  </si>
  <si>
    <t>International Journal of Mechanics and Materials in Design</t>
  </si>
  <si>
    <t>International Journal of Mechatronics and Manufacturing Systems</t>
  </si>
  <si>
    <t>International Journal of Medical Engineering and Informatics</t>
  </si>
  <si>
    <t>International Journal of Medical Informatics</t>
  </si>
  <si>
    <t>International Journal of Medical Microbiology</t>
  </si>
  <si>
    <t>International Journal of Medical Robotics and Computer Assisted Surgery</t>
  </si>
  <si>
    <t>International Journal of Medical Sciences</t>
  </si>
  <si>
    <t>International Journal of Medical Toxicology and Legal Medicine</t>
  </si>
  <si>
    <t>International Journal of Medicinal Mushrooms</t>
  </si>
  <si>
    <t>International Journal of Men's Health</t>
  </si>
  <si>
    <t>International Journal of Mental Health</t>
  </si>
  <si>
    <t>International Journal of Mental Health and Addiction</t>
  </si>
  <si>
    <t>International Journal of Mental Health Nursing</t>
  </si>
  <si>
    <t>International Journal of Mental Health Systems</t>
  </si>
  <si>
    <t>International Journal of Metadata, Semantics and Ontologies</t>
  </si>
  <si>
    <t>International Journal of Metalcasting</t>
  </si>
  <si>
    <t>International Journal of Meteorology</t>
  </si>
  <si>
    <t>International Journal of Methods in Psychiatric Research</t>
  </si>
  <si>
    <t>International Journal of Microstructure and Materials Properties</t>
  </si>
  <si>
    <t>International Journal of Microwave and Optical Technology</t>
  </si>
  <si>
    <t>International Journal of Microwave and Wireless Technologies</t>
  </si>
  <si>
    <t>International Journal of Middle East Studies</t>
  </si>
  <si>
    <t>International Journal of Migration, Health and Social Care</t>
  </si>
  <si>
    <t>International Journal of Mineral Processing</t>
  </si>
  <si>
    <t>International Journal of Minerals, Metallurgy and Materials</t>
  </si>
  <si>
    <t>International Journal of Mining and Mineral Engineering</t>
  </si>
  <si>
    <t>International Journal of Mining, Reclamation and Environment</t>
  </si>
  <si>
    <t>International Journal of Mining Science and Technology</t>
  </si>
  <si>
    <t>International Journal of Minority and Group Rights</t>
  </si>
  <si>
    <t>International Journal of Mobile and Blended Learning</t>
  </si>
  <si>
    <t>International Journal of Mobile Communications</t>
  </si>
  <si>
    <t>International Journal of Mobile Computing and Multimedia Communications</t>
  </si>
  <si>
    <t>International Journal of Mobile Human Computer Interaction</t>
  </si>
  <si>
    <t>International Journal of Mobile Learning and Organisation</t>
  </si>
  <si>
    <t>International Journal of Mobile Network Design and Innovation</t>
  </si>
  <si>
    <t>International Journal of Modeling, Simulation, and Scientific Computing</t>
  </si>
  <si>
    <t>International Journal of Modelling and Simulation</t>
  </si>
  <si>
    <t>International Journal of Modelling, Identification and Control</t>
  </si>
  <si>
    <t>International Journal of Modern Physics A</t>
  </si>
  <si>
    <t>International Journal of Modern Physics B</t>
  </si>
  <si>
    <t>International Journal of Modern Physics C</t>
  </si>
  <si>
    <t>International Journal of Modern Physics D</t>
  </si>
  <si>
    <t>International Journal of Modern Physics E</t>
  </si>
  <si>
    <t>International Journal of Molecular Epidemiology and Genetics</t>
  </si>
  <si>
    <t>International Journal of Molecular Medicine</t>
  </si>
  <si>
    <t>International Journal of Molecular Sciences</t>
  </si>
  <si>
    <t>International Journal of Monetary Economics and Finance</t>
  </si>
  <si>
    <t>International Journal of Morphology</t>
  </si>
  <si>
    <t>International Journal of MS Care</t>
  </si>
  <si>
    <t>International Journal of Multicultural Education</t>
  </si>
  <si>
    <t>International Journal of Multilingualism</t>
  </si>
  <si>
    <t>International Journal of Multimedia and Ubiquitous Engineering</t>
  </si>
  <si>
    <t>International Journal of Multiphase Flow</t>
  </si>
  <si>
    <t>International Journal of Multiple Research Approaches</t>
  </si>
  <si>
    <t>International Journal of Music Education</t>
  </si>
  <si>
    <t>International Journal of Nano and Biomaterials</t>
  </si>
  <si>
    <t>International Journal of Nanoelectronics and Materials</t>
  </si>
  <si>
    <t>International Journal of Nanomanufacturing</t>
  </si>
  <si>
    <t>International Journal of Nanomechanics Science and Technology</t>
  </si>
  <si>
    <t>International Journal of Nanomedicine</t>
  </si>
  <si>
    <t>International Journal of Nanoparticles</t>
  </si>
  <si>
    <t>International Journal of Nanoscience</t>
  </si>
  <si>
    <t>International Journal of Nanotechnology</t>
  </si>
  <si>
    <t>International Journal of Nautical Archaeology</t>
  </si>
  <si>
    <t>International Journal of Naval Architecture and Ocean Engineering</t>
  </si>
  <si>
    <t>International Journal of Navigation and Observation</t>
  </si>
  <si>
    <t>International Journal of Nephrology</t>
  </si>
  <si>
    <t>International Journal of Nephrology and Renovascular Disease</t>
  </si>
  <si>
    <t>International Journal of Networking and Virtual Organisations</t>
  </si>
  <si>
    <t>International Journal of Network Management</t>
  </si>
  <si>
    <t>International Journal of Network Security</t>
  </si>
  <si>
    <t>International Journal of Neural Systems</t>
  </si>
  <si>
    <t>International Journal of Neuropsychopharmacology</t>
  </si>
  <si>
    <t>International Journal of Neuroscience</t>
  </si>
  <si>
    <t>International Journal of Non-Linear Mechanics</t>
  </si>
  <si>
    <t>International Journal of Nonlinear Sciences and Numerical Simulation</t>
  </si>
  <si>
    <t>International Journal of Nuclear Desalination</t>
  </si>
  <si>
    <t>International Journal of Nuclear Energy Science and Technology</t>
  </si>
  <si>
    <t>International Journal of Number Theory</t>
  </si>
  <si>
    <t>International Journal of Numerical Analysis and Modeling</t>
  </si>
  <si>
    <t>International Journal of Numerical Methods for Heat and Fluid Flow</t>
  </si>
  <si>
    <t>International Journal of Numerical Modelling: Electronic Networks, Devices and Fields</t>
  </si>
  <si>
    <t>International Journal of Nursing Education Scholarship</t>
  </si>
  <si>
    <t>International journal of nursing knowledge</t>
  </si>
  <si>
    <t>International Journal of Nursing Practice</t>
  </si>
  <si>
    <t>International Journal of Nursing Studies</t>
  </si>
  <si>
    <t>International Journal of Obesity</t>
  </si>
  <si>
    <t>International Journal of Obstetric Anesthesia</t>
  </si>
  <si>
    <t>International Journal of Occupational and Environmental Health</t>
  </si>
  <si>
    <t>International Journal of Occupational Medicine and Environmental Health</t>
  </si>
  <si>
    <t>International Journal of Occupational Safety and Ergonomics</t>
  </si>
  <si>
    <t>International Journal of Odonatology</t>
  </si>
  <si>
    <t>International Journal of Offender Therapy and Comparative Criminology</t>
  </si>
  <si>
    <t>International Journal of Offshore and Polar Engineering</t>
  </si>
  <si>
    <t>International Journal of Oil, Gas and Coal Technology</t>
  </si>
  <si>
    <t>International journal of older people nursing</t>
  </si>
  <si>
    <t>International Journal of Oncology</t>
  </si>
  <si>
    <t>International Journal of Online Engineering</t>
  </si>
  <si>
    <t>International Journal of Open Source Software and Processes</t>
  </si>
  <si>
    <t>International Journal of Operational Research</t>
  </si>
  <si>
    <t>International Journal of Operations and Production Management</t>
  </si>
  <si>
    <t>International Journal of Operations and Quantitative Management</t>
  </si>
  <si>
    <t>International Journal of Ophthalmology</t>
  </si>
  <si>
    <t>International Journal of Optics</t>
  </si>
  <si>
    <t>International Journal of Optomechatronics</t>
  </si>
  <si>
    <t>International Journal of Oral and Maxillofacial Implants</t>
  </si>
  <si>
    <t>International Journal of Oral and Maxillofacial Surgery</t>
  </si>
  <si>
    <t>International journal of oral science</t>
  </si>
  <si>
    <t>International Journal of Organizational Analysis</t>
  </si>
  <si>
    <t>International Journal of Organ Transplantation Medicine</t>
  </si>
  <si>
    <t>International journal of orofacial myology : official publication of the International Association of Orofacial Myology, The</t>
  </si>
  <si>
    <t>International journal of orthodontics</t>
  </si>
  <si>
    <t>International Journal of Orthopaedic and Trauma Nursing</t>
  </si>
  <si>
    <t>International Journal of Osteoarchaeology</t>
  </si>
  <si>
    <t>International Journal of Osteopathic Medicine</t>
  </si>
  <si>
    <t>International Journal of Osteoporosis and Metabolic Disorders</t>
  </si>
  <si>
    <t>International Journal of Ozone Therapy</t>
  </si>
  <si>
    <t>International Journal of Paediatric Dentistry</t>
  </si>
  <si>
    <t>International Journal of Palliative Nursing</t>
  </si>
  <si>
    <t>International Journal of Parallel, Emergent and Distributed Systems</t>
  </si>
  <si>
    <t>International Journal of Parallel Programming</t>
  </si>
  <si>
    <t>International Journal of Pattern Recognition and Artificial Intelligence</t>
  </si>
  <si>
    <t>International Journal of Pavement Engineering</t>
  </si>
  <si>
    <t>International Journal of Pavement Research and Technology</t>
  </si>
  <si>
    <t>International Journal of Pedagogies and Learning</t>
  </si>
  <si>
    <t>International Journal of Pediatric Otorhinolaryngology</t>
  </si>
  <si>
    <t>International Journal of Pediatric Otorhinolaryngology Extra</t>
  </si>
  <si>
    <t>International Journal of Peptide Research and Therapeutics</t>
  </si>
  <si>
    <t>International Journal of Performability Engineering</t>
  </si>
  <si>
    <t>International Journal of Periodontics and Restorative Dentistry</t>
  </si>
  <si>
    <t>International Journal of Pest Management</t>
  </si>
  <si>
    <t>International Journal of Pharma and Bio Sciences</t>
  </si>
  <si>
    <t>International Journal of Pharmaceutical and Clinical Research</t>
  </si>
  <si>
    <t>International Journal of Pharmaceutical and Healthcare Marketing</t>
  </si>
  <si>
    <t>International Journal of Pharmaceutical Compounding</t>
  </si>
  <si>
    <t>International Journal of Pharmaceutical Quality Assurance</t>
  </si>
  <si>
    <t>International Journal of Pharmaceutical Sciences Review and Research</t>
  </si>
  <si>
    <t>International Journal of Pharmaceutics</t>
  </si>
  <si>
    <t>International Journal of Pharmacognosy and Phytochemical Research</t>
  </si>
  <si>
    <t>International Journal of Pharmacology</t>
  </si>
  <si>
    <t>International Journal of Pharmacy and Pharmaceutical Sciences</t>
  </si>
  <si>
    <t>International Journal of Pharmacy Practice</t>
  </si>
  <si>
    <t>International Journal of PharmTech Research</t>
  </si>
  <si>
    <t>International Journal of Philosophical Studies</t>
  </si>
  <si>
    <t>International Journal of Photoenergy</t>
  </si>
  <si>
    <t>International Journal of Physical Distribution and Logistics Management</t>
  </si>
  <si>
    <t>International Journal of Physical Modelling in Geotechnics</t>
  </si>
  <si>
    <t>International Journal of Physical Sciences</t>
  </si>
  <si>
    <t>International Journal of Physiology, Pathophysiology and Pharmacology</t>
  </si>
  <si>
    <t>International Journal of Phytomedicine</t>
  </si>
  <si>
    <t>International Journal of Phytoremediation</t>
  </si>
  <si>
    <t>International Journal of Plant Biology</t>
  </si>
  <si>
    <t>International Journal of Plant Genomics</t>
  </si>
  <si>
    <t>International Journal of Plant Production</t>
  </si>
  <si>
    <t>International Journal of Plant Sciences</t>
  </si>
  <si>
    <t>International Journal of Plasma Environmental Science and Technology</t>
  </si>
  <si>
    <t>International Journal of Plasticity</t>
  </si>
  <si>
    <t>International Journal of Plastics Technology</t>
  </si>
  <si>
    <t>International Journal of Platonic Tradition</t>
  </si>
  <si>
    <t>International Journal of Play Therapy</t>
  </si>
  <si>
    <t>International Journal of Politics, Culture and Society</t>
  </si>
  <si>
    <t>International Journal of Polymer Analysis and Characterization</t>
  </si>
  <si>
    <t>International Journal of Polymeric Materials</t>
  </si>
  <si>
    <t>International Journal of Polymer Science</t>
  </si>
  <si>
    <t>International Journal of Postharvest Technology and Innovation</t>
  </si>
  <si>
    <t>International Journal of Poultry Science</t>
  </si>
  <si>
    <t>International Journal of Powder Metallurgy (Princeton, New Jersey)</t>
  </si>
  <si>
    <t>International Journal of Power and Energy Systems</t>
  </si>
  <si>
    <t>International Journal of Power Electronics</t>
  </si>
  <si>
    <t>International Journal of Practical Theology</t>
  </si>
  <si>
    <t>International Journal of Precision Engineering and Manufacturing</t>
  </si>
  <si>
    <t>International Journal of Press/Politics</t>
  </si>
  <si>
    <t>International Journal of Pressure Vessels and Piping</t>
  </si>
  <si>
    <t>International Journal of Preventive Medicine</t>
  </si>
  <si>
    <t>International Journal of Primatology</t>
  </si>
  <si>
    <t>International Journal of Private Law</t>
  </si>
  <si>
    <t>International Journal of Product Development</t>
  </si>
  <si>
    <t>International Journal of Production Economics</t>
  </si>
  <si>
    <t>International Journal of Production Research</t>
  </si>
  <si>
    <t>International Journal of Productivity and Performance Management</t>
  </si>
  <si>
    <t>International Journal of Productivity and Quality Management</t>
  </si>
  <si>
    <t>International Journal of Product Lifecycle Management</t>
  </si>
  <si>
    <t>International Journal of Project Management</t>
  </si>
  <si>
    <t>International Journal of Prosthodontics</t>
  </si>
  <si>
    <t>International Journal of Psychiatry in Clinical Practice</t>
  </si>
  <si>
    <t>International Journal of Psychiatry in Medicine</t>
  </si>
  <si>
    <t>International Journal of Psychoanalysis</t>
  </si>
  <si>
    <t>International Journal of Psychoanalytic Self Psychology</t>
  </si>
  <si>
    <t>International Journal of Psychological Research</t>
  </si>
  <si>
    <t>International Journal of Psychology</t>
  </si>
  <si>
    <t>International Journal of Psychology and Psychological Therapy</t>
  </si>
  <si>
    <t>International Journal of Psychophysiology</t>
  </si>
  <si>
    <t>International Journal of Psychosocial Rehabilitation</t>
  </si>
  <si>
    <t>International Journal of Public Administration</t>
  </si>
  <si>
    <t>International Journal of Public Health</t>
  </si>
  <si>
    <t>International Journal of Public Opinion Research</t>
  </si>
  <si>
    <t>International Journal of Public Policy</t>
  </si>
  <si>
    <t>International Journal of Public Sector Management</t>
  </si>
  <si>
    <t>International Journal of Public Sector Performance Management</t>
  </si>
  <si>
    <t>International Journal of Pure and Applied Mathematics</t>
  </si>
  <si>
    <t>International Journal of Qualitative Studies in Education</t>
  </si>
  <si>
    <t>International Journal of Qualitative Studies on Health and Well-being</t>
  </si>
  <si>
    <t>International Journal of Quality and Reliability Management</t>
  </si>
  <si>
    <t>International Journal of Quality, Statistics, and Reliability</t>
  </si>
  <si>
    <t>International Journal of Quantum Chemistry</t>
  </si>
  <si>
    <t>International Journal of Quantum Information</t>
  </si>
  <si>
    <t>International Journal of Radiation Biology</t>
  </si>
  <si>
    <t>International Journal of Radiation Oncology Biology Physics</t>
  </si>
  <si>
    <t>International Journal of Radio Frequency Identification Technology and Applications</t>
  </si>
  <si>
    <t>International Journal of Reasoning-based Intelligent Systems</t>
  </si>
  <si>
    <t>International Journal of Reconfigurable Computing</t>
  </si>
  <si>
    <t>International Journal of Refractory Metals and Hard Materials</t>
  </si>
  <si>
    <t>International Journal of Refrigeration</t>
  </si>
  <si>
    <t>International Journal of Refugee Law</t>
  </si>
  <si>
    <t>International Journal of Regulation and Governance</t>
  </si>
  <si>
    <t>International Journal of Rehabilitation Research</t>
  </si>
  <si>
    <t>International Journal of Reliability and Safety</t>
  </si>
  <si>
    <t>International Journal of Reliability, Quality and Safety Engineering</t>
  </si>
  <si>
    <t>International Journal of Remote Sensing</t>
  </si>
  <si>
    <t>International Journal of Research and Method in Education</t>
  </si>
  <si>
    <t>International Journal of Research in Marketing</t>
  </si>
  <si>
    <t>International Journal of Research in Pharmaceutical Sciences</t>
  </si>
  <si>
    <t>International Journal of Retail and Distribution Management</t>
  </si>
  <si>
    <t>International Journal of Revenue Management</t>
  </si>
  <si>
    <t>International Journal of RF and Microwave Computer-Aided Engineering</t>
  </si>
  <si>
    <t>International Journal of RF Technologies: Research and Applications</t>
  </si>
  <si>
    <t>International Journal of Rheumatic Diseases</t>
  </si>
  <si>
    <t>International Journal of Risk and Safety in Medicine</t>
  </si>
  <si>
    <t>International Journal of Risk Assessment and Management</t>
  </si>
  <si>
    <t>International Journal of River Basin Management</t>
  </si>
  <si>
    <t>International Journal of Robotics and Automation</t>
  </si>
  <si>
    <t>International Journal of Robotics Research</t>
  </si>
  <si>
    <t>International Journal of Robust and Nonlinear Control</t>
  </si>
  <si>
    <t>International Journal of Rock Mechanics and Minings Sciences</t>
  </si>
  <si>
    <t>International Journal of Rotating Machinery</t>
  </si>
  <si>
    <t>International Journal of Rural Management</t>
  </si>
  <si>
    <t>International Journal of Satellite Communications and Networking</t>
  </si>
  <si>
    <t>International Journal of Science and Mathematics Education</t>
  </si>
  <si>
    <t>International Journal of Science Education</t>
  </si>
  <si>
    <t>International Journal of Security and its Applications</t>
  </si>
  <si>
    <t>International Journal of Security and Networks</t>
  </si>
  <si>
    <t>International Journal of Sediment Research</t>
  </si>
  <si>
    <t>International Journal of Selection and Assessment</t>
  </si>
  <si>
    <t>International Journal of Sensor Networks</t>
  </si>
  <si>
    <t>International Journal of Services and Operations Management</t>
  </si>
  <si>
    <t>International Journal of Services and Standards</t>
  </si>
  <si>
    <t>International Journal of Services Operations and Informatics</t>
  </si>
  <si>
    <t>International Journal of Services, Technology and Management</t>
  </si>
  <si>
    <t>International Journal of Sexual Health</t>
  </si>
  <si>
    <t>International Journal of Shipping and Transport Logistics</t>
  </si>
  <si>
    <t>International Journal of Shoulder Surgery</t>
  </si>
  <si>
    <t>International Journal of Signal and Imaging Systems Engineering</t>
  </si>
  <si>
    <t>International Journal of Simulation and Process Modelling</t>
  </si>
  <si>
    <t>International Journal of Simulation Modelling</t>
  </si>
  <si>
    <t>International Journal of Simulation: Systems, Science and Technology</t>
  </si>
  <si>
    <t>International Journal of Six Sigma and Competitive Advantage</t>
  </si>
  <si>
    <t>International Journal of Smart Home</t>
  </si>
  <si>
    <t>International Journal of Social Economics</t>
  </si>
  <si>
    <t>International Journal of Social Psychiatry</t>
  </si>
  <si>
    <t>International Journal of Social Research Methodology</t>
  </si>
  <si>
    <t>International Journal of Social Robotics</t>
  </si>
  <si>
    <t>International Journal of Social Welfare</t>
  </si>
  <si>
    <t>International Journal of Soft Computing</t>
  </si>
  <si>
    <t>International Journal of Software Engineering and its Applications</t>
  </si>
  <si>
    <t>International Journal of Software Engineering and Knowledge Engineering</t>
  </si>
  <si>
    <t>International Journal of Soil Science</t>
  </si>
  <si>
    <t>International Journal of Solids and Structures</t>
  </si>
  <si>
    <t>International Journal of Space Structures</t>
  </si>
  <si>
    <t>International Journal of Special Education</t>
  </si>
  <si>
    <t>International Journal of Speech, Language and the Law</t>
  </si>
  <si>
    <t>International Journal of Speech-Language Pathology</t>
  </si>
  <si>
    <t>International Journal of Speech Technology</t>
  </si>
  <si>
    <t>International Journal of Speleology</t>
  </si>
  <si>
    <t>International Journal of Spine Surgery</t>
  </si>
  <si>
    <t>International Journal of Sport and Exercise Psychology</t>
  </si>
  <si>
    <t>International Journal of Sport Finance</t>
  </si>
  <si>
    <t>International Journal of Sport Management and Marketing</t>
  </si>
  <si>
    <t>International Journal of Sport Nutrition and Exercise Metabolism</t>
  </si>
  <si>
    <t>International Journal of Sport Psychology</t>
  </si>
  <si>
    <t>International Journal of Sports Marketing and Sponsorship</t>
  </si>
  <si>
    <t>International Journal of Sports Medicine</t>
  </si>
  <si>
    <t>International Journal of Sports Physiology and Performance</t>
  </si>
  <si>
    <t>International Journal of Sports Science and Coaching</t>
  </si>
  <si>
    <t>International Journal of Spray and Combustion Dynamics</t>
  </si>
  <si>
    <t>International Journal of STD and AIDS</t>
  </si>
  <si>
    <t>International Journal of Steel Structures</t>
  </si>
  <si>
    <t>International Journal of Strategic Communication</t>
  </si>
  <si>
    <t>International Journal of Strategic Property Management</t>
  </si>
  <si>
    <t>International Journal of Stress Management</t>
  </si>
  <si>
    <t>International Journal of Stroke</t>
  </si>
  <si>
    <t>International Journal of Structural Engineering</t>
  </si>
  <si>
    <t>International Journal of Structural Stability and Dynamics</t>
  </si>
  <si>
    <t>International Journal of Surface Science and Engineering</t>
  </si>
  <si>
    <t>International Journal of Surgery</t>
  </si>
  <si>
    <t>International Journal of Surgery Case Reports</t>
  </si>
  <si>
    <t>International Journal of Surgical Oncology</t>
  </si>
  <si>
    <t>International Journal of Surgical Pathology</t>
  </si>
  <si>
    <t>International Journal of Sustainability in Higher Education</t>
  </si>
  <si>
    <t>International Journal of Sustainable Development</t>
  </si>
  <si>
    <t>International Journal of Sustainable Development and Planning</t>
  </si>
  <si>
    <t>International Journal of Sustainable Development and World Ecology</t>
  </si>
  <si>
    <t>International Journal of Sustainable Energy</t>
  </si>
  <si>
    <t>International Journal of Sustainable Engineering</t>
  </si>
  <si>
    <t>International Journal of Sustainable Manufacturing</t>
  </si>
  <si>
    <t>International Journal of Sustainable Society</t>
  </si>
  <si>
    <t>International Journal of Sustainable Transportation</t>
  </si>
  <si>
    <t>International Journal of Systematic and Evolutionary Microbiology</t>
  </si>
  <si>
    <t>International Journal of Systematic Theology</t>
  </si>
  <si>
    <t>International Journal of System of Systems Engineering</t>
  </si>
  <si>
    <t>International Journal of Systems Assurance Engineering and Management</t>
  </si>
  <si>
    <t>International Journal of Systems, Control and Communications</t>
  </si>
  <si>
    <t>International Journal of Systems Science</t>
  </si>
  <si>
    <t>International Journal of Technoentrepreneurship</t>
  </si>
  <si>
    <t>International Journal of Technoethics</t>
  </si>
  <si>
    <t>International Journal of Technological Learning, Innovation and Development</t>
  </si>
  <si>
    <t>International Journal of Technology and Design Education</t>
  </si>
  <si>
    <t>International Journal of Technology and Globalisation</t>
  </si>
  <si>
    <t>International Journal of Technology and Human Interaction</t>
  </si>
  <si>
    <t>International Journal of Technology Assessment in Health Care</t>
  </si>
  <si>
    <t>International Journal of Technology Enhanced Learning</t>
  </si>
  <si>
    <t>International Journal of Technology Intelligence and Planning</t>
  </si>
  <si>
    <t>International Journal of Technology, Knowledge and Society</t>
  </si>
  <si>
    <t>International Journal of Technology Management</t>
  </si>
  <si>
    <t>International Journal of Technology, Policy and Management</t>
  </si>
  <si>
    <t>International Journal of Telemedicine and Applications</t>
  </si>
  <si>
    <t>International Journal of Testing</t>
  </si>
  <si>
    <t>International Journal of the Book</t>
  </si>
  <si>
    <t>International Journal of the Classical Tradition</t>
  </si>
  <si>
    <t>International Journal of the Commons</t>
  </si>
  <si>
    <t>International Journal of the Economics of Business</t>
  </si>
  <si>
    <t>International Journal of the History of Sport</t>
  </si>
  <si>
    <t>International Journal of the Humanities</t>
  </si>
  <si>
    <t>International Journal of the Legal Profession</t>
  </si>
  <si>
    <t>International Journal of Theoretical and Applied Finance</t>
  </si>
  <si>
    <t>International Journal of Theoretical Physics</t>
  </si>
  <si>
    <t>International Journal of Therapeutic Massage and Bodywork: Research, Education, and Practice</t>
  </si>
  <si>
    <t>International Journal of Therapy and Rehabilitation</t>
  </si>
  <si>
    <t>International Journal of Thermal Sciences</t>
  </si>
  <si>
    <t>International Journal of Thermophysics</t>
  </si>
  <si>
    <t>International Journal of the Sociology of Language</t>
  </si>
  <si>
    <t>International Journal of Tomography and Statistics</t>
  </si>
  <si>
    <t>International Journal of Tourism Research</t>
  </si>
  <si>
    <t>International Journal of Toxicological and Pharmacological Research</t>
  </si>
  <si>
    <t>International Journal of Toxicology</t>
  </si>
  <si>
    <t>International Journal of Training and Development</t>
  </si>
  <si>
    <t>International Journal of Training Research</t>
  </si>
  <si>
    <t>International Journal of Transgenderism</t>
  </si>
  <si>
    <t>International Journal of Transitional Justice, The</t>
  </si>
  <si>
    <t>International Journal of Transpersonal Studies</t>
  </si>
  <si>
    <t>International Journal of Transport Economics</t>
  </si>
  <si>
    <t>International Journal of Trichology</t>
  </si>
  <si>
    <t>International Journal of Tropical Insect Science</t>
  </si>
  <si>
    <t>International Journal of Tropical Medicine</t>
  </si>
  <si>
    <t>International Journal of Tryptophan Research</t>
  </si>
  <si>
    <t>International Journal of Tuberculosis and Lung Disease</t>
  </si>
  <si>
    <t>International Journal of Turbo and Jet Engines</t>
  </si>
  <si>
    <t>International Journal of Uncertainty, Fuzziness and Knowlege-Based Systems</t>
  </si>
  <si>
    <t>International Journal of Urban and Regional Research</t>
  </si>
  <si>
    <t>International Journal of Urological Nursing</t>
  </si>
  <si>
    <t>International Journal of Urology</t>
  </si>
  <si>
    <t>International Journal of Value Chain Management</t>
  </si>
  <si>
    <t>International Journal of Vascular Medicine</t>
  </si>
  <si>
    <t>International Journal of Vegetable Science</t>
  </si>
  <si>
    <t>International Journal of Vehicle Autonomous Systems</t>
  </si>
  <si>
    <t>International Journal of Vehicle Design</t>
  </si>
  <si>
    <t>International Journal of Vehicle Information and Communication Systems</t>
  </si>
  <si>
    <t>International Journal of Vehicle Noise and Vibration</t>
  </si>
  <si>
    <t>International Journal of Vehicle Safety</t>
  </si>
  <si>
    <t>International Journal of Vehicle Structures and Systems</t>
  </si>
  <si>
    <t>International Journal of Vehicle Systems Modelling and Testing</t>
  </si>
  <si>
    <t>International Journal of Ventilation</t>
  </si>
  <si>
    <t>International Journal of Virology</t>
  </si>
  <si>
    <t>International Journal of Water</t>
  </si>
  <si>
    <t>International Journal of Water Resources Development</t>
  </si>
  <si>
    <t>International Journal of Wavelets, Multiresolution and Information Processing</t>
  </si>
  <si>
    <t>International Journal of Web and Grid Services</t>
  </si>
  <si>
    <t>International Journal of Web Based Communities</t>
  </si>
  <si>
    <t>International Journal of Web-Based Learning and Teaching Technologies</t>
  </si>
  <si>
    <t>International Journal of Web Engineering and Technology</t>
  </si>
  <si>
    <t>International Journal of Web Portals</t>
  </si>
  <si>
    <t>International Journal of Web Services Research</t>
  </si>
  <si>
    <t>International Journal of Wildland Fire</t>
  </si>
  <si>
    <t>International Journal of Wine Research</t>
  </si>
  <si>
    <t>International Journal of Wireless and Mobile Computing</t>
  </si>
  <si>
    <t>International Journal of Wireless Information Networks</t>
  </si>
  <si>
    <t>International Journal of Women's Health</t>
  </si>
  <si>
    <t>International Journal of Work Innovation</t>
  </si>
  <si>
    <t>International Journal of Work Organisation and Emotion</t>
  </si>
  <si>
    <t>International Journal of Workplace Health Management</t>
  </si>
  <si>
    <t>International journal of yoga therapy</t>
  </si>
  <si>
    <t>International Journal of Zoological Research</t>
  </si>
  <si>
    <t>International Journal of Zoology</t>
  </si>
  <si>
    <t>International Journal on Algae</t>
  </si>
  <si>
    <t>International Journal on Artificial Intelligence Tools</t>
  </si>
  <si>
    <t>International Journal on Digital Libraries</t>
  </si>
  <si>
    <t>International Journal on Disability and Human Development</t>
  </si>
  <si>
    <t>International Journal on Document Analysis and Recognition</t>
  </si>
  <si>
    <t>International Journal on Electrical Engineering and Informatics</t>
  </si>
  <si>
    <t>International Journal on Hydropower and Dams</t>
  </si>
  <si>
    <t>International Journal on Interactive Design and Manufacturing</t>
  </si>
  <si>
    <t>International Journal on Smart Sensing and Intelligent Systems</t>
  </si>
  <si>
    <t>International Journal on Software Tools for Technology Transfer</t>
  </si>
  <si>
    <t>International Labor and Working-Class History</t>
  </si>
  <si>
    <t>International Labour Review</t>
  </si>
  <si>
    <t>International maritime health</t>
  </si>
  <si>
    <t>International Marketing Review</t>
  </si>
  <si>
    <t>International Materials Reviews</t>
  </si>
  <si>
    <t>International Mathematics Research Notices</t>
  </si>
  <si>
    <t>International Medical Case Reports Journal</t>
  </si>
  <si>
    <t>International Medical Journal</t>
  </si>
  <si>
    <t>International Medical Journal Malaysia</t>
  </si>
  <si>
    <t>International Microbiology</t>
  </si>
  <si>
    <t>International Migration</t>
  </si>
  <si>
    <t>International Migration Review</t>
  </si>
  <si>
    <t>International MS Journal</t>
  </si>
  <si>
    <t>International Multilingual Research Journal</t>
  </si>
  <si>
    <t>International Musculoskeletal Medicine</t>
  </si>
  <si>
    <t>International Negotiation</t>
  </si>
  <si>
    <t>International Neurourology Journal</t>
  </si>
  <si>
    <t>International Nursing Review</t>
  </si>
  <si>
    <t>International Ophthalmology</t>
  </si>
  <si>
    <t>International Ophthalmology Clinics</t>
  </si>
  <si>
    <t>International Organization</t>
  </si>
  <si>
    <t>International Organizations Law Review</t>
  </si>
  <si>
    <t>International Orthodontics</t>
  </si>
  <si>
    <t>International orthodontics / Collège européen d'orthodontie</t>
  </si>
  <si>
    <t>International Orthopaedics</t>
  </si>
  <si>
    <t>International Peacekeeping</t>
  </si>
  <si>
    <t>International Perspectives on Sexual and Reproductive Health</t>
  </si>
  <si>
    <t>International Petroleum Technology Conference [IPTC] (Bangkok, Thailand, 2/7-9/2012) Proceedings</t>
  </si>
  <si>
    <t>International Planning Studies</t>
  </si>
  <si>
    <t>International Political Science Review</t>
  </si>
  <si>
    <t>International Political Sociology</t>
  </si>
  <si>
    <t>International Politics</t>
  </si>
  <si>
    <t>International Polymer Processing</t>
  </si>
  <si>
    <t>International Polymer Science and Technology</t>
  </si>
  <si>
    <t>International Psychogeriatrics</t>
  </si>
  <si>
    <t>International Public Management Journal</t>
  </si>
  <si>
    <t>International Quarterly of Community Health Education</t>
  </si>
  <si>
    <t>International Regional Science Review</t>
  </si>
  <si>
    <t>International Relations</t>
  </si>
  <si>
    <t>International Relations of the Asia-Pacific</t>
  </si>
  <si>
    <t>International Research in Children's Literature</t>
  </si>
  <si>
    <t>International Research in Geographical and Environmental Education</t>
  </si>
  <si>
    <t>International Research Journal of Finance and Economics</t>
  </si>
  <si>
    <t>International Review for the Sociology of Sport</t>
  </si>
  <si>
    <t>International Review of Administrative Sciences</t>
  </si>
  <si>
    <t>International Review of African American Art</t>
  </si>
  <si>
    <t>International Review of Allergology and Clinical Immunology</t>
  </si>
  <si>
    <t>International Review of Applied Economics</t>
  </si>
  <si>
    <t>International Review of Automatic Control</t>
  </si>
  <si>
    <t>International Review of Cell and Molecular Biology</t>
  </si>
  <si>
    <t>International Review of Economics</t>
  </si>
  <si>
    <t>International Review of Economics and Finance</t>
  </si>
  <si>
    <t>International Review of Education</t>
  </si>
  <si>
    <t>International Review of Electrical Engineering</t>
  </si>
  <si>
    <t>International Review of Environmental and Resource Economics</t>
  </si>
  <si>
    <t>International Review of Finance</t>
  </si>
  <si>
    <t>International Review of Financial Analysis</t>
  </si>
  <si>
    <t>International Review of Hydrobiology</t>
  </si>
  <si>
    <t>International Review of Law and Economics</t>
  </si>
  <si>
    <t>International Review of Law, Computers and Technology</t>
  </si>
  <si>
    <t>International Review of Mechanical Engineering</t>
  </si>
  <si>
    <t>International Review of Mission</t>
  </si>
  <si>
    <t>International Review of Neurobiology</t>
  </si>
  <si>
    <t>International Review of Psychiatry</t>
  </si>
  <si>
    <t>International Review of Public Administration</t>
  </si>
  <si>
    <t>International Review of Research in Developmental Disabilities</t>
  </si>
  <si>
    <t>International Review of Research in Open and Distance Learning</t>
  </si>
  <si>
    <t>International Review of Retail, Distribution and Consumer Research</t>
  </si>
  <si>
    <t>International Review of Social History</t>
  </si>
  <si>
    <t>International Review of Sociology</t>
  </si>
  <si>
    <t>International Review of Sport and Exercise Psychology</t>
  </si>
  <si>
    <t>International Review of the Aesthetics and Sociology of Music</t>
  </si>
  <si>
    <t>International Review of the Red Cross</t>
  </si>
  <si>
    <t>International Review of Victimology</t>
  </si>
  <si>
    <t>International Review on Computers and Software</t>
  </si>
  <si>
    <t>International Review on Modelling and Simulations</t>
  </si>
  <si>
    <t>International Review on Public and Nonprofit Marketing</t>
  </si>
  <si>
    <t>International Reviews in Physical Chemistry</t>
  </si>
  <si>
    <t>International Reviews of Immunology</t>
  </si>
  <si>
    <t>International SAMPE Technical Conference</t>
  </si>
  <si>
    <t>International Security</t>
  </si>
  <si>
    <t>International Shipbuilding Progress</t>
  </si>
  <si>
    <t>International Small Business Journal</t>
  </si>
  <si>
    <t>International Social Science Journal</t>
  </si>
  <si>
    <t>International Social Security Review</t>
  </si>
  <si>
    <t>International Social Work</t>
  </si>
  <si>
    <t>International Sociology</t>
  </si>
  <si>
    <t>International Spectator</t>
  </si>
  <si>
    <t>International SportMed Journal</t>
  </si>
  <si>
    <t>International Statistical Review</t>
  </si>
  <si>
    <t>International Studies</t>
  </si>
  <si>
    <t>International Studies in Catholic Education</t>
  </si>
  <si>
    <t>International Studies in Sociology of Education</t>
  </si>
  <si>
    <t>International Studies in the Philosophy of Science</t>
  </si>
  <si>
    <t>International Studies of Management and Organization</t>
  </si>
  <si>
    <t>International Studies Perspectives</t>
  </si>
  <si>
    <t>International Studies Quarterly</t>
  </si>
  <si>
    <t>International Studies Review</t>
  </si>
  <si>
    <t>International Sugar Journal</t>
  </si>
  <si>
    <t>International Surgery</t>
  </si>
  <si>
    <t>International Symposium on VLSI Technology, Systems, and Applications, Proceedings</t>
  </si>
  <si>
    <t>International Tax and Public Finance</t>
  </si>
  <si>
    <t>International Tinnitus Journal</t>
  </si>
  <si>
    <t>International Trade Journal</t>
  </si>
  <si>
    <t>International Transactions in Operational Research</t>
  </si>
  <si>
    <t>International Urogynecology Journal and Pelvic Floor Dysfunction</t>
  </si>
  <si>
    <t>International Urology and Nephrology</t>
  </si>
  <si>
    <t>International Wood Products Journal</t>
  </si>
  <si>
    <t>International Workshop on Advanced Motion Control, AMC</t>
  </si>
  <si>
    <t>International Wound Journal</t>
  </si>
  <si>
    <t>International Zoo Yearbook</t>
  </si>
  <si>
    <t>Internet and Higher Education</t>
  </si>
  <si>
    <t>Internet Archaeology</t>
  </si>
  <si>
    <t>Internet Electronic Journal of Molecular Design</t>
  </si>
  <si>
    <t>Internet Journal of Cardiology</t>
  </si>
  <si>
    <t>Internet Journal of Cardiovascular Research</t>
  </si>
  <si>
    <t>Internet Journal of Epidemiology</t>
  </si>
  <si>
    <t>Internet Journal of Gynecology and Obstetrics</t>
  </si>
  <si>
    <t>Internet Journal of Hematology</t>
  </si>
  <si>
    <t>Internet Journal of Infectious Diseases</t>
  </si>
  <si>
    <t>Internet Journal of Internal Medicine</t>
  </si>
  <si>
    <t>Internet Journal of Law, Healthcare and Ethics</t>
  </si>
  <si>
    <t>Internet Journal of Mental Health</t>
  </si>
  <si>
    <t>Internet Journal of Microbiology</t>
  </si>
  <si>
    <t>Internet Journal of Neurology</t>
  </si>
  <si>
    <t>Internet Journal of Oncology</t>
  </si>
  <si>
    <t>Internet Journal of Pain, Symptom Control and Palliative Care</t>
  </si>
  <si>
    <t>Internet Journal of Pediatrics and Neonatology</t>
  </si>
  <si>
    <t>Internet Journal of Pharmacology</t>
  </si>
  <si>
    <t>Internet Journal of Toxicology</t>
  </si>
  <si>
    <t>Internet Reference Services Quarterly</t>
  </si>
  <si>
    <t>Internet Research</t>
  </si>
  <si>
    <t>Interni Medicina pro Praxi</t>
  </si>
  <si>
    <t>Internistische Praxis</t>
  </si>
  <si>
    <t>Interpretation</t>
  </si>
  <si>
    <t>Interpretation- Journal of Bible and Theology</t>
  </si>
  <si>
    <t>Interpreter and Translator Trainer, The</t>
  </si>
  <si>
    <t>Interpreting</t>
  </si>
  <si>
    <t>Intersecciones en Antropologia</t>
  </si>
  <si>
    <t>Intersezioni</t>
  </si>
  <si>
    <t>Intervencni a Akutni Kardiologie</t>
  </si>
  <si>
    <t>Interventional Cardiology</t>
  </si>
  <si>
    <t>Interventional Cardiology Clinics</t>
  </si>
  <si>
    <t>Interventional Cardiology (London)</t>
  </si>
  <si>
    <t>Interventional Neuroradiology</t>
  </si>
  <si>
    <t>Intervention in School and Clinic</t>
  </si>
  <si>
    <t>Interventions</t>
  </si>
  <si>
    <t>Intervirology</t>
  </si>
  <si>
    <t>inTRAlinea</t>
  </si>
  <si>
    <t>Invasive Plant Science and Management</t>
  </si>
  <si>
    <t>Inventi Impact MedChem</t>
  </si>
  <si>
    <t>Inventiones Mathematicae</t>
  </si>
  <si>
    <t>Inverse Problems</t>
  </si>
  <si>
    <t>Inverse Problems and Imaging</t>
  </si>
  <si>
    <t>Inverse Problems in Science and Engineering</t>
  </si>
  <si>
    <t>Invertebrate Biology</t>
  </si>
  <si>
    <t>Invertebrate Neuroscience</t>
  </si>
  <si>
    <t>Invertebrate Reproduction and Development</t>
  </si>
  <si>
    <t>Invertebrate Systematics</t>
  </si>
  <si>
    <t>Investigacion Bibliotecologica</t>
  </si>
  <si>
    <t>Investigacion Clinica</t>
  </si>
  <si>
    <t>Investigacion Economica</t>
  </si>
  <si>
    <t>Investigaciones de Historia Economica</t>
  </si>
  <si>
    <t>Investigaciones Europeas de Direccion y Economia de la Empresa</t>
  </si>
  <si>
    <t>Investigaciones Geograficas : Boletin - Instituto de Geografia, Universidad Nacional, Autonoma de Mexico</t>
  </si>
  <si>
    <t>Investigaciones Regionales</t>
  </si>
  <si>
    <t>Investigacion Operacional</t>
  </si>
  <si>
    <t>Investigational New Drugs</t>
  </si>
  <si>
    <t>Investigative Ophthalmology and Visual Science</t>
  </si>
  <si>
    <t>Investigative Radiology</t>
  </si>
  <si>
    <t>Investment Analysts Journal</t>
  </si>
  <si>
    <t>Investment Management and Financial Innovations</t>
  </si>
  <si>
    <t>In Vitro Cellular and Developmental Biology - Animal</t>
  </si>
  <si>
    <t>In Vivo</t>
  </si>
  <si>
    <t>Inzynieria Chemiczna i Procesowa</t>
  </si>
  <si>
    <t>Inzynieria Mineralna</t>
  </si>
  <si>
    <t>Ionics</t>
  </si>
  <si>
    <t>Iowa Law Review</t>
  </si>
  <si>
    <t>Iowa medicine : journal of the Iowa Medical Society</t>
  </si>
  <si>
    <t>Iowa orthopaedic journal, The</t>
  </si>
  <si>
    <t>Iowa State University, Dissertation</t>
  </si>
  <si>
    <t>IPPTA: Quarterly Journal of Indian Pulp and Paper Technical Association</t>
  </si>
  <si>
    <t>IPSJ Online Transactions</t>
  </si>
  <si>
    <t>IPSJ Transactions on Computer Vision and Applications</t>
  </si>
  <si>
    <t>IPSJ Transactions on System LSI Design Methodology</t>
  </si>
  <si>
    <t>IRAL - International Review of Applied Linguistics in Language Teaching</t>
  </si>
  <si>
    <t>Iran and the Caucasus</t>
  </si>
  <si>
    <t>Iranian Biomedical Journal</t>
  </si>
  <si>
    <t>Iranian Cardiovascular Research Journal</t>
  </si>
  <si>
    <t>Iranian Heart Journal</t>
  </si>
  <si>
    <t>Iranian Journal of Allergy, Asthma and Immunology</t>
  </si>
  <si>
    <t>Iranian Journal of Arthropod-Borne Diseases</t>
  </si>
  <si>
    <t>Iranian Journal of Basic Medical Sciences</t>
  </si>
  <si>
    <t>Iranian Journal of Biotechnology</t>
  </si>
  <si>
    <t>Iranian Journal of Cancer Prevention</t>
  </si>
  <si>
    <t>Iranian Journal of Chemistry and Chemical Engineering</t>
  </si>
  <si>
    <t>Iranian Journal of Child Neurology</t>
  </si>
  <si>
    <t>Iranian Journal of Clinical Infectious Diseases</t>
  </si>
  <si>
    <t>Iranian Journal of Dermatology</t>
  </si>
  <si>
    <t>Iranian Journal of Diabetes and Lipid Disorders</t>
  </si>
  <si>
    <t>Iranian Journal of Electrical and Computer Engineering</t>
  </si>
  <si>
    <t>Iranian Journal of Electrical and Electronic Engineering</t>
  </si>
  <si>
    <t>Iranian Journal of Endocrinology and Metabolism</t>
  </si>
  <si>
    <t>Iranian Journal of Environmental Health Science and Engineering</t>
  </si>
  <si>
    <t>Iranian Journal of Epidemiology</t>
  </si>
  <si>
    <t>Iranian Journal of Fuzzy Systems</t>
  </si>
  <si>
    <t>Iranian Journal of Immunology</t>
  </si>
  <si>
    <t>Iranian journal of immunology : IJI</t>
  </si>
  <si>
    <t>Iranian Journal of Information Processing Management</t>
  </si>
  <si>
    <t>Iranian Journal of Kidney Diseases</t>
  </si>
  <si>
    <t>Iranian Journal of Materials Science and Engineering</t>
  </si>
  <si>
    <t>Iranian Journal of Mathematical Sciences and Informatics</t>
  </si>
  <si>
    <t>Iranian Journal of Medical Physics</t>
  </si>
  <si>
    <t>Iranian Journal of Medical Sciences</t>
  </si>
  <si>
    <t>Iranian Journal of Microbiology</t>
  </si>
  <si>
    <t>Iranian Journal of Nuclear Medicine</t>
  </si>
  <si>
    <t>Iranian Journal of Obstetrics, Gynecology and Infertility</t>
  </si>
  <si>
    <t>Iranian Journal of Ophthalmology</t>
  </si>
  <si>
    <t>Iranian Journal of Otorhinolaryngology</t>
  </si>
  <si>
    <t>Iranian Journal of Parasitology</t>
  </si>
  <si>
    <t>Iranian Journal of Pathology</t>
  </si>
  <si>
    <t>Iranian Journal of Pediatrics</t>
  </si>
  <si>
    <t>Iranian Journal of Pharmaceutical Research</t>
  </si>
  <si>
    <t>Iranian Journal of Pharmaceutical Sciences</t>
  </si>
  <si>
    <t>Iranian Journal of Pharmacology and Therapeutics</t>
  </si>
  <si>
    <t>Iranian Journal of Psychiatry</t>
  </si>
  <si>
    <t>Iranian Journal of Psychiatry and Behavioral Sciences</t>
  </si>
  <si>
    <t>Iranian Journal of Public Health</t>
  </si>
  <si>
    <t>Iranian Journal of Radiation Research</t>
  </si>
  <si>
    <t>Iranian Journal of Radiology</t>
  </si>
  <si>
    <t>Iranian Journal of Reproductive Medicine</t>
  </si>
  <si>
    <t>Iranian Journal of Science and Technology, Transaction A: Science</t>
  </si>
  <si>
    <t>Iranian Journal of Science and Technology, Transaction B: Engineering</t>
  </si>
  <si>
    <t>Iranian Journal of Science and Technology - Transactions of Civil Engineering</t>
  </si>
  <si>
    <t>Iranian Journal of Science and Technology - Transactions of Electrical Engineering</t>
  </si>
  <si>
    <t>Iranian Journal of Science and Technology - Transactions of Mechanical Engineering</t>
  </si>
  <si>
    <t>Iranian Journal of Veterinary Research</t>
  </si>
  <si>
    <t>Iranian Polymer Journal (English Edition)</t>
  </si>
  <si>
    <t>Iranian Red Crescent Medical Journal</t>
  </si>
  <si>
    <t>Iranian Studies</t>
  </si>
  <si>
    <t>Iranica Antiqua</t>
  </si>
  <si>
    <t>Iran Occupational Health</t>
  </si>
  <si>
    <t>Iraqi Journal of Veterinary Sciences</t>
  </si>
  <si>
    <t>IRB</t>
  </si>
  <si>
    <t>IRBM</t>
  </si>
  <si>
    <t>IRBM News</t>
  </si>
  <si>
    <t>Iride</t>
  </si>
  <si>
    <t>Iris</t>
  </si>
  <si>
    <t>Irish Economic and Social History</t>
  </si>
  <si>
    <t>Irish Educational Studies</t>
  </si>
  <si>
    <t>Irish Geography</t>
  </si>
  <si>
    <t>Irish Historical Studies</t>
  </si>
  <si>
    <t>Irish Journal of Agricultural and Food Research</t>
  </si>
  <si>
    <t>Irish Journal of Earth Sciences</t>
  </si>
  <si>
    <t>Irish Journal of Medical Science</t>
  </si>
  <si>
    <t>Irish Journal of Psychological Medicine</t>
  </si>
  <si>
    <t>Irish Journal of Psychology</t>
  </si>
  <si>
    <t>Irish Medical Journal</t>
  </si>
  <si>
    <t>Irish Political Studies</t>
  </si>
  <si>
    <t>Irish Studies in International Affairs</t>
  </si>
  <si>
    <t>Irish Studies Review</t>
  </si>
  <si>
    <t>Irish Theological Quarterly</t>
  </si>
  <si>
    <t>Irish University Review</t>
  </si>
  <si>
    <t>Irish Veterinary Journal</t>
  </si>
  <si>
    <t>Iron and Steel Technology</t>
  </si>
  <si>
    <t>Ironmaking and Steelmaking</t>
  </si>
  <si>
    <t>IRRIGA</t>
  </si>
  <si>
    <t>Irrigation and Drainage</t>
  </si>
  <si>
    <t>Irrigation and Drainage Systems</t>
  </si>
  <si>
    <t>Irrigation Science</t>
  </si>
  <si>
    <t>IRYO - Japanese Journal of National Medical Services</t>
  </si>
  <si>
    <t>ISA Transactions</t>
  </si>
  <si>
    <t>Isegoria</t>
  </si>
  <si>
    <t>Isi Bilimi Ve Teknigi Dergisi/ Journal of Thermal Science and Technology</t>
  </si>
  <si>
    <t>ISIJ International</t>
  </si>
  <si>
    <t>Isis</t>
  </si>
  <si>
    <t>Islam and Christian-Muslim Relations</t>
  </si>
  <si>
    <t>Islamic Law and Society</t>
  </si>
  <si>
    <t>Islam - Zeitschrift fur Geschichte und Kultur des Islamischen Orients</t>
  </si>
  <si>
    <t>Island Arc</t>
  </si>
  <si>
    <t>Island Studies Journal</t>
  </si>
  <si>
    <t>ISLE Interdisciplinary Studies in Literature and Environment</t>
  </si>
  <si>
    <t>Islets</t>
  </si>
  <si>
    <t>ISME Journal</t>
  </si>
  <si>
    <t>Isokinetics and Exercise Science</t>
  </si>
  <si>
    <t>Isotopes in Environmental and Health Studies</t>
  </si>
  <si>
    <t>ISPRS Journal of Photogrammetry and Remote Sensing</t>
  </si>
  <si>
    <t>Israel Affairs</t>
  </si>
  <si>
    <t>Israel Economic Review</t>
  </si>
  <si>
    <t>Israel Exploration Journal</t>
  </si>
  <si>
    <t>Israeli Journal of Aquaculture - Bamidgeh</t>
  </si>
  <si>
    <t>Israel Journal of Chemistry</t>
  </si>
  <si>
    <t>Israel Journal of Ecology and Evolution</t>
  </si>
  <si>
    <t>Israel Journal of Mathematics</t>
  </si>
  <si>
    <t>Israel Journal of Plant Sciences</t>
  </si>
  <si>
    <t>Israel Journal of Psychiatry and Related Sciences</t>
  </si>
  <si>
    <t>Israel Journal of Veterinary Medicine</t>
  </si>
  <si>
    <t>Israel Medical Association Journal</t>
  </si>
  <si>
    <t>Issue brief (Center for Studying Health System Change)</t>
  </si>
  <si>
    <t>Issue brief (Commonwealth Fund)</t>
  </si>
  <si>
    <t>Issue brief (George Washington University. National Health Policy Forum)</t>
  </si>
  <si>
    <t>Issue brief (Grantmakers in Health)</t>
  </si>
  <si>
    <t>Issue brief (Health Policy Tracking Service)</t>
  </si>
  <si>
    <t>Issue brief (Massachusetts Health Policy Forum)</t>
  </si>
  <si>
    <t>Issues and Studies</t>
  </si>
  <si>
    <t>Issues in Accounting Education</t>
  </si>
  <si>
    <t>Issues in brief (Alan Guttmacher Institute)</t>
  </si>
  <si>
    <t>Issues in Comprehensive Pediatric Nursing</t>
  </si>
  <si>
    <t>Issues in Ecology</t>
  </si>
  <si>
    <t>Issues in Educational Research</t>
  </si>
  <si>
    <t>Issues in Environmental Science and Technology</t>
  </si>
  <si>
    <t>Issues in Law and Medicine</t>
  </si>
  <si>
    <t>Issues in Legal Scholarship</t>
  </si>
  <si>
    <t>Issues in Mental Health Nursing</t>
  </si>
  <si>
    <t>Issues in Science and Technology</t>
  </si>
  <si>
    <t>Issues in Science and Technology Librarianship</t>
  </si>
  <si>
    <t>Istanbul Universitesi Veteriner Fakultesi Dergisi</t>
  </si>
  <si>
    <t>Istanbul University - Journal of Electrical and Electronics Engineering</t>
  </si>
  <si>
    <t>Istrazivanja i Projektovanja za Privredu</t>
  </si>
  <si>
    <t>Italianistica</t>
  </si>
  <si>
    <t>Italian Journal of Agronomy</t>
  </si>
  <si>
    <t>Italian Journal of Allergy and Clinical Immunology</t>
  </si>
  <si>
    <t>Italian Journal of Anatomy and Embryology</t>
  </si>
  <si>
    <t>Italian Journal of Animal Science</t>
  </si>
  <si>
    <t>Italian Journal of Engineering Geology and Environment</t>
  </si>
  <si>
    <t>Italian Journal of Food Science</t>
  </si>
  <si>
    <t>Italian Journal of Gynaecology and Obstetrics</t>
  </si>
  <si>
    <t>Italian Journal of Medicine</t>
  </si>
  <si>
    <t>Italian Journal of Pediatrics</t>
  </si>
  <si>
    <t>Italian Journal of Public Health</t>
  </si>
  <si>
    <t>Italian Journal of Pure and Applied Mathematics</t>
  </si>
  <si>
    <t>Italian Journal of Vascular and Endovascular Surgery</t>
  </si>
  <si>
    <t>Italian Journal of Zoology</t>
  </si>
  <si>
    <t>Italian Oral Surgery</t>
  </si>
  <si>
    <t>Italian Studies</t>
  </si>
  <si>
    <t>ITALICS Innovations in Teaching and Learning in Information and Computer Sciences</t>
  </si>
  <si>
    <t>ITB Journal of Engineering Science</t>
  </si>
  <si>
    <t>ITB Journal of Information and Communication Technology</t>
  </si>
  <si>
    <t>ITB Journal of Science</t>
  </si>
  <si>
    <t>ITEA Informacion Tecnica Economica Agraria</t>
  </si>
  <si>
    <t>ITE Journal (Institute of Transportation Engineers)</t>
  </si>
  <si>
    <t>Itinerario</t>
  </si>
  <si>
    <t>ITL - International Journal of Applied Linguistics (Belgium)</t>
  </si>
  <si>
    <t>IT Professional</t>
  </si>
  <si>
    <t>IUBMB Life</t>
  </si>
  <si>
    <t>IUP Journal of Commonwealth Literature</t>
  </si>
  <si>
    <t>IUP Journal of English Studies</t>
  </si>
  <si>
    <t>IUP Journal of History and Culture</t>
  </si>
  <si>
    <t>Ius et Praxis</t>
  </si>
  <si>
    <t>IWMI Research Report</t>
  </si>
  <si>
    <t>IWMI Working Papers</t>
  </si>
  <si>
    <t>Izvestiia Akademii nauk. Seriia biologicheskaia / Rossiiskaia akademiia nauk</t>
  </si>
  <si>
    <t>Izvestiya Akademii Nauk, Seriya Geograficheskaya</t>
  </si>
  <si>
    <t>Izvestiya - Atmospheric and Oceanic Physics</t>
  </si>
  <si>
    <t>Izvestiya. Mathematics</t>
  </si>
  <si>
    <t>Izvestiya - Physics of the Solid Earth</t>
  </si>
  <si>
    <t>JAAPA : official journal of the American Academy of Physician Assistants</t>
  </si>
  <si>
    <t>JAC: A Journal of Composition Theory</t>
  </si>
  <si>
    <t>JACC: Cardiovascular Imaging</t>
  </si>
  <si>
    <t>JACC: Cardiovascular Interventions</t>
  </si>
  <si>
    <t>JACR Journal of the American College of Radiology</t>
  </si>
  <si>
    <t>Jaen Journal on Approximation</t>
  </si>
  <si>
    <t>Jahrbuch der Osterreichischen Byzantinistik</t>
  </si>
  <si>
    <t>Jahrbucher fur Geschichte Osteuropas</t>
  </si>
  <si>
    <t>Jahrbucher fur Nationalokonomie und Statistik</t>
  </si>
  <si>
    <t>Jahrbuch fur Internationale Germanistik</t>
  </si>
  <si>
    <t>Jahrbuch fur Regionalgeschichte</t>
  </si>
  <si>
    <t>Jahrbuch fur Regional Wissenschaft</t>
  </si>
  <si>
    <t>Jahrbuch fur Wirtschaftsgeschichte</t>
  </si>
  <si>
    <t>JAMA - Journal of the American Medical Association</t>
  </si>
  <si>
    <t>James Joyce Quarterly</t>
  </si>
  <si>
    <t>JAMS Journal of Acupuncture and Meridian Studies</t>
  </si>
  <si>
    <t>JAOCS, Journal of the American Oil Chemists' Society</t>
  </si>
  <si>
    <t>Japan Agricultural Research Quarterly</t>
  </si>
  <si>
    <t>Japan and the World Economy</t>
  </si>
  <si>
    <t>Japanese Dental Science Review</t>
  </si>
  <si>
    <t>Japanese Economic Review</t>
  </si>
  <si>
    <t>Japanese Journal of Aerospace and Environmental Medicine</t>
  </si>
  <si>
    <t>Japanese Journal of Alcohol Studies and Drug Dependence</t>
  </si>
  <si>
    <t>Japanese Journal of Allergology</t>
  </si>
  <si>
    <t>Japanese Journal of Anesthesiology</t>
  </si>
  <si>
    <t>Japanese Journal of Antibiotics</t>
  </si>
  <si>
    <t>Japanese Journal of Applied Entomology and Zoology</t>
  </si>
  <si>
    <t>Japanese Journal of Applied Physics</t>
  </si>
  <si>
    <t>Japanese Journal of Bacteriology</t>
  </si>
  <si>
    <t>Japanese Journal of Cancer and Chemotherapy</t>
  </si>
  <si>
    <t>Japanese Journal of Chemotherapy</t>
  </si>
  <si>
    <t>Japanese Journal of Chest Diseases</t>
  </si>
  <si>
    <t>Japanese Journal of Clinical Chemistry</t>
  </si>
  <si>
    <t>Japanese Journal of Clinical Oncology</t>
  </si>
  <si>
    <t>Japanese Journal of Clinical Ophthalmology</t>
  </si>
  <si>
    <t>Japanese Journal of Clinical Pharmacology and Therapeutics</t>
  </si>
  <si>
    <t>Japanese Journal of Clinical Radiology</t>
  </si>
  <si>
    <t>Japanese Journal of Clinical Urology</t>
  </si>
  <si>
    <t>Japanese Journal of Conservation Ecology</t>
  </si>
  <si>
    <t>Japanese Journal of Crop Science</t>
  </si>
  <si>
    <t>Japanese Journal of Ecology</t>
  </si>
  <si>
    <t>Japanese Journal of Educational Psychology</t>
  </si>
  <si>
    <t>Japanese Journal of Gastroenterological Surgery</t>
  </si>
  <si>
    <t>Japanese Journal of Gastroenterology</t>
  </si>
  <si>
    <t>Japanese Journal of Geriatrics</t>
  </si>
  <si>
    <t>Japanese Journal of Head and Neck Cancer</t>
  </si>
  <si>
    <t>Japanese Journal of Hygiene</t>
  </si>
  <si>
    <t>Japanese Journal of Infectious Diseases</t>
  </si>
  <si>
    <t>Japanese Journal of Legal Medicine</t>
  </si>
  <si>
    <t>Japanese Journal of Leprosy</t>
  </si>
  <si>
    <t>Japanese Journal of Limnnology</t>
  </si>
  <si>
    <t>Japanese Journal of Lung Cancer</t>
  </si>
  <si>
    <t>Japanese Journal of Mathematics</t>
  </si>
  <si>
    <t>Japanese Journal of Medical Mycology</t>
  </si>
  <si>
    <t>Japanese Journal of Nephrology</t>
  </si>
  <si>
    <t>Japanese Journal of Neuropsychopharmacology</t>
  </si>
  <si>
    <t>Japanese Journal of Neurosurgery</t>
  </si>
  <si>
    <t>Japanese Journal of Ophthalmology</t>
  </si>
  <si>
    <t>Japanese Journal of Physical Fitness and Sports Medicine</t>
  </si>
  <si>
    <t>Japanese Journal of Plastic and Reconstructive Surgery</t>
  </si>
  <si>
    <t>Japanese Journal of Political Science</t>
  </si>
  <si>
    <t>Japanese Journal of Psychopharmacology</t>
  </si>
  <si>
    <t>Japanese Journal of Radiology</t>
  </si>
  <si>
    <t>Japanese Journal of Religious Studies</t>
  </si>
  <si>
    <t>Japanese Journal of Thoracic Surgery</t>
  </si>
  <si>
    <t>Japanese Journal of Urology</t>
  </si>
  <si>
    <t>Japanese Journal of Veterinary Research</t>
  </si>
  <si>
    <t>Japanese Magazine of Mineralogical and Petrological Sciences</t>
  </si>
  <si>
    <t>Japanese Pharmacology and Therapeutics</t>
  </si>
  <si>
    <t>Japanese Psychological Research</t>
  </si>
  <si>
    <t>Japanese Railway Engineering</t>
  </si>
  <si>
    <t>Japanese Studies</t>
  </si>
  <si>
    <t>Japan Forum</t>
  </si>
  <si>
    <t>Japan-hospitals : the journal of the Japan Hospital Association</t>
  </si>
  <si>
    <t>Japan Journal of Food Engineering</t>
  </si>
  <si>
    <t>Japan Journal of Industrial and Applied Mathematics</t>
  </si>
  <si>
    <t>Japan Journal of Logopedics and Phoniatrics</t>
  </si>
  <si>
    <t>Japan Journal of Nursing Science</t>
  </si>
  <si>
    <t>Japan Medical Association Journal</t>
  </si>
  <si>
    <t>JARO - Journal of the Association for Research in Otolaryngology</t>
  </si>
  <si>
    <t>JASSA</t>
  </si>
  <si>
    <t>JAVA - Journal of the Association for Vascular Access</t>
  </si>
  <si>
    <t>Javnost</t>
  </si>
  <si>
    <t>Jazykovedny Casopis</t>
  </si>
  <si>
    <t>Jazz Perspectives</t>
  </si>
  <si>
    <t>JBIS. Journal of the British Interplanetary Society</t>
  </si>
  <si>
    <t>JBR-BTR : organe de la Societe royale belge de radiologie (SRBR) = orgaan van de Koninklijke Belgische Vereniging voor Radiologie (KBVR)</t>
  </si>
  <si>
    <t>JCRPE Journal of Clinical Research in Pediatric Endocrinology</t>
  </si>
  <si>
    <t>JCT CoatingsTech</t>
  </si>
  <si>
    <t>JDDG - Journal of the German Society of Dermatology</t>
  </si>
  <si>
    <t>Jeoloji Muhendisligi Dergisi</t>
  </si>
  <si>
    <t>JETP Letters</t>
  </si>
  <si>
    <t>Jewish History</t>
  </si>
  <si>
    <t>Jewish Quarterly Review, The</t>
  </si>
  <si>
    <t>Jezikoslovlje</t>
  </si>
  <si>
    <t>Jezyk Polski</t>
  </si>
  <si>
    <t>JFE Technical Report</t>
  </si>
  <si>
    <t>Jiangsu Daxue Xuebao (Ziran Kexue Ban) / Journal of Jiangsu University (Natural Science Edition)</t>
  </si>
  <si>
    <t>Jianzhu Cailiao Xuebao/Journal of Building Materials</t>
  </si>
  <si>
    <t>Jianzhu Jiegou Xuebao/Journal of Building Structures</t>
  </si>
  <si>
    <t>Jiaotong Yunshu Xitong Gongcheng Yu Xinxi/Journal of Transportation Systems Engineering and Information Technology</t>
  </si>
  <si>
    <t>Jiefangjun Ligong Daxue Xuebao/Journal of PLA University of Science and Technology (Natural Science Edition)</t>
  </si>
  <si>
    <t>Jiegou Huaxue</t>
  </si>
  <si>
    <t>Jiliang Xuebao/Acta Metrologica Sinica</t>
  </si>
  <si>
    <t>Jilin Daxue Xuebao (Diqiu Kexue Ban)/Journal of Jilin University (Earth Science Edition)</t>
  </si>
  <si>
    <t>Jilin Daxue Xuebao (Gongxueban)/Journal of Jilin University (Engineering and Technology Edition)</t>
  </si>
  <si>
    <t>Jimburn Chiri/Human Geography, Kyoto</t>
  </si>
  <si>
    <t>Jingangshi yu Moliao Moju Gongcheng/Diamond and Abrasives Engineering</t>
  </si>
  <si>
    <t>Jinshu Rechuli/Heat Treatment of Metals</t>
  </si>
  <si>
    <t>Jinshu Xuebao/Acta Metallurgica Sinica</t>
  </si>
  <si>
    <t>Jiqiren/Robot</t>
  </si>
  <si>
    <t>Jisuanji Fuzhu Sheji Yu Tuxingxue Xuebao/Journal of Computer-Aided Design and Computer Graphics</t>
  </si>
  <si>
    <t>Jisuanji Jicheng Zhizao Xitong/Computer Integrated Manufacturing Systems, CIMS</t>
  </si>
  <si>
    <t>Jisuanji Xuebao/Chinese Journal of Computers</t>
  </si>
  <si>
    <t>Jisuanji Yanjiu yu Fazhan/Computer Research and Development</t>
  </si>
  <si>
    <t>Jisuan Lixue Xuebao/Chinese Journal of Computational Mechanics</t>
  </si>
  <si>
    <t>Jisuan Wuli/Chinese Journal of Computational Physics</t>
  </si>
  <si>
    <t>Jixie Gongcheng Xuebao/Journal of Mechanical Engineering</t>
  </si>
  <si>
    <t>Jixie Qiangdu/Journal of Mechanical Strength</t>
  </si>
  <si>
    <t>JK Practitioner</t>
  </si>
  <si>
    <t>JK Science</t>
  </si>
  <si>
    <t>JMM International Journal on Media Management</t>
  </si>
  <si>
    <t>JMS - Journal of Medical Society</t>
  </si>
  <si>
    <t>JNMM, Journal of the Institute of Nuclear Materials Management</t>
  </si>
  <si>
    <t>JNT-Journal of Narrative Theory</t>
  </si>
  <si>
    <t>Joannea - Geologie und Palaontologie</t>
  </si>
  <si>
    <t>JOGNN - Journal of Obstetric, Gynecologic, and Neonatal Nursing</t>
  </si>
  <si>
    <t>Johns Hopkins Advanced Studies in Ophthalmology</t>
  </si>
  <si>
    <t>Johns Hopkins APL Technical Digest (Applied Physics Laboratory)</t>
  </si>
  <si>
    <t>Johns Hopkins medical letter health after 50, The</t>
  </si>
  <si>
    <t>Joint Bone Spine</t>
  </si>
  <si>
    <t>Joint Commission Journal on Quality and Patient Safety</t>
  </si>
  <si>
    <t>Joint Commission perspectives. Joint Commission on Accreditation of Healthcare Organizations</t>
  </si>
  <si>
    <t>Joint Commission Perspectives on Patient Safety</t>
  </si>
  <si>
    <t>Joint Commission: The Source</t>
  </si>
  <si>
    <t>JOM</t>
  </si>
  <si>
    <t>JONA's Healthcare Law, Ethics, and Regulation</t>
  </si>
  <si>
    <t>Jordan Journal of Mechanical and Industrial Engineering</t>
  </si>
  <si>
    <t>Jordan Journal of Pharmaceutical Sciences</t>
  </si>
  <si>
    <t>Jordan Medical Journal</t>
  </si>
  <si>
    <t>Jornal brasileiro de nefrologia : orgão oficial de Sociedades Brasileira e Latino-Americana de Nefrologia</t>
  </si>
  <si>
    <t>Jornal Brasileiro de Patologia e Medicina Laboratorial</t>
  </si>
  <si>
    <t>Jornal Brasileiro de Pneumologia</t>
  </si>
  <si>
    <t>Jornal Brasileiro de Psiquiatria</t>
  </si>
  <si>
    <t>Jornal Brasileiro de Reproducao Assistida</t>
  </si>
  <si>
    <t>Jornal da Sociedade Brasileira de Fonoaudiologia</t>
  </si>
  <si>
    <t>Jornal de Pediatria</t>
  </si>
  <si>
    <t>Jornal Vascular Brasileiro</t>
  </si>
  <si>
    <t>Journal Africain d'Hepato-Gastroenterologie</t>
  </si>
  <si>
    <t>Journal Africain du Cancer</t>
  </si>
  <si>
    <t>Journal Asiatique</t>
  </si>
  <si>
    <t>Journal d'Analyse Mathematique</t>
  </si>
  <si>
    <t>Journal de Chirurgie Viscerale</t>
  </si>
  <si>
    <t>Journal d'Economie Medicale</t>
  </si>
  <si>
    <t>Journal de Gynecologie Obstetrique et Biologie de la Reproduction</t>
  </si>
  <si>
    <t>Journal de Medecine Legale Droit Medical</t>
  </si>
  <si>
    <t>Journal de Mycologie Medicale</t>
  </si>
  <si>
    <t>Journal de Pediatrie et de Puericulture</t>
  </si>
  <si>
    <t>Journal de Pharmacie Clinique</t>
  </si>
  <si>
    <t>Journal de Pharmacie de Belgique</t>
  </si>
  <si>
    <t>Journal de Radiologie</t>
  </si>
  <si>
    <t>Journal de Readaptation Medicale</t>
  </si>
  <si>
    <t>Journal des Anti-Infectieux</t>
  </si>
  <si>
    <t>Journal des Maladies Vasculaires</t>
  </si>
  <si>
    <t>Journal des Mathematiques Pures et Appliquees</t>
  </si>
  <si>
    <t>Journal des Professionnels de l'Enfance</t>
  </si>
  <si>
    <t>Journal de Theorie des Nombres de Bordeaux</t>
  </si>
  <si>
    <t>Journal de Therapie Comportementale et Cognitive</t>
  </si>
  <si>
    <t>Journal de Traumatologie du Sport</t>
  </si>
  <si>
    <t>Journal Europeen des Systemes Automatises</t>
  </si>
  <si>
    <t>Journal Europeen des Urgences et de Reanimation</t>
  </si>
  <si>
    <t>Journal Europeen d'Hydrologie</t>
  </si>
  <si>
    <t>Journal for Cultural Research</t>
  </si>
  <si>
    <t>Journal for East European Management Studies</t>
  </si>
  <si>
    <t>Journal for General Philosophy of Science</t>
  </si>
  <si>
    <t>Journal for Geometry and Graphics</t>
  </si>
  <si>
    <t>Journal for Global Business Advancement</t>
  </si>
  <si>
    <t>Journal for healthcare quality : official publication of the National Association for Healthcare Quality</t>
  </si>
  <si>
    <t>Journal for Nature Conservation</t>
  </si>
  <si>
    <t>Journal for Nurse Practitioners</t>
  </si>
  <si>
    <t>Journal for Nurses in Staff Development</t>
  </si>
  <si>
    <t>Journal for Research in Mathematics Education</t>
  </si>
  <si>
    <t>Journal for Specialists in Group Work</t>
  </si>
  <si>
    <t>Journal for Specialists in Pediatric Nursing</t>
  </si>
  <si>
    <t>Journal for Studies in Economics and Econometrics</t>
  </si>
  <si>
    <t>Journal for the Education of the Gifted</t>
  </si>
  <si>
    <t>Journal for the History of Astronomy</t>
  </si>
  <si>
    <t>Journal for the History of Modern Theology</t>
  </si>
  <si>
    <t>Journal for the Liberal Arts and Sciences</t>
  </si>
  <si>
    <t>Journal for the Scientific Study of Religion</t>
  </si>
  <si>
    <t>Journal for the Study of Judaism</t>
  </si>
  <si>
    <t>Journal for the Study of Radicalism</t>
  </si>
  <si>
    <t>Journal for the Study of Religions and Ideologies</t>
  </si>
  <si>
    <t>Journal for the Study of the Historical Jesus</t>
  </si>
  <si>
    <t>Journal for the Study of the New Testament</t>
  </si>
  <si>
    <t>Journal for the Study of the Old Testament</t>
  </si>
  <si>
    <t>Journal for the Study of the Pseudepigrapha</t>
  </si>
  <si>
    <t>Journal for the Theory of Social Behaviour</t>
  </si>
  <si>
    <t>Journal for Vascular Ultrasound</t>
  </si>
  <si>
    <t>Journal for Weavers, Spinners and Dyers</t>
  </si>
  <si>
    <t>Journal Francais d'Ophtalmologie</t>
  </si>
  <si>
    <t>Journal fuer Gastroenterologische und Hepatologische Erkrankungen</t>
  </si>
  <si>
    <t>Journal fur Anasthesie und Intensivbehandlung</t>
  </si>
  <si>
    <t>Journal fuÌˆr AÌˆsthetische Chirurgie</t>
  </si>
  <si>
    <t>Journal fur Betriebswirtschaft</t>
  </si>
  <si>
    <t>Journal fur die Reine und Angewandte Mathematik</t>
  </si>
  <si>
    <t>Journal fur Enkwicklungspolitik</t>
  </si>
  <si>
    <t>Journal fur Ernahrungsmedizin</t>
  </si>
  <si>
    <t>Journal fur Gynakologische Endokrinologie</t>
  </si>
  <si>
    <t>Journal fur Hypertonie</t>
  </si>
  <si>
    <t>Journal fur Kardiologie</t>
  </si>
  <si>
    <t>Journal fuÌˆr Mathematik-Didaktik</t>
  </si>
  <si>
    <t>Journal fur Mineralstoffwechsel</t>
  </si>
  <si>
    <t>Journal fur Neurologie, Neurochirurgie und Psychiatrie</t>
  </si>
  <si>
    <t>Journal fur Ornithologie</t>
  </si>
  <si>
    <t>Journal fur Pharmakologie und Therapie</t>
  </si>
  <si>
    <t>Journal fur Reproduktionsmedizin und Endokrinologie</t>
  </si>
  <si>
    <t>Journal fur Urologie und Urogynakologie</t>
  </si>
  <si>
    <t>Journal fur Verbraucherschutz und Lebensmittelsicherheit</t>
  </si>
  <si>
    <t>Journal in Computer Virology</t>
  </si>
  <si>
    <t>Journal, Indian Academy of Clinical Medicine</t>
  </si>
  <si>
    <t>Journal International de Bioethique</t>
  </si>
  <si>
    <t>Journal International des Sciences de la Vigne et du Vin</t>
  </si>
  <si>
    <t>Journal International Medical Sciences Academy</t>
  </si>
  <si>
    <t>Journalism</t>
  </si>
  <si>
    <t>Journalism and Mass Communication Quarterly</t>
  </si>
  <si>
    <t>Journalism Studies</t>
  </si>
  <si>
    <t>Journal Medical Libanais</t>
  </si>
  <si>
    <t>Lebanon</t>
  </si>
  <si>
    <t>Journal of AAPOS</t>
  </si>
  <si>
    <t>Journal of Abnormal Child Psychology</t>
  </si>
  <si>
    <t>Journal of Abnormal Psychology</t>
  </si>
  <si>
    <t>Journal of Academic Ethics</t>
  </si>
  <si>
    <t>Journal of Academic Librarianship</t>
  </si>
  <si>
    <t>Journal of Access Services</t>
  </si>
  <si>
    <t>Journal of Accounting and Economics</t>
  </si>
  <si>
    <t>Journal of Accounting and Organizational Change</t>
  </si>
  <si>
    <t>Journal of Accounting and Public Policy</t>
  </si>
  <si>
    <t>Journal of Accounting, Auditing and Finance</t>
  </si>
  <si>
    <t>Journal of Accounting Education</t>
  </si>
  <si>
    <t>Journal of Accounting Research</t>
  </si>
  <si>
    <t>Journal of Acquired Immune Deficiency Syndromes</t>
  </si>
  <si>
    <t>Journal of Acupuncture and Tuina Science</t>
  </si>
  <si>
    <t>Journal of Acute Medicine</t>
  </si>
  <si>
    <t>Journal of Addiction Medicine</t>
  </si>
  <si>
    <t>Journal of Addictions and Offender Counseling</t>
  </si>
  <si>
    <t>Journal of Addictions Nursing</t>
  </si>
  <si>
    <t>Journal of Addictive Diseases</t>
  </si>
  <si>
    <t>Journal of Adhesion</t>
  </si>
  <si>
    <t>Journal of Adhesion Science and Technology</t>
  </si>
  <si>
    <t>Journal of Adhesive Dentistry</t>
  </si>
  <si>
    <t>Journal of Adolescence</t>
  </si>
  <si>
    <t>Journal of Adolescent and Adult Literacy</t>
  </si>
  <si>
    <t>Journal of Adolescent Health</t>
  </si>
  <si>
    <t>Journal of Adolescent Research</t>
  </si>
  <si>
    <t>Journal of Adult Development</t>
  </si>
  <si>
    <t>Journal of Adult Protection, The</t>
  </si>
  <si>
    <t>Journal of Advanced Computational Intelligence and Intelligent Informatics</t>
  </si>
  <si>
    <t>Journal of Advanced Concrete Technology</t>
  </si>
  <si>
    <t>Journal of Advanced Manufacturing Systems</t>
  </si>
  <si>
    <t>Journal of Advanced Materials</t>
  </si>
  <si>
    <t>Journal of Advanced Microscopy Research</t>
  </si>
  <si>
    <t>Journal of Advanced Nursing</t>
  </si>
  <si>
    <t>Journal of Advanced Oxidation Technologies</t>
  </si>
  <si>
    <t>Journal of Advanced Research</t>
  </si>
  <si>
    <t>Journal of Advanced Research in Dynamical and Control Systems</t>
  </si>
  <si>
    <t>Journal of Advanced Transportation</t>
  </si>
  <si>
    <t>Journal of Advanced Zoology</t>
  </si>
  <si>
    <t>Journal of Advances in Modeling Earth Systems</t>
  </si>
  <si>
    <t>Journal of Adventure Education and Outdoor Learning</t>
  </si>
  <si>
    <t>Journal of Advertising</t>
  </si>
  <si>
    <t>Journal of Advertising Research</t>
  </si>
  <si>
    <t>Journal of Aeronautics, Astronautics and Aviation, Series A</t>
  </si>
  <si>
    <t>Journal of Aerosol Medicine and Pulmonary Drug Delivery</t>
  </si>
  <si>
    <t>Journal of Aerosol Science</t>
  </si>
  <si>
    <t>Journal of Aerospace Computing, Information and Communication</t>
  </si>
  <si>
    <t>Journal of Aerospace Engineering</t>
  </si>
  <si>
    <t>Journal of Aerospace Engineering, Sciences and Applications</t>
  </si>
  <si>
    <t>Journal of Aerospace Technology and Management</t>
  </si>
  <si>
    <t>Journal of Aesthetic Education</t>
  </si>
  <si>
    <t>Journal of Aesthetics and Art Criticism</t>
  </si>
  <si>
    <t>Journal of Aesthetics and Culture</t>
  </si>
  <si>
    <t>Journal of Affective Disorders</t>
  </si>
  <si>
    <t>Journal of African American Studies</t>
  </si>
  <si>
    <t>Journal of African Archaeology</t>
  </si>
  <si>
    <t>Journal of African Business</t>
  </si>
  <si>
    <t>Journal of African Cultural Studies</t>
  </si>
  <si>
    <t>Journal of African Earth Sciences</t>
  </si>
  <si>
    <t>Journal of African Economies</t>
  </si>
  <si>
    <t>Journal of African History</t>
  </si>
  <si>
    <t>Journal of African Languages and Linguistics</t>
  </si>
  <si>
    <t>Journal of African Law</t>
  </si>
  <si>
    <t>Journal of African Media Studies</t>
  </si>
  <si>
    <t>Journal of Aggression, Conflict and Peace Research</t>
  </si>
  <si>
    <t>Journal of Aggression, Maltreatment and Trauma</t>
  </si>
  <si>
    <t>Journal of Aging and Health</t>
  </si>
  <si>
    <t>Journal of Aging and Physical Activity</t>
  </si>
  <si>
    <t>Journal of Aging and Social Policy</t>
  </si>
  <si>
    <t>Journal of Aging Research</t>
  </si>
  <si>
    <t>Journal of Aging Studies</t>
  </si>
  <si>
    <t>Journal of Agrarian Change</t>
  </si>
  <si>
    <t>Journal of Agricultural and Environmental Ethics</t>
  </si>
  <si>
    <t>Journal of Agricultural and Food Chemistry</t>
  </si>
  <si>
    <t>Journal of Agricultural and Food Industrial Organization</t>
  </si>
  <si>
    <t>Journal of Agricultural and Food Information</t>
  </si>
  <si>
    <t>Journal of Agricultural and Resource Economics</t>
  </si>
  <si>
    <t>Journal of Agricultural, Biological, and Environmental Statistics</t>
  </si>
  <si>
    <t>Journal of Agricultural Economics</t>
  </si>
  <si>
    <t>Journal of Agricultural Education and Extension</t>
  </si>
  <si>
    <t>Journal of Agricultural, Food, and Environmental Sciences</t>
  </si>
  <si>
    <t>Journal of Agricultural Science</t>
  </si>
  <si>
    <t>Journal of Agricultural Science and Technology</t>
  </si>
  <si>
    <t>Journal of Agriculture and Rural Development in the Tropics and Subtropics</t>
  </si>
  <si>
    <t>Journal of Agriculture of the University of Puerto Rico</t>
  </si>
  <si>
    <t>Journal of Agromedicine</t>
  </si>
  <si>
    <t>Journal of Agrometeorology</t>
  </si>
  <si>
    <t>Journal of Agronomy</t>
  </si>
  <si>
    <t>Journal of Agronomy and Crop Science</t>
  </si>
  <si>
    <t>Journal of Aircraft</t>
  </si>
  <si>
    <t>Journal of Air Transport Management</t>
  </si>
  <si>
    <t>Journal of Alcohol and Drug Education</t>
  </si>
  <si>
    <t>Journal of Algebra</t>
  </si>
  <si>
    <t>Journal of Algebra and Discrete Structures</t>
  </si>
  <si>
    <t>Journal of Algebra and Its Applications</t>
  </si>
  <si>
    <t>Journal of Algebraic Combinatorics</t>
  </si>
  <si>
    <t>Journal of Algebraic Geometry</t>
  </si>
  <si>
    <t>Journal of Allergy and Clinical Immunology</t>
  </si>
  <si>
    <t>Journal of Allied Health</t>
  </si>
  <si>
    <t>Journal of Alloys and Compounds</t>
  </si>
  <si>
    <t>Journal of Alternative and Complementary Medicine</t>
  </si>
  <si>
    <t>Journal of Alternative Investments</t>
  </si>
  <si>
    <t>Journal of Alzheimer's Disease</t>
  </si>
  <si>
    <t>Journal of Ambient Intelligence and Humanized Computing</t>
  </si>
  <si>
    <t>Journal of Ambient Intelligence and Smart Environments</t>
  </si>
  <si>
    <t>Journal of Ambulatory Care Management</t>
  </si>
  <si>
    <t>Journal of American College Health</t>
  </si>
  <si>
    <t>Journal of American Culture</t>
  </si>
  <si>
    <t>Journal of American Ethnic History</t>
  </si>
  <si>
    <t>Journal of American Folklore</t>
  </si>
  <si>
    <t>Journal of American History</t>
  </si>
  <si>
    <t>Journal of American Studies</t>
  </si>
  <si>
    <t>Journal of Anaesthesiology Clinical Pharmacology</t>
  </si>
  <si>
    <t>Journal of Analysis and Applications</t>
  </si>
  <si>
    <t>Journal of Analytical and Applied Pyrolysis</t>
  </si>
  <si>
    <t>Journal of Analytical Atomic Spectrometry</t>
  </si>
  <si>
    <t>Journal of Analytical Chemistry</t>
  </si>
  <si>
    <t>Journal of Analytical Methods in Chemistry</t>
  </si>
  <si>
    <t>Journal of Analytical Psychology</t>
  </si>
  <si>
    <t>Journal of Analytical Toxicology</t>
  </si>
  <si>
    <t>Journal of Anatomy</t>
  </si>
  <si>
    <t>Journal of Ancient Near Eastern Religions</t>
  </si>
  <si>
    <t>Journal of Andrology</t>
  </si>
  <si>
    <t>Journal of Anesthesia</t>
  </si>
  <si>
    <t>Journal of Animal and Feed Sciences</t>
  </si>
  <si>
    <t>Journal of Animal and Plant Sciences</t>
  </si>
  <si>
    <t>Journal of Animal and Veterinary Advances</t>
  </si>
  <si>
    <t>Journal of Animal Breeding and Genetics</t>
  </si>
  <si>
    <t>Journal of Animal Ecology</t>
  </si>
  <si>
    <t>Journal of Animal Physiology and Animal Nutrition</t>
  </si>
  <si>
    <t>Journal of Animal Science</t>
  </si>
  <si>
    <t>Journal of Anthropological Archaeology</t>
  </si>
  <si>
    <t>Journal of Anthropological Research</t>
  </si>
  <si>
    <t>Journal of Anthropological Sciences</t>
  </si>
  <si>
    <t>Journal of Antibiotics</t>
  </si>
  <si>
    <t>Journal of Antimicrobial Chemotherapy</t>
  </si>
  <si>
    <t>Journal of Antivirals and Antiretrovirals</t>
  </si>
  <si>
    <t>Journal of Anxiety Disorders</t>
  </si>
  <si>
    <t>Journal of AOAC International</t>
  </si>
  <si>
    <t>Journal of Apicultural Research</t>
  </si>
  <si>
    <t>Journal of Apicultural Science</t>
  </si>
  <si>
    <t>Journal of Applied Accounting Research</t>
  </si>
  <si>
    <t>Journal of Applied Analysis</t>
  </si>
  <si>
    <t>Journal of Applied and Industrial Mathematics</t>
  </si>
  <si>
    <t>Journal of Applied Animal Research</t>
  </si>
  <si>
    <t>Journal of Applied Animal Welfare Science</t>
  </si>
  <si>
    <t>Journal of Applied Aquaculture</t>
  </si>
  <si>
    <t>Journal of Applied Behavioral Science, The</t>
  </si>
  <si>
    <t>Journal of Applied Behavior Analysis</t>
  </si>
  <si>
    <t>Journal of Applied Biobehavioral Research</t>
  </si>
  <si>
    <t>Journal of Applied Biological Chemistry</t>
  </si>
  <si>
    <t>Journal of Applied Biological Sciences</t>
  </si>
  <si>
    <t>Journal of Applied Biomaterials and Biomechanics</t>
  </si>
  <si>
    <t>Journal of Applied Biomaterials and Fundamental Materials</t>
  </si>
  <si>
    <t>Journal of Applied Biomechanics</t>
  </si>
  <si>
    <t>Journal of Applied Biomedicine</t>
  </si>
  <si>
    <t>Journal of Applied Botany and Food Quality</t>
  </si>
  <si>
    <t>Journal of Applied Business Research</t>
  </si>
  <si>
    <t>Journal of Applied Clinical Medical Physics</t>
  </si>
  <si>
    <t>Journal of Applied Communication Research</t>
  </si>
  <si>
    <t>Journal of Applied Cosmetology</t>
  </si>
  <si>
    <t>Journal of Applied Crystallography</t>
  </si>
  <si>
    <t>Journal of Applied Developmental Psychology</t>
  </si>
  <si>
    <t>Journal of Applied Ecology</t>
  </si>
  <si>
    <t>Journal of Applied Econometrics</t>
  </si>
  <si>
    <t>Journal of Applied Economics</t>
  </si>
  <si>
    <t>Journal of Applied Economic Sciences</t>
  </si>
  <si>
    <t>Journal of Applied Electrochemistry</t>
  </si>
  <si>
    <t>Journal of Applied Entomology</t>
  </si>
  <si>
    <t>Journal of Applied Fire Science</t>
  </si>
  <si>
    <t>Journal of Applied Fluid Mechanics</t>
  </si>
  <si>
    <t>Journal of Applied Genetics</t>
  </si>
  <si>
    <t>Journal of Applied Geophysics</t>
  </si>
  <si>
    <t>Journal of Applied Gerontology</t>
  </si>
  <si>
    <t>Journal of Applied Horticulture</t>
  </si>
  <si>
    <t>Journal of Applied Ichthyology</t>
  </si>
  <si>
    <t>Journal of Applied Logic</t>
  </si>
  <si>
    <t>Journal of Applied Mathematics</t>
  </si>
  <si>
    <t>Journal of Applied Mathematics and Computing</t>
  </si>
  <si>
    <t>Journal of Applied Mathematics and Mechanics</t>
  </si>
  <si>
    <t>Journal of Applied Measurement</t>
  </si>
  <si>
    <t>Journal of Applied Mechanics and Technical Physics</t>
  </si>
  <si>
    <t>Journal of Applied Mechanics, Transactions ASME</t>
  </si>
  <si>
    <t>Journal of Applied Meteorology and Climatology</t>
  </si>
  <si>
    <t>Journal of Applied Microbiology</t>
  </si>
  <si>
    <t>Journal of Applied Non-Classical Logics</t>
  </si>
  <si>
    <t>Journal of Applied Oral Science</t>
  </si>
  <si>
    <t>Journal of Applied Packaging Research</t>
  </si>
  <si>
    <t>Journal of Applied Phycology</t>
  </si>
  <si>
    <t>Journal of Applied Physics</t>
  </si>
  <si>
    <t>Journal of Applied Physiology</t>
  </si>
  <si>
    <t>Journal of Applied Polymer Science</t>
  </si>
  <si>
    <t>Journal of Applied Poultry Research</t>
  </si>
  <si>
    <t>Journal of Applied Probability</t>
  </si>
  <si>
    <t>Journal of Applied Psychology</t>
  </si>
  <si>
    <t>Journal of Applied Remote Sensing</t>
  </si>
  <si>
    <t>Journal of Applied Research</t>
  </si>
  <si>
    <t>Journal of Applied Research and Technology</t>
  </si>
  <si>
    <t>Journal of Applied Research in Intellectual Disabilities</t>
  </si>
  <si>
    <t>Journal of Applied Research in Memory and Cognition</t>
  </si>
  <si>
    <t>Journal of Applied School Psychology</t>
  </si>
  <si>
    <t>Journal of Applied Sciences</t>
  </si>
  <si>
    <t>Journal of Applied Sciences Research</t>
  </si>
  <si>
    <t>Journal of Applied Security Research</t>
  </si>
  <si>
    <t>Journal of Applied Social Psychology</t>
  </si>
  <si>
    <t>Journal of Applied Social Science</t>
  </si>
  <si>
    <t>Journal of Applied Spectroscopy</t>
  </si>
  <si>
    <t>Journal of Applied Sport Psychology</t>
  </si>
  <si>
    <t>Journal of Applied Statistics</t>
  </si>
  <si>
    <t>Journal of Applied Therapeutic Research</t>
  </si>
  <si>
    <t>Journal of Applied Toxicology</t>
  </si>
  <si>
    <t>Journal of Approximation Theory</t>
  </si>
  <si>
    <t>Journal of Aquatic Animal Health</t>
  </si>
  <si>
    <t>Journal of Aquatic Food Product Technology</t>
  </si>
  <si>
    <t>Journal of Aquatic Plant Management</t>
  </si>
  <si>
    <t>Journal of Arabic Literature</t>
  </si>
  <si>
    <t>Journal of Arachnology</t>
  </si>
  <si>
    <t>Journal of Archaeological Method and Theory</t>
  </si>
  <si>
    <t>Journal of Archaeological Research</t>
  </si>
  <si>
    <t>Journal of Archaeological Science</t>
  </si>
  <si>
    <t>Journal of Architectural and Planning Research</t>
  </si>
  <si>
    <t>Journal of Architectural Conservation</t>
  </si>
  <si>
    <t>Journal of Architectural Education</t>
  </si>
  <si>
    <t>Journal of Architectural Engineering</t>
  </si>
  <si>
    <t>Journal of Architecture</t>
  </si>
  <si>
    <t>Journal of Architecture and Planning</t>
  </si>
  <si>
    <t>Journal of Architecture and Urbanism</t>
  </si>
  <si>
    <t>Journal of Archival Organization</t>
  </si>
  <si>
    <t>Journal of Arid Environments</t>
  </si>
  <si>
    <t>Journal of Arid Land</t>
  </si>
  <si>
    <t>Journal of Arrhythmia</t>
  </si>
  <si>
    <t>Journal of Arthroplasty</t>
  </si>
  <si>
    <t>Journal of Artificial Intelligence</t>
  </si>
  <si>
    <t>Journal of Artificial Intelligence Research</t>
  </si>
  <si>
    <t>Journal of Artificial Organs</t>
  </si>
  <si>
    <t>Journal of Artificial Societies and Social Simulation</t>
  </si>
  <si>
    <t>Journal of Arts Management, Law and Society</t>
  </si>
  <si>
    <t>Journal of Asian and African Studies</t>
  </si>
  <si>
    <t>Journal of Asian Architecture and Building Engineering</t>
  </si>
  <si>
    <t>Journal of Asian Earth Sciences</t>
  </si>
  <si>
    <t>Journal of Asian Economics</t>
  </si>
  <si>
    <t>Journal of Asian Natural Products Research</t>
  </si>
  <si>
    <t>Journal of Asian Pacific Communication</t>
  </si>
  <si>
    <t>Journal of Asian Public Policy</t>
  </si>
  <si>
    <t>Journal of Asian Studies</t>
  </si>
  <si>
    <t>Journal of Asia-Pacific Business</t>
  </si>
  <si>
    <t>Journal of Asia-Pacific Entomology</t>
  </si>
  <si>
    <t>Journal of Asia TEFL</t>
  </si>
  <si>
    <t>Journal of Asset Management</t>
  </si>
  <si>
    <t>Journal of Assisted Reproduction and Genetics</t>
  </si>
  <si>
    <t>Journal of Assistive Technologies</t>
  </si>
  <si>
    <t>Journal of Asthma</t>
  </si>
  <si>
    <t>Journal of Asthma and Allergy</t>
  </si>
  <si>
    <t>Journal of ASTM International</t>
  </si>
  <si>
    <t>Journal of Astronomy and Space Science</t>
  </si>
  <si>
    <t>Journal of Astrophysics and Astronomy</t>
  </si>
  <si>
    <t>Journal of Asynchronous Learning Network</t>
  </si>
  <si>
    <t>Journal of Atherosclerosis and Thrombosis</t>
  </si>
  <si>
    <t>Journal of Athletic Training</t>
  </si>
  <si>
    <t>Journal of Atmospheric and Oceanic Technology</t>
  </si>
  <si>
    <t>Journal of Atmospheric and Solar-Terrestrial Physics</t>
  </si>
  <si>
    <t>Journal of Atmospheric Chemistry</t>
  </si>
  <si>
    <t>Journal of Atrial Fibrillation</t>
  </si>
  <si>
    <t>Journal of Attention Disorders</t>
  </si>
  <si>
    <t>Journal of Australian Political Economy</t>
  </si>
  <si>
    <t>Journal of Australian Studies</t>
  </si>
  <si>
    <t>Journal of Autism and Developmental Disorders</t>
  </si>
  <si>
    <t>Journal of Autoimmunity</t>
  </si>
  <si>
    <t>Journal of Automated Reasoning</t>
  </si>
  <si>
    <t>Journal of Automation and Information Sciences</t>
  </si>
  <si>
    <t>Journal of Avian Biology</t>
  </si>
  <si>
    <t>Journal of Avian Medicine and Surgery</t>
  </si>
  <si>
    <t>Journal of Ayn Rand Studies, The</t>
  </si>
  <si>
    <t>Journal of Ayub Medical College, Abbottabad : JAMC</t>
  </si>
  <si>
    <t>Journal of Babol University of Medical Sciences</t>
  </si>
  <si>
    <t>Journal of Back and Musculoskeletal Rehabilitation</t>
  </si>
  <si>
    <t>Journal of Bacteriology</t>
  </si>
  <si>
    <t>Journal of Bacteriology and Virology</t>
  </si>
  <si>
    <t>Journal of Balkan and Near Eastern Studies</t>
  </si>
  <si>
    <t>Journal of Baltic Science Education</t>
  </si>
  <si>
    <t>Journal of Baltic Studies</t>
  </si>
  <si>
    <t>Journal of Band Research</t>
  </si>
  <si>
    <t>Journal of Banking and Finance</t>
  </si>
  <si>
    <t>Journal of Banking Regulation</t>
  </si>
  <si>
    <t>Journal of Basic and Clinical Physiology and Pharmacology</t>
  </si>
  <si>
    <t>Journal of Basic Microbiology</t>
  </si>
  <si>
    <t>Journal of Behavioral Decision Making</t>
  </si>
  <si>
    <t>Journal of Behavioral Education</t>
  </si>
  <si>
    <t>Journal of Behavioral Finance</t>
  </si>
  <si>
    <t>Journal of Behavioral Health Services and Research</t>
  </si>
  <si>
    <t>Journal of Behavioral Medicine</t>
  </si>
  <si>
    <t>Journal of Behavior Therapy and Experimental Psychiatry</t>
  </si>
  <si>
    <t>Journal of Beijing Institute of Clothing Technology (Natural Science Edition)</t>
  </si>
  <si>
    <t>Journal of Beijing Institute of Technology (English Edition)</t>
  </si>
  <si>
    <t>Journal of Beliefs and Values</t>
  </si>
  <si>
    <t>Journal of Biblical Literature</t>
  </si>
  <si>
    <t>Journal of Bioactive and Compatible Polymers</t>
  </si>
  <si>
    <t>Journal of Biobased Materials and Bioenergy</t>
  </si>
  <si>
    <t>Journal of Biochemical and Molecular Toxicology</t>
  </si>
  <si>
    <t>Journal of Biochemistry</t>
  </si>
  <si>
    <t>Journal of Bioeconomics</t>
  </si>
  <si>
    <t>Journal of Bioenergetics and Biomembranes</t>
  </si>
  <si>
    <t>Journal of Bioethical Inquiry</t>
  </si>
  <si>
    <t>Journal of Biogeography</t>
  </si>
  <si>
    <t>Journal of Bioinformatics and Computational Biology</t>
  </si>
  <si>
    <t>Journal of Biological Chemistry</t>
  </si>
  <si>
    <t>Journal of Biological Dynamics</t>
  </si>
  <si>
    <t>Journal of Biological Education</t>
  </si>
  <si>
    <t>Journal of Biological Engineering</t>
  </si>
  <si>
    <t>Journal of Biological Inorganic Chemistry</t>
  </si>
  <si>
    <t>Journal of Biological Macromolecules</t>
  </si>
  <si>
    <t>Journal of Biological Physics</t>
  </si>
  <si>
    <t>Journal of Biological Regulators and Homeostatic Agents</t>
  </si>
  <si>
    <t>Journal of Biological Research</t>
  </si>
  <si>
    <t>Journal of Biological Rhythms</t>
  </si>
  <si>
    <t>Journal of Biological Sciences</t>
  </si>
  <si>
    <t>Journal of Biological Systems</t>
  </si>
  <si>
    <t>Journal of Biomaterials Applications</t>
  </si>
  <si>
    <t>Journal of Biomaterials Science, Polymer Edition</t>
  </si>
  <si>
    <t>Journal of Biomechanical Engineering</t>
  </si>
  <si>
    <t>Journal of Biomechanical Science and Engineering</t>
  </si>
  <si>
    <t>Journal of Biomechanics</t>
  </si>
  <si>
    <t>Journal of Biomedical Informatics</t>
  </si>
  <si>
    <t>Journal of Biomedical Materials Research - Part A</t>
  </si>
  <si>
    <t>Journal of Biomedical Materials Research - Part B Applied Biomaterials</t>
  </si>
  <si>
    <t>Journal of Biomedical Nanotechnology</t>
  </si>
  <si>
    <t>Journal of Biomedical Optics</t>
  </si>
  <si>
    <t>Journal of Biomedical Science</t>
  </si>
  <si>
    <t>Journal of Biomedicine and Biotechnology</t>
  </si>
  <si>
    <t>Journal of Biomimetics, Biomaterials, and Tissue Engineering</t>
  </si>
  <si>
    <t>Journal of Biomolecular NMR</t>
  </si>
  <si>
    <t>Journal of Biomolecular Screening</t>
  </si>
  <si>
    <t>Journal of Biomolecular Structure and Dynamics</t>
  </si>
  <si>
    <t>Journal of Biomolecular Techniques</t>
  </si>
  <si>
    <t>Journal of Bionic Engineering</t>
  </si>
  <si>
    <t>Journal of Biopharmaceutical Statistics</t>
  </si>
  <si>
    <t>Journal of Biophotonics</t>
  </si>
  <si>
    <t>Journal of Biorheology</t>
  </si>
  <si>
    <t>Journal of Bio-Science</t>
  </si>
  <si>
    <t>Journal of Bioscience and Bioengineering</t>
  </si>
  <si>
    <t>Journal of Biosciences</t>
  </si>
  <si>
    <t>Journal of Biosocial Science</t>
  </si>
  <si>
    <t>Journal of Biotechnology</t>
  </si>
  <si>
    <t>Journal of Bisexuality</t>
  </si>
  <si>
    <t>Journal of Black Psychology, The</t>
  </si>
  <si>
    <t>Journal of Black Studies</t>
  </si>
  <si>
    <t>Journal of Bodywork and Movement Therapies</t>
  </si>
  <si>
    <t>Journal of Bone and Joint Surgery - Series A</t>
  </si>
  <si>
    <t>Journal of Bone and Joint Surgery - Series B</t>
  </si>
  <si>
    <t>Journal of Bone and Mineral Metabolism</t>
  </si>
  <si>
    <t>Journal of Bone and Mineral Research</t>
  </si>
  <si>
    <t>Journal of Bone Oncology</t>
  </si>
  <si>
    <t>Journal of Borderlands Studies</t>
  </si>
  <si>
    <t>Journal of Brachial Plexus and Peripheral Nerve Injury</t>
  </si>
  <si>
    <t>Journal of Brain Science</t>
  </si>
  <si>
    <t>Journal of Brand Management</t>
  </si>
  <si>
    <t>Journal of Breast Cancer</t>
  </si>
  <si>
    <t>Journal of Breath Research</t>
  </si>
  <si>
    <t>Journal of Bridge Engineering</t>
  </si>
  <si>
    <t>Journal of British Cinema and Television</t>
  </si>
  <si>
    <t>Journal of British Studies</t>
  </si>
  <si>
    <t>Journal of Broadcasting and Electronic Media</t>
  </si>
  <si>
    <t>Journal of Bryology</t>
  </si>
  <si>
    <t>Journal of Buddhist Ethics</t>
  </si>
  <si>
    <t>Journal of Building Performance Simulation</t>
  </si>
  <si>
    <t>Journal of Building Physics</t>
  </si>
  <si>
    <t>Journal of B.U.ON.</t>
  </si>
  <si>
    <t>Journal of Burma Studies</t>
  </si>
  <si>
    <t>Journal of Burn Care and Research</t>
  </si>
  <si>
    <t>Journal of Business and Economic Statistics</t>
  </si>
  <si>
    <t>Journal of Business and Finance Librarianship</t>
  </si>
  <si>
    <t>Journal of Business and Industrial Marketing</t>
  </si>
  <si>
    <t>Journal of Business and Psychology</t>
  </si>
  <si>
    <t>Journal of Business and Technical Communication</t>
  </si>
  <si>
    <t>Journal of Business Communication</t>
  </si>
  <si>
    <t>Journal of business continuity &amp; emergency planning</t>
  </si>
  <si>
    <t>Journal of Business Economics and Management</t>
  </si>
  <si>
    <t>Journal of Business Ethics</t>
  </si>
  <si>
    <t>Journal of Business Finance and Accounting</t>
  </si>
  <si>
    <t>Journal of Business Research</t>
  </si>
  <si>
    <t>Journal of Business Strategy</t>
  </si>
  <si>
    <t>Journal of Business-to-Business Marketing</t>
  </si>
  <si>
    <t>Journal of Business Valuation and Economic Loss Analysis</t>
  </si>
  <si>
    <t>Journal of Business Venturing</t>
  </si>
  <si>
    <t>Journal of Cachexia, Sarcopenia and Muscle</t>
  </si>
  <si>
    <t>Journal of Camel Practice and Research</t>
  </si>
  <si>
    <t>Journal of Canadian Petroleum Technology</t>
  </si>
  <si>
    <t>Journal of Canadian Studies</t>
  </si>
  <si>
    <t>Journal of Cancer Education</t>
  </si>
  <si>
    <t>Journal of Cancer Epidemiology</t>
  </si>
  <si>
    <t>Journal of Cancer Research and Clinical Oncology</t>
  </si>
  <si>
    <t>Journal of Cancer Research and Therapeutics</t>
  </si>
  <si>
    <t>Journal of Cancer Science and Therapy</t>
  </si>
  <si>
    <t>Journal of Cancer Survivorship</t>
  </si>
  <si>
    <t>Journal of Carbohydrate Chemistry</t>
  </si>
  <si>
    <t>Journal of Carcinogenesis</t>
  </si>
  <si>
    <t>Journal of Cardiac Failure</t>
  </si>
  <si>
    <t>Journal of Cardiac Surgery</t>
  </si>
  <si>
    <t>Journal of Cardiology</t>
  </si>
  <si>
    <t>Journal of Cardiology Cases</t>
  </si>
  <si>
    <t>Journal of Cardiopulmonary Rehabilitation and Prevention</t>
  </si>
  <si>
    <t>Journal of Cardiothoracic and Vascular Anesthesia</t>
  </si>
  <si>
    <t>Journal of Cardiothoracic Surgery</t>
  </si>
  <si>
    <t>Journal of Cardiovascular Computed Tomography</t>
  </si>
  <si>
    <t>Journal of Cardiovascular Electrophysiology</t>
  </si>
  <si>
    <t>Journal of Cardiovascular Magnetic Resonance</t>
  </si>
  <si>
    <t>Journal of Cardiovascular Medicine</t>
  </si>
  <si>
    <t>Journal of Cardiovascular Nursing</t>
  </si>
  <si>
    <t>Journal of Cardiovascular Pharmacology</t>
  </si>
  <si>
    <t>Journal of Cardiovascular Pharmacology and Therapeutics</t>
  </si>
  <si>
    <t>Journal of Cardiovascular Surgery</t>
  </si>
  <si>
    <t>Journal of Cardiovascular Translational Research</t>
  </si>
  <si>
    <t>Journal of Career Assessment</t>
  </si>
  <si>
    <t>Journal of Career Development</t>
  </si>
  <si>
    <t>Journal of Cases on Information Technology</t>
  </si>
  <si>
    <t>Journal of Catalysis</t>
  </si>
  <si>
    <t>Journal of Cataract and Refractive Surgery</t>
  </si>
  <si>
    <t>Journal of Cave and Karst Studies</t>
  </si>
  <si>
    <t>Journal of Cell and Molecular Biology</t>
  </si>
  <si>
    <t>Journal of Cell Biology</t>
  </si>
  <si>
    <t>Journal of Cell Communication and Signaling</t>
  </si>
  <si>
    <t>Journal of Cell Death</t>
  </si>
  <si>
    <t>Journal of Cell Science</t>
  </si>
  <si>
    <t>Journal of Cellular and Molecular Medicine</t>
  </si>
  <si>
    <t>Journal of Cellular Biochemistry</t>
  </si>
  <si>
    <t>Journal of Cellular Physiology</t>
  </si>
  <si>
    <t>Journal of Cellular Plastics</t>
  </si>
  <si>
    <t>Journal of Central European Agriculture</t>
  </si>
  <si>
    <t>Journal of Central South University (Medical Sciences)</t>
  </si>
  <si>
    <t>Journal of Central South University of Technology (English Edition)</t>
  </si>
  <si>
    <t>Journal of Ceramic Processing Research</t>
  </si>
  <si>
    <t>Journal of Ceramic Science and Technology</t>
  </si>
  <si>
    <t>Journal of Cereal Science</t>
  </si>
  <si>
    <t>Journal of Cerebral Blood Flow and Metabolism</t>
  </si>
  <si>
    <t>Journal of Cetacean Research and Management</t>
  </si>
  <si>
    <t>Journal of Chemical and Engineering Data</t>
  </si>
  <si>
    <t>Journal of Chemical and Pharmaceutical Research</t>
  </si>
  <si>
    <t>Journal of Chemical and Pharmaceutical Sciences</t>
  </si>
  <si>
    <t>Journal of Chemical Biology</t>
  </si>
  <si>
    <t>Journal of Chemical Crystallography</t>
  </si>
  <si>
    <t>Journal of Chemical Ecology</t>
  </si>
  <si>
    <t>Journal of Chemical Education</t>
  </si>
  <si>
    <t>Journal of Chemical Engineering of Japan</t>
  </si>
  <si>
    <t>Journal of Chemical Health and Safety</t>
  </si>
  <si>
    <t>Journal of Chemical Information and Modeling</t>
  </si>
  <si>
    <t>Journal of Chemical Neuroanatomy</t>
  </si>
  <si>
    <t>Journal of Chemical Physics</t>
  </si>
  <si>
    <t>Journal of Chemical Research</t>
  </si>
  <si>
    <t>Journal of Chemical Sciences</t>
  </si>
  <si>
    <t>Journal of Chemical Society of Pakistan</t>
  </si>
  <si>
    <t>Journal of Chemical Technology and Biotechnology</t>
  </si>
  <si>
    <t>Journal of Chemical Theory and Computation</t>
  </si>
  <si>
    <t>Journal of Chemical Thermodynamics</t>
  </si>
  <si>
    <t>Journal of Cheminformatics</t>
  </si>
  <si>
    <t>Journal of Chemometrics</t>
  </si>
  <si>
    <t>Journal of Chemotherapy</t>
  </si>
  <si>
    <t>Journal of Chengdu University of Technology (Science and Technology Edition)</t>
  </si>
  <si>
    <t>Journal of Child and Adolescent Mental Health</t>
  </si>
  <si>
    <t>Journal of child and adolescent psychiatric nursing : official publication of the Association of Child and Adolescent Psychiatric Nurses, Inc</t>
  </si>
  <si>
    <t>Journal of Child and Adolescent Psychopharmacology</t>
  </si>
  <si>
    <t>Journal of Child and Adolescent Substance Abuse</t>
  </si>
  <si>
    <t>Journal of Child and Adolescent Trauma</t>
  </si>
  <si>
    <t>Journal of Child and Family Studies</t>
  </si>
  <si>
    <t>Journal of Child Custody</t>
  </si>
  <si>
    <t>Journal of child health care : for professionals working with children in the hospital and community</t>
  </si>
  <si>
    <t>Journal of Child Language</t>
  </si>
  <si>
    <t>Journal of Child Neurology</t>
  </si>
  <si>
    <t>Journal of Child Psychology and Psychiatry and Allied Disciplines</t>
  </si>
  <si>
    <t>Journal of Child Psychotherapy</t>
  </si>
  <si>
    <t>Journal of Children and Poverty</t>
  </si>
  <si>
    <t>Journal of Children's Orthopaedics</t>
  </si>
  <si>
    <t>Journal of Child Sexual Abuse</t>
  </si>
  <si>
    <t>Journal of China Pharmaceutical University</t>
  </si>
  <si>
    <t>Journal of China Universities of Posts and Telecommunications</t>
  </si>
  <si>
    <t>Journal of Chinese Clinical Medicine</t>
  </si>
  <si>
    <t>Journal of Chinese Linguistics</t>
  </si>
  <si>
    <t>Journal of Chinese Medicine</t>
  </si>
  <si>
    <t>Journal of Chinese Overseas</t>
  </si>
  <si>
    <t>Journal of Chinese Pharmaceutical Sciences</t>
  </si>
  <si>
    <t>Journal of Chinese Philosophy</t>
  </si>
  <si>
    <t>Journal of Chinese Political Science</t>
  </si>
  <si>
    <t>Journal of Chinese Soil and Water Conservation</t>
  </si>
  <si>
    <t>Journal of Chiropractic Humanities</t>
  </si>
  <si>
    <t>Journal of Chiropractic Medicine</t>
  </si>
  <si>
    <t>Journal of Christian nursing : a quarterly publication of Nurses Christian Fellowship</t>
  </si>
  <si>
    <t>Journal of Chromatographic Science</t>
  </si>
  <si>
    <t>Journal of Chromatography A</t>
  </si>
  <si>
    <t>Journal of Chromatography B: Analytical Technologies in the Biomedical and Life Sciences</t>
  </si>
  <si>
    <t>Journal of Church and State</t>
  </si>
  <si>
    <t>Journal of Circadian Rhythms</t>
  </si>
  <si>
    <t>Journal of Circuits, Systems and Computers</t>
  </si>
  <si>
    <t>Journal of Civil Engineering and Management</t>
  </si>
  <si>
    <t>Journal of Classical Sociology</t>
  </si>
  <si>
    <t>Journal of Classification</t>
  </si>
  <si>
    <t>Journal of Cleaner Production</t>
  </si>
  <si>
    <t>Journal of Climate</t>
  </si>
  <si>
    <t>Journal of Clinical and Aesthetic Dermatology</t>
  </si>
  <si>
    <t>Journal of Clinical and Analytical Medicine</t>
  </si>
  <si>
    <t>Journal of Clinical and Basic Cardiology</t>
  </si>
  <si>
    <t>Journal of Clinical and Diagnostic Research</t>
  </si>
  <si>
    <t>Journal of clinical and experimental hematopathology : JCEH</t>
  </si>
  <si>
    <t>Journal of Clinical and Experimental Hepatology</t>
  </si>
  <si>
    <t>Journal of Clinical and Experimental Neuropsychology</t>
  </si>
  <si>
    <t>Journal of Clinical Anesthesia</t>
  </si>
  <si>
    <t>Journal of Clinical Apheresis</t>
  </si>
  <si>
    <t>Journal of Clinical Biochemistry and Nutrition</t>
  </si>
  <si>
    <t>Journal of Clinical Bioinformatics</t>
  </si>
  <si>
    <t>Journal of Clinical Child and Adolescent Psychology</t>
  </si>
  <si>
    <t>Journal of Clinical Densitometry</t>
  </si>
  <si>
    <t>Journal of Clinical Dentistry</t>
  </si>
  <si>
    <t>Journal of Clinical Dermatology</t>
  </si>
  <si>
    <t>Journal of Clinical Dysmorphology</t>
  </si>
  <si>
    <t>Journal of Clinical Endocrinology and Metabolism</t>
  </si>
  <si>
    <t>Journal of Clinical Engineering</t>
  </si>
  <si>
    <t>Journal of Clinical Epidemiology</t>
  </si>
  <si>
    <t>Journal of Clinical Ethics</t>
  </si>
  <si>
    <t>Journal of Clinical Gastroenterology</t>
  </si>
  <si>
    <t>Journal of Clinical Gerontology and Geriatrics</t>
  </si>
  <si>
    <t>Journal of Clinical Hypertension</t>
  </si>
  <si>
    <t>Journal of Clinical Immunology</t>
  </si>
  <si>
    <t>Journal of Clinical Investigation</t>
  </si>
  <si>
    <t>Journal of Clinical Laboratory Analysis</t>
  </si>
  <si>
    <t>Journal of Clinical Lipidology</t>
  </si>
  <si>
    <t>Journal of Clinical Microbiology</t>
  </si>
  <si>
    <t>Journal of Clinical Monitoring and Computing</t>
  </si>
  <si>
    <t>Journal of Clinical Neurology</t>
  </si>
  <si>
    <t>Journal of Clinical Neuromuscular Disease</t>
  </si>
  <si>
    <t>Journal of Clinical Neurophysiology</t>
  </si>
  <si>
    <t>Journal of Clinical Neuroscience</t>
  </si>
  <si>
    <t>Journal of Clinical Nursing</t>
  </si>
  <si>
    <t>Journal of Clinical Oncology</t>
  </si>
  <si>
    <t>Journal of clinical orthodontics : JCO</t>
  </si>
  <si>
    <t>Journal of Clinical Orthopaedics and Trauma</t>
  </si>
  <si>
    <t>Journal of Clinical Outcomes Management</t>
  </si>
  <si>
    <t>Journal of Clinical Pathology - Clinical Molecular Pathology</t>
  </si>
  <si>
    <t>Journal of Clinical Pediatric Dentistry</t>
  </si>
  <si>
    <t>Journal of Clinical Periodontology</t>
  </si>
  <si>
    <t>Journal of Clinical Pharmacology</t>
  </si>
  <si>
    <t>Journal of Clinical Pharmacy and Therapeutics</t>
  </si>
  <si>
    <t>Journal of Clinical Psychiatry</t>
  </si>
  <si>
    <t>Journal of Clinical Psychology</t>
  </si>
  <si>
    <t>Journal of Clinical Psychology in Medical Settings</t>
  </si>
  <si>
    <t>Journal of Clinical Psychopharmacology</t>
  </si>
  <si>
    <t>Journal of Clinical Rehabilitative Tissue Engineering Research</t>
  </si>
  <si>
    <t>Journal of Clinical Rheumatology</t>
  </si>
  <si>
    <t>Journal of Clinical Sleep Medicine</t>
  </si>
  <si>
    <t>Journal of Clinical Sport Psychology</t>
  </si>
  <si>
    <t>Journal of Clinical Ultrasound</t>
  </si>
  <si>
    <t>Journal of Clinical Virology</t>
  </si>
  <si>
    <t>Journal of Cluster Science</t>
  </si>
  <si>
    <t>Journal of Coal Science and Engineering</t>
  </si>
  <si>
    <t>Journal of Coastal Conservation</t>
  </si>
  <si>
    <t>Journal of Coastal Research</t>
  </si>
  <si>
    <t>Journal of Coatings Technology Research</t>
  </si>
  <si>
    <t>Journal of Cognition and Culture</t>
  </si>
  <si>
    <t>Journal of Cognition and Development</t>
  </si>
  <si>
    <t>Journal of Cognitive and Behavioral Psychotherapies</t>
  </si>
  <si>
    <t>Journal of Cognitive Neuroscience</t>
  </si>
  <si>
    <t>Journal of Cognitive Psychology</t>
  </si>
  <si>
    <t>Journal of Cognitive Psychotherapy: An International Quarterly</t>
  </si>
  <si>
    <t>Journal of Cold Regions Engineering - ASCE</t>
  </si>
  <si>
    <t>Journal of Cold War Studies</t>
  </si>
  <si>
    <t>Journal of College Counseling</t>
  </si>
  <si>
    <t>Journal of College Student Development</t>
  </si>
  <si>
    <t>Journal of College Student Psychotherapy</t>
  </si>
  <si>
    <t>Journal of College Student Retention: Research, Theory and Practice</t>
  </si>
  <si>
    <t>Journal of Colloid and Interface Science</t>
  </si>
  <si>
    <t>Journal of Combinatorial Designs</t>
  </si>
  <si>
    <t>Journal of Combinatorial Mathematics and Combinatorial Computing</t>
  </si>
  <si>
    <t>Journal of Combinatorial Optimization</t>
  </si>
  <si>
    <t>Journal of Combinatorial Theory - Series A</t>
  </si>
  <si>
    <t>Journal of Combinatorial Theory. Series B</t>
  </si>
  <si>
    <t>Journal of Commercial Biotechnology</t>
  </si>
  <si>
    <t>Journal of Common Market Studies</t>
  </si>
  <si>
    <t>Journal of Commonwealth Literature</t>
  </si>
  <si>
    <t>Journal of Communicable Diseases</t>
  </si>
  <si>
    <t>Journal of Communication</t>
  </si>
  <si>
    <t>Journal of Communication Disorders</t>
  </si>
  <si>
    <t>Journal of Communication Inquiry</t>
  </si>
  <si>
    <t>Journal of Communication Management</t>
  </si>
  <si>
    <t>Journal of Communications</t>
  </si>
  <si>
    <t>Journal of Communications and Networks</t>
  </si>
  <si>
    <t>Journal of Communications Software and Systems</t>
  </si>
  <si>
    <t>Journal of Communications Technology and Electronics</t>
  </si>
  <si>
    <t>Journal of Communist Studies and Transition Politics</t>
  </si>
  <si>
    <t>Journal of Community and Applied Social Psychology</t>
  </si>
  <si>
    <t>Journal of Community Eye Health</t>
  </si>
  <si>
    <t>Journal of Community Genetics</t>
  </si>
  <si>
    <t>Journal of Community Health</t>
  </si>
  <si>
    <t>Journal of Community Health Nursing</t>
  </si>
  <si>
    <t>Journal of Community Nursing</t>
  </si>
  <si>
    <t>Journal of Community Practice</t>
  </si>
  <si>
    <t>Journal of Community Psychology</t>
  </si>
  <si>
    <t>Journal of Commutative Algebra</t>
  </si>
  <si>
    <t>Journal of Comparative Asian Development</t>
  </si>
  <si>
    <t>Journal of Comparative Economics</t>
  </si>
  <si>
    <t>Journal of Comparative Family Studies</t>
  </si>
  <si>
    <t>Journal of Comparative Germanic Linguistics</t>
  </si>
  <si>
    <t>Journal of Comparative Neurology</t>
  </si>
  <si>
    <t>Journal of Comparative Pathology</t>
  </si>
  <si>
    <t>Journal of Comparative Physiology A: Neuroethology, Sensory, Neural, and Behavioral Physiology</t>
  </si>
  <si>
    <t>Journal of Comparative Physiology B: Biochemical, Systemic, and Environmental Physiology</t>
  </si>
  <si>
    <t>Journal of Comparative Psychology</t>
  </si>
  <si>
    <t>Journal of Comparative Social Welfare</t>
  </si>
  <si>
    <t>Journal of Competition Law and Economics</t>
  </si>
  <si>
    <t>Journal of Complementary and Integrative Medicine</t>
  </si>
  <si>
    <t>Journal of Complexity</t>
  </si>
  <si>
    <t>Journal of Composite Materials</t>
  </si>
  <si>
    <t>Journal of Composites for Construction</t>
  </si>
  <si>
    <t>Journal of Computational Acoustics</t>
  </si>
  <si>
    <t>Journal of Computational Analysis and Applications</t>
  </si>
  <si>
    <t>Journal of Computational and Applied Mathematics</t>
  </si>
  <si>
    <t>Journal of Computational and Graphical Statistics</t>
  </si>
  <si>
    <t>Journal of Computational and Nonlinear Dynamics</t>
  </si>
  <si>
    <t>Journal of Computational and Theoretical Nanoscience</t>
  </si>
  <si>
    <t>Journal of Computational Biology</t>
  </si>
  <si>
    <t>Journal of Computational Chemistry</t>
  </si>
  <si>
    <t>Journal of Computational Electronics</t>
  </si>
  <si>
    <t>Journal of Computational Information Systems</t>
  </si>
  <si>
    <t>Journal of Computational Mathematics</t>
  </si>
  <si>
    <t>Journal of Computational Methods in Sciences and Engineering</t>
  </si>
  <si>
    <t>Journal of Computational Multiphase Flows</t>
  </si>
  <si>
    <t>Journal of Computational Neuroscience</t>
  </si>
  <si>
    <t>Journal of Computational Physics</t>
  </si>
  <si>
    <t>Journal of Computational Science</t>
  </si>
  <si>
    <t>Journal of Computer-Aided Molecular Design</t>
  </si>
  <si>
    <t>Journal of Computer and System Sciences</t>
  </si>
  <si>
    <t>Journal of Computer and Systems Sciences International</t>
  </si>
  <si>
    <t>Journal of Computer Assisted Learning</t>
  </si>
  <si>
    <t>Journal of Computer Assisted Tomography</t>
  </si>
  <si>
    <t>Journal of Computer Information Systems</t>
  </si>
  <si>
    <t>Journal of Computer-Mediated Communication</t>
  </si>
  <si>
    <t>Journal of Computer Networks and Communications</t>
  </si>
  <si>
    <t>Journal of Computers</t>
  </si>
  <si>
    <t>Journal of Computer Science</t>
  </si>
  <si>
    <t>Journal of Computer Science and Technology</t>
  </si>
  <si>
    <t>Journal of Computer Security</t>
  </si>
  <si>
    <t>Journal of Computers (Taiwan)</t>
  </si>
  <si>
    <t>Journal of Computing and Cultural Heritage</t>
  </si>
  <si>
    <t>Journal of Computing and Information Science in Engineering</t>
  </si>
  <si>
    <t>Journal of Computing and Information Technology</t>
  </si>
  <si>
    <t>Journal of Computing in Civil Engineering</t>
  </si>
  <si>
    <t>Journal of Computing in Higher Education</t>
  </si>
  <si>
    <t>Journal of Conchology</t>
  </si>
  <si>
    <t>Journal of Conflict and Security Law</t>
  </si>
  <si>
    <t>Journal of Conflict Archaeology</t>
  </si>
  <si>
    <t>Journal of Conflict Resolution</t>
  </si>
  <si>
    <t>Journal of Consciousness Studies</t>
  </si>
  <si>
    <t>Journal of Conservative Dentistry</t>
  </si>
  <si>
    <t>Journal of Constructional Steel Research</t>
  </si>
  <si>
    <t>Journal of Construction Engineering and Management - ASCE</t>
  </si>
  <si>
    <t>Journal of Construction in Developing Countries</t>
  </si>
  <si>
    <t>Journal of Constructivist Psychology</t>
  </si>
  <si>
    <t>Journal of Consulting and Clinical Psychology</t>
  </si>
  <si>
    <t>Journal of Consumer Affairs</t>
  </si>
  <si>
    <t>Journal of Consumer Behaviour</t>
  </si>
  <si>
    <t>Journal of Consumer Culture</t>
  </si>
  <si>
    <t>Journal of Consumer Health on the Internet</t>
  </si>
  <si>
    <t>Journal of Consumer Marketing</t>
  </si>
  <si>
    <t>Journal of Consumer Policy</t>
  </si>
  <si>
    <t>Journal of Consumer Psychology</t>
  </si>
  <si>
    <t>Journal of Consumer Research</t>
  </si>
  <si>
    <t>Journal of Contaminant Hydrology</t>
  </si>
  <si>
    <t>Journal of Contemporary Accounting and Economics</t>
  </si>
  <si>
    <t>Journal of Contemporary African Studies</t>
  </si>
  <si>
    <t>Journal of Contemporary Asia</t>
  </si>
  <si>
    <t>Journal of Contemporary Brachytherapy</t>
  </si>
  <si>
    <t>Journal of Contemporary Criminal Justice</t>
  </si>
  <si>
    <t>Journal of Contemporary Dental Practice</t>
  </si>
  <si>
    <t>Journal of Contemporary Ethnography</t>
  </si>
  <si>
    <t>Journal of Contemporary European Research</t>
  </si>
  <si>
    <t>Journal of Contemporary European Studies</t>
  </si>
  <si>
    <t>Journal of contemporary health law and policy, The</t>
  </si>
  <si>
    <t>Journal of Contemporary History</t>
  </si>
  <si>
    <t>Journal of Contemporary Psychotherapy</t>
  </si>
  <si>
    <t>Journal of Contemporary Religion</t>
  </si>
  <si>
    <t>Journal of Contermporary China</t>
  </si>
  <si>
    <t>Journal of Contextual Behavioral Science</t>
  </si>
  <si>
    <t>Journal of Contingencies and Crisis Management</t>
  </si>
  <si>
    <t>Journal of Continuing Education in Nursing</t>
  </si>
  <si>
    <t>Journal of Continuing Education in the Health Professions</t>
  </si>
  <si>
    <t>Journal of Controlled Release</t>
  </si>
  <si>
    <t>Journal of Control Science and Engineering</t>
  </si>
  <si>
    <t>Journal of Control Theory and Applications</t>
  </si>
  <si>
    <t>Journal of Convention and Event Tourism</t>
  </si>
  <si>
    <t>Journal of Convergence Information Technology</t>
  </si>
  <si>
    <t>Journal of Convex Analysis</t>
  </si>
  <si>
    <t>Journal of Coordination Chemistry</t>
  </si>
  <si>
    <t>Journal of Coptic Studies</t>
  </si>
  <si>
    <t>Journal of Corporate Finance</t>
  </si>
  <si>
    <t>Journal of Correctional Health Care</t>
  </si>
  <si>
    <t>Journal of Corrosion Science and Engineering</t>
  </si>
  <si>
    <t>Journal of Cosmetic and Laser Therapy</t>
  </si>
  <si>
    <t>Journal of Cosmetic Dermatology</t>
  </si>
  <si>
    <t>Journal of Cosmetic Science</t>
  </si>
  <si>
    <t>Journal of Cosmology and Astroparticle Physics</t>
  </si>
  <si>
    <t>Journal of Cotton Science</t>
  </si>
  <si>
    <t>Journal of Counseling and Development</t>
  </si>
  <si>
    <t>Journal of Counseling Psychology</t>
  </si>
  <si>
    <t>Journal of Couple and Relationship Therapy</t>
  </si>
  <si>
    <t>Journal of Craniofacial Surgery</t>
  </si>
  <si>
    <t>Journal of Cranio-Maxillo-Facial Surgery</t>
  </si>
  <si>
    <t>Journal of Creative Behavior</t>
  </si>
  <si>
    <t>Journal of Creativity in Mental Health</t>
  </si>
  <si>
    <t>Journal of Criminal Justice</t>
  </si>
  <si>
    <t>Journal of Criminal Justice Education</t>
  </si>
  <si>
    <t>Journal of Criminal Law and Criminology</t>
  </si>
  <si>
    <t>Journal of Critical Care</t>
  </si>
  <si>
    <t>Journal of Crohn's and Colitis</t>
  </si>
  <si>
    <t>Journal of Crop Improvement</t>
  </si>
  <si>
    <t>Journal of Cross-Cultural Gerontology</t>
  </si>
  <si>
    <t>Journal of Cross-Cultural Psychology</t>
  </si>
  <si>
    <t>Journal of Crustacean Biology</t>
  </si>
  <si>
    <t>Journal of Cryptology</t>
  </si>
  <si>
    <t>Journal of Crystal Growth</t>
  </si>
  <si>
    <t>Journal of Culinary Science and Technology</t>
  </si>
  <si>
    <t>Journal of cultural diversity</t>
  </si>
  <si>
    <t>Journal of Cultural Economics</t>
  </si>
  <si>
    <t>Journal of Cultural Geography</t>
  </si>
  <si>
    <t>Journal of Cultural Heritage</t>
  </si>
  <si>
    <t>Journal of Current Glaucoma Practice</t>
  </si>
  <si>
    <t>Journal of Curriculum Studies</t>
  </si>
  <si>
    <t>Journal of Cutaneous Medicine and Surgery</t>
  </si>
  <si>
    <t>Journal of Cutaneous Pathology</t>
  </si>
  <si>
    <t>Journal of Cyber Therapy and Rehabilitation</t>
  </si>
  <si>
    <t>Journal of Cystic Fibrosis</t>
  </si>
  <si>
    <t>Journal of Cytology</t>
  </si>
  <si>
    <t>Journal of Dairy Research</t>
  </si>
  <si>
    <t>Journal of Dairy Science</t>
  </si>
  <si>
    <t>Journal of Dalian Medical University</t>
  </si>
  <si>
    <t>Journal of dance medicine &amp; science : official publication of the International Association for Dance Medicine &amp; Science</t>
  </si>
  <si>
    <t>Journal of Data and Information Quality</t>
  </si>
  <si>
    <t>Journal of Database Management</t>
  </si>
  <si>
    <t>Journal of Database Marketing and Customer Strategy Management</t>
  </si>
  <si>
    <t>Journal of Datta Meghe Institute of Medical Sciences University</t>
  </si>
  <si>
    <t>Journal of Deaf Studies and Deaf Education</t>
  </si>
  <si>
    <t>Journal of Decision Systems</t>
  </si>
  <si>
    <t>Journal of Defense Modeling and Simulation</t>
  </si>
  <si>
    <t>Journal of Dementia Care</t>
  </si>
  <si>
    <t>Journal of Democracy</t>
  </si>
  <si>
    <t>Journal of Dental Biomechanics</t>
  </si>
  <si>
    <t>Journal of Dental Education</t>
  </si>
  <si>
    <t>Journal of dental hygiene : JDH / American Dental Hygienists' Association</t>
  </si>
  <si>
    <t>Journal of Dental Research</t>
  </si>
  <si>
    <t>Journal of Dental Sciences</t>
  </si>
  <si>
    <t>Journal of Dentistry</t>
  </si>
  <si>
    <t>Journal of Dentistry for Children</t>
  </si>
  <si>
    <t>Journal of Derivatives</t>
  </si>
  <si>
    <t>Journal of Derivatives and Hedge Funds</t>
  </si>
  <si>
    <t>Journal of Dermatological Science</t>
  </si>
  <si>
    <t>Journal of Dermatological Treatment</t>
  </si>
  <si>
    <t>Journal of Dermatology</t>
  </si>
  <si>
    <t>Journal of Design History</t>
  </si>
  <si>
    <t>Journal of Design Research</t>
  </si>
  <si>
    <t>Journal of Destination Marketing and Management</t>
  </si>
  <si>
    <t>Journal of Developing Societies</t>
  </si>
  <si>
    <t>Journal of Developmental and Behavioral Pediatrics</t>
  </si>
  <si>
    <t>Journal of Developmental and Physical Disabilities</t>
  </si>
  <si>
    <t>Journal of Developmental Entrepreneurship</t>
  </si>
  <si>
    <t>Journal of Developmental Origins of Health and Disease</t>
  </si>
  <si>
    <t>Journal of Development of Economics</t>
  </si>
  <si>
    <t>Journal of Development Studies</t>
  </si>
  <si>
    <t>Journal of Dharma</t>
  </si>
  <si>
    <t>Journal of Diabetes</t>
  </si>
  <si>
    <t>Journal of Diabetes and its Complications</t>
  </si>
  <si>
    <t>Journal of Diabetes and Metabolic Disorders</t>
  </si>
  <si>
    <t>Journal of Diabetes Investigation</t>
  </si>
  <si>
    <t>Journal of Diabetes Nursing</t>
  </si>
  <si>
    <t>Journal of diabetes science and technology</t>
  </si>
  <si>
    <t>Journal of Diagnostic Medical Sonography</t>
  </si>
  <si>
    <t>Journal of Dietary Supplements</t>
  </si>
  <si>
    <t>Journal of Difference Equations and Applications</t>
  </si>
  <si>
    <t>Journal of Differential Equations</t>
  </si>
  <si>
    <t>Journal of Differential Geometry</t>
  </si>
  <si>
    <t>Journal of Digestive Diseases</t>
  </si>
  <si>
    <t>Journal of Digital Imaging</t>
  </si>
  <si>
    <t>Journal of Digital Information</t>
  </si>
  <si>
    <t>Journal of Digital Information Management</t>
  </si>
  <si>
    <t>Journal of Direct, Data and Digital Marketing Practice</t>
  </si>
  <si>
    <t>Journal of Disability Policy Studies</t>
  </si>
  <si>
    <t>Journal of Disaster Research</t>
  </si>
  <si>
    <t>Journal of Discrete Algorithms</t>
  </si>
  <si>
    <t>Journal of Discrete Mathematical Sciences and Cryptography</t>
  </si>
  <si>
    <t>Journal of Dispersion Science and Technology</t>
  </si>
  <si>
    <t>Journal of Diversity in Higher Education</t>
  </si>
  <si>
    <t>Journal of Divorce and Remarriage</t>
  </si>
  <si>
    <t>Journal of Documentation</t>
  </si>
  <si>
    <t>Journal of Dong Hua University (English Edition)</t>
  </si>
  <si>
    <t>Journal of Drug Delivery Science and Technology</t>
  </si>
  <si>
    <t>Journal of Drug Education</t>
  </si>
  <si>
    <t>Journal of Drug Issues</t>
  </si>
  <si>
    <t>Journal of Drug Policy Analysis</t>
  </si>
  <si>
    <t>Journal of Drugs in Dermatology</t>
  </si>
  <si>
    <t>Journal of Drug Targeting</t>
  </si>
  <si>
    <t>Journal of Dual Diagnosis</t>
  </si>
  <si>
    <t>Journal of Dynamical and Control Systems</t>
  </si>
  <si>
    <t>Journal of Dynamics and Differential Equations</t>
  </si>
  <si>
    <t>Journal of Dynamic Systems, Measurement and Control, Transactions of the ASME</t>
  </si>
  <si>
    <t>Journal of Early Adolescence</t>
  </si>
  <si>
    <t>Journal of Early Childhood Literacy</t>
  </si>
  <si>
    <t>Journal of Early Childhood Research</t>
  </si>
  <si>
    <t>Journal of Early Childhood Teacher Education</t>
  </si>
  <si>
    <t>Journal of Early Christian Studies</t>
  </si>
  <si>
    <t>Journal of Early Intervention</t>
  </si>
  <si>
    <t>Journal of Early Modern History</t>
  </si>
  <si>
    <t>Journal of Earthquake and Tsunami</t>
  </si>
  <si>
    <t>Journal of Earthquake Engineering</t>
  </si>
  <si>
    <t>Journal of Earth Science</t>
  </si>
  <si>
    <t>Journal of East Asian Linguistics</t>
  </si>
  <si>
    <t>Journal of East Asian Studies</t>
  </si>
  <si>
    <t>Journal of Eastern African Studies</t>
  </si>
  <si>
    <t>Journal of East-West Business</t>
  </si>
  <si>
    <t>Journal of Ecclesiastical History</t>
  </si>
  <si>
    <t>Journal of Echocardiography</t>
  </si>
  <si>
    <t>Journal of Ecology</t>
  </si>
  <si>
    <t>Journal of Ecology and Field Biology</t>
  </si>
  <si>
    <t>Journal of Ecology and Rural Environment</t>
  </si>
  <si>
    <t>Journal of Econometrics</t>
  </si>
  <si>
    <t>Journal of Economic and Social Measurement</t>
  </si>
  <si>
    <t>Journal of Economic Behavior and Organization</t>
  </si>
  <si>
    <t>Journal of Economic Cooperation and Development</t>
  </si>
  <si>
    <t>Journal of Economic Dynamics and Control</t>
  </si>
  <si>
    <t>Journal of Economic Education</t>
  </si>
  <si>
    <t>Journal of Economic Entomology</t>
  </si>
  <si>
    <t>Journal of Economic Geography</t>
  </si>
  <si>
    <t>Journal of Economic Growth</t>
  </si>
  <si>
    <t>Journal of Economic History</t>
  </si>
  <si>
    <t>Journal of Economic Inequality</t>
  </si>
  <si>
    <t>Journal of Economic Interaction and Coordination</t>
  </si>
  <si>
    <t>Journal of Economic Issues</t>
  </si>
  <si>
    <t>Journal of Economic Literature</t>
  </si>
  <si>
    <t>Journal of Economic Methodology</t>
  </si>
  <si>
    <t>Journal of Economic Perspectives</t>
  </si>
  <si>
    <t>Journal of Economic Policy Reform</t>
  </si>
  <si>
    <t>Journal of Economic Psychology</t>
  </si>
  <si>
    <t>Journal of Economics and Business</t>
  </si>
  <si>
    <t>Journal of Economics and Economic Education Research</t>
  </si>
  <si>
    <t>Journal of Economics and Finance</t>
  </si>
  <si>
    <t>Journal of Economics and Management Strategy</t>
  </si>
  <si>
    <t>Journal of Economic Studies</t>
  </si>
  <si>
    <t>Journal of Economic Surveys</t>
  </si>
  <si>
    <t>Journal of Economics/ Zeitschrift fur Nationalokonomie</t>
  </si>
  <si>
    <t>Journal of Economic Theory</t>
  </si>
  <si>
    <t>Journal of Economic Theory and Econometrics</t>
  </si>
  <si>
    <t>Journal of Ecophysiology and Occupational Health</t>
  </si>
  <si>
    <t>Journal of Ecotourism</t>
  </si>
  <si>
    <t>Journal of ECT</t>
  </si>
  <si>
    <t>Journal of Educational Administration</t>
  </si>
  <si>
    <t>Journal of educational administration and history</t>
  </si>
  <si>
    <t>Journal of Educational and Behavioral Statistics</t>
  </si>
  <si>
    <t>Journal of Educational and Psychological Consultation</t>
  </si>
  <si>
    <t>Journal of Educational Change</t>
  </si>
  <si>
    <t>Journal of Educational Computing Research</t>
  </si>
  <si>
    <t>Journal of Educational Enquiry</t>
  </si>
  <si>
    <t>Journal of Educational Measurement</t>
  </si>
  <si>
    <t>Journal of Educational Media and Library Science</t>
  </si>
  <si>
    <t>Journal of Educational Media, Memory, and Society</t>
  </si>
  <si>
    <t>Journal of Educational Psychology</t>
  </si>
  <si>
    <t>Journal of Educational Research</t>
  </si>
  <si>
    <t>Journal of Educational Thought</t>
  </si>
  <si>
    <t>Journal of Education and Human Development</t>
  </si>
  <si>
    <t>Journal of Education and Work</t>
  </si>
  <si>
    <t>Journal of Education Finance</t>
  </si>
  <si>
    <t>Journal of Education for Students Placed at Risk</t>
  </si>
  <si>
    <t>Journal of Education for Teaching</t>
  </si>
  <si>
    <t>Journal of Education Policy</t>
  </si>
  <si>
    <t>Journal of Educators Online</t>
  </si>
  <si>
    <t>Journal of Egyptian History</t>
  </si>
  <si>
    <t>Journal of Elasticity</t>
  </si>
  <si>
    <t>Journal of Elastomers and Plastics</t>
  </si>
  <si>
    <t>Journal of Elder Abuse and Neglect</t>
  </si>
  <si>
    <t>Journal of E-Learning and Knowledge Society</t>
  </si>
  <si>
    <t>Journal of Elections, Public Opinion and Parties</t>
  </si>
  <si>
    <t>Journal of Electrical and Computer Engineering</t>
  </si>
  <si>
    <t>Journal of Electrical Engineering</t>
  </si>
  <si>
    <t>Journal of Electrical Engineering and Technology</t>
  </si>
  <si>
    <t>Journal of Electrical Systems</t>
  </si>
  <si>
    <t>Journal of Electrocardiology</t>
  </si>
  <si>
    <t>Journal of Electroceramics</t>
  </si>
  <si>
    <t>Journal of Electromagnetic Waves and Applications</t>
  </si>
  <si>
    <t>Journal of Electromyography and Kinesiology</t>
  </si>
  <si>
    <t>Journal of Electronic Commerce in Organizations</t>
  </si>
  <si>
    <t>Journal of Electronic Imaging</t>
  </si>
  <si>
    <t>Journal of Electronic Materials</t>
  </si>
  <si>
    <t>Journal of Electronic Packaging, Transactions of the ASME</t>
  </si>
  <si>
    <t>Journal of Electronic Publishing</t>
  </si>
  <si>
    <t>Journal of Electronic Resources in Medical Libraries</t>
  </si>
  <si>
    <t>Journal of Electronic Resources Librarianship</t>
  </si>
  <si>
    <t>Journal of Electronics</t>
  </si>
  <si>
    <t>Journal of Electronic Testing: Theory and Applications (JETTA)</t>
  </si>
  <si>
    <t>Journal of Electron Microscopy</t>
  </si>
  <si>
    <t>Journal of Electron Spectroscopy and Related Phenomena</t>
  </si>
  <si>
    <t>Journal of Electrostatics</t>
  </si>
  <si>
    <t>Journal of Elementology</t>
  </si>
  <si>
    <t>Journal of Emergency Medicine</t>
  </si>
  <si>
    <t>Journal of Emergency Nursing</t>
  </si>
  <si>
    <t>Journal of Emergency Primary Health Care</t>
  </si>
  <si>
    <t>Journal of Emerging Market Finance</t>
  </si>
  <si>
    <t>Journal of Emerging Technologies in Accounting</t>
  </si>
  <si>
    <t>Journal of Emerging Technologies in Web Intelligence</t>
  </si>
  <si>
    <t>Journal of Emotional and Behavioral Disorders</t>
  </si>
  <si>
    <t>Journal of Empirical Finance</t>
  </si>
  <si>
    <t>Journal of Empirical Legal Studies</t>
  </si>
  <si>
    <t>Journal of Empirical Research on Human Research Ethics</t>
  </si>
  <si>
    <t>Journal of Empirical Theology</t>
  </si>
  <si>
    <t>Journal of Employment Counseling</t>
  </si>
  <si>
    <t>Journal of Endocrinological Investigation</t>
  </si>
  <si>
    <t>Journal of Endocrinology</t>
  </si>
  <si>
    <t>Journal of Endocrinology, Metabolism and Diabetes of South Africa</t>
  </si>
  <si>
    <t>Journal of Endodontics</t>
  </si>
  <si>
    <t>Journal of Endometriosis</t>
  </si>
  <si>
    <t>Journal of Endourology</t>
  </si>
  <si>
    <t>Journal of Endovascular Therapy</t>
  </si>
  <si>
    <t>Journal of Energetic Materials</t>
  </si>
  <si>
    <t>Journal of Energy Engineering - ASCE</t>
  </si>
  <si>
    <t>Journal of Energy Resources Technology, Transactions of the ASME</t>
  </si>
  <si>
    <t>Journal of Engineered Fibers and Fabrics</t>
  </si>
  <si>
    <t>Journal of Engineering and Applied Science</t>
  </si>
  <si>
    <t>Journal of Engineering and Applied Sciences</t>
  </si>
  <si>
    <t>Journal of Engineering and Technology Management - JET-M</t>
  </si>
  <si>
    <t>Journal of Engineering Design</t>
  </si>
  <si>
    <t>Journal of Engineering, Design and Technology</t>
  </si>
  <si>
    <t>Journal of Engineering Education</t>
  </si>
  <si>
    <t>Journal of Engineering for Gas Turbines and Power</t>
  </si>
  <si>
    <t>Journal of Engineering Materials and Technology, Transactions of the ASME</t>
  </si>
  <si>
    <t>Journal of Engineering Mathematics</t>
  </si>
  <si>
    <t>Journal of Engineering Mechanics - ASCE</t>
  </si>
  <si>
    <t>Journal of Engineering Physics and Thermophysics</t>
  </si>
  <si>
    <t>Journal of Engineering Research</t>
  </si>
  <si>
    <t>Oman</t>
  </si>
  <si>
    <t>Journal of Engineering Science and Technology</t>
  </si>
  <si>
    <t>Journal of Engineering Science and Technology Review</t>
  </si>
  <si>
    <t>Journal of Engineering Thermophysics</t>
  </si>
  <si>
    <t>Journal of English and Germanic Philology</t>
  </si>
  <si>
    <t>Journal of English for Academic Purposes</t>
  </si>
  <si>
    <t>Journal of English Linguistics</t>
  </si>
  <si>
    <t>Journal of Enhanced Heat Transfer</t>
  </si>
  <si>
    <t>Journal of Enterprise Information Management</t>
  </si>
  <si>
    <t>Journal of Enterprising Communities</t>
  </si>
  <si>
    <t>Journal of Entomological Science</t>
  </si>
  <si>
    <t>Journal of Entomology</t>
  </si>
  <si>
    <t>Journal of Entrepreneurship</t>
  </si>
  <si>
    <t>Journal of Entrepreneurship Education</t>
  </si>
  <si>
    <t>Journal of Environmental and Engineering Geophysics</t>
  </si>
  <si>
    <t>Journal of Environmental and Public Health</t>
  </si>
  <si>
    <t>Journal of Environmental Assessment Policy and Management</t>
  </si>
  <si>
    <t>Journal of Environmental Biology</t>
  </si>
  <si>
    <t>Journal of Environmental Economics and Management</t>
  </si>
  <si>
    <t>Journal of Environmental Education</t>
  </si>
  <si>
    <t>Journal of Environmental Engineering and Landscape Management</t>
  </si>
  <si>
    <t>Journal of Environmental Engineering, ASCE</t>
  </si>
  <si>
    <t>Journal of Environmental Engineering (Japan)</t>
  </si>
  <si>
    <t>Journal of Environmental Health</t>
  </si>
  <si>
    <t>Journal of Environmental Hydrology</t>
  </si>
  <si>
    <t>Journal of Environmental Informatics</t>
  </si>
  <si>
    <t>Journal of Environmental Law</t>
  </si>
  <si>
    <t>Journal of Environmental Law and Litigation</t>
  </si>
  <si>
    <t>Journal of Environmental Management</t>
  </si>
  <si>
    <t>Journal of Environmental Monitoring</t>
  </si>
  <si>
    <t>Journal of Environmental Pathology, Toxicology and Oncology</t>
  </si>
  <si>
    <t>Journal of Environmental Planning and Management</t>
  </si>
  <si>
    <t>Journal of Environmental Policy and Planning</t>
  </si>
  <si>
    <t>Journal of Environmental Protection and Ecology</t>
  </si>
  <si>
    <t>Journal of Environmental Psychology</t>
  </si>
  <si>
    <t>Journal of Environmental Quality</t>
  </si>
  <si>
    <t>Journal of Environmental Radioactivity</t>
  </si>
  <si>
    <t>Journal of Environmental Science and Engineering</t>
  </si>
  <si>
    <t>Journal of Environmental Science and Health - Part A Toxic/Hazardous Substances and Environmental Engineering</t>
  </si>
  <si>
    <t>Journal of Environmental Science and Health - Part B Pesticides, Food Contaminants, and Agricultural Wastes</t>
  </si>
  <si>
    <t>Journal of Environmental Science and Management</t>
  </si>
  <si>
    <t>Journal of Environmental Science and Technology</t>
  </si>
  <si>
    <t>Journal of Environmental Sciences</t>
  </si>
  <si>
    <t>Journal of Environmental Studies</t>
  </si>
  <si>
    <t>Journal of Environmental Systems</t>
  </si>
  <si>
    <t>Journal of Environment and Development</t>
  </si>
  <si>
    <t>Journal of Enzyme Inhibition and Medicinal Chemistry</t>
  </si>
  <si>
    <t>Journal of Epidemiology</t>
  </si>
  <si>
    <t>Journal of Epidemiology and Community Health</t>
  </si>
  <si>
    <t>Journal of Epidemiology and Global Health</t>
  </si>
  <si>
    <t>Journal of Epilepsy and Clinical Neurophysiology</t>
  </si>
  <si>
    <t>Journal of Epithelial Biology and Pharmacology</t>
  </si>
  <si>
    <t>Journal of Equine Science</t>
  </si>
  <si>
    <t>Journal of Equine Veterinary Science</t>
  </si>
  <si>
    <t>Journal of Essential Oil-Bearing Plants</t>
  </si>
  <si>
    <t>Journal of Essential Oil Research</t>
  </si>
  <si>
    <t>Journal of Esthetic and Restorative Dentistry</t>
  </si>
  <si>
    <t>Journal of Ethics</t>
  </si>
  <si>
    <t>Journal of Ethnic and Cultural Diversity in Social Work</t>
  </si>
  <si>
    <t>Journal of Ethnic and Migration Studies</t>
  </si>
  <si>
    <t>Journal of Ethnicity in Criminal Justice</t>
  </si>
  <si>
    <t>Journal of Ethnicity in Substance Abuse</t>
  </si>
  <si>
    <t>Journal of Ethnobiology</t>
  </si>
  <si>
    <t>Journal of Ethnobiology and Ethnomedicine</t>
  </si>
  <si>
    <t>Journal of Ethnopharmacology</t>
  </si>
  <si>
    <t>Journal of Ethology</t>
  </si>
  <si>
    <t>Journal of Eukaryotic Microbiology</t>
  </si>
  <si>
    <t>Journal of Eurasian Studies</t>
  </si>
  <si>
    <t>Journal of European Economic History</t>
  </si>
  <si>
    <t>Journal of European Integration</t>
  </si>
  <si>
    <t>Journal of European Public Policy</t>
  </si>
  <si>
    <t>Journal of European Real Estate Research</t>
  </si>
  <si>
    <t>Journal of European Social Policy</t>
  </si>
  <si>
    <t>Journal of European Studies</t>
  </si>
  <si>
    <t>Journal of Evaluation in Clinical Practice</t>
  </si>
  <si>
    <t>Journal of Evidence-Based Complementary and Alternative Medicine</t>
  </si>
  <si>
    <t>Journal of Evidence-Based Dental Practice</t>
  </si>
  <si>
    <t>Journal of Evidence-Based Medicine</t>
  </si>
  <si>
    <t>Journal of Evidence-Based Social Work</t>
  </si>
  <si>
    <t>Journal of Evolutionary Biochemistry and Physiology</t>
  </si>
  <si>
    <t>Journal of Evolutionary Biology</t>
  </si>
  <si>
    <t>Journal of Evolutionary Economics</t>
  </si>
  <si>
    <t>Journal of Evolutionary Psychology</t>
  </si>
  <si>
    <t>Journal of Evolution Equations</t>
  </si>
  <si>
    <t>Journal of Exercise Physiology Online</t>
  </si>
  <si>
    <t>Journal of Exercise Science and Fitness</t>
  </si>
  <si>
    <t>Journal of Exotic Pet Medicine</t>
  </si>
  <si>
    <t>Journal of Experimental Algorithmics</t>
  </si>
  <si>
    <t>Journal of Experimental and Clinical Assisted Reproduction</t>
  </si>
  <si>
    <t>Journal of Experimental and Clinical Cancer Research</t>
  </si>
  <si>
    <t>Journal of Experimental and Clinical Medicine</t>
  </si>
  <si>
    <t>Journal of Experimental and Theoretical Artificial Intelligence</t>
  </si>
  <si>
    <t>Journal of Experimental and Theoretical Physics</t>
  </si>
  <si>
    <t>Journal of Experimental Biology</t>
  </si>
  <si>
    <t>Journal of Experimental Botany</t>
  </si>
  <si>
    <t>Journal of Experimental Child Psychology</t>
  </si>
  <si>
    <t>Journal of Experimental Criminology</t>
  </si>
  <si>
    <t>Journal of Experimental Education</t>
  </si>
  <si>
    <t>Journal of Experimental Marine Biology and Ecology</t>
  </si>
  <si>
    <t>Journal of Experimental Medicine</t>
  </si>
  <si>
    <t>Journal of Experimental Nanoscience</t>
  </si>
  <si>
    <t>Journal of Experimental Neuroscience</t>
  </si>
  <si>
    <t>Journal of Experimental Psychology: Animal Behavior Processes</t>
  </si>
  <si>
    <t>Journal of Experimental Psychology: Applied</t>
  </si>
  <si>
    <t>Journal of Experimental Psychology: General</t>
  </si>
  <si>
    <t>Journal of Experimental Psychology: Human Perception and Performance</t>
  </si>
  <si>
    <t>Journal of Experimental Psychology: Learning Memory and Cognition</t>
  </si>
  <si>
    <t>Journal of Experimental Social Psychology</t>
  </si>
  <si>
    <t>Journal of Experimental Stroke and Translational Medicine</t>
  </si>
  <si>
    <t>Journal of Experimental Therapeutics and Oncology</t>
  </si>
  <si>
    <t>Journal of Experimental Zoology Part A: Ecological Genetics and Physiology</t>
  </si>
  <si>
    <t>Journal of Experimental Zoology Part B: Molecular and Developmental Evolution</t>
  </si>
  <si>
    <t>Journal of Exposure Science and Environmental Epidemiology</t>
  </si>
  <si>
    <t>Journal of Extension</t>
  </si>
  <si>
    <t>Journal of Extra-Corporeal Technology</t>
  </si>
  <si>
    <t>Journal of Failure Analysis and Prevention</t>
  </si>
  <si>
    <t>Journal of Family and Economic Issues</t>
  </si>
  <si>
    <t>Journal of Family Business Strategy</t>
  </si>
  <si>
    <t>Journal of Family Communication</t>
  </si>
  <si>
    <t>Journal of family health care, The</t>
  </si>
  <si>
    <t>Journal of Family History</t>
  </si>
  <si>
    <t>Journal of Family Issues</t>
  </si>
  <si>
    <t>Journal of Family Nursing</t>
  </si>
  <si>
    <t>Journal of Family Planning and Reproductive Health Care</t>
  </si>
  <si>
    <t>Journal of Family Practice</t>
  </si>
  <si>
    <t>Journal of Family Psychology</t>
  </si>
  <si>
    <t>Journal of Family Psychotherapy</t>
  </si>
  <si>
    <t>Journal of Family Social Work</t>
  </si>
  <si>
    <t>Journal of Family Studies</t>
  </si>
  <si>
    <t>Journal of Family Therapy</t>
  </si>
  <si>
    <t>Journal of Family Violence</t>
  </si>
  <si>
    <t>Journal of Fashion Marketing and Management</t>
  </si>
  <si>
    <t>Journal of Feline Medicine and Surgery</t>
  </si>
  <si>
    <t>Journal of Feminist Family Therapy</t>
  </si>
  <si>
    <t>Journal of Feminist Studies in Religion</t>
  </si>
  <si>
    <t>Journal of Field Archaeology</t>
  </si>
  <si>
    <t>Journal of Field Ornithology</t>
  </si>
  <si>
    <t>Journal of Field Robotics</t>
  </si>
  <si>
    <t>Journal of Film and Video</t>
  </si>
  <si>
    <t>Journal of Finance</t>
  </si>
  <si>
    <t>Journal of Financial and Quantitative Analysis</t>
  </si>
  <si>
    <t>Journal of Financial Counseling and Planning</t>
  </si>
  <si>
    <t>Journal of Financial Crime</t>
  </si>
  <si>
    <t>Journal of Financial Econometrics</t>
  </si>
  <si>
    <t>Journal of Financial Economics</t>
  </si>
  <si>
    <t>Journal of Financial Intermediation</t>
  </si>
  <si>
    <t>Journal of Financial Markets</t>
  </si>
  <si>
    <t>Journal of Financial Research</t>
  </si>
  <si>
    <t>Journal of Financial Services Marketing</t>
  </si>
  <si>
    <t>Journal of Financial Services Research</t>
  </si>
  <si>
    <t>Journal of Financial Stability</t>
  </si>
  <si>
    <t>Journal of Fire Protection Engineering</t>
  </si>
  <si>
    <t>Journal of Fire Sciences</t>
  </si>
  <si>
    <t>Journal of Fish Biology</t>
  </si>
  <si>
    <t>Journal of Fish Diseases</t>
  </si>
  <si>
    <t>Journal of Fisheries and Aquatic Science</t>
  </si>
  <si>
    <t>Journal of Fixed Income</t>
  </si>
  <si>
    <t>Journal of Fixed Point Theory and Applications</t>
  </si>
  <si>
    <t>Journal of Flood Risk Management</t>
  </si>
  <si>
    <t>Journal of Flow Visualization and Image Processing</t>
  </si>
  <si>
    <t>Journal of Fluency Disorders</t>
  </si>
  <si>
    <t>Journal of Fluid Mechanics</t>
  </si>
  <si>
    <t>Journal of Fluids and Structures</t>
  </si>
  <si>
    <t>Journal of Fluids Engineering, Transactions of the ASME</t>
  </si>
  <si>
    <t>Journal of Fluorescence</t>
  </si>
  <si>
    <t>Journal of Fluorine Chemistry</t>
  </si>
  <si>
    <t>Journal of Folklore Research</t>
  </si>
  <si>
    <t>Journal of Food, Agriculture and Environment</t>
  </si>
  <si>
    <t>Journal of Food and Drug Analysis</t>
  </si>
  <si>
    <t>Journal of Food and Nutrition Research</t>
  </si>
  <si>
    <t>Journal of Food Biochemistry</t>
  </si>
  <si>
    <t>Journal of Food Composition and Analysis</t>
  </si>
  <si>
    <t>Journal of Food Engineering</t>
  </si>
  <si>
    <t>Journal of Food Process Engineering</t>
  </si>
  <si>
    <t>Journal of Food Processing and Preservation</t>
  </si>
  <si>
    <t>Journal of Food Products Marketing</t>
  </si>
  <si>
    <t>Journal of Food Protection</t>
  </si>
  <si>
    <t>Journal of Food Quality</t>
  </si>
  <si>
    <t>Journal of Food Safety</t>
  </si>
  <si>
    <t>Journal of Food Science</t>
  </si>
  <si>
    <t>Journal of Food Science and Technology</t>
  </si>
  <si>
    <t>Journal of Food Science Education</t>
  </si>
  <si>
    <t>Journal of Food Science Nutrition</t>
  </si>
  <si>
    <t>Journal of Foodservice Business Research</t>
  </si>
  <si>
    <t>Journal of Foot and Ankle Research</t>
  </si>
  <si>
    <t>Journal of Foot and Ankle Surgery</t>
  </si>
  <si>
    <t>Journal of Foraminiferal Research</t>
  </si>
  <si>
    <t>Journal of Forecasting</t>
  </si>
  <si>
    <t>Journal of Forensic and Legal Medicine</t>
  </si>
  <si>
    <t>Journal of Forensic Identification</t>
  </si>
  <si>
    <t>Journal of Forensic Medicine</t>
  </si>
  <si>
    <t>Journal of Forensic Nursing</t>
  </si>
  <si>
    <t>Journal of Forensic Odonto-Stomatology</t>
  </si>
  <si>
    <t>Journal of Forensic Psychiatry and Psychology</t>
  </si>
  <si>
    <t>Journal of Forensic Psychology Practice</t>
  </si>
  <si>
    <t>Journal of Forensic Sciences</t>
  </si>
  <si>
    <t>Journal of Forest Economics</t>
  </si>
  <si>
    <t>Journal of Forest Research</t>
  </si>
  <si>
    <t>Journal of Forestry</t>
  </si>
  <si>
    <t>Journal of Forestry Research</t>
  </si>
  <si>
    <t>Journal of Forest Science</t>
  </si>
  <si>
    <t>Journal of Fourier Analysis and Applications</t>
  </si>
  <si>
    <t>Journal of French Language Studies</t>
  </si>
  <si>
    <t>Journal of Freshwater Ecology</t>
  </si>
  <si>
    <t>Journal of Friction and Wear</t>
  </si>
  <si>
    <t>Journal of Fuel Cell Science and Technology</t>
  </si>
  <si>
    <t>Journal of Fuel Chemistry and Technology</t>
  </si>
  <si>
    <t>Journal of Functional Analysis</t>
  </si>
  <si>
    <t>Journal of Functional Foods</t>
  </si>
  <si>
    <t>Journal of Functional Materials and Devices</t>
  </si>
  <si>
    <t>Journal of Functional Programming</t>
  </si>
  <si>
    <t>Journal of Function Spaces and Applications</t>
  </si>
  <si>
    <t>Journal of Fusion Energy</t>
  </si>
  <si>
    <t>Journal of Futures Markets</t>
  </si>
  <si>
    <t>Journal of Futures Studies</t>
  </si>
  <si>
    <t>Journal of Gambling Issues</t>
  </si>
  <si>
    <t>Journal of Gambling Studies</t>
  </si>
  <si>
    <t>Journal of Gang Research</t>
  </si>
  <si>
    <t>Journal of Gastric Cancer</t>
  </si>
  <si>
    <t>Journal of Gastroenterology</t>
  </si>
  <si>
    <t>Journal of Gastroenterology and Hepatology</t>
  </si>
  <si>
    <t>Journal of Gastrointestinal and Liver Diseases</t>
  </si>
  <si>
    <t>Journal of Gastrointestinal Cancer</t>
  </si>
  <si>
    <t>Journal of Gastrointestinal Surgery</t>
  </si>
  <si>
    <t>Journal of Gay and Lesbian Mental Health</t>
  </si>
  <si>
    <t>Journal of Gay and Lesbian Social Services</t>
  </si>
  <si>
    <t>Journal of Gender Studies</t>
  </si>
  <si>
    <t>Journal of Gene Medicine</t>
  </si>
  <si>
    <t>Journal of General and Applied Microbiology</t>
  </si>
  <si>
    <t>Journal of General Education, The</t>
  </si>
  <si>
    <t>Journal of General Internal Medicine</t>
  </si>
  <si>
    <t>Journal of General Management</t>
  </si>
  <si>
    <t>Journal of General Physiology</t>
  </si>
  <si>
    <t>Journal of General Plant Pathology</t>
  </si>
  <si>
    <t>Journal of General Psychology</t>
  </si>
  <si>
    <t>Journal of General Virology</t>
  </si>
  <si>
    <t>Journal of Generic Medicines</t>
  </si>
  <si>
    <t>Journal of Genetic Counseling</t>
  </si>
  <si>
    <t>Journal of Genetic Psychology</t>
  </si>
  <si>
    <t>Journal of Genetics</t>
  </si>
  <si>
    <t>Journal of Genetics and Genomics</t>
  </si>
  <si>
    <t>Journal of Genocide Research</t>
  </si>
  <si>
    <t>Journal of Geochemical Exploration</t>
  </si>
  <si>
    <t>Journal of Geodesy</t>
  </si>
  <si>
    <t>Journal of Geodynamics</t>
  </si>
  <si>
    <t>Journal of GeoEngineering</t>
  </si>
  <si>
    <t>Journal of Geographical Sciences</t>
  </si>
  <si>
    <t>Journal of Geographical Systems</t>
  </si>
  <si>
    <t>Journal of Geography</t>
  </si>
  <si>
    <t>Journal of Geography in Higher Education</t>
  </si>
  <si>
    <t>Journal of Geology</t>
  </si>
  <si>
    <t>Journal of Geomatics</t>
  </si>
  <si>
    <t>Journal of Geometric Analysis</t>
  </si>
  <si>
    <t>Journal of Geometric Mechanics</t>
  </si>
  <si>
    <t>Journal of Geometry</t>
  </si>
  <si>
    <t>Journal of Geometry and Physics</t>
  </si>
  <si>
    <t>Journal of Geometry and Symmetry in Physics</t>
  </si>
  <si>
    <t>Journal of Geophysical Research</t>
  </si>
  <si>
    <t>Journal of Geophysics and Engineering</t>
  </si>
  <si>
    <t>Journal of Geoscience Education</t>
  </si>
  <si>
    <t>Journal of Geosciences</t>
  </si>
  <si>
    <t>Journal of Geotechnical and Geoenvironmental Engineering - ASCE</t>
  </si>
  <si>
    <t>Journal of Geriatric Cardiology</t>
  </si>
  <si>
    <t>Journal of Geriatric Oncology</t>
  </si>
  <si>
    <t>Journal of Geriatric Physical Therapy</t>
  </si>
  <si>
    <t>Journal of Geriatric Psychiatry and Neurology</t>
  </si>
  <si>
    <t>Journal of Germanic Linguistics</t>
  </si>
  <si>
    <t>Journal of Gerontological Nursing</t>
  </si>
  <si>
    <t>Journal of Gerontological Social Work</t>
  </si>
  <si>
    <t>Journal of Ginseng Research</t>
  </si>
  <si>
    <t>Journal of Glaciology</t>
  </si>
  <si>
    <t>Journal of Glass Studies</t>
  </si>
  <si>
    <t>Journal of Glaucoma</t>
  </si>
  <si>
    <t>Journal of GLBT Family Studies</t>
  </si>
  <si>
    <t>Journal of Global Drug Policy and Practice</t>
  </si>
  <si>
    <t>Journal of Global Environmental Engineering</t>
  </si>
  <si>
    <t>Journal of Global Ethics</t>
  </si>
  <si>
    <t>Journal of Global History</t>
  </si>
  <si>
    <t>Journal of Global Information Management</t>
  </si>
  <si>
    <t>Journal of Global Information Technology Management</t>
  </si>
  <si>
    <t>Journal of Global Marketing</t>
  </si>
  <si>
    <t>Journal of Global Optimization</t>
  </si>
  <si>
    <t>Journal of Graph Algorithms and Applications</t>
  </si>
  <si>
    <t>Journal of Graphic Novels and Comics</t>
  </si>
  <si>
    <t>Journal of Graph Theory</t>
  </si>
  <si>
    <t>Journal of Great Lakes Research</t>
  </si>
  <si>
    <t>Journal of Greek Linguistics</t>
  </si>
  <si>
    <t>Journal of Green Building</t>
  </si>
  <si>
    <t>Journal of Grey System</t>
  </si>
  <si>
    <t>Journal of Grid Computing</t>
  </si>
  <si>
    <t>Journal of Groups in Addiction and Recovery</t>
  </si>
  <si>
    <t>Journal of Group Theory</t>
  </si>
  <si>
    <t>Journal of Guidance, Control, and Dynamics</t>
  </si>
  <si>
    <t>Journal of Gynecological Endoscopy and Surgery</t>
  </si>
  <si>
    <t>Journal of Gynecologic Oncology</t>
  </si>
  <si>
    <t>Journal of Gynecologic Oncology Nursing</t>
  </si>
  <si>
    <t>Journal of Gynecologic Surgery</t>
  </si>
  <si>
    <t>Journal of Hand Surgery</t>
  </si>
  <si>
    <t>Journal of Hand Surgery: European Volume</t>
  </si>
  <si>
    <t>Journal of Hand Therapy</t>
  </si>
  <si>
    <t>Journal of Happiness Studies</t>
  </si>
  <si>
    <t>Journal of Harbin Institute of Technology (New Series)</t>
  </si>
  <si>
    <t>Journal of Hard Tissue Biology</t>
  </si>
  <si>
    <t>Journal of Hazardous Materials</t>
  </si>
  <si>
    <t>Journal of Hazardous, Toxic, and Radioactive Waste</t>
  </si>
  <si>
    <t>Journal of Headache and Pain</t>
  </si>
  <si>
    <t>Journal of Head Trauma Rehabilitation</t>
  </si>
  <si>
    <t>Journal of Health and Human Services Administration</t>
  </si>
  <si>
    <t>Journal of Health and Social Behavior</t>
  </si>
  <si>
    <t>Journal of Health Care Chaplaincy</t>
  </si>
  <si>
    <t>Journal of Healthcare Engineering</t>
  </si>
  <si>
    <t>Journal of Health Care Finance</t>
  </si>
  <si>
    <t>Journal of Health Care for the Poor and Underserved</t>
  </si>
  <si>
    <t>Journal of Healthcare Management</t>
  </si>
  <si>
    <t>Journal of healthcare protection management : publication of the International Association for Hospital Security</t>
  </si>
  <si>
    <t>Journal of healthcare risk management : the journal of the American Society for Healthcare Risk Management</t>
  </si>
  <si>
    <t>Journal of Health Communication</t>
  </si>
  <si>
    <t>Journal of Health Economics</t>
  </si>
  <si>
    <t>Journal of Health Management</t>
  </si>
  <si>
    <t>Journal of Health, Organisation and Management</t>
  </si>
  <si>
    <t>Journal of Health Politics, Policy and Law</t>
  </si>
  <si>
    <t>Journal of Health, Population and Nutrition</t>
  </si>
  <si>
    <t>Journal of Health Psychology</t>
  </si>
  <si>
    <t>Journal of Health Science</t>
  </si>
  <si>
    <t>Journal of Health Services Research and Policy</t>
  </si>
  <si>
    <t>Journal of Heart and Lung Transplantation</t>
  </si>
  <si>
    <t>Journal of Heart Valve Disease</t>
  </si>
  <si>
    <t>Journal of Heat Transfer</t>
  </si>
  <si>
    <t>Journal of Hellenic Studies</t>
  </si>
  <si>
    <t>Journal of Helminthology</t>
  </si>
  <si>
    <t>Journal of Hematology and Oncology</t>
  </si>
  <si>
    <t>Journal of Hematopathology</t>
  </si>
  <si>
    <t>Journal of Hepato-Biliary-Pancreatic Sciences</t>
  </si>
  <si>
    <t>Journal of Hepatology</t>
  </si>
  <si>
    <t>Journal of Herbs, Spices and Medicinal Plants</t>
  </si>
  <si>
    <t>Journal of Heredity</t>
  </si>
  <si>
    <t>Journal of Herpetology</t>
  </si>
  <si>
    <t>Journal of Heterocyclic Chemistry</t>
  </si>
  <si>
    <t>Journal of Heuristics</t>
  </si>
  <si>
    <t>Journal of High Energy Physics</t>
  </si>
  <si>
    <t>Journal of Higher Education</t>
  </si>
  <si>
    <t>Journal of Higher Education Policy and Management</t>
  </si>
  <si>
    <t>Journal of High Speed Networks</t>
  </si>
  <si>
    <t>Journal of High Technology Management Research</t>
  </si>
  <si>
    <t>Journal of Hindu Studies</t>
  </si>
  <si>
    <t>Journal of Hispanic Higher Education</t>
  </si>
  <si>
    <t>Journal of Histochemistry and Cytochemistry</t>
  </si>
  <si>
    <t>Journal of Historical Geographpy</t>
  </si>
  <si>
    <t>Journal of Historical Pragmatics</t>
  </si>
  <si>
    <t>Journal of Historical Sociology</t>
  </si>
  <si>
    <t>Journal of Histotechnology</t>
  </si>
  <si>
    <t>Journal of HIV/AIDS and Social Services</t>
  </si>
  <si>
    <t>Journal of Hohai University</t>
  </si>
  <si>
    <t>Journal of Holistic Nursing</t>
  </si>
  <si>
    <t>Journal of Homeland Security and Emergency Management</t>
  </si>
  <si>
    <t>Journal of Homosexuality</t>
  </si>
  <si>
    <t>Journal of Horticultural Science and Biotechnology</t>
  </si>
  <si>
    <t>Journal of Hospice and Palliative Nursing</t>
  </si>
  <si>
    <t>Journal of Hospital Infection</t>
  </si>
  <si>
    <t>Journal of Hospitality and Tourism Research</t>
  </si>
  <si>
    <t>Journal of Hospitality and Tourism Technology</t>
  </si>
  <si>
    <t>Journal of Hospitality, Leisure, Sports and Tourism Education</t>
  </si>
  <si>
    <t>Journal of Hospitality Marketing and Management</t>
  </si>
  <si>
    <t>Journal of Hospital Librarianship</t>
  </si>
  <si>
    <t>Journal of Hospital Medicine</t>
  </si>
  <si>
    <t>Journal of hospital medicine (Online)</t>
  </si>
  <si>
    <t>Journal of Housing and the Built Environment</t>
  </si>
  <si>
    <t>Journal of Housing Economics</t>
  </si>
  <si>
    <t>Journal of Housing for the Elderly</t>
  </si>
  <si>
    <t>Journal of Huazhong University of Science and Technology - Medical Science</t>
  </si>
  <si>
    <t>Journal of Human Behavior in the Social Environment</t>
  </si>
  <si>
    <t>Journal of Human Capital</t>
  </si>
  <si>
    <t>Journal of Human Development and Capabilities</t>
  </si>
  <si>
    <t>Journal of Human Evolution</t>
  </si>
  <si>
    <t>Journal of Human Genetics</t>
  </si>
  <si>
    <t>Journal of Human Hypertension</t>
  </si>
  <si>
    <t>Journal of Humanistic Counseling</t>
  </si>
  <si>
    <t>Journal of Humanistic Psychology</t>
  </si>
  <si>
    <t>Journal of Humanities and Social Sciences</t>
  </si>
  <si>
    <t>Journal of Human Kinetics</t>
  </si>
  <si>
    <t>Journal of Human Lactation</t>
  </si>
  <si>
    <t>Journal of Human Nutrition and Dietetics</t>
  </si>
  <si>
    <t>Journal of Human Reproductive Sciences</t>
  </si>
  <si>
    <t>Journal of Human Resources</t>
  </si>
  <si>
    <t>Journal of Human Resources in Hospitality and Tourism</t>
  </si>
  <si>
    <t>Journal of Human Rights</t>
  </si>
  <si>
    <t>Journal of Human Rights Practice</t>
  </si>
  <si>
    <t>Journal of Human Security</t>
  </si>
  <si>
    <t>Journal of Human Sport and Exercise</t>
  </si>
  <si>
    <t>Journal of Human Values</t>
  </si>
  <si>
    <t>Journal of Hunger and Environmental Nutrition</t>
  </si>
  <si>
    <t>Journal of Hydraulic Engineering</t>
  </si>
  <si>
    <t>Journal of Hydraulic Research/De Recherches Hydrauliques</t>
  </si>
  <si>
    <t>Journal of Hydrodynamics</t>
  </si>
  <si>
    <t>Journal of Hydro-Environment Research</t>
  </si>
  <si>
    <t>Journal of Hydroinformatics</t>
  </si>
  <si>
    <t>Journal of Hydrologic Engineering - ASCE</t>
  </si>
  <si>
    <t>Journal of Hydrology</t>
  </si>
  <si>
    <t>Journal of Hydrology: New Zealand</t>
  </si>
  <si>
    <t>Journal of Hydrometeorology</t>
  </si>
  <si>
    <t>Journal of Hymenoptera Research</t>
  </si>
  <si>
    <t>Journal of Hyperbolic Differential Equations</t>
  </si>
  <si>
    <t>Journal of Hypertension</t>
  </si>
  <si>
    <t>Journal of Iberian and Latin American Research</t>
  </si>
  <si>
    <t>Journal of Iberian Geology</t>
  </si>
  <si>
    <t>Journal of Ichthyology</t>
  </si>
  <si>
    <t>Journal of Imagery Research in Sport and Physical Activity</t>
  </si>
  <si>
    <t>Journal of Imaging Science and Technology</t>
  </si>
  <si>
    <t>Journal of Immigrant and Minority Health</t>
  </si>
  <si>
    <t>Journal of Immigrant and Refugee Studies</t>
  </si>
  <si>
    <t>Journal of Immune Based Therapies and Vaccines</t>
  </si>
  <si>
    <t>Journal of Immunoassay and Immunochemistry</t>
  </si>
  <si>
    <t>Journal of Immunological Methods</t>
  </si>
  <si>
    <t>Journal of Immunology</t>
  </si>
  <si>
    <t>Journal of Immunotherapy</t>
  </si>
  <si>
    <t>Journal of Immunotoxicology</t>
  </si>
  <si>
    <t>Journal of Imperial and Commonwealth History</t>
  </si>
  <si>
    <t>Journal of Inclusion Phenomena and Macrocyclic Chemistry</t>
  </si>
  <si>
    <t>Journal of Income Distribution</t>
  </si>
  <si>
    <t>Journal of Indian Academy of Forensic Medicine</t>
  </si>
  <si>
    <t>Journal of Indian Association for Child and Adolescent Mental Health</t>
  </si>
  <si>
    <t>Journal of Indian Association of Pediatric Surgeons</t>
  </si>
  <si>
    <t>Journal of Indian Philosophy</t>
  </si>
  <si>
    <t>Journal of Indian Prosthodontist Society</t>
  </si>
  <si>
    <t>Journal of Indian Society of Periodontology</t>
  </si>
  <si>
    <t>Journal of Individual Differences</t>
  </si>
  <si>
    <t>Journal of Indo-European Studies, The</t>
  </si>
  <si>
    <t>Journal of Industrial and Engineering Chemistry</t>
  </si>
  <si>
    <t>Journal of Industrial and Management Optimization</t>
  </si>
  <si>
    <t>Journal of Industrial Ecology</t>
  </si>
  <si>
    <t>Journal of Industrial Economics</t>
  </si>
  <si>
    <t>Journal of Industrial Microbiology and Biotechnology</t>
  </si>
  <si>
    <t>Journal of Industrial Pollution Control</t>
  </si>
  <si>
    <t>Journal of Industrial Relations, The</t>
  </si>
  <si>
    <t>Journal of Industrial Technology</t>
  </si>
  <si>
    <t>Journal of Industrial Textiles</t>
  </si>
  <si>
    <t>Journal of Industry, Competition and Trade</t>
  </si>
  <si>
    <t>Journal of Inequalities and Applications</t>
  </si>
  <si>
    <t>Journal of Infection</t>
  </si>
  <si>
    <t>Journal of Infection and Chemotherapy</t>
  </si>
  <si>
    <t>Journal of Infection and Public Health</t>
  </si>
  <si>
    <t>Journal of Infection in Developing Countries</t>
  </si>
  <si>
    <t>Journal of Infection Preventions</t>
  </si>
  <si>
    <t>Journal of Infectious Diseases</t>
  </si>
  <si>
    <t>Journal of Inflammation</t>
  </si>
  <si>
    <t>Journal of Inflammation Research</t>
  </si>
  <si>
    <t>Journal of Information and Communication Technology</t>
  </si>
  <si>
    <t>Journal of Information and Computational Science</t>
  </si>
  <si>
    <t>Journal of Information and Organizational Sciences</t>
  </si>
  <si>
    <t>Journal of Information Display</t>
  </si>
  <si>
    <t>Journal of Information Ethics</t>
  </si>
  <si>
    <t>Journal of Information Hiding and Multimedia Signal Processing</t>
  </si>
  <si>
    <t>Journal of Information, Information Technology, and Organizations</t>
  </si>
  <si>
    <t>Journal of Information Processing</t>
  </si>
  <si>
    <t>Journal of Information Processing Systems</t>
  </si>
  <si>
    <t>Journal of Information Science</t>
  </si>
  <si>
    <t>Journal of Information Science and Engineering</t>
  </si>
  <si>
    <t>Journal of Information Systems</t>
  </si>
  <si>
    <t>Journal of Information Technology</t>
  </si>
  <si>
    <t>Journal of Information Technology and Politics</t>
  </si>
  <si>
    <t>Journal of Information Technology Education:Research</t>
  </si>
  <si>
    <t>Journal of Informetrics</t>
  </si>
  <si>
    <t>Journal of Infrared, Millimeter, and Terahertz Waves</t>
  </si>
  <si>
    <t>Journal of Infrastructure Systems</t>
  </si>
  <si>
    <t>Journal of Infusion Nursing</t>
  </si>
  <si>
    <t>Journal of Inherited Metabolic Disease</t>
  </si>
  <si>
    <t>Journal of Injury and Violence Research</t>
  </si>
  <si>
    <t>Journal of Innate Immunity</t>
  </si>
  <si>
    <t>Journal of Innovative Optical Health Sciences</t>
  </si>
  <si>
    <t>Journal of Inorganic and Organometallic Polymers and Materials</t>
  </si>
  <si>
    <t>Journal of Inorganic Biochemistry</t>
  </si>
  <si>
    <t>Journal of Insect Behavior</t>
  </si>
  <si>
    <t>Journal of Insect Biotechnology and Sericology</t>
  </si>
  <si>
    <t>Journal of Insect Conservation</t>
  </si>
  <si>
    <t>Journal of Insect Physiology</t>
  </si>
  <si>
    <t>Journal of Insect Science</t>
  </si>
  <si>
    <t>Journal of Institute of Control, Robotics and Systems</t>
  </si>
  <si>
    <t>Journal of Institutional and Theoretical Economics</t>
  </si>
  <si>
    <t>Journal of Institutional Economics</t>
  </si>
  <si>
    <t>Journal of Institutional Research South East Asia</t>
  </si>
  <si>
    <t>Journal of Instruction-Level Parallelism</t>
  </si>
  <si>
    <t>Journal of Instrumentation</t>
  </si>
  <si>
    <t>Journal of insurance medicine (New York, N.Y.)</t>
  </si>
  <si>
    <t>Journal of Integer Sequences</t>
  </si>
  <si>
    <t>Journal of Integrated Care</t>
  </si>
  <si>
    <t>Journal of Integrated Circuits and Systems</t>
  </si>
  <si>
    <t>Journal of Integrated Design and Process Science</t>
  </si>
  <si>
    <t>Journal of Integrative Agriculture</t>
  </si>
  <si>
    <t>Journal of integrative bioinformatics</t>
  </si>
  <si>
    <t>Journal of Integrative Neuroscience</t>
  </si>
  <si>
    <t>Journal of Integrative Plant Biology</t>
  </si>
  <si>
    <t>Journal of Intellectual and Developmental Disability</t>
  </si>
  <si>
    <t>Journal of Intellectual Capital</t>
  </si>
  <si>
    <t>Journal of Intellectual Disabilities</t>
  </si>
  <si>
    <t>Journal of Intellectual Disability Research</t>
  </si>
  <si>
    <t>Journal of Intellectual Property</t>
  </si>
  <si>
    <t>Journal of Intelligent and Fuzzy Systems</t>
  </si>
  <si>
    <t>Journal of Intelligent and Robotic Systems: Theory and Applications</t>
  </si>
  <si>
    <t>Journal of Intelligent Information Systems</t>
  </si>
  <si>
    <t>Journal of Intelligent Manufacturing</t>
  </si>
  <si>
    <t>Journal of Intelligent Material Systems and Structures</t>
  </si>
  <si>
    <t>Journal of Intelligent Systems</t>
  </si>
  <si>
    <t>Journal of Intelligent Transportation Systems</t>
  </si>
  <si>
    <t>Journal of Intensive Care Medicine</t>
  </si>
  <si>
    <t>Journal of Interactive Learning Research</t>
  </si>
  <si>
    <t>Journal of Interactive Marketing</t>
  </si>
  <si>
    <t>Journal of Interactive Online Learning</t>
  </si>
  <si>
    <t>Journal of Interconnection Networks</t>
  </si>
  <si>
    <t>Journal of Intercultural Communication Research</t>
  </si>
  <si>
    <t>Journal of Intercultural Studies</t>
  </si>
  <si>
    <t>Journal of Interdisciplinary Economics</t>
  </si>
  <si>
    <t>Journal of Interdisciplinary History</t>
  </si>
  <si>
    <t>Journal of Interdisciplinary Mathematics</t>
  </si>
  <si>
    <t>Journal of Interferon and Cytokine Research</t>
  </si>
  <si>
    <t>Journal of Intergenerational Relationships</t>
  </si>
  <si>
    <t>Journal of Interlibrary Loan, Document Delivery and Electronic Reserve</t>
  </si>
  <si>
    <t>Journal of Internal Medicine</t>
  </si>
  <si>
    <t>Journal of Internal Medicine of Taiwan</t>
  </si>
  <si>
    <t>Journal of International Accounting, Auditing and Taxation</t>
  </si>
  <si>
    <t>Journal of International Accounting Research</t>
  </si>
  <si>
    <t>Journal of International Advanced Otology</t>
  </si>
  <si>
    <t>Journal of International Agricultural and Extension Education</t>
  </si>
  <si>
    <t>Journal of International Business Studies</t>
  </si>
  <si>
    <t>Journal of International Commercial Law and Technology</t>
  </si>
  <si>
    <t>Journal of International Consumer Marketing</t>
  </si>
  <si>
    <t>Journal of International Criminal Justice</t>
  </si>
  <si>
    <t>Journal of International Dental and Medical Research</t>
  </si>
  <si>
    <t>Journal of International Development</t>
  </si>
  <si>
    <t>Journal of International Economic Law</t>
  </si>
  <si>
    <t>Journal of International Economics</t>
  </si>
  <si>
    <t>Journal of International Entrepreneurship</t>
  </si>
  <si>
    <t>Journal of International Financial Management and Accounting</t>
  </si>
  <si>
    <t>Journal of International Financial Markets, Institutions and Money</t>
  </si>
  <si>
    <t>Journal of International Food and Agribusiness Marketing</t>
  </si>
  <si>
    <t>Journal of International Management</t>
  </si>
  <si>
    <t>Journal of International Marketing</t>
  </si>
  <si>
    <t>Journal of International Medical Research</t>
  </si>
  <si>
    <t>Journal of International Migration and Integration</t>
  </si>
  <si>
    <t>Journal of International Money and Finance</t>
  </si>
  <si>
    <t>Journal of International Pharmaceutical Research</t>
  </si>
  <si>
    <t>Journal of International Relations and Development</t>
  </si>
  <si>
    <t>Journal of International Trade and Economic Development</t>
  </si>
  <si>
    <t>Journal of International Trade Law and Policy</t>
  </si>
  <si>
    <t>Journal of International Wildlife Law and Policy</t>
  </si>
  <si>
    <t>Journal of International Women's Studies</t>
  </si>
  <si>
    <t>Journal of Internet Banking and Commerce</t>
  </si>
  <si>
    <t>Journal of Internet Commerce</t>
  </si>
  <si>
    <t>Journal of Internet Services and Applications</t>
  </si>
  <si>
    <t>Journal of Internet Technology</t>
  </si>
  <si>
    <t>Journal of Interpersonal Violence</t>
  </si>
  <si>
    <t>Journal of Interprofessional Care</t>
  </si>
  <si>
    <t>Journal of Interventional Cardiac Electrophysiology</t>
  </si>
  <si>
    <t>Journal of Interventional Cardiology</t>
  </si>
  <si>
    <t>Journal of Interventional Radiology</t>
  </si>
  <si>
    <t>Journal of Invasive Cardiology</t>
  </si>
  <si>
    <t>Journal of Invasive Fungal Infections</t>
  </si>
  <si>
    <t>Journal of Inverse and Ill-Posed Problems</t>
  </si>
  <si>
    <t>Journal of Invertebrate Pathology</t>
  </si>
  <si>
    <t>Journal of Investigational Allergology and Clinical Immunology</t>
  </si>
  <si>
    <t>Journal of investigative and clinical dentistry</t>
  </si>
  <si>
    <t>Journal of Investigative Dermatology</t>
  </si>
  <si>
    <t>Journal of Investigative Dermatology Symposium Proceedings</t>
  </si>
  <si>
    <t>Journal of Investigative Medicine</t>
  </si>
  <si>
    <t>Journal of Investigative Psychology and Offender Profiling</t>
  </si>
  <si>
    <t>Journal of Investigative Surgery</t>
  </si>
  <si>
    <t>Journal of Iron and Steel Research</t>
  </si>
  <si>
    <t>Journal of Iron and Steel Research International</t>
  </si>
  <si>
    <t>Journal of Irrigation and Drainage Engineering - ASCE</t>
  </si>
  <si>
    <t>Journal of Isfahan Medical School</t>
  </si>
  <si>
    <t>Journal of Islamic Studies</t>
  </si>
  <si>
    <t>Journal of Island and Coastal Archaeology</t>
  </si>
  <si>
    <t>Journal of Israeli History</t>
  </si>
  <si>
    <t>Journal of Japanese Botany</t>
  </si>
  <si>
    <t>Journal of Japanese Dental Society of Anesthesiology</t>
  </si>
  <si>
    <t>Journal of Japanese Ophthalmological Society</t>
  </si>
  <si>
    <t>Journal of Japanese Studies</t>
  </si>
  <si>
    <t>Journal of Japan Industrial Management Association</t>
  </si>
  <si>
    <t>Journal of Jewish Studies</t>
  </si>
  <si>
    <t>Journal of Jewish Thought and Philosophy</t>
  </si>
  <si>
    <t>Journal of Jilin University Medicine Edition</t>
  </si>
  <si>
    <t>Journal of Kerman University of Medical Sciences</t>
  </si>
  <si>
    <t>Journal of King Abdulaziz University, Earth Sciences</t>
  </si>
  <si>
    <t>Journal of King Abdulaziz University, Islamic Economics</t>
  </si>
  <si>
    <t>Journal of King Abdulaziz University, Marine Science</t>
  </si>
  <si>
    <t>Journal of King Saud University - Science</t>
  </si>
  <si>
    <t>Journal of knee surgery, The</t>
  </si>
  <si>
    <t>Journal of Knot Theory and its Ramifications</t>
  </si>
  <si>
    <t>Journal of Knowledge Management</t>
  </si>
  <si>
    <t>Journal of Korean Academy of Nursing</t>
  </si>
  <si>
    <t>Journal of Korean Institute of Metals and Materials</t>
  </si>
  <si>
    <t>Journal of Korean Medical Science</t>
  </si>
  <si>
    <t>Journal of Korean Neurosurgical Society</t>
  </si>
  <si>
    <t>Journal of Korean Society for Clinical Pharmacology and Therapeutics</t>
  </si>
  <si>
    <t>Journal of Korean Studies</t>
  </si>
  <si>
    <t>Journal of K-Theory</t>
  </si>
  <si>
    <t>Journal of Labelled Compounds and Radiopharmaceuticals</t>
  </si>
  <si>
    <t>Journal of Labor Economics</t>
  </si>
  <si>
    <t>Journal of Labor Research</t>
  </si>
  <si>
    <t>Journal of Landscape Architecture</t>
  </si>
  <si>
    <t>Journal of Landscape Ecology</t>
  </si>
  <si>
    <t>Journal of Land Use Science</t>
  </si>
  <si>
    <t>Journal of Language and Literature</t>
  </si>
  <si>
    <t>Journal of Language and Politics</t>
  </si>
  <si>
    <t>Journal of Language and Social Psychology</t>
  </si>
  <si>
    <t>Journal of Language, Identity, and Education</t>
  </si>
  <si>
    <t>Journal of Laparoendoscopic and Advanced Surgical Techniques - Part A</t>
  </si>
  <si>
    <t>Journal of Laryngology and Otology</t>
  </si>
  <si>
    <t>Journal of Laser Applications</t>
  </si>
  <si>
    <t>Journal of Laser Micro Nanoengineering</t>
  </si>
  <si>
    <t>Journal of Latin American and Caribbean Anthropology</t>
  </si>
  <si>
    <t>Journal of Latin American Cultural Studies</t>
  </si>
  <si>
    <t>Journal of Latin American Geography</t>
  </si>
  <si>
    <t>Journal of Latin American Studies</t>
  </si>
  <si>
    <t>Journal of Latinos and Education</t>
  </si>
  <si>
    <t>Journal of Law and Economics</t>
  </si>
  <si>
    <t>Journal of law and medicine</t>
  </si>
  <si>
    <t>Journal of Law and Society</t>
  </si>
  <si>
    <t>Journal of Law, Economics, and Organization</t>
  </si>
  <si>
    <t>Journal of Law, Medicine and Ethics</t>
  </si>
  <si>
    <t>Journal of Leadership and Organizational Studies</t>
  </si>
  <si>
    <t>Journal of Leadership Studies</t>
  </si>
  <si>
    <t>Journal of Learning Disabilities</t>
  </si>
  <si>
    <t>Journal of Legal Education</t>
  </si>
  <si>
    <t>Journal of Legal History</t>
  </si>
  <si>
    <t>Journal of Legal Medicine</t>
  </si>
  <si>
    <t>Journal of Legal Studies</t>
  </si>
  <si>
    <t>Journal of Legislative Studies, The</t>
  </si>
  <si>
    <t>Journal of Leisure Research</t>
  </si>
  <si>
    <t>Journal of Lesbian Studies</t>
  </si>
  <si>
    <t>Journal of Leukemia and Lymphoma</t>
  </si>
  <si>
    <t>Journal of Leukocyte Biology</t>
  </si>
  <si>
    <t>Journal of LGBT Issues in Counseling</t>
  </si>
  <si>
    <t>Journal of LGBT Youth</t>
  </si>
  <si>
    <t>Journal of Librarianship and Information Science</t>
  </si>
  <si>
    <t>Journal of Library Administration</t>
  </si>
  <si>
    <t>Journal of Library and Information Services in Distance Learning</t>
  </si>
  <si>
    <t>Journal of Library Metadata</t>
  </si>
  <si>
    <t>Journal of Lie Theory</t>
  </si>
  <si>
    <t>Journal of Light and Visual Environment</t>
  </si>
  <si>
    <t>Journal of Lightwave Technology</t>
  </si>
  <si>
    <t>Journal of Limnology</t>
  </si>
  <si>
    <t>Journal of Linguistic Anthropology</t>
  </si>
  <si>
    <t>Journal of Linguistics</t>
  </si>
  <si>
    <t>Journal of Lipid Research</t>
  </si>
  <si>
    <t>Journal of Liposome Research</t>
  </si>
  <si>
    <t>Journal of Liquid Chromatography and Related Technologies</t>
  </si>
  <si>
    <t>Journal of Literacy Research</t>
  </si>
  <si>
    <t>Journal of Literary Semantics</t>
  </si>
  <si>
    <t>Journal of Literary Studies</t>
  </si>
  <si>
    <t>Journal of Location Based Services</t>
  </si>
  <si>
    <t>Journal of Logic and Algebraic Programming</t>
  </si>
  <si>
    <t>Journal of Logic and Computation</t>
  </si>
  <si>
    <t>Journal of Logic, Language and Information</t>
  </si>
  <si>
    <t>Journal of Long-Term Effects of Medical Implants</t>
  </si>
  <si>
    <t>Journal of Loss and Trauma</t>
  </si>
  <si>
    <t>Journal of Loss Prevention in the Process Industries</t>
  </si>
  <si>
    <t>Journal of Lower Genital Tract Disease</t>
  </si>
  <si>
    <t>Journal of Low Frequency Noise Vibration and Active Control</t>
  </si>
  <si>
    <t>Journal of Low Power Electronics</t>
  </si>
  <si>
    <t>Journal of Low Temperature Physics</t>
  </si>
  <si>
    <t>Journal of Luminescence</t>
  </si>
  <si>
    <t>Journal of Machine Learning Research</t>
  </si>
  <si>
    <t>Journal of Machinery Manufacture and Reliability</t>
  </si>
  <si>
    <t>Journal of Macroeconomics</t>
  </si>
  <si>
    <t>Journal of Macromarketing</t>
  </si>
  <si>
    <t>Journal of Macromolecular Science - Physics</t>
  </si>
  <si>
    <t>Journal of Macromolecular Science - Pure and Applied Chemistry</t>
  </si>
  <si>
    <t>Journal of Magnetic Resonance</t>
  </si>
  <si>
    <t>Journal of Magnetic Resonance Imaging</t>
  </si>
  <si>
    <t>Journal of Magnetics</t>
  </si>
  <si>
    <t>Journal of Magnetism and Magnetic Materials</t>
  </si>
  <si>
    <t>Journal of Mammalian Evolution</t>
  </si>
  <si>
    <t>Journal of Mammalian Ova Research</t>
  </si>
  <si>
    <t>Journal of Mammalogy</t>
  </si>
  <si>
    <t>Journal of Mammary Gland Biology and Neoplasia</t>
  </si>
  <si>
    <t>Journal of Managed Care Pharmacy</t>
  </si>
  <si>
    <t>Journal of Management</t>
  </si>
  <si>
    <t>Journal of Management Accounting Research</t>
  </si>
  <si>
    <t>Journal of Management and Governance</t>
  </si>
  <si>
    <t>Journal of Management and Organization</t>
  </si>
  <si>
    <t>Journal of Management Control</t>
  </si>
  <si>
    <t>Journal of Management Development</t>
  </si>
  <si>
    <t>Journal of Management Education</t>
  </si>
  <si>
    <t>Journal of Management in Engineering - ASCE</t>
  </si>
  <si>
    <t>Journal of Management Information Systems</t>
  </si>
  <si>
    <t>Journal of Management Inquiry</t>
  </si>
  <si>
    <t>Journal of Management, Spirituality and Religion</t>
  </si>
  <si>
    <t>Journal of Management Studies</t>
  </si>
  <si>
    <t>Journal of Managerial Issues</t>
  </si>
  <si>
    <t>Journal of Managerial Psychology</t>
  </si>
  <si>
    <t>Journal of Manipulative and Physiological Therapeutics</t>
  </si>
  <si>
    <t>Journal of Manual and Manipulative Therapy</t>
  </si>
  <si>
    <t>Journal of Manufacturing Processes</t>
  </si>
  <si>
    <t>Journal of Manufacturing Science and Engineering, Transactions of the ASME</t>
  </si>
  <si>
    <t>Journal of Manufacturing Systems</t>
  </si>
  <si>
    <t>Journal of Manufacturing Technology Management</t>
  </si>
  <si>
    <t>Journal of Map and Geography Libraries</t>
  </si>
  <si>
    <t>Journal of Marine Environmental Engineering</t>
  </si>
  <si>
    <t>Journal of Marine Research</t>
  </si>
  <si>
    <t>Journal of Marine Science and Application</t>
  </si>
  <si>
    <t>Journal of Marine Science and Technology</t>
  </si>
  <si>
    <t>Journal of Marine Systems</t>
  </si>
  <si>
    <t>Journal of Marital and Family Therapy</t>
  </si>
  <si>
    <t>Journal of Maritime Archaeology</t>
  </si>
  <si>
    <t>Journal of Maritime Law and Commerce</t>
  </si>
  <si>
    <t>Journal of Maritime Research</t>
  </si>
  <si>
    <t>Journal of Marketing</t>
  </si>
  <si>
    <t>Journal of Marketing Channels</t>
  </si>
  <si>
    <t>Journal of Marketing Communications</t>
  </si>
  <si>
    <t>Journal of Marketing Education</t>
  </si>
  <si>
    <t>Journal of Marketing for Higher Education</t>
  </si>
  <si>
    <t>Journal of Marketing Management</t>
  </si>
  <si>
    <t>Journal of Marketing Research</t>
  </si>
  <si>
    <t>Journal of Marketing Theory and Practice</t>
  </si>
  <si>
    <t>Journal of Marriage and Family</t>
  </si>
  <si>
    <t>Journal of Mass Media Ethics</t>
  </si>
  <si>
    <t>Journal of Mass Spectrometry</t>
  </si>
  <si>
    <t>Journal of Material Culture</t>
  </si>
  <si>
    <t>Journal of Material Cycles and Waste Management</t>
  </si>
  <si>
    <t>Journal of Materials and Environmental Science</t>
  </si>
  <si>
    <t>Morocco</t>
  </si>
  <si>
    <t>Journal of Materials Chemistry</t>
  </si>
  <si>
    <t>Journal of Materials Education</t>
  </si>
  <si>
    <t>Journal of Materials Engineering and Performance</t>
  </si>
  <si>
    <t>Journal of Materials in Civil Engineering</t>
  </si>
  <si>
    <t>Journal of Materials Processing Technology</t>
  </si>
  <si>
    <t>Journal of Materials Research</t>
  </si>
  <si>
    <t>Journal of Materials Science</t>
  </si>
  <si>
    <t>Journal of Materials Science and Technology</t>
  </si>
  <si>
    <t>Journal of Materials Science: Materials in Electronics</t>
  </si>
  <si>
    <t>Journal of Maternal-Fetal and Neonatal Medicine</t>
  </si>
  <si>
    <t>Journal of Mathematical Analysis and Applications</t>
  </si>
  <si>
    <t>Journal of Mathematical Behavior</t>
  </si>
  <si>
    <t>Journal of Mathematical Biology</t>
  </si>
  <si>
    <t>Journal of Mathematical Chemistry</t>
  </si>
  <si>
    <t>Journal of Mathematical Cryptology</t>
  </si>
  <si>
    <t>Journal of Mathematical Economics</t>
  </si>
  <si>
    <t>Journal of Mathematical Fluid Mechanics</t>
  </si>
  <si>
    <t>Journal of Mathematical Imaging and Vision</t>
  </si>
  <si>
    <t>Journal of Mathematical Inequalities</t>
  </si>
  <si>
    <t>Journal of Mathematical Logic</t>
  </si>
  <si>
    <t>Journal of Mathematical Modelling and Algorithms</t>
  </si>
  <si>
    <t>Journal of Mathematical Neuroscience</t>
  </si>
  <si>
    <t>Journal of Mathematical Physics</t>
  </si>
  <si>
    <t>Journal of Mathematical Psychology</t>
  </si>
  <si>
    <t>Journal of Mathematical Sciences</t>
  </si>
  <si>
    <t>Journal of Mathematical Sciences (Japan)</t>
  </si>
  <si>
    <t>Journal of Mathematical Sociology</t>
  </si>
  <si>
    <t>Journal of Mathematics and Music</t>
  </si>
  <si>
    <t>Journal of Mathematics and Statistics</t>
  </si>
  <si>
    <t>Journal of Mathematics and the Arts</t>
  </si>
  <si>
    <t>Journal of Mathematics in Industry</t>
  </si>
  <si>
    <t>Journal of Mathematics of Kyoto University</t>
  </si>
  <si>
    <t>Journal of Mathematics Teacher Education</t>
  </si>
  <si>
    <t>Journal of Mazandaran University of Medical Sciences</t>
  </si>
  <si>
    <t>Journal of Mechanical Design - Transactions of the ASME</t>
  </si>
  <si>
    <t>Journal of Mechanical Engineering</t>
  </si>
  <si>
    <t>Journal of Mechanical Science and Technology</t>
  </si>
  <si>
    <t>Journal of Mechanics</t>
  </si>
  <si>
    <t>Journal of Mechanics in Medicine and Biology</t>
  </si>
  <si>
    <t>Journal of Mechanics of Materials and Structures</t>
  </si>
  <si>
    <t>Journal of Mechanisms and Robotics</t>
  </si>
  <si>
    <t>Journal of Media Business Studies</t>
  </si>
  <si>
    <t>Journal of Media Economics</t>
  </si>
  <si>
    <t>Journal of Media Psychology</t>
  </si>
  <si>
    <t>Journal of Medical and Biological Engineering</t>
  </si>
  <si>
    <t>Journal of Medical and Dental Sciences</t>
  </si>
  <si>
    <t>Journal of Medical Biochemistry</t>
  </si>
  <si>
    <t>Journal of Medical Biography</t>
  </si>
  <si>
    <t>Journal of Medical Case Reports</t>
  </si>
  <si>
    <t>Journal of Medical Colleges of PLA</t>
  </si>
  <si>
    <t>Journal of Medical Devices, Transactions of the ASME</t>
  </si>
  <si>
    <t>Journal of Medical Economics</t>
  </si>
  <si>
    <t>Journal of Medical Engineering and Technology</t>
  </si>
  <si>
    <t>Journal of Medical Entomology</t>
  </si>
  <si>
    <t>Journal of Medical Ethics</t>
  </si>
  <si>
    <t>Journal of Medical Ethics and History of Medicine</t>
  </si>
  <si>
    <t>Journal of Medical Genetics</t>
  </si>
  <si>
    <t>Journal of Medical Humanities</t>
  </si>
  <si>
    <t>Journal of Medical Hypotheses and Ideas</t>
  </si>
  <si>
    <t>Journal of Medical Imaging and Radiation Oncology</t>
  </si>
  <si>
    <t>Journal of Medical Imaging and Radiation Sciences</t>
  </si>
  <si>
    <t>Journal of Medical Internet Research</t>
  </si>
  <si>
    <t>Journal of Medical Investigation</t>
  </si>
  <si>
    <t>Journal of Medical Licensure and Discipline</t>
  </si>
  <si>
    <t>Journal of Medical Marketing</t>
  </si>
  <si>
    <t>Journal of Medical Microbiology</t>
  </si>
  <si>
    <t>Journal of Medical Physics</t>
  </si>
  <si>
    <t>Journal of Medical Practice Management</t>
  </si>
  <si>
    <t>Journal of Medical Primatology</t>
  </si>
  <si>
    <t>Journal of Medical Sciences</t>
  </si>
  <si>
    <t>Journal of Medical Screening</t>
  </si>
  <si>
    <t>Journal of Medical Speech-Language Pathology</t>
  </si>
  <si>
    <t>Journal of Medical Systems</t>
  </si>
  <si>
    <t>Journal of Medical Toxicology</t>
  </si>
  <si>
    <t>Journal of Medical Ultrasonics</t>
  </si>
  <si>
    <t>Journal of Medical Ultrasound</t>
  </si>
  <si>
    <t>Journal of Medical Virology</t>
  </si>
  <si>
    <t>Journal of Medicinal Chemistry</t>
  </si>
  <si>
    <t>Journal of Medicinal Food</t>
  </si>
  <si>
    <t>Journal of Medicinal Plant Research</t>
  </si>
  <si>
    <t>Journal of Medicinal Plants</t>
  </si>
  <si>
    <t>Journal of Medicine</t>
  </si>
  <si>
    <t>Journal of Medicine and Biomedical Research</t>
  </si>
  <si>
    <t>Journal of medicine and life</t>
  </si>
  <si>
    <t>Journal of Medicine and Philosophy</t>
  </si>
  <si>
    <t>Journal of Medicine (Bangladesh)</t>
  </si>
  <si>
    <t>Journal of Medieval and Early Modern Studies</t>
  </si>
  <si>
    <t>Journal of Medieval History</t>
  </si>
  <si>
    <t>Journal of Mediterranean Archaeology</t>
  </si>
  <si>
    <t>Journal of Mediterranean Earth Sciences</t>
  </si>
  <si>
    <t>Journal of Mediterranean Studies</t>
  </si>
  <si>
    <t>Malta</t>
  </si>
  <si>
    <t>Journal of Membrane Biology</t>
  </si>
  <si>
    <t>Journal of Membranes Science</t>
  </si>
  <si>
    <t>Journal of Memory and Language</t>
  </si>
  <si>
    <t>Journal of Men, Masculinities and Spirituality</t>
  </si>
  <si>
    <t>Journal of Men's Health</t>
  </si>
  <si>
    <t>Journal of Mental Health</t>
  </si>
  <si>
    <t>Journal of Mental Health Policy and Economics</t>
  </si>
  <si>
    <t>Journal of Mental Health Training, Education and Practice</t>
  </si>
  <si>
    <t>Journal of Metamorphic Geology</t>
  </si>
  <si>
    <t>Journal of Microbiological Methods</t>
  </si>
  <si>
    <t>Journal of Microbiology</t>
  </si>
  <si>
    <t>Journal of Microbiology and Biotechnology</t>
  </si>
  <si>
    <t>Journal of Microbiology, Immunology and Infection</t>
  </si>
  <si>
    <t>Journal of Microelectromechanical Systems</t>
  </si>
  <si>
    <t>Journal of Microencapsulation</t>
  </si>
  <si>
    <t>Journal of Micromechanics and Microengineering</t>
  </si>
  <si>
    <t>Journal of Micro/ Nanolithography, MEMS, and MOEMS</t>
  </si>
  <si>
    <t>Journal of Micro-Nano Mechatronics</t>
  </si>
  <si>
    <t>Journal of Micropalaeontology</t>
  </si>
  <si>
    <t>Journal of Microscopy</t>
  </si>
  <si>
    <t>Journal of Microwave Power and Electromagnetic Energy</t>
  </si>
  <si>
    <t>Journal of Microwaves, Optoelectronics and Electromagnetic Applications</t>
  </si>
  <si>
    <t>Journal of Midwifery and Women's Health</t>
  </si>
  <si>
    <t>Journal of Military Ethics</t>
  </si>
  <si>
    <t>Journal of Military Medicine</t>
  </si>
  <si>
    <t>Journal of Mind and Behavior</t>
  </si>
  <si>
    <t>Journal of Mineralogical and Petrological Sciences</t>
  </si>
  <si>
    <t>Journal of Mines, Metals and Fuels</t>
  </si>
  <si>
    <t>Journal of Minimal Access Surgery</t>
  </si>
  <si>
    <t>Journal of Minimally Invasive Gynecology</t>
  </si>
  <si>
    <t>Journal of Mining and Metallurgy, Section B: Metallurgy</t>
  </si>
  <si>
    <t>Journal of Mining Science</t>
  </si>
  <si>
    <t>Journal of Mixed Methods Research</t>
  </si>
  <si>
    <t>Journal of Mobile Multimedia</t>
  </si>
  <si>
    <t>Journal of Modern African Studies</t>
  </si>
  <si>
    <t>Journal of Modern Applied Statistical Methods</t>
  </si>
  <si>
    <t>Journal of Modern Chinese History</t>
  </si>
  <si>
    <t>Journal of Modern Craft</t>
  </si>
  <si>
    <t>Journal of Modern Dynamics</t>
  </si>
  <si>
    <t>Journal of Modern European History</t>
  </si>
  <si>
    <t>Journal of Modern Greek Studies</t>
  </si>
  <si>
    <t>Journal of Modern History</t>
  </si>
  <si>
    <t>Journal of Modern Italian Studies</t>
  </si>
  <si>
    <t>Journal of Modern Jewish Studies</t>
  </si>
  <si>
    <t>Journal of Modern Optics</t>
  </si>
  <si>
    <t>Journal of Modern Transportation</t>
  </si>
  <si>
    <t>Journal of Molecular and Cellular Cardiology</t>
  </si>
  <si>
    <t>Journal of Molecular Biology</t>
  </si>
  <si>
    <t>Journal of Molecular Catalysis A: Chemical</t>
  </si>
  <si>
    <t>Journal of Molecular Catalysis - B Enzymatic</t>
  </si>
  <si>
    <t>Journal of Molecular Cell Biology</t>
  </si>
  <si>
    <t>Journal of Molecular Diagnostics</t>
  </si>
  <si>
    <t>Journal of Molecular Endocrinology</t>
  </si>
  <si>
    <t>Journal of Molecular Evolution</t>
  </si>
  <si>
    <t>Journal of Molecular Graphics and Modelling</t>
  </si>
  <si>
    <t>Journal of Molecular Histology</t>
  </si>
  <si>
    <t>Journal of Molecular Liquids</t>
  </si>
  <si>
    <t>Journal of Molecular Medicine</t>
  </si>
  <si>
    <t>Journal of Molecular Microbiology and Biotechnology</t>
  </si>
  <si>
    <t>Journal of Molecular Modeling</t>
  </si>
  <si>
    <t>Journal of Molecular Neuroscience</t>
  </si>
  <si>
    <t>Journal of Molecular Recognition</t>
  </si>
  <si>
    <t>Journal of Molecular Signaling</t>
  </si>
  <si>
    <t>Journal of Molecular Spectroscopy</t>
  </si>
  <si>
    <t>Journal of Molecular Structure</t>
  </si>
  <si>
    <t>Journal of Molluscan Studies</t>
  </si>
  <si>
    <t>Journal of Monetary Economics</t>
  </si>
  <si>
    <t>Journal of Money, Credit and Banking</t>
  </si>
  <si>
    <t>Journal of Moral Education</t>
  </si>
  <si>
    <t>Journal of Moral Philosophy</t>
  </si>
  <si>
    <t>Journal of Morphological Sciences</t>
  </si>
  <si>
    <t>Journal of Morphology</t>
  </si>
  <si>
    <t>Journal of Motor Behavior</t>
  </si>
  <si>
    <t>Journal of Mountain Science</t>
  </si>
  <si>
    <t>Journal of Multicultural Counseling and Development</t>
  </si>
  <si>
    <t>Journal of Multicultural Discourses</t>
  </si>
  <si>
    <t>Journal of Multidisciplinary Healthcare</t>
  </si>
  <si>
    <t>Journal of Multilingual and Multicultural Development</t>
  </si>
  <si>
    <t>Journal of Multimedia</t>
  </si>
  <si>
    <t>Journal of Multinational Financial Management</t>
  </si>
  <si>
    <t>Journal of Multiple-Valued Logic and Soft Computing</t>
  </si>
  <si>
    <t>Journal of Multivariate Analysis</t>
  </si>
  <si>
    <t>Journal of Muscle Research and Cell Motility</t>
  </si>
  <si>
    <t>Journal of Musculoskeletal Neuronal Interactions</t>
  </si>
  <si>
    <t>Journal of Musculoskeletal Pain</t>
  </si>
  <si>
    <t>Journal of Musculoskeletal Research</t>
  </si>
  <si>
    <t>Journal of Musicological Research</t>
  </si>
  <si>
    <t>Journal of Musicology</t>
  </si>
  <si>
    <t>Journal of Music Teacher Education</t>
  </si>
  <si>
    <t>Journal of Music, Technology and Education</t>
  </si>
  <si>
    <t>Journal of Music Theory</t>
  </si>
  <si>
    <t>Journal of Music Therapy</t>
  </si>
  <si>
    <t>Journal of Muslim Minority Affairs</t>
  </si>
  <si>
    <t>Journal of Nanjing Medical University</t>
  </si>
  <si>
    <t>Journal of Nano- and Electronic Physics</t>
  </si>
  <si>
    <t>Journal of Nanobiotechnology</t>
  </si>
  <si>
    <t>Journal of Nanoelectronics and Optoelectronics</t>
  </si>
  <si>
    <t>Journal of Nanomaterials</t>
  </si>
  <si>
    <t>Journal of Nanoneuroscience</t>
  </si>
  <si>
    <t>Journal of Nanoparticle Research</t>
  </si>
  <si>
    <t>Journal of Nanophotonics</t>
  </si>
  <si>
    <t>Journal of Nano Research</t>
  </si>
  <si>
    <t>Journal of Nanoscience and Nanotechnology</t>
  </si>
  <si>
    <t>Journal of Nanostructured Polymers and Nanocomposites</t>
  </si>
  <si>
    <t>Journal of Nanotechnology in Engineering and Medicine</t>
  </si>
  <si>
    <t>Journal of Nara Medical Association</t>
  </si>
  <si>
    <t>Journal of National Black Nurses' Association : JNBNA</t>
  </si>
  <si>
    <t>Journal of Natural Disasters</t>
  </si>
  <si>
    <t>Journal of Natural Fibers</t>
  </si>
  <si>
    <t>Journal of Natural Gas Chemistry</t>
  </si>
  <si>
    <t>Journal of Natural Gas Science and Engineering</t>
  </si>
  <si>
    <t>Journal of Natural History</t>
  </si>
  <si>
    <t>Journal of Natural Medicines</t>
  </si>
  <si>
    <t>Journal of Natural Products</t>
  </si>
  <si>
    <t>Journal of Natural Remedies</t>
  </si>
  <si>
    <t>Journal of Natural Resources Policy Research</t>
  </si>
  <si>
    <t>Journal of Navigation</t>
  </si>
  <si>
    <t>Journal of Near Eastern Studies</t>
  </si>
  <si>
    <t>Journal of Near Infrared Spectroscopy</t>
  </si>
  <si>
    <t>Journal of Negative Results in BioMedicine</t>
  </si>
  <si>
    <t>Journal of Negro Education, The</t>
  </si>
  <si>
    <t>Journal of Nematology</t>
  </si>
  <si>
    <t>Journal of Neonatal Nursing</t>
  </si>
  <si>
    <t>Journal of Neonatal-Perinatal Medicine</t>
  </si>
  <si>
    <t>Journal of Nepal Health Research Council</t>
  </si>
  <si>
    <t>Nepal</t>
  </si>
  <si>
    <t>Journal of Nepal Paediatric Society</t>
  </si>
  <si>
    <t>Journal of Nephrology</t>
  </si>
  <si>
    <t>Journal of Nervous and Mental Disease</t>
  </si>
  <si>
    <t>Journal of Network and Computer Applications</t>
  </si>
  <si>
    <t>Journal of Network and Systems Management</t>
  </si>
  <si>
    <t>Journal of Networks</t>
  </si>
  <si>
    <t>Journal of Neural Engineering</t>
  </si>
  <si>
    <t>Journal of Neural Transmission</t>
  </si>
  <si>
    <t>Journal of Neurochemistry</t>
  </si>
  <si>
    <t>Journal of Neurodevelopmental Disorders</t>
  </si>
  <si>
    <t>Journal of Neuroendocrinology</t>
  </si>
  <si>
    <t>Journal of NeuroEngineering and Rehabilitation</t>
  </si>
  <si>
    <t>Journal of Neurogastroenterology and Motility</t>
  </si>
  <si>
    <t>Journal of Neurogenetics</t>
  </si>
  <si>
    <t>Journal of Neuroimaging</t>
  </si>
  <si>
    <t>Journal of NeuroImmune Pharmacology</t>
  </si>
  <si>
    <t>Journal of Neuroimmunology</t>
  </si>
  <si>
    <t>Journal of Neuroinflammation</t>
  </si>
  <si>
    <t>Journal of Neurolinguistics</t>
  </si>
  <si>
    <t>Journal of Neurological Sciences</t>
  </si>
  <si>
    <t>Journal of neurological surgery. Part A, Central European neurosurgery</t>
  </si>
  <si>
    <t>Journal of Neurologic Physical Therapy</t>
  </si>
  <si>
    <t>Journal of Neurology</t>
  </si>
  <si>
    <t>Journal of Neurology, Neurosurgery and Psychiatry</t>
  </si>
  <si>
    <t>Journal of Neuro-Oncology</t>
  </si>
  <si>
    <t>Journal of Neuro-Ophthalmology</t>
  </si>
  <si>
    <t>Journal of Neuropathology and Experimental Neurology</t>
  </si>
  <si>
    <t>Journal of Neurophysiology</t>
  </si>
  <si>
    <t>Journal of Neuropsychiatry and Clinical Neurosciences</t>
  </si>
  <si>
    <t>Journal of Neuropsychology</t>
  </si>
  <si>
    <t>Journal of Neuroradiology</t>
  </si>
  <si>
    <t>Journal of Neuroscience</t>
  </si>
  <si>
    <t>Journal of Neuroscience Methods</t>
  </si>
  <si>
    <t>Journal of Neuroscience Nursing</t>
  </si>
  <si>
    <t>Journal of Neuroscience, Psychology, and Economics</t>
  </si>
  <si>
    <t>Journal of Neuroscience Research</t>
  </si>
  <si>
    <t>Journal of Neurosurgery</t>
  </si>
  <si>
    <t>Journal of Neurosurgery: Pediatrics</t>
  </si>
  <si>
    <t>Journal of Neurosurgery: Spine</t>
  </si>
  <si>
    <t>Journal of Neurosurgical Anesthesiology</t>
  </si>
  <si>
    <t>Journal of Neurosurgical Sciences</t>
  </si>
  <si>
    <t>Journal of Neurotherapy</t>
  </si>
  <si>
    <t>Journal of Neurotrauma</t>
  </si>
  <si>
    <t>Journal of NeuroVirology</t>
  </si>
  <si>
    <t>Journal of New England Water Environment Association</t>
  </si>
  <si>
    <t>Journal of New Materials for Electrochemical Systems</t>
  </si>
  <si>
    <t>Journal of New Music Research</t>
  </si>
  <si>
    <t>Journal of Next Generation Information Technology</t>
  </si>
  <si>
    <t>Journal of Nietzsche Studies</t>
  </si>
  <si>
    <t>Journal of Nippon Medical School</t>
  </si>
  <si>
    <t>Journal of Noncommutative Geometry</t>
  </si>
  <si>
    <t>Journal of Non-Crystalline Solids</t>
  </si>
  <si>
    <t>Journal of Nondestructive Evaluation</t>
  </si>
  <si>
    <t>Journal of Non-Equilibrium Thermodynamics</t>
  </si>
  <si>
    <t>Journal of Nonlinear Mathematical Physics</t>
  </si>
  <si>
    <t>Journal of Nonlinear Optical Physics and Materials</t>
  </si>
  <si>
    <t>Journal of Nonlinear Science</t>
  </si>
  <si>
    <t>Journal of Non-Newtonian Fluid Mechanics</t>
  </si>
  <si>
    <t>Journal of Nonparametric Statistics</t>
  </si>
  <si>
    <t>Journal of Nonprofit and Public Sector Marketing</t>
  </si>
  <si>
    <t>Journal of Nonverbal Behavior</t>
  </si>
  <si>
    <t>Journal of North African Studies</t>
  </si>
  <si>
    <t>Journal of Northwest Atlantic Fishery Science</t>
  </si>
  <si>
    <t>Journal of Nuclear Cardiology</t>
  </si>
  <si>
    <t>Journal of Nuclear Materials</t>
  </si>
  <si>
    <t>Journal of Nuclear Medicine</t>
  </si>
  <si>
    <t>Journal of Nuclear Medicine Technology</t>
  </si>
  <si>
    <t>Journal of Nuclear Science and Technology</t>
  </si>
  <si>
    <t>Journal of Nucleic Acids</t>
  </si>
  <si>
    <t>Journal of Number Theory</t>
  </si>
  <si>
    <t>Journal of Numerical Analysis, Industrial and Applied Mathematics</t>
  </si>
  <si>
    <t>Journal of Numerical Mathematics</t>
  </si>
  <si>
    <t>Journal of Nursing</t>
  </si>
  <si>
    <t>Journal of Nursing Administration</t>
  </si>
  <si>
    <t>Journal of Nursing Care Quality</t>
  </si>
  <si>
    <t>Journal of Nursing Education</t>
  </si>
  <si>
    <t>Journal of Nursing Management</t>
  </si>
  <si>
    <t>Journal of Nursing Measurement</t>
  </si>
  <si>
    <t>Journal of nursing research : JNR, The</t>
  </si>
  <si>
    <t>Journal of Nursing Scholarship</t>
  </si>
  <si>
    <t>Journal of Nutrigenetics and Nutrigenomics</t>
  </si>
  <si>
    <t>Journal of Nutrition</t>
  </si>
  <si>
    <t>Journal of Nutritional Biochemistry</t>
  </si>
  <si>
    <t>Journal of Nutritional Science and Vitaminology</t>
  </si>
  <si>
    <t>Journal of Nutrition and Metabolism</t>
  </si>
  <si>
    <t>Journal of Nutrition Education and Behavior</t>
  </si>
  <si>
    <t>Journal of Nutrition, Health and Aging</t>
  </si>
  <si>
    <t>Journal of Nutrition in Gerontology and Geriatrics</t>
  </si>
  <si>
    <t>Journal of Obesity</t>
  </si>
  <si>
    <t>Journal of Object Technology</t>
  </si>
  <si>
    <t>Journal of Obsessive-Compulsive and Related Disorders</t>
  </si>
  <si>
    <t>Journal of Obstetrics and Gynaecology</t>
  </si>
  <si>
    <t>Journal of obstetrics and gynaecology Canada : JOGC = Journal d'obstetrique et gynecologie du Canada : JOGC</t>
  </si>
  <si>
    <t>Journal of Obstetrics and Gynaecology Research</t>
  </si>
  <si>
    <t>Journal of Obstetrics and Gynecology of India</t>
  </si>
  <si>
    <t>Journal of Occupational and Environmental Hygiene</t>
  </si>
  <si>
    <t>Journal of Occupational and Environmental Medicine</t>
  </si>
  <si>
    <t>Journal of Occupational and Organizational Psychology</t>
  </si>
  <si>
    <t>Journal of Occupational Health</t>
  </si>
  <si>
    <t>Journal of Occupational Health Psychology</t>
  </si>
  <si>
    <t>Journal of Occupational Medicine and Toxicology</t>
  </si>
  <si>
    <t>Journal of Occupational Rehabilitation</t>
  </si>
  <si>
    <t>Journal of Occupational Science</t>
  </si>
  <si>
    <t>Journal of Occupational Therapy, Schools, and Early Intervention</t>
  </si>
  <si>
    <t>Journal of Oceanography</t>
  </si>
  <si>
    <t>Journal of Ocean University of China</t>
  </si>
  <si>
    <t>Journal of Ocular Biology, Diseases, and Informatics</t>
  </si>
  <si>
    <t>Journal of Ocular Pharmacology and Therapeutics</t>
  </si>
  <si>
    <t>Journal of Offender Rehabilitation</t>
  </si>
  <si>
    <t>Journal of Official Statistics</t>
  </si>
  <si>
    <t>Journal of Offshore Mechanics and Arctic Engineering</t>
  </si>
  <si>
    <t>Journal of Oil Palm Research</t>
  </si>
  <si>
    <t>Journal of Oleo Science</t>
  </si>
  <si>
    <t>Journal of Oncology</t>
  </si>
  <si>
    <t>Journal of Oncology Pharmacy Practice</t>
  </si>
  <si>
    <t>Journal of Oncology Practice</t>
  </si>
  <si>
    <t>Journal of Operational Oceanography</t>
  </si>
  <si>
    <t>Journal of Operations Management</t>
  </si>
  <si>
    <t>Journal of Operator Theory</t>
  </si>
  <si>
    <t>Journal of Ophthalmic and Vision Research</t>
  </si>
  <si>
    <t>Journal of Ophthalmic Inflammation and Infection</t>
  </si>
  <si>
    <t>Journal of Ophthalmology</t>
  </si>
  <si>
    <t>Journal of Opioid Management</t>
  </si>
  <si>
    <t>Journal of Optical and Fiber Communication Research</t>
  </si>
  <si>
    <t>Journal of Optical Communications</t>
  </si>
  <si>
    <t>Journal of Optical Communications and Networking</t>
  </si>
  <si>
    <t>Journal of Optical Technology (A Translation of Opticheskii Zhurnal)</t>
  </si>
  <si>
    <t>Journal of Optics</t>
  </si>
  <si>
    <t>Journal of Optics (India)</t>
  </si>
  <si>
    <t>Journal of Optimization Theory and Applications</t>
  </si>
  <si>
    <t>Journal of Optoelectronics and Advanced Materials</t>
  </si>
  <si>
    <t>Journal of Optometry</t>
  </si>
  <si>
    <t>Journal of Oral and Maxillofacial Pathology</t>
  </si>
  <si>
    <t>Journal of Oral and Maxillofacial Surgery</t>
  </si>
  <si>
    <t>Journal of Oral and Maxillofacial Surgery, Medicine, and Pathology</t>
  </si>
  <si>
    <t>Journal of Oral Biosciences</t>
  </si>
  <si>
    <t>Journal of Oral Implantology</t>
  </si>
  <si>
    <t>Journal of Oral Pathology and Medicine</t>
  </si>
  <si>
    <t>Journal of Oral Rehabilitation</t>
  </si>
  <si>
    <t>Journal of oral science</t>
  </si>
  <si>
    <t>Journal of Organic Chemistry</t>
  </si>
  <si>
    <t>Journal of Organizational and End User Computing</t>
  </si>
  <si>
    <t>Journal of Organizational Behavior</t>
  </si>
  <si>
    <t>Journal of Organizational Behavior Management</t>
  </si>
  <si>
    <t>Journal of Organizational Change Management</t>
  </si>
  <si>
    <t>Journal of Organizational Computing and Electronic Commerce</t>
  </si>
  <si>
    <t>Journal of Organizational Culture, Communications and Conflict</t>
  </si>
  <si>
    <t>Journal of Organometallic Chemistry</t>
  </si>
  <si>
    <t>Journal of Orofacial Orthopedics</t>
  </si>
  <si>
    <t>Journal of Orofacial Pain</t>
  </si>
  <si>
    <t>Journal of Orthodontics</t>
  </si>
  <si>
    <t>Journal of Orthomolecular Medicine</t>
  </si>
  <si>
    <t>Journal of Orthopaedic and Sports Physical Therapy</t>
  </si>
  <si>
    <t>Journal of Orthopaedic Research</t>
  </si>
  <si>
    <t>Journal of Orthopaedics and Traumatology</t>
  </si>
  <si>
    <t>Journal of Orthopaedic Science</t>
  </si>
  <si>
    <t>Journal of Orthopaedics, Trauma and Rehabilitation</t>
  </si>
  <si>
    <t>Journal of Orthopaedic Surgery</t>
  </si>
  <si>
    <t>Journal of Orthopaedic Surgery and Research</t>
  </si>
  <si>
    <t>Journal of Orthopaedic Trauma</t>
  </si>
  <si>
    <t>Journal of Orthoptera Research</t>
  </si>
  <si>
    <t>Journal of Osseointegration</t>
  </si>
  <si>
    <t>Journal of Otolaryngology - Head and Neck Surgery</t>
  </si>
  <si>
    <t>Journal of Ovarian Research</t>
  </si>
  <si>
    <t>Journal of Ovonic Research</t>
  </si>
  <si>
    <t>Journal of Pacific History</t>
  </si>
  <si>
    <t>Journal of Pacific Rim Psychology</t>
  </si>
  <si>
    <t>Journal of Packaging Science and Technology</t>
  </si>
  <si>
    <t>Journal of Paediatrics and Child Health</t>
  </si>
  <si>
    <t>Journal of Pain</t>
  </si>
  <si>
    <t>Journal of Pain and Palliative Care Pharmacotherapy</t>
  </si>
  <si>
    <t>Journal of Pain and Symptom Management</t>
  </si>
  <si>
    <t>Journal of Pain Management</t>
  </si>
  <si>
    <t>Journal of Pain Research</t>
  </si>
  <si>
    <t>Journal of Pakistan Association of Dermatologists</t>
  </si>
  <si>
    <t>Journal of Paleolimnology</t>
  </si>
  <si>
    <t>Journal of Paleontology</t>
  </si>
  <si>
    <t>Journal of Palestine Studies</t>
  </si>
  <si>
    <t>Journal of Palliative Care</t>
  </si>
  <si>
    <t>Journal of Palliative Medicine</t>
  </si>
  <si>
    <t>Journal of Parallel and Distributed Computing</t>
  </si>
  <si>
    <t>Journal of Parapsychology</t>
  </si>
  <si>
    <t>Journal of Parasitic Diseases</t>
  </si>
  <si>
    <t>Journal of Parasitology</t>
  </si>
  <si>
    <t>Journal of Parenteral and Enteral Nutrition</t>
  </si>
  <si>
    <t>Journal of Parkinson's Disease</t>
  </si>
  <si>
    <t>Journal of pastoral care &amp; counseling : JPCC, The</t>
  </si>
  <si>
    <t>Journal of Pathology</t>
  </si>
  <si>
    <t>Journal of Patient Safety</t>
  </si>
  <si>
    <t>Journal of Peace Education</t>
  </si>
  <si>
    <t>Journal of Peace Research</t>
  </si>
  <si>
    <t>Journal of Peasant Studies</t>
  </si>
  <si>
    <t>Journal of Pediatric and Adolescent Gynecology</t>
  </si>
  <si>
    <t>Journal of Pediatric Biochemistry</t>
  </si>
  <si>
    <t>Journal of Pediatric Endocrinology and Metabolism</t>
  </si>
  <si>
    <t>Journal of Pediatric Gastroenterology and Nutrition</t>
  </si>
  <si>
    <t>Journal of Pediatric Health Care</t>
  </si>
  <si>
    <t>Journal of Pediatric Hematology/Oncology</t>
  </si>
  <si>
    <t>Journal of Pediatric Infectious Diseases</t>
  </si>
  <si>
    <t>Journal of Pediatric Neurology</t>
  </si>
  <si>
    <t>Journal of Pediatric Neurosciences</t>
  </si>
  <si>
    <t>Journal of Pediatric Nursing</t>
  </si>
  <si>
    <t>Journal of Pediatric Oncology Nursing</t>
  </si>
  <si>
    <t>Journal of Pediatric Ophthalmology and Strabismus</t>
  </si>
  <si>
    <t>Journal of Pediatric Orthopaedics</t>
  </si>
  <si>
    <t>Journal of Pediatric Orthopaedics Part B</t>
  </si>
  <si>
    <t>Journal of Pediatric Psychology</t>
  </si>
  <si>
    <t>Journal of Pediatric Rehabilitation Medicine</t>
  </si>
  <si>
    <t>Journal of Pediatrics</t>
  </si>
  <si>
    <t>Journal of Pediatric Surgery</t>
  </si>
  <si>
    <t>Journal of Pediatric Urology</t>
  </si>
  <si>
    <t>Journal of Pension Economics and Finance</t>
  </si>
  <si>
    <t>Journal of Peptide Science</t>
  </si>
  <si>
    <t>Journal of Performance of Constructed Facilities</t>
  </si>
  <si>
    <t>Journal of Perianesthesia Nursing</t>
  </si>
  <si>
    <t>Journal of Perinatal and Neonatal Nursing</t>
  </si>
  <si>
    <t>Journal of Perinatal Medicine</t>
  </si>
  <si>
    <t>Journal of Perinatology</t>
  </si>
  <si>
    <t>Journal of Periodontal and Implant Science</t>
  </si>
  <si>
    <t>Journal of Periodontal Research</t>
  </si>
  <si>
    <t>Journal of Periodontology</t>
  </si>
  <si>
    <t>Journal of perioperative practice</t>
  </si>
  <si>
    <t>Journal of Persianate Studies</t>
  </si>
  <si>
    <t>Journal of Personality</t>
  </si>
  <si>
    <t>Journal of Personality and Social Psychology</t>
  </si>
  <si>
    <t>Journal of Personality Assessment</t>
  </si>
  <si>
    <t>Journal of Personality Disorders</t>
  </si>
  <si>
    <t>Journal of Personal Selling and Sales Management</t>
  </si>
  <si>
    <t>Journal of Personnel Psychology</t>
  </si>
  <si>
    <t>Journal of Pesticide Sciences</t>
  </si>
  <si>
    <t>Journal of Pest Science</t>
  </si>
  <si>
    <t>Journal of Petroleum Exploration and Production Technology</t>
  </si>
  <si>
    <t>Journal of Petroleum Geology</t>
  </si>
  <si>
    <t>Journal of Petroleum Science and Engineering</t>
  </si>
  <si>
    <t>Journal of Petrology</t>
  </si>
  <si>
    <t>Journal of Pharmaceutical and Biomedical Analysis</t>
  </si>
  <si>
    <t>Journal of Pharmaceutical Innovation</t>
  </si>
  <si>
    <t>Journal of Pharmaceutical Investigation</t>
  </si>
  <si>
    <t>Journal of Pharmaceutical Negative Results</t>
  </si>
  <si>
    <t>Journal of Pharmaceutical Sciences</t>
  </si>
  <si>
    <t>Journal of Pharmaceutical Sciences and Research</t>
  </si>
  <si>
    <t>Journal of Pharmacognosy and Phytotherapy</t>
  </si>
  <si>
    <t>Journal of Pharmacokinetics and Pharmacodynamics</t>
  </si>
  <si>
    <t>Journal of Pharmacological and Toxicological Methods</t>
  </si>
  <si>
    <t>Journal of Pharmacological Sciences</t>
  </si>
  <si>
    <t>Journal of Pharmacology and Experimental Therapeutics</t>
  </si>
  <si>
    <t>Journal of Pharmacology and Toxicology</t>
  </si>
  <si>
    <t>Journal of Pharmacy and Pharmaceutical Sciences</t>
  </si>
  <si>
    <t>Journal of Pharmacy and Pharmacology</t>
  </si>
  <si>
    <t>Journal of Pharmacy Practice</t>
  </si>
  <si>
    <t>Journal of Pharmacy Practice and Research</t>
  </si>
  <si>
    <t>Journal of Pharmacy Technology</t>
  </si>
  <si>
    <t>Journal of Phase Equilibria and Diffusion</t>
  </si>
  <si>
    <t>Journal of Phenomenological Psychology</t>
  </si>
  <si>
    <t>Journal of Philosophical Logic</t>
  </si>
  <si>
    <t>Journal of Philosophy of Education</t>
  </si>
  <si>
    <t>Journal of Philosophy, The</t>
  </si>
  <si>
    <t>Journal of Phonetics</t>
  </si>
  <si>
    <t>Journal of Photochemistry and Photobiology A: Chemistry</t>
  </si>
  <si>
    <t>Journal of Photochemistry and Photobiology B: Biology</t>
  </si>
  <si>
    <t>Journal of Photochemistry and Photobiology C: Photochemistry Reviews</t>
  </si>
  <si>
    <t>Journal of Photonics for Energy</t>
  </si>
  <si>
    <t>Journal of Photopolymer Science and Technology</t>
  </si>
  <si>
    <t>Journal of Phycology</t>
  </si>
  <si>
    <t>Journal of Physical Activity and Health</t>
  </si>
  <si>
    <t>Journal of Physical Agents</t>
  </si>
  <si>
    <t>Journal of Physical and Chemical Reference Data</t>
  </si>
  <si>
    <t>Journal of Physical Chemistry A</t>
  </si>
  <si>
    <t>Journal of Physical Chemistry B</t>
  </si>
  <si>
    <t>Journal of Physical Chemistry C</t>
  </si>
  <si>
    <t>Journal of Physical Chemistry Letters</t>
  </si>
  <si>
    <t>Journal of Physical Education and Sport</t>
  </si>
  <si>
    <t>Journal of Physical Oceanography</t>
  </si>
  <si>
    <t>Journal of Physical Organic Chemistry</t>
  </si>
  <si>
    <t>Journal of Physical Studies</t>
  </si>
  <si>
    <t>Journal of Physical Therapy Science</t>
  </si>
  <si>
    <t>Journal of Physician Assistant Education</t>
  </si>
  <si>
    <t>Journal of Physics A: Mathematical and Theoretical</t>
  </si>
  <si>
    <t>Journal of Physics and Chemistry of Solids</t>
  </si>
  <si>
    <t>Journal of Physics B: Atomic, Molecular and Optical Physics</t>
  </si>
  <si>
    <t>Journal of Physics Condensed Matter</t>
  </si>
  <si>
    <t>Journal of Physics: Conference Series</t>
  </si>
  <si>
    <t>Journal of Physics D - Applied Physics</t>
  </si>
  <si>
    <t>Journal of Physics G: Nuclear and Particle Physics</t>
  </si>
  <si>
    <t>Journal of Physiological Anthropology</t>
  </si>
  <si>
    <t>Journal of Physiological Sciences</t>
  </si>
  <si>
    <t>Journal of Physiology</t>
  </si>
  <si>
    <t>Journal of Physiology and Biochemistry</t>
  </si>
  <si>
    <t>Journal of Physiology and Pharmacology</t>
  </si>
  <si>
    <t>Journal of Physiology Paris</t>
  </si>
  <si>
    <t>Journal of Physiotherapy</t>
  </si>
  <si>
    <t>Journal of Phytopathology</t>
  </si>
  <si>
    <t>Journal of Pidgin and Creole Languages</t>
  </si>
  <si>
    <t>Journal of Pineal Research</t>
  </si>
  <si>
    <t>Journal of Pipeline Engineering,The</t>
  </si>
  <si>
    <t>Journal of Pipeline Systems Engineering and Practice</t>
  </si>
  <si>
    <t>Journal of Planar Chromatography - Modern TLC</t>
  </si>
  <si>
    <t>Journal of Plankton Research</t>
  </si>
  <si>
    <t>Journal of Planning and Environmental Law</t>
  </si>
  <si>
    <t>Journal of Planning Education and Research</t>
  </si>
  <si>
    <t>Journal of Planning History</t>
  </si>
  <si>
    <t>Journal of Planning Literature</t>
  </si>
  <si>
    <t>Journal of Plant Biochemistry and Biotechnology</t>
  </si>
  <si>
    <t>Journal of Plant Biology</t>
  </si>
  <si>
    <t>Journal of Plant Diseases and Protection</t>
  </si>
  <si>
    <t>Journal of Plant Ecology</t>
  </si>
  <si>
    <t>Journal of Plant Growth Regulation</t>
  </si>
  <si>
    <t>Journal of Plant Interactions</t>
  </si>
  <si>
    <t>Journal of Plant Nutrition</t>
  </si>
  <si>
    <t>Journal of Plant Nutrition and Soil Science</t>
  </si>
  <si>
    <t>Journal of Plant Pathology</t>
  </si>
  <si>
    <t>Journal of Plant Physiology</t>
  </si>
  <si>
    <t>Journal of Plant Protection Research</t>
  </si>
  <si>
    <t>Journal of Plant Registrations</t>
  </si>
  <si>
    <t>Journal of Plant Research</t>
  </si>
  <si>
    <t>Journal of Plant Resources and Environment</t>
  </si>
  <si>
    <t>Journal of Plant Sciences</t>
  </si>
  <si>
    <t>Journal of Plasma Physics</t>
  </si>
  <si>
    <t>Journal of Plastic Dermatology</t>
  </si>
  <si>
    <t>Journal of Plastic Film and Sheeting</t>
  </si>
  <si>
    <t>Journal of Plastic, Reconstructive and Aesthetic Surgery</t>
  </si>
  <si>
    <t>Journal of Plastic Surgery and Hand Surgery</t>
  </si>
  <si>
    <t>Journal of Police and Criminal Psychology</t>
  </si>
  <si>
    <t>Journal of Police Crisis Negotiations</t>
  </si>
  <si>
    <t>Journal of Policy Analysis and Management</t>
  </si>
  <si>
    <t>Journal of Policy and Practice in Intellectual Disabilities</t>
  </si>
  <si>
    <t>Journal of Policy Modeling</t>
  </si>
  <si>
    <t>Journal of Policy Practice</t>
  </si>
  <si>
    <t>Journal of Politeness Research</t>
  </si>
  <si>
    <t>Journal of Political and Military Sociology</t>
  </si>
  <si>
    <t>Journal of Political Economy</t>
  </si>
  <si>
    <t>Journal of Political Ideologies</t>
  </si>
  <si>
    <t>Journal of Political Marketing</t>
  </si>
  <si>
    <t>Journal of Political Philosophy</t>
  </si>
  <si>
    <t>Journal of Political Power</t>
  </si>
  <si>
    <t>Journal of Political Science Education</t>
  </si>
  <si>
    <t>Journal of Politics</t>
  </si>
  <si>
    <t>Journal of Polymer Engineering</t>
  </si>
  <si>
    <t>Journal of Polymer Materials</t>
  </si>
  <si>
    <t>Journal of Polymer Research</t>
  </si>
  <si>
    <t>Journal of Polymers and the Environment</t>
  </si>
  <si>
    <t>Journal of Polymer Science, Part A: Polymer Chemistry</t>
  </si>
  <si>
    <t>Journal of Polymer Science, Part B: Polymer Physics</t>
  </si>
  <si>
    <t>Journal of Popular Culture</t>
  </si>
  <si>
    <t>Journal of Popular Film and Television</t>
  </si>
  <si>
    <t>Journal of Popular Music Studies</t>
  </si>
  <si>
    <t>Journal of Population Ageing</t>
  </si>
  <si>
    <t>Journal of Population Economics</t>
  </si>
  <si>
    <t>Journal of Population Research</t>
  </si>
  <si>
    <t>Journal of Porous Materials</t>
  </si>
  <si>
    <t>Journal of Porous Media</t>
  </si>
  <si>
    <t>Journal of Porphyrins and Phthalocyanines</t>
  </si>
  <si>
    <t>Journal of Portfolio Management</t>
  </si>
  <si>
    <t>Journal of Positive Behavior Interventions</t>
  </si>
  <si>
    <t>Journal of Positive Psychology</t>
  </si>
  <si>
    <t>Journal of Postcolonial Writing</t>
  </si>
  <si>
    <t>Journal of Postgraduate Medical Institute</t>
  </si>
  <si>
    <t>Journal of Postgraduate Medicine</t>
  </si>
  <si>
    <t>Journal of Post Keynesian Economics</t>
  </si>
  <si>
    <t>Journal of Poultry Science</t>
  </si>
  <si>
    <t>Journal of Poverty</t>
  </si>
  <si>
    <t>Journal of Poverty and Social Justice, The</t>
  </si>
  <si>
    <t>Journal of Power Electronics</t>
  </si>
  <si>
    <t>Journal of Power Sources</t>
  </si>
  <si>
    <t>Journal of practical nursing, The</t>
  </si>
  <si>
    <t>Journal of Practical Oncology</t>
  </si>
  <si>
    <t>Journal of Practice Teaching and Learning</t>
  </si>
  <si>
    <t>Journal of Pragmatics</t>
  </si>
  <si>
    <t>Journal of Pregnancy</t>
  </si>
  <si>
    <t>Journal of Pre-Raphaelite Studies-New Series</t>
  </si>
  <si>
    <t>Journal of Presbyterian History</t>
  </si>
  <si>
    <t>Journal of Pressure Vessel Technology, Transactions of the ASME</t>
  </si>
  <si>
    <t>Journal of Prevention and Intervention in the Community</t>
  </si>
  <si>
    <t>Journal of Preventive Medicine and Hygiene</t>
  </si>
  <si>
    <t>Journal of preventive medicine and public health = Yebang Uihakhoe chi.</t>
  </si>
  <si>
    <t>Journal of Primary Health Care</t>
  </si>
  <si>
    <t>Journal of Primary Prevention</t>
  </si>
  <si>
    <t>Journal of Private Enterprise</t>
  </si>
  <si>
    <t>Journal of Private Equity</t>
  </si>
  <si>
    <t>Journal of Probability and Statistics</t>
  </si>
  <si>
    <t>Journal of Process Control</t>
  </si>
  <si>
    <t>Journal of Product and Brand Management</t>
  </si>
  <si>
    <t>Journal of Product Innovation Management</t>
  </si>
  <si>
    <t>Journal of Productivity Analysis</t>
  </si>
  <si>
    <t>Journal of Professional Issues in Engineering Education and Practice</t>
  </si>
  <si>
    <t>Journal of Professional Nursing</t>
  </si>
  <si>
    <t>Journal of Progressive Human Services</t>
  </si>
  <si>
    <t>Journal of Promotion Management</t>
  </si>
  <si>
    <t>Journal of Property Investment and Finance</t>
  </si>
  <si>
    <t>Journal of Property Research</t>
  </si>
  <si>
    <t>Journal of Propulsion and Power</t>
  </si>
  <si>
    <t>Journal of Prosthetic Dentistry</t>
  </si>
  <si>
    <t>Journal of Prosthetics and Orthotics</t>
  </si>
  <si>
    <t>Journal of Prosthodontic Research</t>
  </si>
  <si>
    <t>Journal of Prosthodontics</t>
  </si>
  <si>
    <t>Journal of Protective Coatings and Linings</t>
  </si>
  <si>
    <t>Journal of Proteome Research</t>
  </si>
  <si>
    <t>Journal of Proteomics</t>
  </si>
  <si>
    <t>Journal of Proteomics and Bioinformatics</t>
  </si>
  <si>
    <t>Journal of Pseudo-Differential Operators and Applications</t>
  </si>
  <si>
    <t>Journal of Psychiatric and Mental Health Nursing</t>
  </si>
  <si>
    <t>Journal of Psychiatric Practice</t>
  </si>
  <si>
    <t>Journal of Psychiatric Research</t>
  </si>
  <si>
    <t>Journal of Psychiatry and Law</t>
  </si>
  <si>
    <t>Journal of Psychiatry and Neuroscience</t>
  </si>
  <si>
    <t>Journal of Psychoactive Drugs</t>
  </si>
  <si>
    <t>Journal of Psychoeducational Assessment</t>
  </si>
  <si>
    <t>Journal of Psychohistory</t>
  </si>
  <si>
    <t>Journal of Psycholinguistic Research</t>
  </si>
  <si>
    <t>Journal of Psychology and Theology</t>
  </si>
  <si>
    <t>Journal of Psychology in Africa</t>
  </si>
  <si>
    <t>Journal of Psychology: Interdisciplinary and Applied</t>
  </si>
  <si>
    <t>Journal of Psychopathology and Behavioral Assessment</t>
  </si>
  <si>
    <t>Journal of Psychopharmacology</t>
  </si>
  <si>
    <t>Journal of Psychophysiology</t>
  </si>
  <si>
    <t>Journal of Psychosocial Nursing and Mental Health Services</t>
  </si>
  <si>
    <t>Journal of Psychosocial Oncology</t>
  </si>
  <si>
    <t>Journal of Psychosomatic Obstetrics and Gynaecology</t>
  </si>
  <si>
    <t>Journal of Psychosomatic Research</t>
  </si>
  <si>
    <t>Journal of Psychotherapy Integration</t>
  </si>
  <si>
    <t>Journal of Public Administration Research and Theory</t>
  </si>
  <si>
    <t>Journal of Public Affairs</t>
  </si>
  <si>
    <t>Journal of Public and International Affairs</t>
  </si>
  <si>
    <t>Journal of Public Budgeting, Accounting and Financial Management</t>
  </si>
  <si>
    <t>Journal of Public Child Welfare</t>
  </si>
  <si>
    <t>Journal of Public Deliberation</t>
  </si>
  <si>
    <t>Journal of Public Economics</t>
  </si>
  <si>
    <t>Journal of Public Economic Theory</t>
  </si>
  <si>
    <t>Journal of Public Health</t>
  </si>
  <si>
    <t>Journal of Public Health Dentistry</t>
  </si>
  <si>
    <t>Journal of Public Health Management and Practice</t>
  </si>
  <si>
    <t>Journal of Public Health Policy</t>
  </si>
  <si>
    <t>Journal of Public Mental Health</t>
  </si>
  <si>
    <t>Journal of Public Policy</t>
  </si>
  <si>
    <t>Journal of Public Policy and Marketing</t>
  </si>
  <si>
    <t>Journal of Public Procurement</t>
  </si>
  <si>
    <t>Journal of Public Relations Research</t>
  </si>
  <si>
    <t>Journal of Public Transportation</t>
  </si>
  <si>
    <t>Journal of Punjab Academy of Forensic Medicine and Toxicology</t>
  </si>
  <si>
    <t>Journal of Purchasing and Supply Management</t>
  </si>
  <si>
    <t>Journal of Pure and Applied Algebra</t>
  </si>
  <si>
    <t>Journal of Pure and Applied Microbiology</t>
  </si>
  <si>
    <t>Journal of Quality</t>
  </si>
  <si>
    <t>Journal of Quality Assurance in Hospitality and Tourism</t>
  </si>
  <si>
    <t>Journal of Quality in Maintenance Engineering</t>
  </si>
  <si>
    <t>Journal of Quality Technology</t>
  </si>
  <si>
    <t>Journal of Quantitative Analysis in Sports</t>
  </si>
  <si>
    <t>Journal of Quantitative Criminology</t>
  </si>
  <si>
    <t>Journal of Quantitative Linguistics</t>
  </si>
  <si>
    <t>Journal of Quantitative Spectroscopy and Radiative Transfer</t>
  </si>
  <si>
    <t>Journal of Quaternary Science</t>
  </si>
  <si>
    <t>Journal of Radiation Research</t>
  </si>
  <si>
    <t>Journal of Radioanalytical and Nuclear Chemistry</t>
  </si>
  <si>
    <t>Journal of Radio and Audio Media</t>
  </si>
  <si>
    <t>Journal of Radiological Protection</t>
  </si>
  <si>
    <t>Journal of Radiology Case Reports</t>
  </si>
  <si>
    <t>Journal of Radiology Nursing</t>
  </si>
  <si>
    <t>Journal of Radiotherapy in Practice</t>
  </si>
  <si>
    <t>Journal of Rail Transport Planning and Management</t>
  </si>
  <si>
    <t>Journal of Raman Spectroscopy</t>
  </si>
  <si>
    <t>Journal of Raptor Research</t>
  </si>
  <si>
    <t>Journal of Rare Earths</t>
  </si>
  <si>
    <t>Journal of Rational - Emotive and Cognitive - Behavior Therapy</t>
  </si>
  <si>
    <t>Journal of Real Estate Finance and Economics</t>
  </si>
  <si>
    <t>Journal of Real Estate Literature</t>
  </si>
  <si>
    <t>Journal of Real Estate Portfolio Management</t>
  </si>
  <si>
    <t>Journal of Real Estate Practice and Education</t>
  </si>
  <si>
    <t>Journal of Real Estate Research</t>
  </si>
  <si>
    <t>Journal of Real-Time Image Processing</t>
  </si>
  <si>
    <t>Journal of Receptor and Signal Transduction Research</t>
  </si>
  <si>
    <t>Journal of Receptor, Ligand and Channel Research</t>
  </si>
  <si>
    <t>Journal of Reconstructive Microsurgery</t>
  </si>
  <si>
    <t>Journal of Refractive Surgery</t>
  </si>
  <si>
    <t>Journal of Refugee Studies</t>
  </si>
  <si>
    <t>Journal of Regional Analysis and Policy</t>
  </si>
  <si>
    <t>Journal of Regional Science</t>
  </si>
  <si>
    <t>Journal of registry management</t>
  </si>
  <si>
    <t>Journal of Regulatory Economics</t>
  </si>
  <si>
    <t>Journal of Rehabilitation</t>
  </si>
  <si>
    <t>Journal of Rehabilitation Medicine</t>
  </si>
  <si>
    <t>Journal of Rehabilitation Research and Development</t>
  </si>
  <si>
    <t>Journal of Reinforced Plastics and Composites</t>
  </si>
  <si>
    <t>Journal of Relationship Marketing</t>
  </si>
  <si>
    <t>Journal of Religion</t>
  </si>
  <si>
    <t>Journal of Religion and Health</t>
  </si>
  <si>
    <t>Journal of Religion and Spirituality in Social Work</t>
  </si>
  <si>
    <t>Journal of Religion, Disability and Health</t>
  </si>
  <si>
    <t>Journal of Religion in Africa</t>
  </si>
  <si>
    <t>Journal of Religion in Europe</t>
  </si>
  <si>
    <t>Journal of Religion, Spirituality and Aging</t>
  </si>
  <si>
    <t>Journal of Religious and Theological Information</t>
  </si>
  <si>
    <t>Journal of Religious Ethics</t>
  </si>
  <si>
    <t>Journal of Religious History</t>
  </si>
  <si>
    <t>Journal of Renal Care</t>
  </si>
  <si>
    <t>Journal of Renal Nutrition</t>
  </si>
  <si>
    <t>Journal of Reproduction and Contraception</t>
  </si>
  <si>
    <t>Journal of Reproduction and Development</t>
  </si>
  <si>
    <t>Journal of Reproduction and Infertility</t>
  </si>
  <si>
    <t>Journal of Reproductive and Infant Psychology</t>
  </si>
  <si>
    <t>Journal of Reproductive Immunology</t>
  </si>
  <si>
    <t>Journal of Reproductive Medicine</t>
  </si>
  <si>
    <t>Journal of Research and Practice in Information Technology</t>
  </si>
  <si>
    <t>Journal of Research in Childhood Education</t>
  </si>
  <si>
    <t>Journal of Research in Crime and Delinquency</t>
  </si>
  <si>
    <t>Journal of Research in Health Sciences</t>
  </si>
  <si>
    <t>Journal of Research in International Education</t>
  </si>
  <si>
    <t>Journal of Research in Medical Sciences</t>
  </si>
  <si>
    <t>Journal of Research in Music Education</t>
  </si>
  <si>
    <t>Journal of Research in Nursing</t>
  </si>
  <si>
    <t>Journal of Research in Personality</t>
  </si>
  <si>
    <t>Journal of Research in Reading</t>
  </si>
  <si>
    <t>Journal of Research in Science Teaching</t>
  </si>
  <si>
    <t>Journal of Research in Special Educational Needs</t>
  </si>
  <si>
    <t>Journal of Research of the National Institute of Standards and Technology</t>
  </si>
  <si>
    <t>Journal of Research on Adolescence</t>
  </si>
  <si>
    <t>Journal of Research on Educational Effectiveness</t>
  </si>
  <si>
    <t>Journal of Research Practice</t>
  </si>
  <si>
    <t>Journal of Residuals Science and Technology</t>
  </si>
  <si>
    <t>Journal of Retail and Leisure Property</t>
  </si>
  <si>
    <t>Journal of Retailing</t>
  </si>
  <si>
    <t>Journal of Retailing and Consumer Services</t>
  </si>
  <si>
    <t>Journal of Revenue and Pricing Management</t>
  </si>
  <si>
    <t>Journal of Rheology</t>
  </si>
  <si>
    <t>Journal of Rheumatology</t>
  </si>
  <si>
    <t>Journal of Rheumatology and Medical Rehabilitation</t>
  </si>
  <si>
    <t>Journal of rheumatology. Supplement, The</t>
  </si>
  <si>
    <t>Journal of Risk and Insurance</t>
  </si>
  <si>
    <t>Journal of Risk and Uncertainty</t>
  </si>
  <si>
    <t>Journal of Risk Research</t>
  </si>
  <si>
    <t>Journal of RNAi and Gene Silencing</t>
  </si>
  <si>
    <t>Journal of Robotics and Mechatronics</t>
  </si>
  <si>
    <t>Journal of Robotic Surgery</t>
  </si>
  <si>
    <t>Journal of Roman Archaeology</t>
  </si>
  <si>
    <t>Journal of Roman Studies</t>
  </si>
  <si>
    <t>Journal of Rubber Research</t>
  </si>
  <si>
    <t>Journal of Rural Development</t>
  </si>
  <si>
    <t>Journal of Rural Health</t>
  </si>
  <si>
    <t>Journal of Rural Studies</t>
  </si>
  <si>
    <t>Journal of Russian Laser Research</t>
  </si>
  <si>
    <t>Journal of Safety Research</t>
  </si>
  <si>
    <t>Journal of SAFOG</t>
  </si>
  <si>
    <t>Journal of Sandwich Structures and Materials</t>
  </si>
  <si>
    <t>Journal of Saudi Chemical Society</t>
  </si>
  <si>
    <t>Journal of Scandinavian Studies in Criminology and Crime Prevention</t>
  </si>
  <si>
    <t>Journal of Scheduling</t>
  </si>
  <si>
    <t>Journal of Scholarly Publishing</t>
  </si>
  <si>
    <t>Journal of School Choice</t>
  </si>
  <si>
    <t>Journal of School Health</t>
  </si>
  <si>
    <t>Journal of School Nursing</t>
  </si>
  <si>
    <t>Journal of School Psychology</t>
  </si>
  <si>
    <t>Journal of School Violence</t>
  </si>
  <si>
    <t>Journal of Science and Medicine in Sport</t>
  </si>
  <si>
    <t>Journal of Science and Technology</t>
  </si>
  <si>
    <t>Journal of Science Communication</t>
  </si>
  <si>
    <t>Journal of Science Education</t>
  </si>
  <si>
    <t>Journal of Science Education and Technology</t>
  </si>
  <si>
    <t>Journal of Sciences, Islamic Republic of Iran</t>
  </si>
  <si>
    <t>Journal of Science Teacher Education</t>
  </si>
  <si>
    <t>Journal of Scientific and Industrial Research</t>
  </si>
  <si>
    <t>Journal of Scientific Computing</t>
  </si>
  <si>
    <t>Journal of Scientific Exploration</t>
  </si>
  <si>
    <t>Journal of Sea Research</t>
  </si>
  <si>
    <t>Journal of Second Language Writing</t>
  </si>
  <si>
    <t>Journal of Sedimentary Research</t>
  </si>
  <si>
    <t>Journal of Seismic Exploration</t>
  </si>
  <si>
    <t>Journal of Seismology</t>
  </si>
  <si>
    <t>Journal of Semantics</t>
  </si>
  <si>
    <t>Journal of Semiconductors</t>
  </si>
  <si>
    <t>Journal of Semiconductor Technology and Science</t>
  </si>
  <si>
    <t>Journal of Semitic Studies</t>
  </si>
  <si>
    <t>Journal of Sensors</t>
  </si>
  <si>
    <t>Journal of Sensory Studies</t>
  </si>
  <si>
    <t>Journal of Separation Science</t>
  </si>
  <si>
    <t>Journal of Service Management</t>
  </si>
  <si>
    <t>Journal of Service Research</t>
  </si>
  <si>
    <t>Journal of Services Marketing</t>
  </si>
  <si>
    <t>Journal of Sex and Marital Therapy</t>
  </si>
  <si>
    <t>Journal of Sex Research</t>
  </si>
  <si>
    <t>Journal of Sexual Medicine</t>
  </si>
  <si>
    <t>Journal of Shanghai Jiaotong University (Medical Science)</t>
  </si>
  <si>
    <t>Journal of Shanghai Jiaotong University (Science)</t>
  </si>
  <si>
    <t>Journal of Shanghai University</t>
  </si>
  <si>
    <t>Journal of Shellfish Research</t>
  </si>
  <si>
    <t>Journal of Shi'a Islamic Studies</t>
  </si>
  <si>
    <t>Journal of Ship Production</t>
  </si>
  <si>
    <t>Journal of Ship Research</t>
  </si>
  <si>
    <t>Journal of Shoulder and Elbow Surgery</t>
  </si>
  <si>
    <t>Journal of Sichuan University (Medical Science Edition)</t>
  </si>
  <si>
    <t>Journal of Signal Processing Systems</t>
  </si>
  <si>
    <t>Journal of Simulation</t>
  </si>
  <si>
    <t>Journal of Singularities</t>
  </si>
  <si>
    <t>Journal of Slavic Military Studies</t>
  </si>
  <si>
    <t>Journal of Sleep Research</t>
  </si>
  <si>
    <t>Journal of Small Animal Practice</t>
  </si>
  <si>
    <t>Journal of Small Business and Enterprise Development</t>
  </si>
  <si>
    <t>Journal of Small Business Management</t>
  </si>
  <si>
    <t>Journal of Smoking Cessation</t>
  </si>
  <si>
    <t>Journal of Smooth Muscle Research</t>
  </si>
  <si>
    <t>Journal of Social and Clinical Psychology</t>
  </si>
  <si>
    <t>Journal of Social and Personal Relationships</t>
  </si>
  <si>
    <t>Journal of Social Archaeology</t>
  </si>
  <si>
    <t>Journal of Social Development in Africa</t>
  </si>
  <si>
    <t>Zimbabwe</t>
  </si>
  <si>
    <t>Journal of Social, Evolutionary, and Cultural Psychology</t>
  </si>
  <si>
    <t>Journal of Social History</t>
  </si>
  <si>
    <t>Journal of Social Issues</t>
  </si>
  <si>
    <t>Journal of Social Philosophy</t>
  </si>
  <si>
    <t>Journal of Social Policy</t>
  </si>
  <si>
    <t>Journal of Social, Political, and Economic Studies</t>
  </si>
  <si>
    <t>Journal of Social Psychology</t>
  </si>
  <si>
    <t>Journal of Social Service Research</t>
  </si>
  <si>
    <t>Journal of Social Structure</t>
  </si>
  <si>
    <t>Journal of Social Welfare and Family Law</t>
  </si>
  <si>
    <t>Journal of Social Work</t>
  </si>
  <si>
    <t>Journal of Social Work Education</t>
  </si>
  <si>
    <t>Journal of Social Work in Disability and Rehabilitation</t>
  </si>
  <si>
    <t>Journal of Social Work in End-of-Life and Palliative Care</t>
  </si>
  <si>
    <t>Journal of Social Work Practice</t>
  </si>
  <si>
    <t>Journal of Social Work Practice in the Addictions</t>
  </si>
  <si>
    <t>Journal of Socio-Economics</t>
  </si>
  <si>
    <t>Journal of Sociolinguistics</t>
  </si>
  <si>
    <t>Journal of Sociology</t>
  </si>
  <si>
    <t>Journal of Sociology and Social Welfare</t>
  </si>
  <si>
    <t>Journal of Software</t>
  </si>
  <si>
    <t>Journal of software: Evolution and Process</t>
  </si>
  <si>
    <t>Journal of Soils and Sediments</t>
  </si>
  <si>
    <t>Journal of Soils and Water Conservation</t>
  </si>
  <si>
    <t>Journal of Soil Science and Plant Nutrition</t>
  </si>
  <si>
    <t>Journal of Solar Energy Engineering, Transactions of the ASME</t>
  </si>
  <si>
    <t>Journal of Sol-Gel Science and Technology</t>
  </si>
  <si>
    <t>Journal of Solid Mechanics</t>
  </si>
  <si>
    <t>Journal of Solid State Chemistry</t>
  </si>
  <si>
    <t>Journal of Solid State Electrochemistry</t>
  </si>
  <si>
    <t>Journal of Solid Waste Technology and Management</t>
  </si>
  <si>
    <t>Journal of Solution Chemistry</t>
  </si>
  <si>
    <t>Journal of Song-Yuan Studies</t>
  </si>
  <si>
    <t>Journal of Soochow University Engineering Science Edition</t>
  </si>
  <si>
    <t>Journal of Sound and Vibration</t>
  </si>
  <si>
    <t>Journal of South American Earth Sciences</t>
  </si>
  <si>
    <t>Journal of South Asian Development</t>
  </si>
  <si>
    <t>Journal of Southeast Asian Studies</t>
  </si>
  <si>
    <t>Journal of Southeast European and Black Sea Studies</t>
  </si>
  <si>
    <t>Journal of Southeast University (English Edition)</t>
  </si>
  <si>
    <t>Journal of Southern African Studies</t>
  </si>
  <si>
    <t>Journal of Southern History</t>
  </si>
  <si>
    <t>Journal of South India Medicolegal Association</t>
  </si>
  <si>
    <t>Journal of Spacecraft and Rockets</t>
  </si>
  <si>
    <t>Journal of Spacecraft Technology</t>
  </si>
  <si>
    <t>Journal of Spanish Cultural Studies</t>
  </si>
  <si>
    <t>Journal of Spatial Hydrology</t>
  </si>
  <si>
    <t>Journal of Spatial Science</t>
  </si>
  <si>
    <t>Journal of Special Education</t>
  </si>
  <si>
    <t>Journal of special operations medicine : a peer reviewed journal for SOF medical professionals</t>
  </si>
  <si>
    <t>Journal of Speculative Philosophy</t>
  </si>
  <si>
    <t>Journal of Speech, Language, and Hearing Research</t>
  </si>
  <si>
    <t>Journal of Spinal Cord Medicine</t>
  </si>
  <si>
    <t>Journal of Spinal Disorders and Techniques</t>
  </si>
  <si>
    <t>Journal of Spirituality in Mental Health</t>
  </si>
  <si>
    <t>Journal of Sport and Exercise Psychology</t>
  </si>
  <si>
    <t>Journal of Sport and Social Issues</t>
  </si>
  <si>
    <t>Journal of Sport and Tourism</t>
  </si>
  <si>
    <t>Journal of sport history</t>
  </si>
  <si>
    <t>Journal of Sport Management</t>
  </si>
  <si>
    <t>Journal of Sport Rehabilitation</t>
  </si>
  <si>
    <t>Journal of Sports Economics</t>
  </si>
  <si>
    <t>Journal of Sports Medicine and Physical Fitness</t>
  </si>
  <si>
    <t>Journal of Sports Science and Medicine</t>
  </si>
  <si>
    <t>Journal of Sports Sciences</t>
  </si>
  <si>
    <t>Journal of Statistical Computation and Simulation</t>
  </si>
  <si>
    <t>Journal of Statistical Mechanics: Theory and Experiment</t>
  </si>
  <si>
    <t>Journal of Statistical Physics</t>
  </si>
  <si>
    <t>Journal of Statistical Planning and Inference</t>
  </si>
  <si>
    <t>Journal of Statistical Software</t>
  </si>
  <si>
    <t>Journal of Statistical Theory and Practice</t>
  </si>
  <si>
    <t>Journal of Statistics Education</t>
  </si>
  <si>
    <t>Journal of Stem Cells</t>
  </si>
  <si>
    <t>Journal of Steroid Biochemistry and Molecular Biology</t>
  </si>
  <si>
    <t>Journal of Stomatology</t>
  </si>
  <si>
    <t>Journal of Stored Products Research</t>
  </si>
  <si>
    <t>Journal of Strain Analysis for Engineering Design</t>
  </si>
  <si>
    <t>Journal of Strategic Information Systems</t>
  </si>
  <si>
    <t>Journal of Strategic Marketing</t>
  </si>
  <si>
    <t>Journal of Strategic Studies</t>
  </si>
  <si>
    <t>Journal of Strength and Conditioning Research</t>
  </si>
  <si>
    <t>Journal of Stroke and Cerebrovascular Diseases</t>
  </si>
  <si>
    <t>Journal of Structural and Functional Genomics</t>
  </si>
  <si>
    <t>Journal of Structural Biology</t>
  </si>
  <si>
    <t>Journal of Structural Chemistry</t>
  </si>
  <si>
    <t>Journal of Structural Engineering</t>
  </si>
  <si>
    <t>Journal of Structural Engineering (Madras)</t>
  </si>
  <si>
    <t>Journal of Structural Geology</t>
  </si>
  <si>
    <t>Journal of Student Affairs Research and Practice</t>
  </si>
  <si>
    <t>Journal of Studies in International Education</t>
  </si>
  <si>
    <t>Journal of Studies on Alcohol and Drugs</t>
  </si>
  <si>
    <t>Journal of Substance Abuse Treatment</t>
  </si>
  <si>
    <t>Journal of Substance Use</t>
  </si>
  <si>
    <t>Journal of Sulfur Chemistry</t>
  </si>
  <si>
    <t>Journal of Supercomputing</t>
  </si>
  <si>
    <t>Journal of Superconductivity and Novel Magnetism</t>
  </si>
  <si>
    <t>Journal of Supercritical Fluids</t>
  </si>
  <si>
    <t>Journal of Superhard Materials</t>
  </si>
  <si>
    <t>Journal of Supply Chain Management</t>
  </si>
  <si>
    <t>Journal of Supportive Oncology</t>
  </si>
  <si>
    <t>Journal of Surface Science and Technology</t>
  </si>
  <si>
    <t>Journal of Surfactants and Detergents</t>
  </si>
  <si>
    <t>Journal of Surgical Education</t>
  </si>
  <si>
    <t>Journal of Surgical Oncology</t>
  </si>
  <si>
    <t>Journal of surgical orthopaedic advances</t>
  </si>
  <si>
    <t>Journal of Surgical Radiology</t>
  </si>
  <si>
    <t>Journal of Surgical Research</t>
  </si>
  <si>
    <t>Journal of Surveying Engineering, - ASCE</t>
  </si>
  <si>
    <t>Journal of Sustainability Science and Management</t>
  </si>
  <si>
    <t>Journal of Sustainable Agriculture</t>
  </si>
  <si>
    <t>Journal of Sustainable Forestry</t>
  </si>
  <si>
    <t>Journal of Sustainable Tourism</t>
  </si>
  <si>
    <t>Journal of Swine Health and Production</t>
  </si>
  <si>
    <t>Journal of Symbolic Computation</t>
  </si>
  <si>
    <t>Journal of Symbolic Logic</t>
  </si>
  <si>
    <t>Journal of Symplectic Geometry</t>
  </si>
  <si>
    <t>Journal of Synchrotron Radiation</t>
  </si>
  <si>
    <t>Journal of Systematic Palaeontology</t>
  </si>
  <si>
    <t>Journal of Systematics and Evolution</t>
  </si>
  <si>
    <t>Journal of Systems and Information Technology</t>
  </si>
  <si>
    <t>Journal of Systems and Software</t>
  </si>
  <si>
    <t>Journal of Systems Architecture</t>
  </si>
  <si>
    <t>Journal of Systems Engineering and Electronics</t>
  </si>
  <si>
    <t>Journal of Systems Science and Complexity</t>
  </si>
  <si>
    <t>Journal of Systems Science and Systems Engineering</t>
  </si>
  <si>
    <t>Journal of Taibah University Medical Sciences</t>
  </si>
  <si>
    <t>Journal of Taiwan Agricultural Engineering</t>
  </si>
  <si>
    <t>Journal of Taiwan Society of Naval Architects and Marine Engineers</t>
  </si>
  <si>
    <t>Journal of Targeting, Measurement and Analysis for Marketing</t>
  </si>
  <si>
    <t>Journal of Taxation</t>
  </si>
  <si>
    <t>Journal of Teacher Education</t>
  </si>
  <si>
    <t>Journal of Teacher Education for Sustainability</t>
  </si>
  <si>
    <t>Journal of Teaching in International Business</t>
  </si>
  <si>
    <t>Journal of Teaching in Physical Education</t>
  </si>
  <si>
    <t>Journal of Teaching in Social Work</t>
  </si>
  <si>
    <t>Journal of Teaching in Travel and Tourism</t>
  </si>
  <si>
    <t>Journal of Technology</t>
  </si>
  <si>
    <t>Journal of Technology Education</t>
  </si>
  <si>
    <t>Journal of Technology in Human Services</t>
  </si>
  <si>
    <t>Journal of Technology Management and Innovation</t>
  </si>
  <si>
    <t>Journal of Technology Transfer</t>
  </si>
  <si>
    <t>Journal of Tehran University Heart Center</t>
  </si>
  <si>
    <t>Journal of Telemedicine and Telecare</t>
  </si>
  <si>
    <t>Journal of Terramechanics</t>
  </si>
  <si>
    <t>Journal of Testing and Evaluation</t>
  </si>
  <si>
    <t>Journal of Textile and Apparel, Technology and Management</t>
  </si>
  <si>
    <t>Journal of Textile Engineering</t>
  </si>
  <si>
    <t>Journal of Textiles and Engineer</t>
  </si>
  <si>
    <t>Journal of Texture Studies</t>
  </si>
  <si>
    <t>Journal of the Academy of Marketing Science</t>
  </si>
  <si>
    <t>Journal of the Academy of Nutrition and Dietetics</t>
  </si>
  <si>
    <t>Journal of the ACM</t>
  </si>
  <si>
    <t>Journal of the Acoustical Society of America</t>
  </si>
  <si>
    <t>Journal of the Air and Waste Management Association</t>
  </si>
  <si>
    <t>Journal of the American Academy of Audiology</t>
  </si>
  <si>
    <t>Journal of the American Academy of Child and Adolescent Psychiatry</t>
  </si>
  <si>
    <t>Journal of the American Academy of Dermatology</t>
  </si>
  <si>
    <t>Journal of the American Academy of Nurse Practitioners</t>
  </si>
  <si>
    <t>Journal of the American Academy of Orthopaedic Surgeons, The</t>
  </si>
  <si>
    <t>Journal of the American Academy of Psychiatry and the Law</t>
  </si>
  <si>
    <t>Journal of the American Academy of Religion</t>
  </si>
  <si>
    <t>Journal of the American Animal Hospital Association</t>
  </si>
  <si>
    <t>Journal of the American Association for Laboratory Animal Science</t>
  </si>
  <si>
    <t>Journal of the American Board of Family Medicine</t>
  </si>
  <si>
    <t>Journal of the American Ceramic Society</t>
  </si>
  <si>
    <t>Journal of the American Chemical Society</t>
  </si>
  <si>
    <t>Journal of the American College of Cardiology</t>
  </si>
  <si>
    <t>Journal of the American College of Certified Wound Specialists</t>
  </si>
  <si>
    <t>Journal of the American College of Dentists, The</t>
  </si>
  <si>
    <t>Journal of the American College of Nutrition</t>
  </si>
  <si>
    <t>Journal of the American College of Surgeons</t>
  </si>
  <si>
    <t>Journal of the American Dental Association</t>
  </si>
  <si>
    <t>Journal of the American Geriatrics Society</t>
  </si>
  <si>
    <t>Journal of the American Health Information Management Association</t>
  </si>
  <si>
    <t>Journal of the American Helicopter Society</t>
  </si>
  <si>
    <t>Journal of The American Institute for Conservation</t>
  </si>
  <si>
    <t>Journal of the American Leather Chemists Association</t>
  </si>
  <si>
    <t>Journal of the American Mathematical Society</t>
  </si>
  <si>
    <t>Journal of the American Medical Directors Association</t>
  </si>
  <si>
    <t>Journal of the American Medical Informatics Association : JAMIA</t>
  </si>
  <si>
    <t>Journal of the American Mosquito Control Association</t>
  </si>
  <si>
    <t>Journal of the American Musical Instrument Society</t>
  </si>
  <si>
    <t>Journal of the American Musicological Society</t>
  </si>
  <si>
    <t>Journal of the American Oriental Society</t>
  </si>
  <si>
    <t>Journal of the American Osteopathic Association, The</t>
  </si>
  <si>
    <t>Journal of the American Pharmacists Association : JAPhA</t>
  </si>
  <si>
    <t>Journal of the American Planning Association</t>
  </si>
  <si>
    <t>Journal of the American Podiatric Medical Association</t>
  </si>
  <si>
    <t>Journal of the American Psychiatric Nurses Association</t>
  </si>
  <si>
    <t>Journal of the American Psychoanalytic Association</t>
  </si>
  <si>
    <t>Journal of the American Society for Horticultural Science</t>
  </si>
  <si>
    <t>Journal of the American Society for Information Science and Technology</t>
  </si>
  <si>
    <t>Journal of the American Society for Mass Spectrometry</t>
  </si>
  <si>
    <t>Journal of the American Society of Brewing Chemists</t>
  </si>
  <si>
    <t>Journal of the American Society of Echocardiography</t>
  </si>
  <si>
    <t>Journal of the American Society of Hypertension</t>
  </si>
  <si>
    <t>Journal of the American Society of Nephrology : JASN</t>
  </si>
  <si>
    <t>Journal of the American Statistical Association</t>
  </si>
  <si>
    <t>Journal of the American Taxation Association</t>
  </si>
  <si>
    <t>Journal of the American Veterinary Medical Association</t>
  </si>
  <si>
    <t>Journal of the American Water Resources Association</t>
  </si>
  <si>
    <t>Journal of the American Water Works Association</t>
  </si>
  <si>
    <t>Journal of the Anatomical Society of India</t>
  </si>
  <si>
    <t>Journal of the Arkansas Medical Society, The</t>
  </si>
  <si>
    <t>Journal of the Asian Pacific Economy</t>
  </si>
  <si>
    <t>Journal of the Association of Information Systems</t>
  </si>
  <si>
    <t>Journal of the Association of Nurses in AIDS Care</t>
  </si>
  <si>
    <t>Journal of the Association of Physicians of India, The</t>
  </si>
  <si>
    <t>Journal of the Astronautical Sciences</t>
  </si>
  <si>
    <t>Journal of the Australian and New Zealand Student Services Association</t>
  </si>
  <si>
    <t>Journal of the Australian Mathematical Society</t>
  </si>
  <si>
    <t>Journal of the Australian Traditional-Medicine Society</t>
  </si>
  <si>
    <t>Journal of the Balkan Tribological Association</t>
  </si>
  <si>
    <t>Journal of the Botanical Research Institute of Texas</t>
  </si>
  <si>
    <t>Journal of the Brazilian Chemical Society</t>
  </si>
  <si>
    <t>Journal of the Brazilian Computer Society</t>
  </si>
  <si>
    <t>Journal of the Brazilian Society of Mechanical Sciences and Engineering</t>
  </si>
  <si>
    <t>Journal of the British Archeological Association</t>
  </si>
  <si>
    <t>Journal of the British Menopause Society</t>
  </si>
  <si>
    <t>Journal of the British Society for Phenomenology</t>
  </si>
  <si>
    <t>Journal of the California Dental Association</t>
  </si>
  <si>
    <t>Journal of the Canadian Academy of Child and Adolescent Psychiatry</t>
  </si>
  <si>
    <t>Journal of the Canadian Dental Association</t>
  </si>
  <si>
    <t>Journal of the Canadian Society of Forensic Science</t>
  </si>
  <si>
    <t>Journal of the Canadian Urological Association</t>
  </si>
  <si>
    <t>Journal of the Chilean Chemical Society</t>
  </si>
  <si>
    <t>Journal of the Chinese Chemical Society</t>
  </si>
  <si>
    <t>Journal of the Chinese Institute of Civil and Hydraulic Engineering</t>
  </si>
  <si>
    <t>Journal of the Chinese Institute of Industrial Engineers</t>
  </si>
  <si>
    <t>Journal of the Chinese Medical Association</t>
  </si>
  <si>
    <t>Journal of the Chinese Nutrition Society</t>
  </si>
  <si>
    <t>Journal of the Chinese Society of Corrosion and Protection</t>
  </si>
  <si>
    <t>Journal of the Chinese Society of Mechanical Engineers, Transactions of the Chinese Institute of Engineers, Series C/Chung-Kuo Chi Hsueh Kung Ch'eng Hsuebo Pao</t>
  </si>
  <si>
    <t>Journal of the College of Physicians and Surgeons--Pakistan : JCPSP</t>
  </si>
  <si>
    <t>Journal of the Copyright Society of the U.S.A.</t>
  </si>
  <si>
    <t>Journal of the Dermatology Nurses' Association</t>
  </si>
  <si>
    <t>Journal of the Early Book Society</t>
  </si>
  <si>
    <t>Journal of the Early Republic</t>
  </si>
  <si>
    <t>Journal of the Economic and Social History of the Orient</t>
  </si>
  <si>
    <t>Journal of the Egyptian National Cancer Institute</t>
  </si>
  <si>
    <t>Journal of the Egyptian Public Health Association, The</t>
  </si>
  <si>
    <t>Journal of the Egyptian Society of Parasitology</t>
  </si>
  <si>
    <t>Journal of the Electrochemical Society</t>
  </si>
  <si>
    <t>Journal of the Energy Institute</t>
  </si>
  <si>
    <t>Journal of the Entomological Research Society</t>
  </si>
  <si>
    <t>Journal of the European Academy of Dermatology and Venereology</t>
  </si>
  <si>
    <t>Journal of the European Ceramic Society</t>
  </si>
  <si>
    <t>Journal of the European Economic Association</t>
  </si>
  <si>
    <t>Journal of the European Mathematical Society</t>
  </si>
  <si>
    <t>Journal of the European Optical Society</t>
  </si>
  <si>
    <t>Journal of the Experimental Analysis of Behavior</t>
  </si>
  <si>
    <t>Journal of the Faculty of Agriculture, Kyushu University</t>
  </si>
  <si>
    <t>Journal of the Faculty of Engineering and Architecture of Gazi University</t>
  </si>
  <si>
    <t>Journal of the Formosan Medical Association</t>
  </si>
  <si>
    <t>Journal of the Franklin Institute</t>
  </si>
  <si>
    <t>Journal of the Geodetic Society of Japan</t>
  </si>
  <si>
    <t>Journal of the Geological Society</t>
  </si>
  <si>
    <t>Journal of the Geological Society of India</t>
  </si>
  <si>
    <t>Journal of the Hellenic Veterinary Medical Society</t>
  </si>
  <si>
    <t>Journal of the Historical Society</t>
  </si>
  <si>
    <t>Journal of the History of Biology</t>
  </si>
  <si>
    <t>Journal of the History of Collections</t>
  </si>
  <si>
    <t>Journal of the history of dentistry</t>
  </si>
  <si>
    <t>Journal of the History of Economic Thought</t>
  </si>
  <si>
    <t>Journal of the History of Ideas</t>
  </si>
  <si>
    <t>Journal of the History of International Law</t>
  </si>
  <si>
    <t>Journal of the History of Medicine and Allied Sciences</t>
  </si>
  <si>
    <t>Journal of the History of Philosophy</t>
  </si>
  <si>
    <t>Journal of the History of Sexuality</t>
  </si>
  <si>
    <t>Journal of the History of the Behavioral Sciences</t>
  </si>
  <si>
    <t>Journal of the History of the Neurosciences</t>
  </si>
  <si>
    <t>Journal of the Hong Kong College of Cardiology</t>
  </si>
  <si>
    <t>Journal of the ICRU</t>
  </si>
  <si>
    <t>Journal of the IEST</t>
  </si>
  <si>
    <t>Journal of the Indian Academy of Applied Psychology</t>
  </si>
  <si>
    <t>Journal of the Indian Academy of Wood Science</t>
  </si>
  <si>
    <t>Journal of the Indiana Dental Association, The</t>
  </si>
  <si>
    <t>Journal of the Indian Chemical Society</t>
  </si>
  <si>
    <t>Journal of the Indian Institute of Science</t>
  </si>
  <si>
    <t>Journal of the Indian Medical Association</t>
  </si>
  <si>
    <t>Journal of the Indian Ocean Region</t>
  </si>
  <si>
    <t>Journal of the Indian Society of Pedodontics and Preventive Dentistry</t>
  </si>
  <si>
    <t>Journal of the Indian Society of Remote Sensing</t>
  </si>
  <si>
    <t>Journal of the Indian Society of Soil Science</t>
  </si>
  <si>
    <t>Journal of the Institute of Brewing</t>
  </si>
  <si>
    <t>Journal of the Institute of Conservation</t>
  </si>
  <si>
    <t>Journal of the Institute of Electrical Engineers of Japan</t>
  </si>
  <si>
    <t>Journal of the Institute of Mathematics of Jussieu</t>
  </si>
  <si>
    <t>Journal of the Institute of Telecommunications Professionals</t>
  </si>
  <si>
    <t>Journal of the Institution of Engineers (India): Aerospace Engineering Journal</t>
  </si>
  <si>
    <t>Journal of the Institution of Engineers (India): Agricultural Engineering Division</t>
  </si>
  <si>
    <t>Journal of the Institution of Engineers (India): Architectural Engineering Division</t>
  </si>
  <si>
    <t>Journal of the Institution of Engineers (India): Chemical Engineering Division</t>
  </si>
  <si>
    <t>Journal of the Institution of Engineers (India): Civil Engineering Division</t>
  </si>
  <si>
    <t>Journal of the Institution of Engineers (India): Mechanical Engineering Division</t>
  </si>
  <si>
    <t>Journal of the Institution of Engineers (India), Part CP: Computer Engineering Division</t>
  </si>
  <si>
    <t>Journal of the Institution of Engineers (India), Part MM: Metallurgy and Material Science Division</t>
  </si>
  <si>
    <t>Journal of the Institution of Engineers (India), Part MR: Marine Engineering Division</t>
  </si>
  <si>
    <t>Journal of the Institution of Engineers (India), Part PR: Production Engineering Division</t>
  </si>
  <si>
    <t>Journal of the Institution of Engineers (India), Part TX: Textile Engineering Division</t>
  </si>
  <si>
    <t>Journal of the Intensive Care Society</t>
  </si>
  <si>
    <t>Journal of the International Academy of Periodontology</t>
  </si>
  <si>
    <t>Journal of the International AIDS Society</t>
  </si>
  <si>
    <t>Journal of the International Association for Shell and Spatial Structures</t>
  </si>
  <si>
    <t>Journal of the International Association of Physicians in AIDS Care</t>
  </si>
  <si>
    <t>Journal of the International Neuropsychological Society</t>
  </si>
  <si>
    <t>Journal of the International Phonetic Association</t>
  </si>
  <si>
    <t>Journal of the International Society for Southeast Asian Agricultural Sciences</t>
  </si>
  <si>
    <t>Journal of the International Society of Sports Nutrition</t>
  </si>
  <si>
    <t>Journal of the Iranian Chemical Society</t>
  </si>
  <si>
    <t>Journal of the Iranian Statistical Society</t>
  </si>
  <si>
    <t>Journal of the Irish Dental Association</t>
  </si>
  <si>
    <t>Journal of the Japan Diabetes Society</t>
  </si>
  <si>
    <t>Journal of the Japan Epilepsy Society</t>
  </si>
  <si>
    <t>Journal of the Japanese and International Economies</t>
  </si>
  <si>
    <t>Journal of The Japanese Association For Petroleum Technology</t>
  </si>
  <si>
    <t>Journal of the Japanese Physical Therapy Association</t>
  </si>
  <si>
    <t>Journal of the Japanese Society for Horticultural Science</t>
  </si>
  <si>
    <t>Journal of the Japan Petroleum Institute</t>
  </si>
  <si>
    <t>Journal of the Japan Research Association for Textile End-Uses</t>
  </si>
  <si>
    <t>Journal of the Kansas Entomological Society</t>
  </si>
  <si>
    <t>Journal of the Knowledge Economy</t>
  </si>
  <si>
    <t>Journal of the Korea Institute of Applied Superconductivity and Cryogenics</t>
  </si>
  <si>
    <t>Journal of the Korean Astronomical Society</t>
  </si>
  <si>
    <t>Journal of the Korean Ceramic Society</t>
  </si>
  <si>
    <t>Journal of the Korean Chemical Society</t>
  </si>
  <si>
    <t>Journal of the Korean Industrial and Engineering Chemistry</t>
  </si>
  <si>
    <t>Journal of the Korean Mathematical Society</t>
  </si>
  <si>
    <t>Journal of the Korean Medical Association</t>
  </si>
  <si>
    <t>Journal of the Korean Physical Society</t>
  </si>
  <si>
    <t>Journal of the Korean Society for Applied Biological Chemistry</t>
  </si>
  <si>
    <t>Journal of the Korean Society of Coloproctology</t>
  </si>
  <si>
    <t>Journal of the Korean Society of Food Science and Nutrition</t>
  </si>
  <si>
    <t>Journal of the Korean Society of Surveying Geodesy Photogrammetry and Cartography</t>
  </si>
  <si>
    <t>Journal of the Korean Statistical Society</t>
  </si>
  <si>
    <t>Journal of the Korean Surgical Society</t>
  </si>
  <si>
    <t>Journal of the Korean Wood Science and Technology</t>
  </si>
  <si>
    <t>Journal of the Learning Sciences</t>
  </si>
  <si>
    <t>Journal of the Lepidopterists' Society</t>
  </si>
  <si>
    <t>Journal of the Liaquat University of Medical and Health Sciences</t>
  </si>
  <si>
    <t>Journal of the London Mathematical Society</t>
  </si>
  <si>
    <t>Journal of the Louisiana State Medical Society : official organ of the Louisiana State Medical Society, The</t>
  </si>
  <si>
    <t>Journal of the Marine Biological Association of the United Kingdom</t>
  </si>
  <si>
    <t>Journal of the Massachusetts Dental Society</t>
  </si>
  <si>
    <t>Journal of the Mathematical Society of Japan</t>
  </si>
  <si>
    <t>Journal of the Mechanical Behavior of Biomedical Materials</t>
  </si>
  <si>
    <t>Journal of the Mechanics and Physics of Solids</t>
  </si>
  <si>
    <t>Journal of the Medical Association of Georgia</t>
  </si>
  <si>
    <t>Journal of the Medical Association of Thailand = Chotmaihet thangphaet</t>
  </si>
  <si>
    <t>Journal of the Medical Library Association : JMLA</t>
  </si>
  <si>
    <t>Journal of the Medical Society of Toho University</t>
  </si>
  <si>
    <t>Journal of the Meteorological Society of Japan</t>
  </si>
  <si>
    <t>Journal of the Mexican Chemical Society</t>
  </si>
  <si>
    <t>Journal of the Michigan Dental Association, The</t>
  </si>
  <si>
    <t>Journal of the Mine Ventilation Society of South Africa</t>
  </si>
  <si>
    <t>Journal of the Mississippi State Medical Association</t>
  </si>
  <si>
    <t>Journal of the Musical Arts in Africa</t>
  </si>
  <si>
    <t>Journal of the National Cancer Institute</t>
  </si>
  <si>
    <t>Journal of the National Cancer Institute. Monographs</t>
  </si>
  <si>
    <t>Journal of the National Comprehensive Cancer Network : JNCCN</t>
  </si>
  <si>
    <t>Journal of the National Institute of Information and Communications Technology</t>
  </si>
  <si>
    <t>Journal of the National Medical Association</t>
  </si>
  <si>
    <t>Journal of the National Science Foundation of Sri Lanka</t>
  </si>
  <si>
    <t>Journal of the Nepal Medical Association</t>
  </si>
  <si>
    <t>Journal of the Neurological Sciences</t>
  </si>
  <si>
    <t>Journal of the New Jersey Dental Association</t>
  </si>
  <si>
    <t>Journal of the New York State Nurses Association</t>
  </si>
  <si>
    <t>Journal of the North American Benthological Society</t>
  </si>
  <si>
    <t>Journal of the North Atlantic</t>
  </si>
  <si>
    <t>Journal of the Oklahoma State Medical Association, The</t>
  </si>
  <si>
    <t>Journal of Theological Studies</t>
  </si>
  <si>
    <t>Journal of the Operational Research Society</t>
  </si>
  <si>
    <t>Journal of the Optical Society of America A: Optics and Image Science, and Vision</t>
  </si>
  <si>
    <t>Journal of the Optical Society of America B: Optical Physics</t>
  </si>
  <si>
    <t>Journal of the Optical Society of Korea</t>
  </si>
  <si>
    <t>Journal of Theoretical and Applied Electronic Commerce Research</t>
  </si>
  <si>
    <t>Journal of Theoretical and Applied Information Technology</t>
  </si>
  <si>
    <t>Journal of Theoretical and Applied Mechanics</t>
  </si>
  <si>
    <t>Journal of Theoretical and Computational Chemistry</t>
  </si>
  <si>
    <t>Journal of Theoretical and Philosophical Psychology</t>
  </si>
  <si>
    <t>Journal of Theoretical Biology</t>
  </si>
  <si>
    <t>Journal of Theoretical Politics</t>
  </si>
  <si>
    <t>Journal of Theoretical Probability</t>
  </si>
  <si>
    <t>Journal of the Palaeontological Society of India</t>
  </si>
  <si>
    <t>Journal of the Pancreas</t>
  </si>
  <si>
    <t>Journal of the Peripheral Nervous System</t>
  </si>
  <si>
    <t>Journal of the Philosophy of History</t>
  </si>
  <si>
    <t>Journal of the Philosophy of Sport</t>
  </si>
  <si>
    <t>Journal of the Physical Society of Japan</t>
  </si>
  <si>
    <t>Journal of the Polynesian Society</t>
  </si>
  <si>
    <t>Journal of the Professional Association for Cactus Development</t>
  </si>
  <si>
    <t>Journal of Thermal Analysis and Calorimetry</t>
  </si>
  <si>
    <t>Journal of Thermal Biology</t>
  </si>
  <si>
    <t>Journal of Thermal Science</t>
  </si>
  <si>
    <t>Journal of Thermal Science and Engineering Applications</t>
  </si>
  <si>
    <t>Journal of Thermal Science and Technology</t>
  </si>
  <si>
    <t>Journal of Thermal Spray Technology</t>
  </si>
  <si>
    <t>Journal of Thermal Stresses</t>
  </si>
  <si>
    <t>Journal of Thermodynamics</t>
  </si>
  <si>
    <t>Journal of Thermophysics and Heat Transfer</t>
  </si>
  <si>
    <t>Journal of Thermoplastic Composite Materials</t>
  </si>
  <si>
    <t>Journal of the Royal Agricultural Society of England</t>
  </si>
  <si>
    <t>Journal of the Royal Anthropological Institute</t>
  </si>
  <si>
    <t>Journal of the Royal Army Medical Corps</t>
  </si>
  <si>
    <t>Journal of the Royal Asiatic Society</t>
  </si>
  <si>
    <t>Journal of the Royal College of Physicians of Edinburgh, The</t>
  </si>
  <si>
    <t>Journal of the Royal Musical Association</t>
  </si>
  <si>
    <t>Journal of the Royal Naval Medical Service</t>
  </si>
  <si>
    <t>Journal of the Royal Society Interface</t>
  </si>
  <si>
    <t>Journal of the Royal Society of Medicine</t>
  </si>
  <si>
    <t>Journal of the Royal Society of Medicine, Supplement</t>
  </si>
  <si>
    <t>Journal of the Royal Society of New Zealand</t>
  </si>
  <si>
    <t>Journal of the Royal Society of Western Australia</t>
  </si>
  <si>
    <t>Journal of the Royal Statistical Society. Series A: Statistics in Society</t>
  </si>
  <si>
    <t>Journal of the Royal Statistical Society. Series B: Statistical Methodology</t>
  </si>
  <si>
    <t>Journal of the Royal Statistical Society. Series C: Applied Statistics</t>
  </si>
  <si>
    <t>Journal of the Saudi Heart Association</t>
  </si>
  <si>
    <t>Journal of the Science of Food and Agriculture</t>
  </si>
  <si>
    <t>Journal of the Serbian Chemical Society</t>
  </si>
  <si>
    <t>Journal of the Serbian Society for Computational Mechanics</t>
  </si>
  <si>
    <t>Journal of the Social Sciences</t>
  </si>
  <si>
    <t>Kuwait</t>
  </si>
  <si>
    <t>Journal of the Society for American Music</t>
  </si>
  <si>
    <t>Journal of the Society for Information Display</t>
  </si>
  <si>
    <t>Journal of the Society of Architectural Historians</t>
  </si>
  <si>
    <t>Journal of the Society of Archivists</t>
  </si>
  <si>
    <t>Journal of the Society of Christian Ethics</t>
  </si>
  <si>
    <t>Journal of the Society of Leather Technologies and Chemists</t>
  </si>
  <si>
    <t>Journal of the South African Institution of Civil Engineering</t>
  </si>
  <si>
    <t>Journal of the South African Veterinary Association</t>
  </si>
  <si>
    <t>Journal of the South Carolina Medical Association, The</t>
  </si>
  <si>
    <t>Journal of the Southern African Institute of Mining and Metallurgy</t>
  </si>
  <si>
    <t>Journal of the Southwest</t>
  </si>
  <si>
    <t>Journal of the Statistical and Social Inquiry Society of Ireland</t>
  </si>
  <si>
    <t>Journal of the Taiwan Institute of Chemical Engineers</t>
  </si>
  <si>
    <t>Journal of the Tennessee Dental Association, The</t>
  </si>
  <si>
    <t>Journal of the Textile Association</t>
  </si>
  <si>
    <t>Journal of the Textile Institute</t>
  </si>
  <si>
    <t>Journal of the Torrey Botanical Society</t>
  </si>
  <si>
    <t>Journal of the Turkish German Gynecology Association</t>
  </si>
  <si>
    <t>Journal of the University of Chemical Technology and Metallurgy</t>
  </si>
  <si>
    <t>Journal of the University of Malaya Medical Centre</t>
  </si>
  <si>
    <t>Journal of the Urban Planning and Development Division, ASCE</t>
  </si>
  <si>
    <t>Journal of the Vacuum Society of Japan</t>
  </si>
  <si>
    <t>Journal of the Virtual Explorer</t>
  </si>
  <si>
    <t>Journal of the Warburg and Courtauld Institutes</t>
  </si>
  <si>
    <t>Journal of the Western Society of Periodontology/Periodontal abstracts, The</t>
  </si>
  <si>
    <t>Journal of the World Aquaculture Society</t>
  </si>
  <si>
    <t>Journal of the Yamashina Institute for Ornithology</t>
  </si>
  <si>
    <t>Journal of Third World Studies</t>
  </si>
  <si>
    <t>Journal of Thoracic and Cardiovascular Surgery</t>
  </si>
  <si>
    <t>Journal of Thoracic Disease</t>
  </si>
  <si>
    <t>Journal of Thoracic Imaging</t>
  </si>
  <si>
    <t>Journal of Thoracic Oncology</t>
  </si>
  <si>
    <t>Journal of Thrombosis and Haemostasis</t>
  </si>
  <si>
    <t>Journal of Thrombosis and Thrombolysis</t>
  </si>
  <si>
    <t>Journal of Tianjin Polytechnic University</t>
  </si>
  <si>
    <t>Journal of Time Series Analysis</t>
  </si>
  <si>
    <t>Journal of Tissue Engineering and Regenerative Medicine</t>
  </si>
  <si>
    <t>Journal of Tissue Viability</t>
  </si>
  <si>
    <t>Journal of Tokyo Medical University</t>
  </si>
  <si>
    <t>Journal of Topology</t>
  </si>
  <si>
    <t>Journal of Topology and Analysis</t>
  </si>
  <si>
    <t>Journal of Tort Law</t>
  </si>
  <si>
    <t>Journal of Tourism and Cultural Change</t>
  </si>
  <si>
    <t>Journal of Tourism History</t>
  </si>
  <si>
    <t>Journal of Toxicological Sciences</t>
  </si>
  <si>
    <t>Journal of Toxicologic Pathology</t>
  </si>
  <si>
    <t>Journal of Toxicology</t>
  </si>
  <si>
    <t>Journal of Toxicology and Environmental Health - Part A: Current Issues</t>
  </si>
  <si>
    <t>Journal of Toxicology and Environmental Health - Part B: Critical Reviews</t>
  </si>
  <si>
    <t>Journal of Trace Elements in Medicine and Biology</t>
  </si>
  <si>
    <t>Journal of Traditional Chinese Medicine</t>
  </si>
  <si>
    <t>Journal of Traffic and Transportation Engineering</t>
  </si>
  <si>
    <t>Journal of Transcultural Nursing</t>
  </si>
  <si>
    <t>Journal of Transformative Education</t>
  </si>
  <si>
    <t>Journal of Translational Medicine</t>
  </si>
  <si>
    <t>Journal of Transnational American Studies</t>
  </si>
  <si>
    <t>Journal of Transnational Management</t>
  </si>
  <si>
    <t>Journal of Transport and Land Use</t>
  </si>
  <si>
    <t>Journal of Transportation Engineering</t>
  </si>
  <si>
    <t>Journal of Transportation Security</t>
  </si>
  <si>
    <t>Journal of Transportation Systems Engineering and Information Technology</t>
  </si>
  <si>
    <t>Journal of Transport Economics and Policy</t>
  </si>
  <si>
    <t>Journal of Transport Geography</t>
  </si>
  <si>
    <t>Journal of Transport History</t>
  </si>
  <si>
    <t>Journal of Trauma and Acute Care Surgery</t>
  </si>
  <si>
    <t>Journal of Trauma and Dissociation</t>
  </si>
  <si>
    <t>Journal of trauma nursing : the official journal of the Society of Trauma Nurses</t>
  </si>
  <si>
    <t>Journal of Traumatic Stress</t>
  </si>
  <si>
    <t>Journal of Travel and Tourism Marketing</t>
  </si>
  <si>
    <t>Journal of Travel Medicine</t>
  </si>
  <si>
    <t>Journal of Travel Research</t>
  </si>
  <si>
    <t>Journal of Tribology</t>
  </si>
  <si>
    <t>Journal of Tropical Agriculture</t>
  </si>
  <si>
    <t>Journal of Tropical Ecology</t>
  </si>
  <si>
    <t>Journal of Tropical Forest Science</t>
  </si>
  <si>
    <t>Journal of Tropical Medicine</t>
  </si>
  <si>
    <t>Journal of Tropical Pediatrics</t>
  </si>
  <si>
    <t>Journal of Turbomachinery</t>
  </si>
  <si>
    <t>Journal of Turbulence</t>
  </si>
  <si>
    <t>Journal of Turkish Science Education</t>
  </si>
  <si>
    <t>Journal of Ultrasound</t>
  </si>
  <si>
    <t>Journal of Ultrasound in Medicine</t>
  </si>
  <si>
    <t>Journal of Uncertain Systems</t>
  </si>
  <si>
    <t>Journal of Undergraduate Neuroscience Education</t>
  </si>
  <si>
    <t>Journal of Universal Computer Science</t>
  </si>
  <si>
    <t>Journal of University of Science and Technology of China</t>
  </si>
  <si>
    <t>Journal of UOEH</t>
  </si>
  <si>
    <t>Journal of Urban Affairs</t>
  </si>
  <si>
    <t>Journal of Urban and Environmental Engineering</t>
  </si>
  <si>
    <t>Journal of Urban Design</t>
  </si>
  <si>
    <t>Journal of Urban Economics</t>
  </si>
  <si>
    <t>Journal of Urban Health</t>
  </si>
  <si>
    <t>Journal of Urban History</t>
  </si>
  <si>
    <t>Journal of Urban Regeneration and Renewal</t>
  </si>
  <si>
    <t>Journal of Urban Technology</t>
  </si>
  <si>
    <t>Journal of Urology</t>
  </si>
  <si>
    <t>Journal of Vacation Marketing</t>
  </si>
  <si>
    <t>Journal of Vacuum Science and Technology A</t>
  </si>
  <si>
    <t>Journal of Vacuum Science and Technology B: Microelectronics and Nanometer Structures</t>
  </si>
  <si>
    <t>Journal of Value Inquiry</t>
  </si>
  <si>
    <t>Journal of Vascular Access</t>
  </si>
  <si>
    <t>Journal of Vascular and Interventional Radiology</t>
  </si>
  <si>
    <t>Journal of Vascular Nursing</t>
  </si>
  <si>
    <t>Journal of Vascular Research</t>
  </si>
  <si>
    <t>Journal of Vascular Surgery</t>
  </si>
  <si>
    <t>Journal of Vector Borne Diseases</t>
  </si>
  <si>
    <t>Journal of Vector Ecology</t>
  </si>
  <si>
    <t>Journal of Vegetation Science</t>
  </si>
  <si>
    <t>Journal of Venomous Animals and Toxins Including Tropical Diseases</t>
  </si>
  <si>
    <t>Journal of Vertebrate Paleontology</t>
  </si>
  <si>
    <t>Journal of Vestibular Research: Equilibrium and Orientation</t>
  </si>
  <si>
    <t>Journal of Veterinary Behavior: Clinical Applications and Research</t>
  </si>
  <si>
    <t>Journal of Veterinary Cardiology</t>
  </si>
  <si>
    <t>Journal of Veterinary Clinics</t>
  </si>
  <si>
    <t>Journal of Veterinary Dentistry</t>
  </si>
  <si>
    <t>Journal of Veterinary Diagnostic Investigation</t>
  </si>
  <si>
    <t>Journal of Veterinary Emergency and Critical Care</t>
  </si>
  <si>
    <t>Journal of Veterinary Internal Medicine</t>
  </si>
  <si>
    <t>Journal of Veterinary Medical Education</t>
  </si>
  <si>
    <t>Journal of Veterinary Medical Science</t>
  </si>
  <si>
    <t>Journal of Veterinary Medicine Series C: Anatomia Histologia Embryologia</t>
  </si>
  <si>
    <t>Journal of Veterinary Parasitology</t>
  </si>
  <si>
    <t>Journal of Veterinary Pharmacology and Therapeutics</t>
  </si>
  <si>
    <t>Journal of Veterinary Science</t>
  </si>
  <si>
    <t>Journal of Vibration and Acoustics, Transactions of the ASME</t>
  </si>
  <si>
    <t>Journal of Vibroengineering</t>
  </si>
  <si>
    <t>Journal of Victorian Culture</t>
  </si>
  <si>
    <t>Journal of Vinyl and Additive Technology</t>
  </si>
  <si>
    <t>Journal of Viral Hepatitis</t>
  </si>
  <si>
    <t>Journal of Virological Methods</t>
  </si>
  <si>
    <t>Journal of Virology</t>
  </si>
  <si>
    <t>Journal of visceral surgery</t>
  </si>
  <si>
    <t>Journal of Vision</t>
  </si>
  <si>
    <t>Journal of Visual Art Practice</t>
  </si>
  <si>
    <t>Journal of Visual Communication and Image Representation</t>
  </si>
  <si>
    <t>Journal of Visual Communication in Medicine</t>
  </si>
  <si>
    <t>Journal of Visual Culture</t>
  </si>
  <si>
    <t>Journal of Visual Impairment and Blindness</t>
  </si>
  <si>
    <t>Journal of Visualization</t>
  </si>
  <si>
    <t>Journal of Visualized Experiments</t>
  </si>
  <si>
    <t>Journal of Visual Languages and Computing</t>
  </si>
  <si>
    <t>Journal of Vocational Behavior</t>
  </si>
  <si>
    <t>Journal of Vocational Education and Training</t>
  </si>
  <si>
    <t>Journal of Vocational Rehabilitation</t>
  </si>
  <si>
    <t>Journal of Voice</t>
  </si>
  <si>
    <t>Journal of Volcanology and Geothermal Research</t>
  </si>
  <si>
    <t>Journal of Volcanology and Seismology</t>
  </si>
  <si>
    <t>Journal of Water and Climate Change</t>
  </si>
  <si>
    <t>Journal of Water and Health</t>
  </si>
  <si>
    <t>Journal of Water and Land Development</t>
  </si>
  <si>
    <t>Journal of Water Chemistry and Technology</t>
  </si>
  <si>
    <t>Journal of Water Law</t>
  </si>
  <si>
    <t>Journal of Water Resources Planning and Management - ASCE</t>
  </si>
  <si>
    <t>Journal of Water Supply: Research and Technology - AQUA</t>
  </si>
  <si>
    <t>Journal of Waterway, Port, Coastal and Ocean Engineering</t>
  </si>
  <si>
    <t>Journal of Wealth Management</t>
  </si>
  <si>
    <t>Journal of Web Engineering</t>
  </si>
  <si>
    <t>Journal of Web Librarianship</t>
  </si>
  <si>
    <t>Journal of Wildlife Diseases</t>
  </si>
  <si>
    <t>Journal of Wildlife Management</t>
  </si>
  <si>
    <t>Journal of Wildlife Rehabilitation</t>
  </si>
  <si>
    <t>Journal of Wind Engineering and Industrial Aerodynamics</t>
  </si>
  <si>
    <t>Journal of Wine Research</t>
  </si>
  <si>
    <t>Journal of Women and Aging</t>
  </si>
  <si>
    <t>Journal of Women and Minorities in Science and Engineering</t>
  </si>
  <si>
    <t>Journal of Women, Politics and Policy</t>
  </si>
  <si>
    <t>Journal of Women's Health</t>
  </si>
  <si>
    <t>Journal of Women's History</t>
  </si>
  <si>
    <t>Journal of Wood Chemistry and Technology</t>
  </si>
  <si>
    <t>Journal of Wood Science</t>
  </si>
  <si>
    <t>Journal of Workplace Behavioral Health</t>
  </si>
  <si>
    <t>Journal of Workplace Learning</t>
  </si>
  <si>
    <t>Journal of World Business</t>
  </si>
  <si>
    <t>Journal of World Energy Law and Business</t>
  </si>
  <si>
    <t>Journal of World History</t>
  </si>
  <si>
    <t>Journal of World Prehistory</t>
  </si>
  <si>
    <t>Journal of World Trade</t>
  </si>
  <si>
    <t>Journal of wound care</t>
  </si>
  <si>
    <t>Journal of Wound, Ostomy and Continence Nursing</t>
  </si>
  <si>
    <t>Journal of Writing in Creative Practice</t>
  </si>
  <si>
    <t>Journal of Writing Research</t>
  </si>
  <si>
    <t>Journal of WSCG</t>
  </si>
  <si>
    <t>Journal of X-Ray Science and Technology</t>
  </si>
  <si>
    <t>Journal of Young Pharmacists</t>
  </si>
  <si>
    <t>Journal of Youth and Adolescence</t>
  </si>
  <si>
    <t>Journal of Youth Studies</t>
  </si>
  <si>
    <t>Journal of Zanjan University of Medical Sciences and Health Services</t>
  </si>
  <si>
    <t>Journal of Zhejiang University: Science A</t>
  </si>
  <si>
    <t>Journal of Zhejiang University. Science. B.</t>
  </si>
  <si>
    <t>Journal of Zhejiang University: Science C</t>
  </si>
  <si>
    <t>Journal of Zhejiang University, Science Edition</t>
  </si>
  <si>
    <t>Journal of Zoo and Wildlife Medicine</t>
  </si>
  <si>
    <t>Journal of Zoological Systematics and Evolutionary Research</t>
  </si>
  <si>
    <t>Journal of Zoology</t>
  </si>
  <si>
    <t>Journal - Oklahoma Dental Association</t>
  </si>
  <si>
    <t>Journal on Chain and Network Science</t>
  </si>
  <si>
    <t>Journal on Multimodal User Interfaces</t>
  </si>
  <si>
    <t>Journal Phlebology and Lymphology</t>
  </si>
  <si>
    <t>Journals of Gerontology - Series A Biological Sciences and Medical Sciences</t>
  </si>
  <si>
    <t>Journals of Gerontology - Series B Psychological Sciences and Social Sciences</t>
  </si>
  <si>
    <t>Journals of the Atmospheric Sciences</t>
  </si>
  <si>
    <t>Journal Wuhan University of Technology, Materials Science Edition</t>
  </si>
  <si>
    <t>JP Journal of Algebra, Number Theory and Applications</t>
  </si>
  <si>
    <t>JP Journal of Heat and Mass Transfer</t>
  </si>
  <si>
    <t>JPMA. The Journal of the Pakistan Medical Association</t>
  </si>
  <si>
    <t>JPT, Journal of Petroleum Technology</t>
  </si>
  <si>
    <t>JRAAS - Journal of the Renin-Angiotensin-Aldosterone System</t>
  </si>
  <si>
    <t>JSLS : Journal of the Society of Laparoendoscopic Surgeons / Society of Laparoendoscopic Surgeons</t>
  </si>
  <si>
    <t>Judaica Bohemiae</t>
  </si>
  <si>
    <t>Judgment and Decision Making</t>
  </si>
  <si>
    <t>Judicature</t>
  </si>
  <si>
    <t>Junctures</t>
  </si>
  <si>
    <t>Jundishapur Journal of Microbiology</t>
  </si>
  <si>
    <t>Jundishapur Journal of Natural Pharmaceutical Products</t>
  </si>
  <si>
    <t>Jung Journal: Culture and Psyche</t>
  </si>
  <si>
    <t>Jurnal Ekonomi Malaysia</t>
  </si>
  <si>
    <t>Jurnal Pengurusan</t>
  </si>
  <si>
    <t>Jurnal Teknologi</t>
  </si>
  <si>
    <t>Jurnal Teknologi (Sciences and Engineering)</t>
  </si>
  <si>
    <t>Jurnalul Roman de Anestezie Terapie Intensiva/Romanian Journal of Anaesthesia and Intensive Care</t>
  </si>
  <si>
    <t>Justice Quarterly</t>
  </si>
  <si>
    <t>Justice System Journal</t>
  </si>
  <si>
    <t>Juvenile and Family Court Journal</t>
  </si>
  <si>
    <t>JVC/Journal of Vibration and Control</t>
  </si>
  <si>
    <t>Kadmos</t>
  </si>
  <si>
    <t>Kafkas Universitesi Veteriner Fakultesi Dergisi</t>
  </si>
  <si>
    <t>Kagaku Kogaku Ronbunshu</t>
  </si>
  <si>
    <t>Kagakushi kenkyu. [Journal of the history of science, Japan</t>
  </si>
  <si>
    <t>Kaibogaku zasshi. Journal of anatomy</t>
  </si>
  <si>
    <t>Kajian Malaysia</t>
  </si>
  <si>
    <t>Kaku igaku. The Japanese journal of nuclear medicine</t>
  </si>
  <si>
    <t>Kang T'ieh/Iron and Steel (Peking)</t>
  </si>
  <si>
    <t>Kansas State University, Dissertation</t>
  </si>
  <si>
    <t>Kansenshogaku zasshi. The Journal of the Japanese Association for Infectious Diseases</t>
  </si>
  <si>
    <t>Kantian Review</t>
  </si>
  <si>
    <t>Kant-Studien</t>
  </si>
  <si>
    <t>Kanunnah</t>
  </si>
  <si>
    <t>Kaohsiung Journal of Medical Sciences</t>
  </si>
  <si>
    <t>Kao Teng Hsueh Hsiao Hua Heush Hsueh Pao/ Chemical Journal of Chinese Universities</t>
  </si>
  <si>
    <t>Kardiologia Polska</t>
  </si>
  <si>
    <t>Kardiologicka Revue</t>
  </si>
  <si>
    <t>Kardiologiya</t>
  </si>
  <si>
    <t>Kardiotechnik</t>
  </si>
  <si>
    <t>Kartografija i Geoinformacije</t>
  </si>
  <si>
    <t>Kartographische Nachrichten</t>
  </si>
  <si>
    <t>Kasetsart Journal - Natural Science</t>
  </si>
  <si>
    <t>Kasetsart Journal - Social Sciences</t>
  </si>
  <si>
    <t>Kasmera</t>
  </si>
  <si>
    <t>Kathmandu University Medical Journal</t>
  </si>
  <si>
    <t>Keats-Shelley Journal</t>
  </si>
  <si>
    <t>Keats-Shelley Review</t>
  </si>
  <si>
    <t>KEDI Journal of Educational Policy</t>
  </si>
  <si>
    <t>Keikinzoku/Journal of Japan Institute of Light Metals</t>
  </si>
  <si>
    <t>Keikinzoku Yosetsu/Journal of Light Metal Welding and Construction</t>
  </si>
  <si>
    <t>Keio Journal of Medicine</t>
  </si>
  <si>
    <t>Kekkaku</t>
  </si>
  <si>
    <t>Kemanusiaan</t>
  </si>
  <si>
    <t>Kemija u industriji/Journal of Chemists and Chemical Engineers</t>
  </si>
  <si>
    <t>Kennedy Institute of Ethics Journal</t>
  </si>
  <si>
    <t>Kentucky nurse</t>
  </si>
  <si>
    <t>Kenyon Review</t>
  </si>
  <si>
    <t>Keramische Zeitschrift</t>
  </si>
  <si>
    <t>Kerntechnik</t>
  </si>
  <si>
    <t>Kew Bulletin</t>
  </si>
  <si>
    <t>Key Engineering Materials</t>
  </si>
  <si>
    <t>KGK Kautschuk Gummi Kunststoffe</t>
  </si>
  <si>
    <t>Khimiya Geterotsiklicheskikh Soedinenii</t>
  </si>
  <si>
    <t>Khirurgiya</t>
  </si>
  <si>
    <t>Kidney and Blood Pressure Research</t>
  </si>
  <si>
    <t>Kidney International</t>
  </si>
  <si>
    <t>Kidney International, Supplement</t>
  </si>
  <si>
    <t>Kierkegaard Studies</t>
  </si>
  <si>
    <t>Kinderanalyse</t>
  </si>
  <si>
    <t>Kinderkrankenschwester : Organ der Sektion Kinderkrankenpflege / Deutsche Gesellschaft fur Sozialpadiatrie und Deutsche Gesellschaft fur Kinderheilkunde</t>
  </si>
  <si>
    <t>Kindheit und Entwicklung</t>
  </si>
  <si>
    <t>Kinesiology</t>
  </si>
  <si>
    <t>Kinesitherapie</t>
  </si>
  <si>
    <t>Kinetic and Related Models</t>
  </si>
  <si>
    <t>Kinetics and Catalysis</t>
  </si>
  <si>
    <t>King Fahd University of Petroleum and Minerals, Research Institute - Annual Catalysts in Petroleum Refining and Petrochemicals Symposium Papers</t>
  </si>
  <si>
    <t>Kitakanto Medical Journal</t>
  </si>
  <si>
    <t>Kleintierpraxis</t>
  </si>
  <si>
    <t>Klimik Dergisi</t>
  </si>
  <si>
    <t>Klinichescheskaya Laboratornaya Diagnostika</t>
  </si>
  <si>
    <t>Klinicheskaya Meditsina</t>
  </si>
  <si>
    <t>Klinichna khirurhiia / Ministerstvo okhorony zdorov'ia Ukrainy, Naukove tovarystvo khirurhiv Ukrainy</t>
  </si>
  <si>
    <t>Klinicka Biochemie a Metabolismus</t>
  </si>
  <si>
    <t>Klinicka Farmakologie a Farmacie</t>
  </si>
  <si>
    <t>Klinicka Imunologia a Alergologia</t>
  </si>
  <si>
    <t>Klinicka Mikrobiologie a Infekcni Lekarstvi</t>
  </si>
  <si>
    <t>Klinicka Onkologie</t>
  </si>
  <si>
    <t>Klinika Oczna</t>
  </si>
  <si>
    <t>Klinikarzt</t>
  </si>
  <si>
    <t>Klinik Psikofarmakoloji Bulteni</t>
  </si>
  <si>
    <t>Klinische Monatsblatter fur Augenheilkunde</t>
  </si>
  <si>
    <t>Klinische Neurophysiologie</t>
  </si>
  <si>
    <t>Klinische Neuroradiologie</t>
  </si>
  <si>
    <t>Klinische Padiatrie</t>
  </si>
  <si>
    <t>Klio</t>
  </si>
  <si>
    <t>Knee</t>
  </si>
  <si>
    <t>Knee Surgery, Sports Traumatology, Arthroscopy</t>
  </si>
  <si>
    <t>KNOB Bulletin</t>
  </si>
  <si>
    <t>Knowledge and Information Systems</t>
  </si>
  <si>
    <t>Knowledge and Management of Aquatic Ecosystems</t>
  </si>
  <si>
    <t>Knowledge and Process Management</t>
  </si>
  <si>
    <t>Knowledge-Based Systems</t>
  </si>
  <si>
    <t>Knowledge Engineering Review</t>
  </si>
  <si>
    <t>Knowledge Management and E-Learning</t>
  </si>
  <si>
    <t>Knowledge Management Research and Practice</t>
  </si>
  <si>
    <t>Knowledge Organization</t>
  </si>
  <si>
    <t>Kobe Journal of Medical Sciences</t>
  </si>
  <si>
    <t>Kobunshi Ronbunshu</t>
  </si>
  <si>
    <t>Kodai Mathematical Journal</t>
  </si>
  <si>
    <t>Koedoe</t>
  </si>
  <si>
    <t>Kokubyo Gakkai zasshi. The Journal of the Stomatological Society, Japan</t>
  </si>
  <si>
    <t>Kolner Zeitschrift fur Soziologie und Sozialpsychologie</t>
  </si>
  <si>
    <t>Kompendium Orthopadie, Unfallchirurgie und Rheumatologie</t>
  </si>
  <si>
    <t>Komunikacie</t>
  </si>
  <si>
    <t>Kona Powder and Particle Journal</t>
  </si>
  <si>
    <t>Kongqi Donglixue Xuebao/Acta Aerodynamica Sinica</t>
  </si>
  <si>
    <t>Kongzhi Lilun Yu Yinyong/Control Theory and Applications</t>
  </si>
  <si>
    <t>Kongzhi yu Juece/Control and Decision</t>
  </si>
  <si>
    <t>Konsthistorisk Tidskrift</t>
  </si>
  <si>
    <t>Konstruktion</t>
  </si>
  <si>
    <t>Konteksty: Polska Sztuka Ludowa</t>
  </si>
  <si>
    <t>Koomesh</t>
  </si>
  <si>
    <t>Korea Australia Rheology Journal</t>
  </si>
  <si>
    <t>Korea Journal</t>
  </si>
  <si>
    <t>Korean Circulation Journal</t>
  </si>
  <si>
    <t>Korean Journal for Food Science of Animal Resources</t>
  </si>
  <si>
    <t>Korean Journal of Adult Nursing</t>
  </si>
  <si>
    <t>Korean Journal of Anesthesiology</t>
  </si>
  <si>
    <t>Korean Journal of Audiology</t>
  </si>
  <si>
    <t>Korean Journal of Chemical Engineering</t>
  </si>
  <si>
    <t>Korean Journal of Defense Analysis</t>
  </si>
  <si>
    <t>Korean Journal of Dermatology</t>
  </si>
  <si>
    <t>Korean Journal of Family Medicine</t>
  </si>
  <si>
    <t>Korean Journal of Food Science and Technology</t>
  </si>
  <si>
    <t>Korean journal of gastroenterology = Taehan Sohwagi Hakhoe chi, The</t>
  </si>
  <si>
    <t>Korean Journal of Hematology</t>
  </si>
  <si>
    <t>Korean Journal of Horticultural Science and Technology</t>
  </si>
  <si>
    <t>Korean Journal of Internal Medicine</t>
  </si>
  <si>
    <t>Korean Journal of Materials Research</t>
  </si>
  <si>
    <t>Korean Journal of Medical Mycology</t>
  </si>
  <si>
    <t>Korean Journal of Microbiology</t>
  </si>
  <si>
    <t>Korean Journal of Microbiology and Biotechnology</t>
  </si>
  <si>
    <t>Korean journal of ophthalmology : KJO</t>
  </si>
  <si>
    <t>Korean Journal of Orthodontics</t>
  </si>
  <si>
    <t>Korean Journal of Pain</t>
  </si>
  <si>
    <t>Korean Journal of Parasitology</t>
  </si>
  <si>
    <t>Korean Journal of Pathology</t>
  </si>
  <si>
    <t>Korean Journal of Pediatric Infectious Diseases</t>
  </si>
  <si>
    <t>Korean Journal of Pharmacognosy</t>
  </si>
  <si>
    <t>Korean Journal of Physiology and Pharmacology</t>
  </si>
  <si>
    <t>Korean Journal of Radiology</t>
  </si>
  <si>
    <t>Korean Journal of Thoracic and Cardiovascular Surgery</t>
  </si>
  <si>
    <t>Korean Journal of Urology</t>
  </si>
  <si>
    <t>Korean Journal of Veterinary Research</t>
  </si>
  <si>
    <t>Korea Observer</t>
  </si>
  <si>
    <t>Korrozios Figyelo</t>
  </si>
  <si>
    <t>Kos</t>
  </si>
  <si>
    <t>Kosmetische Medizin</t>
  </si>
  <si>
    <t>Kotuitui</t>
  </si>
  <si>
    <t>Kovove Materialy</t>
  </si>
  <si>
    <t>Kragujevac Journal of Mathematics</t>
  </si>
  <si>
    <t>Kranion</t>
  </si>
  <si>
    <t>Krankenhaushygiene und Infektionsverhutung</t>
  </si>
  <si>
    <t>Krankenhauspharmazie</t>
  </si>
  <si>
    <t>Krankenpflege. Soins infirmiers</t>
  </si>
  <si>
    <t>Kriminalistik</t>
  </si>
  <si>
    <t>Kriminologisches Journal</t>
  </si>
  <si>
    <t>Krisis</t>
  </si>
  <si>
    <t>Kriterion</t>
  </si>
  <si>
    <t>Kriterion (Austria)</t>
  </si>
  <si>
    <t>Kritika</t>
  </si>
  <si>
    <t>Kritika Kultura</t>
  </si>
  <si>
    <t>Kritische Berichte</t>
  </si>
  <si>
    <t>KronoScope: Journal for the Study of Time</t>
  </si>
  <si>
    <t>KSCE Journal of Civil Engineering</t>
  </si>
  <si>
    <t>KSII Transactions on Internet and Information Systems</t>
  </si>
  <si>
    <t>Kuangwu Yanshi</t>
  </si>
  <si>
    <t>Kuei Suan Jen Hsueh Pao/ Journal of the Chinese Ceramic Society</t>
  </si>
  <si>
    <t>Kulak burun bogaz ihtisas dergisi : KBB = Journal of ear, nose, and throat</t>
  </si>
  <si>
    <t>Kung Cheng Je Wu Li Hsueh Pao/Journal of Engineering Thermophysics</t>
  </si>
  <si>
    <t>Kunsthandwerk und Design</t>
  </si>
  <si>
    <t>Kunstiteaduslikke Uurimusi</t>
  </si>
  <si>
    <t>Kuram ve Uygulamada Egitim Bilimleri</t>
  </si>
  <si>
    <t>Kurume Medical Journal</t>
  </si>
  <si>
    <t>Kuwait Journal of Science and Engineering</t>
  </si>
  <si>
    <t>Kuwait Medical Journal</t>
  </si>
  <si>
    <t>Kwartalnik historii nauki i techniki - Kwartal'nyi zhurnal istorii nauki i tekhniki -</t>
  </si>
  <si>
    <t>Kybernetes</t>
  </si>
  <si>
    <t>Kybernetika</t>
  </si>
  <si>
    <t>Kyklos</t>
  </si>
  <si>
    <t>Kyokai Joho Imeji Zasshi/Journal of the Institute of Image Information and Television Engineers</t>
  </si>
  <si>
    <t>Kyungpook Mathematical Journal</t>
  </si>
  <si>
    <t>Kyushu Journal of Mathematics</t>
  </si>
  <si>
    <t>Lab Animal</t>
  </si>
  <si>
    <t>Lab on a Chip - Miniaturisation for Chemistry and Biology</t>
  </si>
  <si>
    <t>Laboratoriums Medizin</t>
  </si>
  <si>
    <t>Laboratory Animals</t>
  </si>
  <si>
    <t>Laboratory Equipment</t>
  </si>
  <si>
    <t>Laboratory Hematology</t>
  </si>
  <si>
    <t>Laboratory Investigation</t>
  </si>
  <si>
    <t>Laboratory Medicine</t>
  </si>
  <si>
    <t>Labor History</t>
  </si>
  <si>
    <t>Labor Studies Journal</t>
  </si>
  <si>
    <t>Labour</t>
  </si>
  <si>
    <t>Labour, Capital and Society</t>
  </si>
  <si>
    <t>Labour Economics</t>
  </si>
  <si>
    <t>Labour History</t>
  </si>
  <si>
    <t>Labour History Review</t>
  </si>
  <si>
    <t>Laeknabladid.</t>
  </si>
  <si>
    <t>Lakartidningen</t>
  </si>
  <si>
    <t>Lake and Reservoir Management</t>
  </si>
  <si>
    <t>Lakes and Reservoirs: Research and Management</t>
  </si>
  <si>
    <t>La Linguistique</t>
  </si>
  <si>
    <t>Lamar University - Beaumont, Dissertation</t>
  </si>
  <si>
    <t>La Mer</t>
  </si>
  <si>
    <t>Lancet Infectious Diseases, The</t>
  </si>
  <si>
    <t>Lancet Neurology, The</t>
  </si>
  <si>
    <t>Lancet Oncology, The</t>
  </si>
  <si>
    <t>Lancet Respiratory Medicine,The</t>
  </si>
  <si>
    <t>Lancet, The</t>
  </si>
  <si>
    <t>Landbauforschung Volkenrode</t>
  </si>
  <si>
    <t>Land Degradation and Development</t>
  </si>
  <si>
    <t>Land Economics</t>
  </si>
  <si>
    <t>Landfall</t>
  </si>
  <si>
    <t>Landscape and Ecological Engineering</t>
  </si>
  <si>
    <t>Landscape and Urban Planning</t>
  </si>
  <si>
    <t>Landscape Architecture</t>
  </si>
  <si>
    <t>Landscape Ecology</t>
  </si>
  <si>
    <t>Landscape History</t>
  </si>
  <si>
    <t>Landscape Journal</t>
  </si>
  <si>
    <t>Landscape Online</t>
  </si>
  <si>
    <t>Landscape Research</t>
  </si>
  <si>
    <t>Landscapes</t>
  </si>
  <si>
    <t>Landschap</t>
  </si>
  <si>
    <t>Landslides</t>
  </si>
  <si>
    <t>Land Use Policy</t>
  </si>
  <si>
    <t>Langage et Societe</t>
  </si>
  <si>
    <t>Langages</t>
  </si>
  <si>
    <t>Langenbeck's Archives of Surgery</t>
  </si>
  <si>
    <t>Langmuir</t>
  </si>
  <si>
    <t>Language</t>
  </si>
  <si>
    <t>Language Acquisition</t>
  </si>
  <si>
    <t>Language and Cognitive Processes</t>
  </si>
  <si>
    <t>Language and Communication</t>
  </si>
  <si>
    <t>Language and Computers</t>
  </si>
  <si>
    <t>Language and Education</t>
  </si>
  <si>
    <t>Language and Intercultural Communication</t>
  </si>
  <si>
    <t>Language and Linguistics</t>
  </si>
  <si>
    <t>Language and Literature</t>
  </si>
  <si>
    <t>Language and Speech</t>
  </si>
  <si>
    <t>Language Assessment Quarterly</t>
  </si>
  <si>
    <t>Language Awareness</t>
  </si>
  <si>
    <t>Language, Culture and Curriculum</t>
  </si>
  <si>
    <t>Language in Society</t>
  </si>
  <si>
    <t>Language Learning</t>
  </si>
  <si>
    <t>Language Learning and Development</t>
  </si>
  <si>
    <t>Language Learning and Technology</t>
  </si>
  <si>
    <t>Language Learning Journal</t>
  </si>
  <si>
    <t>Language Matters</t>
  </si>
  <si>
    <t>Language Policy</t>
  </si>
  <si>
    <t>Language Problems and Language Planning</t>
  </si>
  <si>
    <t>Language Resources and Evaluation</t>
  </si>
  <si>
    <t>Language Sciences</t>
  </si>
  <si>
    <t>Languages in Contrast</t>
  </si>
  <si>
    <t>Language, Speech, and Hearing Services in Schools</t>
  </si>
  <si>
    <t>Language Teaching</t>
  </si>
  <si>
    <t>Language Teaching Research</t>
  </si>
  <si>
    <t>Language Testing</t>
  </si>
  <si>
    <t>Language Variation and Change</t>
  </si>
  <si>
    <t>Langue Francaise</t>
  </si>
  <si>
    <t>L'Annee Sociologique</t>
  </si>
  <si>
    <t>La Revue du MAUSS</t>
  </si>
  <si>
    <t>Large Animal Review</t>
  </si>
  <si>
    <t>Larmbekampfung</t>
  </si>
  <si>
    <t>Laryngo- Rhino- Otologie</t>
  </si>
  <si>
    <t>Laryngoscope</t>
  </si>
  <si>
    <t>Laser and Particle Beams</t>
  </si>
  <si>
    <t>Laser and Photonics Reviews</t>
  </si>
  <si>
    <t>Laser Physics</t>
  </si>
  <si>
    <t>Laser Physics Letters</t>
  </si>
  <si>
    <t>Lasers in Engineering</t>
  </si>
  <si>
    <t>Lasers in Medical Science</t>
  </si>
  <si>
    <t>Lasers in Surgery and Medicine</t>
  </si>
  <si>
    <t>Laser Therapy</t>
  </si>
  <si>
    <t>Late imperial China = Ch'ing shih wen t'i</t>
  </si>
  <si>
    <t>Laterality: Asymmetries of Body, Brain and Cognition</t>
  </si>
  <si>
    <t>Latin American and Caribbean Ethnic Studies</t>
  </si>
  <si>
    <t>Latin American Applied Research</t>
  </si>
  <si>
    <t>Latin American Business Review</t>
  </si>
  <si>
    <t>Latin American Indian Literatures Journal</t>
  </si>
  <si>
    <t>Latin American Journal of Aquatic Research</t>
  </si>
  <si>
    <t>Latin American Journal of Economics</t>
  </si>
  <si>
    <t>Latin American Journal of Sedimentology and Basin Analysis</t>
  </si>
  <si>
    <t>Latin American Journal of Solids and Structures</t>
  </si>
  <si>
    <t>Latin American Perspectives</t>
  </si>
  <si>
    <t>Latin American Politics and Society</t>
  </si>
  <si>
    <t>Latin American Research Review</t>
  </si>
  <si>
    <t>Latin American Theatre Review</t>
  </si>
  <si>
    <t>Latino Studies</t>
  </si>
  <si>
    <t>Latomus</t>
  </si>
  <si>
    <t>La Tunisie mÃ©dicale</t>
  </si>
  <si>
    <t>Tunisia</t>
  </si>
  <si>
    <t>Latvian Journal of Physics and Technical Sciences</t>
  </si>
  <si>
    <t>Laval Theologique et Philosophique</t>
  </si>
  <si>
    <t>Law and Contemporary Problems</t>
  </si>
  <si>
    <t>Law and Critique</t>
  </si>
  <si>
    <t>Law and Development Review</t>
  </si>
  <si>
    <t>Law and Ethics of Human Rights</t>
  </si>
  <si>
    <t>Law and History Review</t>
  </si>
  <si>
    <t>Law and Human Behavior</t>
  </si>
  <si>
    <t>Law and Literature</t>
  </si>
  <si>
    <t>Law and Philosophy</t>
  </si>
  <si>
    <t>Law and Policy</t>
  </si>
  <si>
    <t>Law and Practice of International Courts and Tribunals</t>
  </si>
  <si>
    <t>Law and Social Inquiry</t>
  </si>
  <si>
    <t>Law and Society Review</t>
  </si>
  <si>
    <t>Law, Culture and the Humanities</t>
  </si>
  <si>
    <t>Law Library Journal</t>
  </si>
  <si>
    <t>Law, Probability and Risk</t>
  </si>
  <si>
    <t>Law Teacher</t>
  </si>
  <si>
    <t>Lazaroa</t>
  </si>
  <si>
    <t>LC-GC Europe</t>
  </si>
  <si>
    <t>LC-GC North America</t>
  </si>
  <si>
    <t>LDA journal</t>
  </si>
  <si>
    <t>LDI issue brief</t>
  </si>
  <si>
    <t>Leadership</t>
  </si>
  <si>
    <t>Leadership and Management in Engineering</t>
  </si>
  <si>
    <t>Leadership and Organization Development Journal</t>
  </si>
  <si>
    <t>Leadership and Policy in Schools</t>
  </si>
  <si>
    <t>Leadership in Health Services</t>
  </si>
  <si>
    <t>Leadership Quarterly</t>
  </si>
  <si>
    <t>Leading Edge</t>
  </si>
  <si>
    <t>Learned Publishing</t>
  </si>
  <si>
    <t>Learning and Behavior</t>
  </si>
  <si>
    <t>Learning and Individual Differences</t>
  </si>
  <si>
    <t>Learning and Instruction</t>
  </si>
  <si>
    <t>Learning and Memory</t>
  </si>
  <si>
    <t>Learning and Motivation</t>
  </si>
  <si>
    <t>Learning Disabilities Research and Practice</t>
  </si>
  <si>
    <t>Learning Disability Quarterly</t>
  </si>
  <si>
    <t>Learning Environments Research</t>
  </si>
  <si>
    <t>Learning, Media and Technology</t>
  </si>
  <si>
    <t>Learning Organization</t>
  </si>
  <si>
    <t>Lebende Sprachen</t>
  </si>
  <si>
    <t>Lecture Notes in Applied and Computational Mechanics</t>
  </si>
  <si>
    <t>Lecture Notes in Business Information Processing</t>
  </si>
  <si>
    <t>Lecture Notes in Computational Science and Engineering</t>
  </si>
  <si>
    <t>Lecture Notes in Computer Science</t>
  </si>
  <si>
    <t>Lecture Notes in Control and Information Sciences</t>
  </si>
  <si>
    <t>Lecture Notes in Earth Sciences</t>
  </si>
  <si>
    <t>Lecture Notes in Economics and Mathematical Systems</t>
  </si>
  <si>
    <t>Lecture Notes in Electrical Engineering</t>
  </si>
  <si>
    <t>Lecture Notes in Mathematics</t>
  </si>
  <si>
    <t>Lecture Notes in Physics</t>
  </si>
  <si>
    <t>Lecture Notes of the Institute for Computer Sciences, Social-Informatics and Telecommunications Engineering</t>
  </si>
  <si>
    <t>Legacy</t>
  </si>
  <si>
    <t>Legal and Criminological Psychology</t>
  </si>
  <si>
    <t>Legal History Review</t>
  </si>
  <si>
    <t>Legal Medicine</t>
  </si>
  <si>
    <t>Legal Reference Services Quarterly</t>
  </si>
  <si>
    <t>Legal Studies</t>
  </si>
  <si>
    <t>Legal Theory</t>
  </si>
  <si>
    <t>Lege Artis Medicinae</t>
  </si>
  <si>
    <t>Legislative Studies Quarterly</t>
  </si>
  <si>
    <t>Legisprudence</t>
  </si>
  <si>
    <t>Legume Research</t>
  </si>
  <si>
    <t>Lehigh University, Dissertation</t>
  </si>
  <si>
    <t>Leiden Journal of International Law</t>
  </si>
  <si>
    <t>Leisure Sciences</t>
  </si>
  <si>
    <t>Leisure Studies</t>
  </si>
  <si>
    <t>Le journal des meÌdecines cuneÌiformes</t>
  </si>
  <si>
    <t>Lekarsky Obzor</t>
  </si>
  <si>
    <t>Le Mali meÌdical</t>
  </si>
  <si>
    <t>Mali</t>
  </si>
  <si>
    <t>L'Encephale</t>
  </si>
  <si>
    <t>Leo Baeck Institute Yearbook</t>
  </si>
  <si>
    <t>Leonardo</t>
  </si>
  <si>
    <t>Leonardo Electronic Journal of Practices and Technologies</t>
  </si>
  <si>
    <t>Leonardo Music Journal</t>
  </si>
  <si>
    <t>Leprosy Review</t>
  </si>
  <si>
    <t>Les Cahiers de l'Apliut</t>
  </si>
  <si>
    <t>Lethaia</t>
  </si>
  <si>
    <t>Lettere Italiane</t>
  </si>
  <si>
    <t>Letters in Applied Microbiology</t>
  </si>
  <si>
    <t>Letters in Drug Design and Discovery</t>
  </si>
  <si>
    <t>Letters in Mathematical Physics</t>
  </si>
  <si>
    <t>Letters in Organic Chemistry</t>
  </si>
  <si>
    <t>Letters in Spatial and Resource Sciences</t>
  </si>
  <si>
    <t>Lettre de Medecine Physique et de Readaptation</t>
  </si>
  <si>
    <t>Lettres Romanes</t>
  </si>
  <si>
    <t>Leukemia</t>
  </si>
  <si>
    <t>Leukemia Research</t>
  </si>
  <si>
    <t>Leukemia Research Reports</t>
  </si>
  <si>
    <t>LEUKOS - Journal of Illuminating Engineering Society of North America</t>
  </si>
  <si>
    <t>Levant</t>
  </si>
  <si>
    <t>Leviathan</t>
  </si>
  <si>
    <t>Lexikos</t>
  </si>
  <si>
    <t>Lexis (Spain)</t>
  </si>
  <si>
    <t>Lex Localis</t>
  </si>
  <si>
    <t>LIA Language, Interaction and Acquisition</t>
  </si>
  <si>
    <t>Liaoning Gongcheng Jishu Daxue Xuebao (Ziran Kexue Ban)/Journal of Liaoning Technical University (Natural Science Edition)</t>
  </si>
  <si>
    <t>Lias</t>
  </si>
  <si>
    <t>LIA Today</t>
  </si>
  <si>
    <t>LIBER Quarterly</t>
  </si>
  <si>
    <t>Liberte</t>
  </si>
  <si>
    <t>Libraries and the Cultural Record</t>
  </si>
  <si>
    <t>Library</t>
  </si>
  <si>
    <t>Library and Archival Security</t>
  </si>
  <si>
    <t>Library and Information Science</t>
  </si>
  <si>
    <t>Library and Information Science Research</t>
  </si>
  <si>
    <t>Library Collections, Acquisition and Technical Services</t>
  </si>
  <si>
    <t>Library Hi Tech</t>
  </si>
  <si>
    <t>Library Hi Tech News</t>
  </si>
  <si>
    <t>Library Journal</t>
  </si>
  <si>
    <t>Library Leadership and Management</t>
  </si>
  <si>
    <t>Library Management</t>
  </si>
  <si>
    <t>Library Philosophy and Practice</t>
  </si>
  <si>
    <t>Library Quarterly</t>
  </si>
  <si>
    <t>Library Resources and Technical Services</t>
  </si>
  <si>
    <t>Library Review</t>
  </si>
  <si>
    <t>Library Trends</t>
  </si>
  <si>
    <t>Libres</t>
  </si>
  <si>
    <t>Libri</t>
  </si>
  <si>
    <t>Libri Oncologici</t>
  </si>
  <si>
    <t>Libyan Journal of Medicine</t>
  </si>
  <si>
    <t>Lichenologist</t>
  </si>
  <si>
    <t>Lied und Populare Kultur</t>
  </si>
  <si>
    <t>Life Science Journal</t>
  </si>
  <si>
    <t>Life Sciences</t>
  </si>
  <si>
    <t>Lifetime Data Analysis</t>
  </si>
  <si>
    <t>Life Writing</t>
  </si>
  <si>
    <t>Light and Engineering</t>
  </si>
  <si>
    <t>Lighting Research and Technology</t>
  </si>
  <si>
    <t>Lijecnicki Vjesnik</t>
  </si>
  <si>
    <t>Likarska sprava / Ministerstvo okhorony zdorovia Ukrainy</t>
  </si>
  <si>
    <t>Lili - Zeitschrift fur Literaturwissenschaft und Linguistik</t>
  </si>
  <si>
    <t>Limes</t>
  </si>
  <si>
    <t>Limnetica</t>
  </si>
  <si>
    <t>Limnologica</t>
  </si>
  <si>
    <t>Limnology</t>
  </si>
  <si>
    <t>Limnology and Oceanography</t>
  </si>
  <si>
    <t>Limnology and Oceanography Bulletin</t>
  </si>
  <si>
    <t>Limnology and Oceanography: Methods</t>
  </si>
  <si>
    <t>Limosa</t>
  </si>
  <si>
    <t>Linacre quarterly, The</t>
  </si>
  <si>
    <t>Lin chuang er bi yan hou ke za zhi = Journal of clinical otorhinolaryngology</t>
  </si>
  <si>
    <t>Lindbergia</t>
  </si>
  <si>
    <t>Linear Algebra and Its Applications</t>
  </si>
  <si>
    <t>Linear and Multilinear Algebra</t>
  </si>
  <si>
    <t>Lingua</t>
  </si>
  <si>
    <t>Lingua e Stile</t>
  </si>
  <si>
    <t>Lingua Nostra</t>
  </si>
  <si>
    <t>Lingua Posnaniensis</t>
  </si>
  <si>
    <t>Linguistic Analysis</t>
  </si>
  <si>
    <t>Linguistica Pragensia</t>
  </si>
  <si>
    <t>Linguistica Uralica</t>
  </si>
  <si>
    <t>Linguistic Inquiry</t>
  </si>
  <si>
    <t>Linguistic Insights - Studies in Language and Communication</t>
  </si>
  <si>
    <t>Linguistic Review</t>
  </si>
  <si>
    <t>Linguistics</t>
  </si>
  <si>
    <t>Linguistics and Education</t>
  </si>
  <si>
    <t>Linguistics and Language Compass</t>
  </si>
  <si>
    <t>Linguistics and Philosophy</t>
  </si>
  <si>
    <t>Linguistics of the Tibeto-Burman Area</t>
  </si>
  <si>
    <t>Linguistic Typology</t>
  </si>
  <si>
    <t>Lingvisticae Investigationes</t>
  </si>
  <si>
    <t>Lino</t>
  </si>
  <si>
    <t>Lion and the Unicorn</t>
  </si>
  <si>
    <t>Lipid Insights</t>
  </si>
  <si>
    <t>Lipids</t>
  </si>
  <si>
    <t>Lipids in Health and Disease</t>
  </si>
  <si>
    <t>Lipid Technology</t>
  </si>
  <si>
    <t>Liquid Crystals</t>
  </si>
  <si>
    <t>Liquid Crystals Today</t>
  </si>
  <si>
    <t>Listy Cukrovarnicke a Reparske</t>
  </si>
  <si>
    <t>Listy Filologicke</t>
  </si>
  <si>
    <t>Literacy</t>
  </si>
  <si>
    <t>Literacy Research and Instruction</t>
  </si>
  <si>
    <t>Literary and Linguistics Computing</t>
  </si>
  <si>
    <t>Literary Imagination</t>
  </si>
  <si>
    <t>Literary Review</t>
  </si>
  <si>
    <t>Literatura y Linguistica</t>
  </si>
  <si>
    <t>Literature and History</t>
  </si>
  <si>
    <t>Literature and Medicine</t>
  </si>
  <si>
    <t>Literature and Theology</t>
  </si>
  <si>
    <t>Literature-Film Quarterly</t>
  </si>
  <si>
    <t>Literatur und Kritik</t>
  </si>
  <si>
    <t>Lithology and Mineral Resources</t>
  </si>
  <si>
    <t>Lithos</t>
  </si>
  <si>
    <t>Lithosphere</t>
  </si>
  <si>
    <t>Lithuanian Foreign Policy Review</t>
  </si>
  <si>
    <t>Lithuanian Journal of Physics</t>
  </si>
  <si>
    <t>Lithuanian Mathematical Journal</t>
  </si>
  <si>
    <t>LIT Literature Interpretation Theory</t>
  </si>
  <si>
    <t>Litterature</t>
  </si>
  <si>
    <t>Litteratures</t>
  </si>
  <si>
    <t>Liturgy</t>
  </si>
  <si>
    <t>Liver International</t>
  </si>
  <si>
    <t>Liverpool Law Review</t>
  </si>
  <si>
    <t>Liver Transplantation</t>
  </si>
  <si>
    <t>Livestock Research for Rural Development</t>
  </si>
  <si>
    <t>Livestock Science</t>
  </si>
  <si>
    <t>Living Reviews in European Governance</t>
  </si>
  <si>
    <t>Living Reviews in Landscape Research</t>
  </si>
  <si>
    <t>Living Reviews in Relativity</t>
  </si>
  <si>
    <t>Lixue Xuebao/Chinese Journal of Theoretical and Applied Mechanics</t>
  </si>
  <si>
    <t>Lizi Jiaohuan Yu Xifu/Ion Exchange and Adsorption</t>
  </si>
  <si>
    <t>Ljetopis Socijalnog Rada</t>
  </si>
  <si>
    <t>LMS Journal of Computation and Mathematics</t>
  </si>
  <si>
    <t>Lobachevskii Journal of Mathematics</t>
  </si>
  <si>
    <t>Local and Regional Anesthesia</t>
  </si>
  <si>
    <t>Local Economy</t>
  </si>
  <si>
    <t>Local Environment</t>
  </si>
  <si>
    <t>Local Government Studies</t>
  </si>
  <si>
    <t>Local Population Studies</t>
  </si>
  <si>
    <t>Logical Methods in Computer Science</t>
  </si>
  <si>
    <t>Logic and Logical Philosophy</t>
  </si>
  <si>
    <t>Logica Universalis</t>
  </si>
  <si>
    <t>Logic Journal of the IGPL</t>
  </si>
  <si>
    <t>Logique et Analyse</t>
  </si>
  <si>
    <t>Logistics Journal</t>
  </si>
  <si>
    <t>Logistics Research</t>
  </si>
  <si>
    <t>Logopedics Phoniatrics Vocology</t>
  </si>
  <si>
    <t>Logos</t>
  </si>
  <si>
    <t>L.O.G.O.S. Interdisziplinair</t>
  </si>
  <si>
    <t>Logos - Journal of Catholic Thought and Culture</t>
  </si>
  <si>
    <t>Logos (Lithuania)</t>
  </si>
  <si>
    <t>Loisir et Societe</t>
  </si>
  <si>
    <t>London Journal</t>
  </si>
  <si>
    <t>London Journal of Primary Care</t>
  </si>
  <si>
    <t>London Review of Education</t>
  </si>
  <si>
    <t>Long Range Planning</t>
  </si>
  <si>
    <t>L' Orthodontie francaise</t>
  </si>
  <si>
    <t>Lotus International</t>
  </si>
  <si>
    <t>Louisiana Law Review</t>
  </si>
  <si>
    <t>Louisiana Tech University, Dissertation</t>
  </si>
  <si>
    <t>Louvain Medical</t>
  </si>
  <si>
    <t>Lowland Technology International</t>
  </si>
  <si>
    <t>Low Temperature Physics</t>
  </si>
  <si>
    <t>Lua Nova - Revista de Cultura e Politica</t>
  </si>
  <si>
    <t>Lubrication Science</t>
  </si>
  <si>
    <t>Luminescence</t>
  </si>
  <si>
    <t>LUNDQUA Thesis - Lund University, Department of Quarternary Geology</t>
  </si>
  <si>
    <t>Lung</t>
  </si>
  <si>
    <t>Lung Cancer</t>
  </si>
  <si>
    <t>Lung Cancer: Targets and Therapy</t>
  </si>
  <si>
    <t>Lung India</t>
  </si>
  <si>
    <t>Lupus</t>
  </si>
  <si>
    <t>Lurralde</t>
  </si>
  <si>
    <t>Lusitania Sacra</t>
  </si>
  <si>
    <t>Luso-Brazilian Review</t>
  </si>
  <si>
    <t>Luzifer-Amor : Zeitschrift zur Geschichte der Psychoanalyse</t>
  </si>
  <si>
    <t>LWT - Food Science and Technology</t>
  </si>
  <si>
    <t>Lymphatic Research and Biology</t>
  </si>
  <si>
    <t>Lymphologie in Forschung und Praxis</t>
  </si>
  <si>
    <t>Lymphology</t>
  </si>
  <si>
    <t>mAbs</t>
  </si>
  <si>
    <t>Macedonian Journal of Chemistry and Chemical Engineering</t>
  </si>
  <si>
    <t>Macedonian Journal of Medical Sciences</t>
  </si>
  <si>
    <t>Machine Graphics and Vision</t>
  </si>
  <si>
    <t>Machine Learning</t>
  </si>
  <si>
    <t>Machine Translation</t>
  </si>
  <si>
    <t>Machine Vision and Applications</t>
  </si>
  <si>
    <t>Machining Science and Technology</t>
  </si>
  <si>
    <t>Macquarie Journal of International and Comparative Environmental Law</t>
  </si>
  <si>
    <t>Macroeconomic Dynamics</t>
  </si>
  <si>
    <t>Macroheterocycles</t>
  </si>
  <si>
    <t>Macromolecular Bioscience</t>
  </si>
  <si>
    <t>Macromolecular Chemistry and Physics</t>
  </si>
  <si>
    <t>Macromolecular Materials and Engineering</t>
  </si>
  <si>
    <t>Macromolecular Rapid Communications</t>
  </si>
  <si>
    <t>Macromolecular Reaction Engineering</t>
  </si>
  <si>
    <t>Macromolecular Research</t>
  </si>
  <si>
    <t>Macromolecular Symposia</t>
  </si>
  <si>
    <t>Macromolecular Theory and Simulations</t>
  </si>
  <si>
    <t>Macromolecules</t>
  </si>
  <si>
    <t>Madencilik</t>
  </si>
  <si>
    <t>Maderas: Ciencia y Tecnologia</t>
  </si>
  <si>
    <t>Maejo International Journal of Science and Technology</t>
  </si>
  <si>
    <t>Magallania</t>
  </si>
  <si>
    <t>Magazine Antiques</t>
  </si>
  <si>
    <t>Magazine of Concrete Research</t>
  </si>
  <si>
    <t>Maghreb - Machrek</t>
  </si>
  <si>
    <t>Magis</t>
  </si>
  <si>
    <t>Magnesium Research</t>
  </si>
  <si>
    <t>Magnetic Resonance Imaging</t>
  </si>
  <si>
    <t>Magnetic Resonance Imaging Clinics of North America</t>
  </si>
  <si>
    <t>Magnetic Resonance in Chemistry</t>
  </si>
  <si>
    <t>Magnetic resonance in medical sciences : MRMS : an official journal of Japan Society of Magnetic Resonance in Medicine.</t>
  </si>
  <si>
    <t>Magnetic Resonance in Medicine</t>
  </si>
  <si>
    <t>Magnetic Resonance in Solids</t>
  </si>
  <si>
    <t>Magnetic Resonance Materials in Physics, Biology, and Medicine</t>
  </si>
  <si>
    <t>Magnetohydrodynamics</t>
  </si>
  <si>
    <t>Magyar Allatorvosok Lapja</t>
  </si>
  <si>
    <t>Magyar Filozofiai Szemle</t>
  </si>
  <si>
    <t>Magyar Geofizika</t>
  </si>
  <si>
    <t>Magyar Onkologia</t>
  </si>
  <si>
    <t>Magyar Pszichologiai Szemle</t>
  </si>
  <si>
    <t>Magyar Sebeszet</t>
  </si>
  <si>
    <t>MAIA-Rivista di Letterature Classiche</t>
  </si>
  <si>
    <t>Main Group Chemistry</t>
  </si>
  <si>
    <t>Main Group Metal Chemistry</t>
  </si>
  <si>
    <t>Mainzer Geowissenschaftliche Mitteilungen</t>
  </si>
  <si>
    <t>Malacologia</t>
  </si>
  <si>
    <t>Malaria Journal</t>
  </si>
  <si>
    <t>Malawi Medical Journal</t>
  </si>
  <si>
    <t>Malaysian Applied Biology</t>
  </si>
  <si>
    <t>Malaysian Construction Research Journal</t>
  </si>
  <si>
    <t>Malaysian Family Physician</t>
  </si>
  <si>
    <t>Malaysian Forester</t>
  </si>
  <si>
    <t>Malaysian Journal of Computer Science</t>
  </si>
  <si>
    <t>Malaysian Journal of Consumer and Family Economics</t>
  </si>
  <si>
    <t>Malaysian Journal of Economic Studies</t>
  </si>
  <si>
    <t>Malaysian Journal of Library and Information Science</t>
  </si>
  <si>
    <t>Malaysian Journal of Mathematical Sciences</t>
  </si>
  <si>
    <t>Malaysian Journal of Medical Sciences</t>
  </si>
  <si>
    <t>Malaysian Journal of Medicine and Health Sciences</t>
  </si>
  <si>
    <t>Malaysian Journal of Microscopy</t>
  </si>
  <si>
    <t>Malaysian Journal of Nutrition</t>
  </si>
  <si>
    <t>Malaysian Journal of Pathology</t>
  </si>
  <si>
    <t>Malaysian Journal of Science</t>
  </si>
  <si>
    <t>Malaysian Journal of Soil Science</t>
  </si>
  <si>
    <t>Malta Medical Journal</t>
  </si>
  <si>
    <t>Mammalia</t>
  </si>
  <si>
    <t>Mammalian Biology</t>
  </si>
  <si>
    <t>Mammalian Genome</t>
  </si>
  <si>
    <t>Mammalian Species</t>
  </si>
  <si>
    <t>Mammal Review</t>
  </si>
  <si>
    <t>Mammal Study</t>
  </si>
  <si>
    <t>Mana: Estudos de Antropologia Social</t>
  </si>
  <si>
    <t>Managed Care</t>
  </si>
  <si>
    <t>Management</t>
  </si>
  <si>
    <t>Management Accounting Research</t>
  </si>
  <si>
    <t>Management and Organizational History</t>
  </si>
  <si>
    <t>Management and Organization Review</t>
  </si>
  <si>
    <t>Management Communication Quarterly</t>
  </si>
  <si>
    <t>Management Decision</t>
  </si>
  <si>
    <t>Management in Education</t>
  </si>
  <si>
    <t>Management International Review</t>
  </si>
  <si>
    <t>Management Learning</t>
  </si>
  <si>
    <t>Management of Environmental Quality</t>
  </si>
  <si>
    <t>Management Research Review</t>
  </si>
  <si>
    <t>Management Science</t>
  </si>
  <si>
    <t>Manager</t>
  </si>
  <si>
    <t>Managerial and Decision Economics</t>
  </si>
  <si>
    <t>Managerial Auditing Journal</t>
  </si>
  <si>
    <t>Managing Leisure</t>
  </si>
  <si>
    <t>Managing Service Quality</t>
  </si>
  <si>
    <t>Manchester School</t>
  </si>
  <si>
    <t>M and M - Metalurgia and Materiais</t>
  </si>
  <si>
    <t>Man in India</t>
  </si>
  <si>
    <t>Mankind Quarterly</t>
  </si>
  <si>
    <t>Manual Therapy</t>
  </si>
  <si>
    <t>Manuelle Medizin</t>
  </si>
  <si>
    <t>Manufacturing and Service Operations Management</t>
  </si>
  <si>
    <t>Manufacturing Engineering</t>
  </si>
  <si>
    <t>Manufacturing Technology</t>
  </si>
  <si>
    <t>Manuscripta Mathematica</t>
  </si>
  <si>
    <t>Mapan - Journal of Metrology Society of India</t>
  </si>
  <si>
    <t>Mapping and Image Science</t>
  </si>
  <si>
    <t>Marine and Coastal Fisheries</t>
  </si>
  <si>
    <t>Marine and Freshwater Behaviour and Physiology</t>
  </si>
  <si>
    <t>Marine and Freshwater Research</t>
  </si>
  <si>
    <t>Marine and Petroleum Geology</t>
  </si>
  <si>
    <t>Marine Biodiversity</t>
  </si>
  <si>
    <t>Marine Biodiversity Records</t>
  </si>
  <si>
    <t>Marine Biology</t>
  </si>
  <si>
    <t>Marine Biology Research</t>
  </si>
  <si>
    <t>Marine Biotechnology</t>
  </si>
  <si>
    <t>Marine Chemistry</t>
  </si>
  <si>
    <t>Marine Drugs</t>
  </si>
  <si>
    <t>Marine Ecology</t>
  </si>
  <si>
    <t>Marine Ecology - Progress Series</t>
  </si>
  <si>
    <t>Marine Environmental Research</t>
  </si>
  <si>
    <t>Marine Fisheries Review</t>
  </si>
  <si>
    <t>Marine Genomics</t>
  </si>
  <si>
    <t>Marine Geodesy</t>
  </si>
  <si>
    <t>Marine Geology</t>
  </si>
  <si>
    <t>Marine Geophysical Researches</t>
  </si>
  <si>
    <t>Marine Georesources and Geotechnology</t>
  </si>
  <si>
    <t>Marine Mammal Science</t>
  </si>
  <si>
    <t>Marine Micropaleontology</t>
  </si>
  <si>
    <t>Marine Ornithology</t>
  </si>
  <si>
    <t>Marine Policy</t>
  </si>
  <si>
    <t>Marine Pollution Bulletin</t>
  </si>
  <si>
    <t>Marine Resource Economics</t>
  </si>
  <si>
    <t>Mariner's Mirror</t>
  </si>
  <si>
    <t>Marine Structures</t>
  </si>
  <si>
    <t>Marine Technology Society Journal</t>
  </si>
  <si>
    <t>Maritime Economics and Logistics</t>
  </si>
  <si>
    <t>Maritime Policy and Management</t>
  </si>
  <si>
    <t>Maritime Studies</t>
  </si>
  <si>
    <t>Marketing Health Services</t>
  </si>
  <si>
    <t>Marketing Intelligence and Planning</t>
  </si>
  <si>
    <t>Marketing Letters</t>
  </si>
  <si>
    <t>Marketing Management</t>
  </si>
  <si>
    <t>Marketing Research</t>
  </si>
  <si>
    <t>Marketing Science</t>
  </si>
  <si>
    <t>Marketing Theory</t>
  </si>
  <si>
    <t>Marmara Medical Journal</t>
  </si>
  <si>
    <t>Marriage and Family Review</t>
  </si>
  <si>
    <t>Maryland medicine : MM : a publication of MEDCHI, the Maryland State Medical Society</t>
  </si>
  <si>
    <t>Massachusetts Institute of Technology, Dissertation</t>
  </si>
  <si>
    <t>Massachusetts Review</t>
  </si>
  <si>
    <t>Mass Communication and Society</t>
  </si>
  <si>
    <t>Mass Communication Research</t>
  </si>
  <si>
    <t>Mass Spectrometry Reviews</t>
  </si>
  <si>
    <t>Master Drawings</t>
  </si>
  <si>
    <t>Mastozoologia Neotropical</t>
  </si>
  <si>
    <t>Matatu</t>
  </si>
  <si>
    <t>Match</t>
  </si>
  <si>
    <t>Matematica nella Societa e nella Cultura</t>
  </si>
  <si>
    <t>Matematicki Vesnik</t>
  </si>
  <si>
    <t>Materiales de Construccion</t>
  </si>
  <si>
    <t>Materiali e Discussioni per l'Analisi dei Testi Classici</t>
  </si>
  <si>
    <t>Materiali in Tehnologije</t>
  </si>
  <si>
    <t>Materialpruefung/Materials Testing</t>
  </si>
  <si>
    <t>Material Religion</t>
  </si>
  <si>
    <t>Materials and Corrosion - Werkstoffe und Korrosion</t>
  </si>
  <si>
    <t>Materials and Design</t>
  </si>
  <si>
    <t>Materials and Manufacturing Processes</t>
  </si>
  <si>
    <t>Materials and Structures/Materiaux et Constructions</t>
  </si>
  <si>
    <t>Materials at High Temperatures</t>
  </si>
  <si>
    <t>Materials Characterization</t>
  </si>
  <si>
    <t>Materials Chemistry and Physics</t>
  </si>
  <si>
    <t>Materials Express</t>
  </si>
  <si>
    <t>Materials Letters</t>
  </si>
  <si>
    <t>Materials Physics and Mechanics</t>
  </si>
  <si>
    <t>Materials Research</t>
  </si>
  <si>
    <t>Materials Research Bulletin</t>
  </si>
  <si>
    <t>Materials Research Innovations</t>
  </si>
  <si>
    <t>Materials Research Society Symposium - Proceedings</t>
  </si>
  <si>
    <t>Materials Science</t>
  </si>
  <si>
    <t>Materials Science and Engineering B: Solid-State Materials for Advanced Technology</t>
  </si>
  <si>
    <t>Materials Science and Engineering C</t>
  </si>
  <si>
    <t>Materials Science and Engineering: R: Reports</t>
  </si>
  <si>
    <t>Materials Science and Technology</t>
  </si>
  <si>
    <t>Materials Science &amp; Engineering A: Structural Materials: Properties, Microstructure and Processing</t>
  </si>
  <si>
    <t>Materials Science Forum</t>
  </si>
  <si>
    <t>Materials Science in Semiconductor Processing</t>
  </si>
  <si>
    <t>Materials Technology</t>
  </si>
  <si>
    <t>Materials Today</t>
  </si>
  <si>
    <t>Materials Transactions</t>
  </si>
  <si>
    <t>Materialwissenschaft und Werkstofftechnik</t>
  </si>
  <si>
    <t>Materiaux et Techniques</t>
  </si>
  <si>
    <t>Maternal and Child Health Journal</t>
  </si>
  <si>
    <t>Maternal and Child Nutrition</t>
  </si>
  <si>
    <t>Mater Plast Elastomeri Fibre Sint</t>
  </si>
  <si>
    <t>Mathematica</t>
  </si>
  <si>
    <t>Mathematica Bohemica</t>
  </si>
  <si>
    <t>Mathematical and Computational Applications</t>
  </si>
  <si>
    <t>Mathematical and Computational Forestry and Natural-Resource Sciences</t>
  </si>
  <si>
    <t>Mathematical and Computer Modelling</t>
  </si>
  <si>
    <t>Mathematical and Computer Modelling of Dynamical Systems</t>
  </si>
  <si>
    <t>Mathematical Biosciences</t>
  </si>
  <si>
    <t>Mathematical Biosciences and Engineering</t>
  </si>
  <si>
    <t>Mathematical Communications</t>
  </si>
  <si>
    <t>Mathematical Finance</t>
  </si>
  <si>
    <t>Mathematical Geosciences</t>
  </si>
  <si>
    <t>Mathematical Inequalities and Applications</t>
  </si>
  <si>
    <t>Mathematical Intelligencer</t>
  </si>
  <si>
    <t>Mathematical Logic Quarterly</t>
  </si>
  <si>
    <t>Mathematical Medicine and Biology</t>
  </si>
  <si>
    <t>Mathematical Methods in the Applied Sciences</t>
  </si>
  <si>
    <t>Mathematical Methods of Operations Research</t>
  </si>
  <si>
    <t>Mathematical Methods of Statistics</t>
  </si>
  <si>
    <t>Mathematical Modeling and Analysis</t>
  </si>
  <si>
    <t>Mathematical Modelling and Numerical Analysis</t>
  </si>
  <si>
    <t>Mathematical Modelling of Natural Phenomena</t>
  </si>
  <si>
    <t>Mathematical Models and Methods in Applied Sciences</t>
  </si>
  <si>
    <t>Mathematical Notes</t>
  </si>
  <si>
    <t>Mathematical Physics Analysis and Geometry</t>
  </si>
  <si>
    <t>Mathematical Population Studies</t>
  </si>
  <si>
    <t>Mathematical Problems in Engineering</t>
  </si>
  <si>
    <t>Mathematical Proceedings of the Cambridge Philosophical Society</t>
  </si>
  <si>
    <t>Mathematical Programming</t>
  </si>
  <si>
    <t>Mathematical Programming Computation</t>
  </si>
  <si>
    <t>Mathematical Research Letters</t>
  </si>
  <si>
    <t>Mathematical Scientist</t>
  </si>
  <si>
    <t>Mathematical Social Sciences</t>
  </si>
  <si>
    <t>Mathematical Structures in Computer Science</t>
  </si>
  <si>
    <t>Mathematical Thinking and Learning</t>
  </si>
  <si>
    <t>Mathematica Scandinavica</t>
  </si>
  <si>
    <t>Mathematica Slovaca</t>
  </si>
  <si>
    <t>Mathematics and Computers in Simulation</t>
  </si>
  <si>
    <t>Mathematics and Financial Economics</t>
  </si>
  <si>
    <t>Mathematics and Mechanics of Solids</t>
  </si>
  <si>
    <t>Mathematics Education Research Journal</t>
  </si>
  <si>
    <t>Mathematics in Computer Science</t>
  </si>
  <si>
    <t>Mathematics Magazine</t>
  </si>
  <si>
    <t>Mathematics of Computation</t>
  </si>
  <si>
    <t>Mathematics of Control, Signals, and Systems</t>
  </si>
  <si>
    <t>Mathematics of Operations Research</t>
  </si>
  <si>
    <t>Mathematika</t>
  </si>
  <si>
    <t>Mathematische Annalen</t>
  </si>
  <si>
    <t>Mathematische Nachrichten</t>
  </si>
  <si>
    <t>Mathematische Semesterberichte</t>
  </si>
  <si>
    <t>Mathematische Zeitschrift</t>
  </si>
  <si>
    <t>Matrix Biology</t>
  </si>
  <si>
    <t>Matronas Profesion</t>
  </si>
  <si>
    <t>Maturitas</t>
  </si>
  <si>
    <t>Mausam</t>
  </si>
  <si>
    <t>Maydica</t>
  </si>
  <si>
    <t>Mayo Clinic health letter (English ed.)</t>
  </si>
  <si>
    <t>Mayo Clinic Proceedings</t>
  </si>
  <si>
    <t>Mayo Clinic women's healthsource</t>
  </si>
  <si>
    <t>mBio</t>
  </si>
  <si>
    <t>MCB Molecular and Cellular Biomechanics</t>
  </si>
  <si>
    <t>McGill Journal of Medicine</t>
  </si>
  <si>
    <t>McKinsey Quarterly</t>
  </si>
  <si>
    <t>McMaster University, Dissertation</t>
  </si>
  <si>
    <t>MCN The American Journal of Maternal Child Nursing</t>
  </si>
  <si>
    <t>MD advisor : a journal for New Jersey medical community</t>
  </si>
  <si>
    <t>Meanjin</t>
  </si>
  <si>
    <t>Measurement and Control</t>
  </si>
  <si>
    <t>Measurement and Evaluation in Counseling and Development</t>
  </si>
  <si>
    <t>Measurement in Physical Education and Exercise Science</t>
  </si>
  <si>
    <t>Measurement: Journal of the International Measurement Confederation</t>
  </si>
  <si>
    <t>Measurement Science and Technology</t>
  </si>
  <si>
    <t>Measurement Science Review</t>
  </si>
  <si>
    <t>Measurement Techniques</t>
  </si>
  <si>
    <t>Measuring Business Excellence</t>
  </si>
  <si>
    <t>Meat Science</t>
  </si>
  <si>
    <t>Mecanique et Industries</t>
  </si>
  <si>
    <t>Meccanica</t>
  </si>
  <si>
    <t>Mechanical Systems and Signal Processing</t>
  </si>
  <si>
    <t>Mechanics and Mechanical Engineering</t>
  </si>
  <si>
    <t>Mechanics Based Design of Structures and Machines</t>
  </si>
  <si>
    <t>Mechanics of Advanced Materials and Structures</t>
  </si>
  <si>
    <t>Mechanics of Composite Materials</t>
  </si>
  <si>
    <t>Mechanics of Materials</t>
  </si>
  <si>
    <t>Mechanics of Solids</t>
  </si>
  <si>
    <t>Mechanics of Time-Dependent Materials</t>
  </si>
  <si>
    <t>Mechanics Research Communications</t>
  </si>
  <si>
    <t>Mechanika</t>
  </si>
  <si>
    <t>Mechanism and Machine Theory</t>
  </si>
  <si>
    <t>Mechanisms of Ageing and Development</t>
  </si>
  <si>
    <t>Mechanisms of Development</t>
  </si>
  <si>
    <t>Mechatronics</t>
  </si>
  <si>
    <t>Mecosan</t>
  </si>
  <si>
    <t>Meddelanden fran Lunds Universitets Geografiska Institutioner, Avhandlingar</t>
  </si>
  <si>
    <t>Medecine des Maladies Metaboliques</t>
  </si>
  <si>
    <t>Medecine du Sommeil</t>
  </si>
  <si>
    <t>Medecine et Chirurgie du Pied</t>
  </si>
  <si>
    <t>Medecine et Droit</t>
  </si>
  <si>
    <t>Medecine et Longevite</t>
  </si>
  <si>
    <t>Medecine et Maladies Infectieuses</t>
  </si>
  <si>
    <t>Medecine Nucleaire</t>
  </si>
  <si>
    <t>Medecine Palliative</t>
  </si>
  <si>
    <t>Medecine sciences : M/S</t>
  </si>
  <si>
    <t>Medecine Therapeutique</t>
  </si>
  <si>
    <t>Medecine Therapeutique Medecine de la Reproduction</t>
  </si>
  <si>
    <t>Medecine Therapeutique Pediatrie</t>
  </si>
  <si>
    <t>Medecine Tropicale</t>
  </si>
  <si>
    <t>Medecins - Le Magazine Ordre National Des Medecins</t>
  </si>
  <si>
    <t>Media, Culture and Society</t>
  </si>
  <si>
    <t>Media History</t>
  </si>
  <si>
    <t>Media International Australia</t>
  </si>
  <si>
    <t>Media Psychology</t>
  </si>
  <si>
    <t>Mediators of Inflammation</t>
  </si>
  <si>
    <t>Media, War and Conflict</t>
  </si>
  <si>
    <t>Medica Jadertina</t>
  </si>
  <si>
    <t>Medical Acupuncture</t>
  </si>
  <si>
    <t>Medical and Biological Engineering and Computing</t>
  </si>
  <si>
    <t>Medical and Veterinary Entomology</t>
  </si>
  <si>
    <t>Medical Anthropology: Cross Cultural Studies in Health and Illness</t>
  </si>
  <si>
    <t>Medical Anthropology Quarterly</t>
  </si>
  <si>
    <t>Medical Care</t>
  </si>
  <si>
    <t>Medical Care Research and Review</t>
  </si>
  <si>
    <t>Medical Channel</t>
  </si>
  <si>
    <t>Medical Clinics of North America</t>
  </si>
  <si>
    <t>Medical Decision Making</t>
  </si>
  <si>
    <t>Medical Devices: Evidence and Research</t>
  </si>
  <si>
    <t>Medical Dosimetry</t>
  </si>
  <si>
    <t>Medical economics</t>
  </si>
  <si>
    <t>Medical Education</t>
  </si>
  <si>
    <t>Medical Education Online</t>
  </si>
  <si>
    <t>Medical Engineering and Physics</t>
  </si>
  <si>
    <t>Medical Forum Monthly</t>
  </si>
  <si>
    <t>Medical History</t>
  </si>
  <si>
    <t>Medical history. Supplement</t>
  </si>
  <si>
    <t>Medical Humanities</t>
  </si>
  <si>
    <t>Medical Hypotheses</t>
  </si>
  <si>
    <t>Medical Image Analysis</t>
  </si>
  <si>
    <t>Medical Journal Armed Forces India</t>
  </si>
  <si>
    <t>Medical Journal of Australia</t>
  </si>
  <si>
    <t>Medical Journal of Malaysia</t>
  </si>
  <si>
    <t>Medical Journal of Minami Osaka Hospital</t>
  </si>
  <si>
    <t>Medical Journal of the Islamic Republic of Iran</t>
  </si>
  <si>
    <t>Medical Journal of Wuhan University</t>
  </si>
  <si>
    <t>Medical Laboratory Observer</t>
  </si>
  <si>
    <t>Medical Laser Application</t>
  </si>
  <si>
    <t>Medical Law International</t>
  </si>
  <si>
    <t>Medical Law Review</t>
  </si>
  <si>
    <t>Medical Letter on Drugs and Therapeutics</t>
  </si>
  <si>
    <t>Medical Microbiology and Immunology</t>
  </si>
  <si>
    <t>Medical Molecular Morphology</t>
  </si>
  <si>
    <t>Medical Mycology</t>
  </si>
  <si>
    <t>Medical Oncology</t>
  </si>
  <si>
    <t>Medical Physics</t>
  </si>
  <si>
    <t>Medical Physiology Online</t>
  </si>
  <si>
    <t>Medical Principles and Practice</t>
  </si>
  <si>
    <t>Medical Problems of Performing Artists</t>
  </si>
  <si>
    <t>Medical Reference Services Quarterly</t>
  </si>
  <si>
    <t>Medical Science Monitor</t>
  </si>
  <si>
    <t>Medical Teacher</t>
  </si>
  <si>
    <t>Medical Ultrasonography</t>
  </si>
  <si>
    <t>MedicaMundi</t>
  </si>
  <si>
    <t>MEDICC Review</t>
  </si>
  <si>
    <t>Medicina</t>
  </si>
  <si>
    <t>Medicina Clinica</t>
  </si>
  <si>
    <t>Medicina Cutanea Ibero-Latino-Americana</t>
  </si>
  <si>
    <t>Medicina del Lavoro</t>
  </si>
  <si>
    <t>Medicina dello Sport</t>
  </si>
  <si>
    <t>Medicina e historia</t>
  </si>
  <si>
    <t>Medicina Fluminensis</t>
  </si>
  <si>
    <t>Medicina Intensiva</t>
  </si>
  <si>
    <t>Medicina Interna de Mexico</t>
  </si>
  <si>
    <t>Medicinal Chemistry</t>
  </si>
  <si>
    <t>Medicinal Chemistry Research</t>
  </si>
  <si>
    <t>Medicinal Research Reviews</t>
  </si>
  <si>
    <t>Medicina Naturista</t>
  </si>
  <si>
    <t>Medicina nei secoli</t>
  </si>
  <si>
    <t>Medicina Oral, Patologia Oral y Cirugia Bucal</t>
  </si>
  <si>
    <t>Medicina Paliativa</t>
  </si>
  <si>
    <t>Medicina Preventiva</t>
  </si>
  <si>
    <t>Medicina Veterinaria</t>
  </si>
  <si>
    <t>Medicine</t>
  </si>
  <si>
    <t>Medicine; analytical reviews of general medicine, neurology, psychiatry, dermatology, and pediatries</t>
  </si>
  <si>
    <t>Medicine and health, Rhode Island</t>
  </si>
  <si>
    <t>Medicine and Law</t>
  </si>
  <si>
    <t>Medicine and Science in Sports and Exercise</t>
  </si>
  <si>
    <t>Medicine and Sport Science</t>
  </si>
  <si>
    <t>Medicine, Conflict and Survival</t>
  </si>
  <si>
    <t>Medicine, Healthcare and Philosophy</t>
  </si>
  <si>
    <t>Medicine, Science and the Law</t>
  </si>
  <si>
    <t>Medicine Studies</t>
  </si>
  <si>
    <t>Medicine Today</t>
  </si>
  <si>
    <t>Medicinski Arhiv</t>
  </si>
  <si>
    <t>Medicinski Casopis</t>
  </si>
  <si>
    <t>Medicinski Glasnik</t>
  </si>
  <si>
    <t>Medicinski Pregled</t>
  </si>
  <si>
    <t>Medico e Bambino</t>
  </si>
  <si>
    <t>Medico-Legal Journal</t>
  </si>
  <si>
    <t>Medico-Legal Update</t>
  </si>
  <si>
    <t>Medicus</t>
  </si>
  <si>
    <t>Medieval Archaeology</t>
  </si>
  <si>
    <t>Medieval Encounters</t>
  </si>
  <si>
    <t>Medieval History Journal</t>
  </si>
  <si>
    <t>Medievalia et Humanistica</t>
  </si>
  <si>
    <t>Medijska istrazivanja</t>
  </si>
  <si>
    <t>Mediterranean Archaeology and Archaeometry</t>
  </si>
  <si>
    <t>Mediterranean Historical Review</t>
  </si>
  <si>
    <t>Mediterranean Journal of Hematology and Infectious Diseases</t>
  </si>
  <si>
    <t>Mediterranean Journal of Mathematics</t>
  </si>
  <si>
    <t>Mediterranean Journal of Measurement and Control</t>
  </si>
  <si>
    <t>Mediterranean Journal of Nutrition and Metabolism</t>
  </si>
  <si>
    <t>Mediterranean Journal of Pacing and Electrophysiology</t>
  </si>
  <si>
    <t>Mediterranean Marine Science</t>
  </si>
  <si>
    <t>Mediterranean Quarterly</t>
  </si>
  <si>
    <t>Mediterranean Studies</t>
  </si>
  <si>
    <t>Mediterranee</t>
  </si>
  <si>
    <t>Meditsina truda i promyshlennaia ekologiia</t>
  </si>
  <si>
    <t>Meditsinskaya Parazitologiya i Parazitarnye Bolezni</t>
  </si>
  <si>
    <t>Meditteranean Politics</t>
  </si>
  <si>
    <t>Medium Aevum</t>
  </si>
  <si>
    <t>Medizin, Gesellschaft, und Geschichte. Beiheft : Jahrbuch des Instituts fur Geschichte der Medizin der Robert Bosch Stiftung</t>
  </si>
  <si>
    <t>Medizinhistorisches Journal</t>
  </si>
  <si>
    <t>Medizinische Genetik</t>
  </si>
  <si>
    <t>Medizinische Klinik</t>
  </si>
  <si>
    <t>Medizinische Klinik - Intensivmedizin und Notfallmedizin</t>
  </si>
  <si>
    <t>Medizinische Monatsschrift fur Pharmazeuten</t>
  </si>
  <si>
    <t>Medizinrecht</t>
  </si>
  <si>
    <t>Medizintechnik</t>
  </si>
  <si>
    <t>Medsurg nursing : official journal of the Academy of Medical-Surgical Nurses</t>
  </si>
  <si>
    <t>Medycyna Doswiadczalna i Mikrobiologia</t>
  </si>
  <si>
    <t>Medycyna Paliatywna w Praktyce</t>
  </si>
  <si>
    <t>Medycyna Pracy</t>
  </si>
  <si>
    <t>Medycyna Weterynaryjna</t>
  </si>
  <si>
    <t>Medycyna wieku rozwojowego</t>
  </si>
  <si>
    <t>Medziagotyra</t>
  </si>
  <si>
    <t>Meitan Xuebao/Journal of the China Coal Society</t>
  </si>
  <si>
    <t>Melanges de l'Ecole Francaise de Rome:Antiquite</t>
  </si>
  <si>
    <t>Melanoma Research</t>
  </si>
  <si>
    <t>Melbourne University Law Review</t>
  </si>
  <si>
    <t>MELUS</t>
  </si>
  <si>
    <t>Membrane Science and Technology</t>
  </si>
  <si>
    <t>Membrane Technology</t>
  </si>
  <si>
    <t>Memetic Computing</t>
  </si>
  <si>
    <t>Memoir of the Fukui Prefectural Dinosaur Museum</t>
  </si>
  <si>
    <t>Memoir of the Geological Society of America</t>
  </si>
  <si>
    <t>Memoirs of Museum Victoria</t>
  </si>
  <si>
    <t>Memoirs of the American Mathematical Society</t>
  </si>
  <si>
    <t>Memoirs of the Association of Australasian Palaeontologists</t>
  </si>
  <si>
    <t>Memoirs of the Faculty of Engineering, Kyushu University</t>
  </si>
  <si>
    <t>Memoirs of the Queensland Museum</t>
  </si>
  <si>
    <t>Memoirs of the Queensland Museum: Cultural Heritage Series</t>
  </si>
  <si>
    <t>Memo - Magazine of European Medical Oncology</t>
  </si>
  <si>
    <t>Memoranda - Societatis pro Fauna et Flora Fennica</t>
  </si>
  <si>
    <t>Memorias do Instituto Oswaldo Cruz</t>
  </si>
  <si>
    <t>Memory</t>
  </si>
  <si>
    <t>Memory and Cognition</t>
  </si>
  <si>
    <t>Memory Studies</t>
  </si>
  <si>
    <t>Men and Masculinities</t>
  </si>
  <si>
    <t>Mendeleev Communications</t>
  </si>
  <si>
    <t>Menopause</t>
  </si>
  <si>
    <t>Mens Sana Monographs</t>
  </si>
  <si>
    <t>Mental and physical disability law reporter</t>
  </si>
  <si>
    <t>Mental Health and Physical Activity</t>
  </si>
  <si>
    <t>Mental Health and Social Inclusion</t>
  </si>
  <si>
    <t>Mental Health and Substance Use: Dual Diagnosis</t>
  </si>
  <si>
    <t>Mental Health in Family Medicine</t>
  </si>
  <si>
    <t>Mental Health, Religion and Culture</t>
  </si>
  <si>
    <t>Mental Health Review Journal</t>
  </si>
  <si>
    <t>Mental health today (Brighton, England)</t>
  </si>
  <si>
    <t>Mentalhigiene es Pszichoszomatika</t>
  </si>
  <si>
    <t>Mental Lexicon, The</t>
  </si>
  <si>
    <t>Mercian Geologist</t>
  </si>
  <si>
    <t>MeReC Bulletin</t>
  </si>
  <si>
    <t>MeReC Extra</t>
  </si>
  <si>
    <t>Meridian</t>
  </si>
  <si>
    <t>Merkur</t>
  </si>
  <si>
    <t>Merrill-Palmer Quarterly</t>
  </si>
  <si>
    <t>Meta</t>
  </si>
  <si>
    <t>Meta: Avaliacao</t>
  </si>
  <si>
    <t>Metabolic Brain Disease</t>
  </si>
  <si>
    <t>Metabolic Engineering</t>
  </si>
  <si>
    <t>Metabolic Syndrome and Related Disorders</t>
  </si>
  <si>
    <t>Metabolism: Clinical and Experimental</t>
  </si>
  <si>
    <t>Metabolomics</t>
  </si>
  <si>
    <t>Metacognition and Learning</t>
  </si>
  <si>
    <t>Metal-Based Drugs</t>
  </si>
  <si>
    <t>Metal Finishing</t>
  </si>
  <si>
    <t>Metall</t>
  </si>
  <si>
    <t>Metallofizika i Noveishie Tekhnologii</t>
  </si>
  <si>
    <t>Metallurgical and Materials Transactions A: Physical Metallurgy and Materials Science</t>
  </si>
  <si>
    <t>Metallurgical and Materials Transactions B: Process Metallurgy and Materials Processing Science</t>
  </si>
  <si>
    <t>Metallurgical and Mining Industry</t>
  </si>
  <si>
    <t>Metallurgist</t>
  </si>
  <si>
    <t>Metal Powder Report</t>
  </si>
  <si>
    <t>Metals and Materials International</t>
  </si>
  <si>
    <t>Metal Science and Heat Treatment</t>
  </si>
  <si>
    <t>Metalurgia International</t>
  </si>
  <si>
    <t>Metalurgija</t>
  </si>
  <si>
    <t>Metamaterials</t>
  </si>
  <si>
    <t>Metaphilosophy</t>
  </si>
  <si>
    <t>Metaphor and Symbol</t>
  </si>
  <si>
    <t>Metascience</t>
  </si>
  <si>
    <t>Meteoritics and Planetary Science</t>
  </si>
  <si>
    <t>Meteorological Applications</t>
  </si>
  <si>
    <t>Meteorologische Zeitschrift</t>
  </si>
  <si>
    <t>Meteorology and Atmospheric Physics</t>
  </si>
  <si>
    <t>Method and Theory in the Study of Religion</t>
  </si>
  <si>
    <t>Methodist DeBakey cardiovascular journal</t>
  </si>
  <si>
    <t>Methodology</t>
  </si>
  <si>
    <t>Methodology and Computing in Applied Probability</t>
  </si>
  <si>
    <t>Methods</t>
  </si>
  <si>
    <t>Methods in Cell Biology</t>
  </si>
  <si>
    <t>Methods in Ecology and Evolution</t>
  </si>
  <si>
    <t>Methods in Enzymology</t>
  </si>
  <si>
    <t>Methods in Microbiology</t>
  </si>
  <si>
    <t>Methods in Molecular Biology</t>
  </si>
  <si>
    <t>Methods in Oceanography</t>
  </si>
  <si>
    <t>Methods in Pharmacology and Toxicology</t>
  </si>
  <si>
    <t>Methods of Biochemical Analysis</t>
  </si>
  <si>
    <t>Methods of Information in Medicine</t>
  </si>
  <si>
    <t>Metiers de la Petite Enfance</t>
  </si>
  <si>
    <t>Metodoloski Zvezki</t>
  </si>
  <si>
    <t>Metrika</t>
  </si>
  <si>
    <t>Metrologia</t>
  </si>
  <si>
    <t>Metrology and Measuring Systems</t>
  </si>
  <si>
    <t>Metron</t>
  </si>
  <si>
    <t>Metropolitan Museum of Art Bulletin</t>
  </si>
  <si>
    <t>M et T2</t>
  </si>
  <si>
    <t>METU Journal of the Faculty of Architecture</t>
  </si>
  <si>
    <t>Mexican Studies/Estudios Mexicanos</t>
  </si>
  <si>
    <t>MFS - Modern Fiction Studies</t>
  </si>
  <si>
    <t>MGMA connexion / Medical group Management Association</t>
  </si>
  <si>
    <t>Michigan Historical Review</t>
  </si>
  <si>
    <t>Michigan Law Review</t>
  </si>
  <si>
    <t>Michigan Mathematical Journal</t>
  </si>
  <si>
    <t>Michigan medicine</t>
  </si>
  <si>
    <t>Michigan nurse, The</t>
  </si>
  <si>
    <t>Michigan Quarterly Review</t>
  </si>
  <si>
    <t>Michigan State University, Dissertation</t>
  </si>
  <si>
    <t>Michigan Technological University, Dissertation</t>
  </si>
  <si>
    <t>Micro and Nano Letters</t>
  </si>
  <si>
    <t>Micro and Nanosystems</t>
  </si>
  <si>
    <t>Microbe</t>
  </si>
  <si>
    <t>Microbes and Environments</t>
  </si>
  <si>
    <t>Microbes and Infection</t>
  </si>
  <si>
    <t>Microbial Biotechnology</t>
  </si>
  <si>
    <t>Microbial Cell Factories</t>
  </si>
  <si>
    <t>Microbial Drug Resistance</t>
  </si>
  <si>
    <t>Microbial Ecology</t>
  </si>
  <si>
    <t>Microbial Pathogenesis</t>
  </si>
  <si>
    <t>Microbiological Research</t>
  </si>
  <si>
    <t>Microbiology</t>
  </si>
  <si>
    <t>Microbiology and Immunology</t>
  </si>
  <si>
    <t>Microbiology and Molecular Biology Reviews</t>
  </si>
  <si>
    <t>Microbiology Today</t>
  </si>
  <si>
    <t>Microchemical Journal</t>
  </si>
  <si>
    <t>Microchimica Acta</t>
  </si>
  <si>
    <t>Microcirculation</t>
  </si>
  <si>
    <t>Microelectronic Engineering</t>
  </si>
  <si>
    <t>Microelectronics and Reliability</t>
  </si>
  <si>
    <t>Microelectronics International</t>
  </si>
  <si>
    <t>Microelectronics Journal</t>
  </si>
  <si>
    <t>Microfluidics and Nanofluidics</t>
  </si>
  <si>
    <t>Microform and Digitization Review</t>
  </si>
  <si>
    <t>Microform and Imaging Review</t>
  </si>
  <si>
    <t>Microgravity Science and Technology</t>
  </si>
  <si>
    <t>Micron</t>
  </si>
  <si>
    <t>Micropaleontology</t>
  </si>
  <si>
    <t>Microporous and Mesoporous Materials</t>
  </si>
  <si>
    <t>Microprocessors and Microsystems</t>
  </si>
  <si>
    <t>Microscale Thermophysical Engineering</t>
  </si>
  <si>
    <t>Microscopy and Microanalysis</t>
  </si>
  <si>
    <t>Microscopy Research and Technique</t>
  </si>
  <si>
    <t>Microsurgery</t>
  </si>
  <si>
    <t>Microsystem Technologies</t>
  </si>
  <si>
    <t>Microvascular Research</t>
  </si>
  <si>
    <t>Microwave and Optical Technology Letters</t>
  </si>
  <si>
    <t>Microwave Review</t>
  </si>
  <si>
    <t>Middle East Current Psychiatry</t>
  </si>
  <si>
    <t>Middle Eastern Literatures</t>
  </si>
  <si>
    <t>Middle Eastern Studies</t>
  </si>
  <si>
    <t>Middle East Fertility Society Journal</t>
  </si>
  <si>
    <t>Middle East Journal of Anesthesiology</t>
  </si>
  <si>
    <t>Middle East Journal of Culture and Communication</t>
  </si>
  <si>
    <t>Middle East Journal of Scientific Research</t>
  </si>
  <si>
    <t>Middle East Journal, The</t>
  </si>
  <si>
    <t>Middle East Law and Governance</t>
  </si>
  <si>
    <t>Middle East Policy</t>
  </si>
  <si>
    <t>Middle East Quarterly</t>
  </si>
  <si>
    <t>Middle East Report</t>
  </si>
  <si>
    <t>Midwest Quarterly, The</t>
  </si>
  <si>
    <t>Midwest Studies in Philosophy</t>
  </si>
  <si>
    <t>Midwest Symposium on Circuits and Systems</t>
  </si>
  <si>
    <t>Midwifery</t>
  </si>
  <si>
    <t>Midwifery today with international midwife</t>
  </si>
  <si>
    <t>Migraciones</t>
  </si>
  <si>
    <t>Migraciones Internacionales</t>
  </si>
  <si>
    <t>Migration Letters</t>
  </si>
  <si>
    <t>Mikologia Lekarska</t>
  </si>
  <si>
    <t>Mikrobiologiia</t>
  </si>
  <si>
    <t>Mikrobiolohichnyi zhurnal (Kiev, Ukraine : 1993)</t>
  </si>
  <si>
    <t>Mikrobiyoloji Bulteni</t>
  </si>
  <si>
    <t>Mikrokosmos</t>
  </si>
  <si>
    <t>Milan Journal of Mathematics</t>
  </si>
  <si>
    <t>Milbank Quarterly</t>
  </si>
  <si>
    <t>Milchwissenschaft</t>
  </si>
  <si>
    <t>Militargeschichtliche Zeitshrift</t>
  </si>
  <si>
    <t>Military Law Review</t>
  </si>
  <si>
    <t>Military Medicine</t>
  </si>
  <si>
    <t>Military Operations Research</t>
  </si>
  <si>
    <t>Military Psychology</t>
  </si>
  <si>
    <t>Millennium Film Journal</t>
  </si>
  <si>
    <t>Millennium: Journal of International Studies</t>
  </si>
  <si>
    <t>Milli Egitim</t>
  </si>
  <si>
    <t>Milli Folklor</t>
  </si>
  <si>
    <t>Milton Quarterly</t>
  </si>
  <si>
    <t>Milton Studies</t>
  </si>
  <si>
    <t>Mind</t>
  </si>
  <si>
    <t>Mind and Language</t>
  </si>
  <si>
    <t>Mind and Society</t>
  </si>
  <si>
    <t>Mind, Brain, and Education</t>
  </si>
  <si>
    <t>Mind, Culture, and Activity: An International Journal</t>
  </si>
  <si>
    <t>Mindfulness</t>
  </si>
  <si>
    <t>Minds and Machines</t>
  </si>
  <si>
    <t>Mineralium Deposita</t>
  </si>
  <si>
    <t>Mineralogia</t>
  </si>
  <si>
    <t>Mineralogical Magazine</t>
  </si>
  <si>
    <t>Mineralogical Record</t>
  </si>
  <si>
    <t>Mineralogy and Petrology</t>
  </si>
  <si>
    <t>Mineral Processing and Extractive Metallurgy Review</t>
  </si>
  <si>
    <t>Minerals and Metallurgical Processing</t>
  </si>
  <si>
    <t>Minerals Engineering</t>
  </si>
  <si>
    <t>Minerva</t>
  </si>
  <si>
    <t>Minerva Anestesiologica</t>
  </si>
  <si>
    <t>Minerva Biotecnologica</t>
  </si>
  <si>
    <t>Minerva Cardioangiologica</t>
  </si>
  <si>
    <t>Minerva Chirurgica</t>
  </si>
  <si>
    <t>Minerva Endocrinologica</t>
  </si>
  <si>
    <t>Minerva Gastroenterologica e Dietologica</t>
  </si>
  <si>
    <t>Minerva Ginecologica</t>
  </si>
  <si>
    <t>Minerva Medicolegale</t>
  </si>
  <si>
    <t>Minerva Ortopedica e Traumatologica</t>
  </si>
  <si>
    <t>Minerva Pediatrica</t>
  </si>
  <si>
    <t>Minerva Pneumologica</t>
  </si>
  <si>
    <t>Minerva Psichiatrica</t>
  </si>
  <si>
    <t>Minerva Stomatologica</t>
  </si>
  <si>
    <t>Minerva Urologica e Nefrologica</t>
  </si>
  <si>
    <t>Mine Water and the Environment</t>
  </si>
  <si>
    <t>Minimally Invasive Neurosurgery</t>
  </si>
  <si>
    <t>Minimally Invasive Surgery</t>
  </si>
  <si>
    <t>Minimally Invasive Therapy and Allied Technologies</t>
  </si>
  <si>
    <t>Mini-Reviews in Medicinal Chemistry</t>
  </si>
  <si>
    <t>Mini-Reviews in Organic Chemistry</t>
  </si>
  <si>
    <t>Minnesota Law Review</t>
  </si>
  <si>
    <t>Minnesota Medicine</t>
  </si>
  <si>
    <t>Minnesota Review</t>
  </si>
  <si>
    <t>Miskolc Mathematical Notes</t>
  </si>
  <si>
    <t>MIS Quarterly Executive</t>
  </si>
  <si>
    <t>MIS Quarterly: Management Information Systems</t>
  </si>
  <si>
    <t>Missionalia</t>
  </si>
  <si>
    <t>Mission Studies</t>
  </si>
  <si>
    <t>Mississippi Quarterly</t>
  </si>
  <si>
    <t>Mississippi RN</t>
  </si>
  <si>
    <t>Missouri Journal of Mathematical Sciences</t>
  </si>
  <si>
    <t>Missouri Medicine</t>
  </si>
  <si>
    <t>Mitigation and Adaptation Strategies for Global Change</t>
  </si>
  <si>
    <t>Mitochondrial DNA</t>
  </si>
  <si>
    <t>Mitochondrion</t>
  </si>
  <si>
    <t>MIT Sloan Management Review</t>
  </si>
  <si>
    <t>Mitsubishi Electric Advance</t>
  </si>
  <si>
    <t>Mitteilungen der Osterreichischen Geographischen Gesellscaft</t>
  </si>
  <si>
    <t>Mitteilungen - Verbandes der Deutschen Hohlen- Und Karstforscher</t>
  </si>
  <si>
    <t>Mitteilungen zur Christlichen Archaologie</t>
  </si>
  <si>
    <t>Mljekarstvo</t>
  </si>
  <si>
    <t>MLN - Modern Language Notes</t>
  </si>
  <si>
    <t>MMW Fortschritte der Medizin</t>
  </si>
  <si>
    <t>MMWR. Recommendations and reports : Morbidity and mortality weekly report. Recommendations and reports / Centers for Disease Control</t>
  </si>
  <si>
    <t>MMWR. Surveillance summaries : Morbidity and mortality weekly report. Surveillance summaries / CDC</t>
  </si>
  <si>
    <t>Mnemosyne</t>
  </si>
  <si>
    <t>Mobile Information Systems</t>
  </si>
  <si>
    <t>Mobile Networks and Applications</t>
  </si>
  <si>
    <t>Mobilities</t>
  </si>
  <si>
    <t>Mobilization</t>
  </si>
  <si>
    <t>Mocaxue Xuebao/Tribology</t>
  </si>
  <si>
    <t>Model Assisted Statistics and Applications</t>
  </si>
  <si>
    <t>Modeling, Identification and Control</t>
  </si>
  <si>
    <t>Modelling and Simulation in Engineering</t>
  </si>
  <si>
    <t>Modelling and Simulation in Materials Science and Engineering</t>
  </si>
  <si>
    <t>Modelling, Measurement and Control A</t>
  </si>
  <si>
    <t>Modelling, Measurement and Control B</t>
  </si>
  <si>
    <t>Modelling, Measurement and Control C</t>
  </si>
  <si>
    <t>Modern and Contemporary France</t>
  </si>
  <si>
    <t>Modern Applied Science</t>
  </si>
  <si>
    <t>Modern Asian Studies</t>
  </si>
  <si>
    <t>Moderna Sprak</t>
  </si>
  <si>
    <t>Modern Austrian Literature</t>
  </si>
  <si>
    <t>Modern China</t>
  </si>
  <si>
    <t>Modern Drama</t>
  </si>
  <si>
    <t>Modern Healthcare</t>
  </si>
  <si>
    <t>Modernism/Modernity</t>
  </si>
  <si>
    <t>Modern Italy</t>
  </si>
  <si>
    <t>Modern Judaism</t>
  </si>
  <si>
    <t>Modern Language Journal</t>
  </si>
  <si>
    <t>Modern Language Quarterly</t>
  </si>
  <si>
    <t>Modern Language Review</t>
  </si>
  <si>
    <t>Modern Law Review</t>
  </si>
  <si>
    <t>Modern Pathology</t>
  </si>
  <si>
    <t>Modern Philology</t>
  </si>
  <si>
    <t>Modern Physics Letters A</t>
  </si>
  <si>
    <t>Modern Physics Letters B</t>
  </si>
  <si>
    <t>Modern Rheumatology</t>
  </si>
  <si>
    <t>Modern Schoolman</t>
  </si>
  <si>
    <t>Modern Theology</t>
  </si>
  <si>
    <t>MolBank</t>
  </si>
  <si>
    <t>Molecular and Biochemical Parasitology</t>
  </si>
  <si>
    <t>Molecular and Cellular Biochemistry</t>
  </si>
  <si>
    <t>Molecular and Cellular Biology</t>
  </si>
  <si>
    <t>Molecular and Cellular Endocrinology</t>
  </si>
  <si>
    <t>Molecular and Cellular Neurosciences</t>
  </si>
  <si>
    <t>Molecular and Cellular Pharmacology</t>
  </si>
  <si>
    <t>Molecular and Cellular Probes</t>
  </si>
  <si>
    <t>Molecular and Cellular Proteomics</t>
  </si>
  <si>
    <t>Molecular and Cellular Toxicology</t>
  </si>
  <si>
    <t>Molecular Aspects of Medicine</t>
  </si>
  <si>
    <t>Molecular Biology</t>
  </si>
  <si>
    <t>Molecular Biology and Evolution</t>
  </si>
  <si>
    <t>Molecular Biology of the Cell</t>
  </si>
  <si>
    <t>Molecular Biology Reports</t>
  </si>
  <si>
    <t>Molecular BioSystems</t>
  </si>
  <si>
    <t>Molecular Biotechnology</t>
  </si>
  <si>
    <t>Molecular Brain</t>
  </si>
  <si>
    <t>Molecular Breeding</t>
  </si>
  <si>
    <t>Molecular Cancer</t>
  </si>
  <si>
    <t>Molecular Cancer Research</t>
  </si>
  <si>
    <t>Molecular Cancer Therapeutics</t>
  </si>
  <si>
    <t>Molecular Carcinogenesis</t>
  </si>
  <si>
    <t>Molecular Cell</t>
  </si>
  <si>
    <t>Molecular Crystals and Liquid Crystals</t>
  </si>
  <si>
    <t>Molecular Cytogenetics</t>
  </si>
  <si>
    <t>Molecular Diagnosis and Therapy</t>
  </si>
  <si>
    <t>Molecular Diversity</t>
  </si>
  <si>
    <t>Molecular Ecology</t>
  </si>
  <si>
    <t>Molecular Ecology Resources</t>
  </si>
  <si>
    <t>Molecular Endocrinology</t>
  </si>
  <si>
    <t>Molecular Genetics and Genomics</t>
  </si>
  <si>
    <t>Molecular Genetics and Metabolism</t>
  </si>
  <si>
    <t>Molecular Genetics, Microbiology and Virology</t>
  </si>
  <si>
    <t>Molecular Human Reproduction</t>
  </si>
  <si>
    <t>Molecular Imaging</t>
  </si>
  <si>
    <t>Molecular Imaging and Biology</t>
  </si>
  <si>
    <t>Molecular Immunology</t>
  </si>
  <si>
    <t>Molecular Informatics</t>
  </si>
  <si>
    <t>Molecular Interventions</t>
  </si>
  <si>
    <t>Molecular Medicine</t>
  </si>
  <si>
    <t>Molecular Medicine Reports</t>
  </si>
  <si>
    <t>Molecular Membrane Biology</t>
  </si>
  <si>
    <t>Molecular Metabolism</t>
  </si>
  <si>
    <t>Molecular Microbiology</t>
  </si>
  <si>
    <t>Molecular Neurobiology</t>
  </si>
  <si>
    <t>Molecular Neurodegeneration</t>
  </si>
  <si>
    <t>Molecular Nutrition and Food Research</t>
  </si>
  <si>
    <t>Molecular Oncology</t>
  </si>
  <si>
    <t>Molecular Oral Microbiology</t>
  </si>
  <si>
    <t>Molecular Pain</t>
  </si>
  <si>
    <t>Molecular Pharmaceutics</t>
  </si>
  <si>
    <t>Molecular Pharmacology</t>
  </si>
  <si>
    <t>Molecular Phylogenetics and Evolution</t>
  </si>
  <si>
    <t>Molecular Physics</t>
  </si>
  <si>
    <t>Molecular Plant</t>
  </si>
  <si>
    <t>Molecular Plant-Microbe Interactions</t>
  </si>
  <si>
    <t>Molecular Plant Pathology</t>
  </si>
  <si>
    <t>Molecular Psychiatry</t>
  </si>
  <si>
    <t>Molecular Reproduction and Development</t>
  </si>
  <si>
    <t>Molecular Simulation</t>
  </si>
  <si>
    <t>Molecular Syndromology</t>
  </si>
  <si>
    <t>Molecular Systems Biology</t>
  </si>
  <si>
    <t>Molecular Therapy</t>
  </si>
  <si>
    <t>Molecular Therapy - Nucleic Acids</t>
  </si>
  <si>
    <t>Molecular Vision</t>
  </si>
  <si>
    <t>Molecules</t>
  </si>
  <si>
    <t>Molecules and Cells</t>
  </si>
  <si>
    <t>Molekuliarnaia genetika, mikrobiologiia i virusologiia</t>
  </si>
  <si>
    <t>Molekulyarnaya Biologiya</t>
  </si>
  <si>
    <t>Molluscan Research</t>
  </si>
  <si>
    <t>Monaldi Archives for Chest Disease</t>
  </si>
  <si>
    <t>Monash bioethics review</t>
  </si>
  <si>
    <t>Monatshefte fur Chemie</t>
  </si>
  <si>
    <t>Monatshefte fur Mathematik</t>
  </si>
  <si>
    <t>Monatsschrift Kinderheilkunde : Organ der Deutschen Gesellschaft fur Kinderheilkunde</t>
  </si>
  <si>
    <t>Mondes en Developpement</t>
  </si>
  <si>
    <t>Mondo Digitale</t>
  </si>
  <si>
    <t>Mondo Ortodontico</t>
  </si>
  <si>
    <t>Monografies del Museu de Ciencies Naturals</t>
  </si>
  <si>
    <t>Monographs in clinical cytology</t>
  </si>
  <si>
    <t>Monographs in human genetics</t>
  </si>
  <si>
    <t>Monographs in Oral Science</t>
  </si>
  <si>
    <t>Monographs in Virology</t>
  </si>
  <si>
    <t>Monographs of the Society for Research in Child Development</t>
  </si>
  <si>
    <t>Montana : the magazine of western history</t>
  </si>
  <si>
    <t>Monte Carlo Methods and Applications</t>
  </si>
  <si>
    <t>Monthly Labor Review</t>
  </si>
  <si>
    <t>Monthly Notices of the Royal Astronomical Society: Letters</t>
  </si>
  <si>
    <t>Monthly Review</t>
  </si>
  <si>
    <t>Monthly Weather Review</t>
  </si>
  <si>
    <t>Monumenta Nipponica</t>
  </si>
  <si>
    <t>Moravian Geographical Reports</t>
  </si>
  <si>
    <t>Morbidity and Mortality Weekly Report</t>
  </si>
  <si>
    <t>Moreana</t>
  </si>
  <si>
    <t>Morfologiia (Saint Petersburg, Russia)</t>
  </si>
  <si>
    <t>Morphologie</t>
  </si>
  <si>
    <t>Morphology</t>
  </si>
  <si>
    <t>Mortality</t>
  </si>
  <si>
    <t>Mosaic</t>
  </si>
  <si>
    <t>Moscow Mathematical Journal</t>
  </si>
  <si>
    <t>Moscow University Biological Sciences Bulletin</t>
  </si>
  <si>
    <t>Moscow University Chemistry Bulletin</t>
  </si>
  <si>
    <t>Moscow University Computational Mathematics and Cybernetics</t>
  </si>
  <si>
    <t>Moscow University Mechanics Bulletin</t>
  </si>
  <si>
    <t>Moshi Shibie yu Rengong Zhineng/Pattern Recognition and Artificial Intelligence</t>
  </si>
  <si>
    <t>Motivation and Emotion</t>
  </si>
  <si>
    <t>Motor Control</t>
  </si>
  <si>
    <t>Motor Ship</t>
  </si>
  <si>
    <t>Motricidade</t>
  </si>
  <si>
    <t>Motricite Cerebrale Readaptation Neurologie du Developpement</t>
  </si>
  <si>
    <t>Motriz. Revista de Educacao Fisica</t>
  </si>
  <si>
    <t>Mountain Research and Development</t>
  </si>
  <si>
    <t>Mount Sinai Journal of Medicine</t>
  </si>
  <si>
    <t>Mouvement Social</t>
  </si>
  <si>
    <t>Movement Disorders</t>
  </si>
  <si>
    <t>Movimento</t>
  </si>
  <si>
    <t>Moyen Age</t>
  </si>
  <si>
    <t>Moyen Francais</t>
  </si>
  <si>
    <t>M@ppemonde</t>
  </si>
  <si>
    <t>MRS Bulletin</t>
  </si>
  <si>
    <t>MSW Management</t>
  </si>
  <si>
    <t>Mucosal Immunology</t>
  </si>
  <si>
    <t>Muelleria</t>
  </si>
  <si>
    <t>Multiagent and Grid Systems</t>
  </si>
  <si>
    <t>Multibody System Dynamics</t>
  </si>
  <si>
    <t>Multicultural Education</t>
  </si>
  <si>
    <t>Multicultural Education and Technology Journal</t>
  </si>
  <si>
    <t>Multicultural Perspectives</t>
  </si>
  <si>
    <t>Multidimensional Systems and Signal Processing</t>
  </si>
  <si>
    <t>Multidisciplinary Respiratory Medicine</t>
  </si>
  <si>
    <t>Multidiscipline Modeling in Materials and Structures</t>
  </si>
  <si>
    <t>Multilingua</t>
  </si>
  <si>
    <t>Multimedia Systems</t>
  </si>
  <si>
    <t>Multimedia Tools and Applications</t>
  </si>
  <si>
    <t>Multiphase Science and Technology</t>
  </si>
  <si>
    <t>Multiple Sclerosis</t>
  </si>
  <si>
    <t>Multiple Sclerosis and Related Disorders</t>
  </si>
  <si>
    <t>Multiscale Modeling and Simulation</t>
  </si>
  <si>
    <t>Multitudes</t>
  </si>
  <si>
    <t>Multivariate Behavioral Research</t>
  </si>
  <si>
    <t>Mundo Agrario</t>
  </si>
  <si>
    <t>Muqarnas</t>
  </si>
  <si>
    <t>Muscle and Nerve</t>
  </si>
  <si>
    <t>Musculoskeletal Care</t>
  </si>
  <si>
    <t>MUSCULOSKELETAL SURGERY</t>
  </si>
  <si>
    <t>Museon</t>
  </si>
  <si>
    <t>Museum Helveticum</t>
  </si>
  <si>
    <t>Museum International</t>
  </si>
  <si>
    <t>Museum Management and Curatorship</t>
  </si>
  <si>
    <t>Museum News</t>
  </si>
  <si>
    <t>Musicae Scientiae</t>
  </si>
  <si>
    <t>Musica Hodie</t>
  </si>
  <si>
    <t>Musical Quarterly</t>
  </si>
  <si>
    <t>Musical Times</t>
  </si>
  <si>
    <t>Music Analysis</t>
  </si>
  <si>
    <t>Music and Letters</t>
  </si>
  <si>
    <t>Music Education Research</t>
  </si>
  <si>
    <t>Musicology Australia</t>
  </si>
  <si>
    <t>Music Perception</t>
  </si>
  <si>
    <t>Music Reference Services Quarterly</t>
  </si>
  <si>
    <t>Music Theory Spectrum</t>
  </si>
  <si>
    <t>Musikforschung</t>
  </si>
  <si>
    <t>MusikTheorie</t>
  </si>
  <si>
    <t>Musik und Asthetik</t>
  </si>
  <si>
    <t>Musik und Kirche</t>
  </si>
  <si>
    <t>Muslim World Journal of Human Rights</t>
  </si>
  <si>
    <t>Muslim World, The</t>
  </si>
  <si>
    <t>Mutagenesis</t>
  </si>
  <si>
    <t>Mutation Research</t>
  </si>
  <si>
    <t>Mutation Research - Fundamental and Molecular Mechanisms of Mutagenesis</t>
  </si>
  <si>
    <t>Mutation Research - Genetic Toxicology and Environmental Mutagenesis</t>
  </si>
  <si>
    <t>Mutation Research - Reviews in Mutation Research</t>
  </si>
  <si>
    <t>Muttersprache</t>
  </si>
  <si>
    <t>Muveszettorteneti Ertesito</t>
  </si>
  <si>
    <t>Mycobiology</t>
  </si>
  <si>
    <t>Mycologia</t>
  </si>
  <si>
    <t>Mycological Progress</t>
  </si>
  <si>
    <t>Mycopathologia</t>
  </si>
  <si>
    <t>Mycorrhiza</t>
  </si>
  <si>
    <t>Mycoscience</t>
  </si>
  <si>
    <t>Mycoses</t>
  </si>
  <si>
    <t>Mycotaxon</t>
  </si>
  <si>
    <t>Mycotoxin Research</t>
  </si>
  <si>
    <t>Mymensingh medical journal : MMJ</t>
  </si>
  <si>
    <t>Myrmecological News</t>
  </si>
  <si>
    <t>Nachrichten aus der Chemie</t>
  </si>
  <si>
    <t>Nadcisnienie Tetnicze</t>
  </si>
  <si>
    <t>NAD Publication</t>
  </si>
  <si>
    <t>Nafta Zagreb</t>
  </si>
  <si>
    <t>Nagoya Journal of Medical Science</t>
  </si>
  <si>
    <t>Nagoya Mathematical Journal</t>
  </si>
  <si>
    <t>Naihuo Cailiao/Refractories</t>
  </si>
  <si>
    <t>Names</t>
  </si>
  <si>
    <t>Nami Jishu yu Jingmi Gongcheng/Nanotechnology and Precision Engineering</t>
  </si>
  <si>
    <t>Nan fang yi ke da xue xue bao = Journal of Southern Medical University</t>
  </si>
  <si>
    <t>Nanjing Hangkong Hangtian Daxue Xuebao/Journal of Nanjing University of Aeronautics and Astronautics</t>
  </si>
  <si>
    <t>Nanjing Li Gong Daxue Xuebao/Journal of Nanjing University of Science and Technology</t>
  </si>
  <si>
    <t>Nanjing Youdian Daxue Xuebao (Ziran Kexue Ban)/Journal of Nanjing University of Posts and Telecommunications (Natural Science)</t>
  </si>
  <si>
    <t>NAN NU: Men, Women and Gender in Early and Imperial China</t>
  </si>
  <si>
    <t>Nano</t>
  </si>
  <si>
    <t>Nano Biomedicine and Engineering</t>
  </si>
  <si>
    <t>Nano Communication Networks</t>
  </si>
  <si>
    <t>Nano Energy</t>
  </si>
  <si>
    <t>NanoEthics</t>
  </si>
  <si>
    <t>Nano Letters</t>
  </si>
  <si>
    <t>Nanomedicine</t>
  </si>
  <si>
    <t>Nanomedicine: Nanotechnology, Biology, and Medicine</t>
  </si>
  <si>
    <t>Nano-Micro Letters</t>
  </si>
  <si>
    <t>Nanopages</t>
  </si>
  <si>
    <t>Nano Research</t>
  </si>
  <si>
    <t>Nanoscale Research Letters</t>
  </si>
  <si>
    <t>Nanoscience and Nanotechnology - Asia</t>
  </si>
  <si>
    <t>Nanoscience and Nanotechnology Letters</t>
  </si>
  <si>
    <t>NanoScience and Technology</t>
  </si>
  <si>
    <t>Nanotechnologies in Russia</t>
  </si>
  <si>
    <t>Nanotechnology</t>
  </si>
  <si>
    <t>Nanotechnology Law and Business</t>
  </si>
  <si>
    <t>Nanotechnology Perceptions</t>
  </si>
  <si>
    <t>Nanotechnology, Science and Applications</t>
  </si>
  <si>
    <t>Nano Today</t>
  </si>
  <si>
    <t>Nanotoxicology</t>
  </si>
  <si>
    <t>Narodna Umjetnost</t>
  </si>
  <si>
    <t>Narrative</t>
  </si>
  <si>
    <t>Narrative Inquiry</t>
  </si>
  <si>
    <t>Nase More</t>
  </si>
  <si>
    <t>NASN school nurse (Print)</t>
  </si>
  <si>
    <t>NASPA Journal About Women in Higher Education</t>
  </si>
  <si>
    <t>NASSP Bulletin</t>
  </si>
  <si>
    <t>Nation</t>
  </si>
  <si>
    <t>National Academy Science Letters</t>
  </si>
  <si>
    <t>National Bureau of Economic Research bulletin on aging and health</t>
  </si>
  <si>
    <t>National health statistics reports</t>
  </si>
  <si>
    <t>National Identities</t>
  </si>
  <si>
    <t>National Institute Economic Review</t>
  </si>
  <si>
    <t>National Interest</t>
  </si>
  <si>
    <t>Nationalism and Ethnic Politics</t>
  </si>
  <si>
    <t>Nationalities Papers</t>
  </si>
  <si>
    <t>National Journal of Andrology</t>
  </si>
  <si>
    <t>National Medical Journal of India</t>
  </si>
  <si>
    <t>National Radio Science Conference, NRSC, Proceedings</t>
  </si>
  <si>
    <t>National Toxicology Program genetically modified model report</t>
  </si>
  <si>
    <t>National Toxicology Program technical report series</t>
  </si>
  <si>
    <t>National vital statistics reports : from the Centers for Disease Control and Prevention, National Center for Health Statistics, National Vital Statistics System</t>
  </si>
  <si>
    <t>Nations and Nationalism</t>
  </si>
  <si>
    <t>NAT Nordic Studies on Alcohol and Drugs</t>
  </si>
  <si>
    <t>NATO Science for Peace and Security Series A: Chemistry and Biology</t>
  </si>
  <si>
    <t>NATO Science for Peace and Security Series B: Physics and Biophysics</t>
  </si>
  <si>
    <t>Natura Croatica</t>
  </si>
  <si>
    <t>Natural Areas Journal</t>
  </si>
  <si>
    <t>Natural Computing</t>
  </si>
  <si>
    <t>Natural Computing Series</t>
  </si>
  <si>
    <t>Natural Hazards</t>
  </si>
  <si>
    <t>Natural Hazards and Earth System Science</t>
  </si>
  <si>
    <t>Natural Hazards Review</t>
  </si>
  <si>
    <t>Natural History</t>
  </si>
  <si>
    <t>Natural Language and Linguistic Theory</t>
  </si>
  <si>
    <t>Natural Language Engineering</t>
  </si>
  <si>
    <t>Natural Language Semantics</t>
  </si>
  <si>
    <t>Natural Product Communications</t>
  </si>
  <si>
    <t>Natural Product Reports</t>
  </si>
  <si>
    <t>Natural Product Research</t>
  </si>
  <si>
    <t>Natural Product Sciences</t>
  </si>
  <si>
    <t>Natural Resource Modelling</t>
  </si>
  <si>
    <t>Natural Resources Forum</t>
  </si>
  <si>
    <t>Natural Resources Journal</t>
  </si>
  <si>
    <t>Natural Resources Research</t>
  </si>
  <si>
    <t>Nature</t>
  </si>
  <si>
    <t>Nature and Culture</t>
  </si>
  <si>
    <t>Nature and Human Activities</t>
  </si>
  <si>
    <t>Nature and Science of Sleep</t>
  </si>
  <si>
    <t>Nature Biotechnology</t>
  </si>
  <si>
    <t>Nature Cell Biology</t>
  </si>
  <si>
    <t>Nature Chemical Biology</t>
  </si>
  <si>
    <t>Nature Chemistry</t>
  </si>
  <si>
    <t>Nature Climate Change</t>
  </si>
  <si>
    <t>Nature Communications</t>
  </si>
  <si>
    <t>Nature Environment and Pollution Technology</t>
  </si>
  <si>
    <t>Nature Genetics</t>
  </si>
  <si>
    <t>Nature Geoscience</t>
  </si>
  <si>
    <t>Nature Immunology</t>
  </si>
  <si>
    <t>Nature Materials</t>
  </si>
  <si>
    <t>Nature Medicine</t>
  </si>
  <si>
    <t>Nature Methods</t>
  </si>
  <si>
    <t>Nature Nanotechnology</t>
  </si>
  <si>
    <t>Nature Neuroscience</t>
  </si>
  <si>
    <t>Nature Photonics</t>
  </si>
  <si>
    <t>Nature Physics</t>
  </si>
  <si>
    <t>Nature Protocols</t>
  </si>
  <si>
    <t>Nature Reviews Cancer</t>
  </si>
  <si>
    <t>Nature Reviews Cardiology</t>
  </si>
  <si>
    <t>Nature Reviews Clinical Oncology</t>
  </si>
  <si>
    <t>Nature Reviews Drug Discovery</t>
  </si>
  <si>
    <t>Nature Reviews Endocrinology</t>
  </si>
  <si>
    <t>Nature Reviews Gastroenterology and Hepatology</t>
  </si>
  <si>
    <t>Nature Reviews Genetics</t>
  </si>
  <si>
    <t>Nature Reviews Immunology</t>
  </si>
  <si>
    <t>Nature Reviews Microbiology</t>
  </si>
  <si>
    <t>Nature Reviews Molecular Cell Biology</t>
  </si>
  <si>
    <t>Nature Reviews Nephrology</t>
  </si>
  <si>
    <t>Nature Reviews Neurology</t>
  </si>
  <si>
    <t>Nature Reviews Neuroscience</t>
  </si>
  <si>
    <t>Nature reviews. Rheumatology</t>
  </si>
  <si>
    <t>Nature Reviews Urology</t>
  </si>
  <si>
    <t>Natures Sciences Societes</t>
  </si>
  <si>
    <t>Nature Structural and Molecular Biology</t>
  </si>
  <si>
    <t>Natureza a Conservacao</t>
  </si>
  <si>
    <t>Naturschutz und Landschaftsplanung</t>
  </si>
  <si>
    <t>Natur und Recht</t>
  </si>
  <si>
    <t>Naukovyi Visnyk Natsionalnoho Hirnychoho Universytetu</t>
  </si>
  <si>
    <t>Nau Literaria</t>
  </si>
  <si>
    <t>Naunyn-Schmiedeberg's Archives of Pharmacology</t>
  </si>
  <si>
    <t>Nautilus</t>
  </si>
  <si>
    <t>Naval Engineers Journal</t>
  </si>
  <si>
    <t>Naval Research Logistics</t>
  </si>
  <si>
    <t>Navigation, Journal of the Institute of Navigation</t>
  </si>
  <si>
    <t>NBER Macroeconomics Annual</t>
  </si>
  <si>
    <t>NCHS data brief</t>
  </si>
  <si>
    <t>NCSL legisbrief</t>
  </si>
  <si>
    <t>NDT and E International</t>
  </si>
  <si>
    <t>Near Eastern Archaeology</t>
  </si>
  <si>
    <t>Near Surface Geophysics</t>
  </si>
  <si>
    <t>Nebraska nurse</t>
  </si>
  <si>
    <t>Nebraska Symposium on Motivation</t>
  </si>
  <si>
    <t>NEC Technical Journal</t>
  </si>
  <si>
    <t>Nederlandse Letterkunde</t>
  </si>
  <si>
    <t>Nederlands Tijdschrift voor Dermatologie en Venereologie</t>
  </si>
  <si>
    <t>Nederlands Tijdschrift voor Geneeskunde</t>
  </si>
  <si>
    <t>Nederlands Tijdschrift voor Keel- Neus- Oorheelkunde</t>
  </si>
  <si>
    <t>Nederlands Tijdschrift voor Klinische Chemie en Laboratoriumgeneeskunde</t>
  </si>
  <si>
    <t>Nederlands Tijdschrift voor Tandheelkunde</t>
  </si>
  <si>
    <t>Nefrologia : publicacion oficial de la Sociedad Espanola Nefrologia</t>
  </si>
  <si>
    <t>Neftyanoe Khozyaistvo - Oil Industry</t>
  </si>
  <si>
    <t>Negentiende Eeuw</t>
  </si>
  <si>
    <t>Negotiation Journal</t>
  </si>
  <si>
    <t>Neiranji Gongcheng/Chinese Internal Combustion Engine Engineering</t>
  </si>
  <si>
    <t>Neiranji Xuebao/Transactions of CSICE (Chinese Society for Internal Combustion Engines)</t>
  </si>
  <si>
    <t>Nematology</t>
  </si>
  <si>
    <t>Nematropica</t>
  </si>
  <si>
    <t>Neohelicon</t>
  </si>
  <si>
    <t>Neonatal network : NN</t>
  </si>
  <si>
    <t>Neonatal, Paediatric and Child Health Nursing</t>
  </si>
  <si>
    <t>Neonatology</t>
  </si>
  <si>
    <t>Neophilologus</t>
  </si>
  <si>
    <t>Neoplasia</t>
  </si>
  <si>
    <t>Neoplasma</t>
  </si>
  <si>
    <t>NeoReviews</t>
  </si>
  <si>
    <t>Neotropical Biology and Conservation</t>
  </si>
  <si>
    <t>Neotropical Entomology</t>
  </si>
  <si>
    <t>Neotropical Ichthyology</t>
  </si>
  <si>
    <t>Nepalese journal of ophthalmology : a biannual peer-reviewed academic journal of the Nepal Ophthalmic Society : NEPJOPH</t>
  </si>
  <si>
    <t>Nepal Medical College journal : NMCJ</t>
  </si>
  <si>
    <t>Nephrologe</t>
  </si>
  <si>
    <t>Nephrologie et Therapeutique</t>
  </si>
  <si>
    <t>Nephrology</t>
  </si>
  <si>
    <t>Nephrology, Dialysis and Transplantation</t>
  </si>
  <si>
    <t>Nephrology Dialysis Transplantation</t>
  </si>
  <si>
    <t>Nephrology news &amp; issues</t>
  </si>
  <si>
    <t>Nephrology nursing journal : journal of the American Nephrology Nurses' Association</t>
  </si>
  <si>
    <t>Nephron - Clinical Practice</t>
  </si>
  <si>
    <t>Nephron - Experimental Nephrology</t>
  </si>
  <si>
    <t>Nephron - Physiology</t>
  </si>
  <si>
    <t>Nephro-Urology Monthly</t>
  </si>
  <si>
    <t>Nervenheilkunde</t>
  </si>
  <si>
    <t>Netherlands Heart Journal</t>
  </si>
  <si>
    <t>Netherlands Journal of Critical Care</t>
  </si>
  <si>
    <t>Netherlands Journal of Medicine</t>
  </si>
  <si>
    <t>Netherlands Quarterly of Human Rights</t>
  </si>
  <si>
    <t>NETNOMICS: Economic Research and Electronic Networking</t>
  </si>
  <si>
    <t>Network: Computation in Neural Systems</t>
  </si>
  <si>
    <t>Networks</t>
  </si>
  <si>
    <t>Networks and Heterogeneous Media</t>
  </si>
  <si>
    <t>Networks and Spatial Economics</t>
  </si>
  <si>
    <t>Neuere Medizin- und Wissenschaftsgeschichte</t>
  </si>
  <si>
    <t>Neue Rundschau</t>
  </si>
  <si>
    <t>Neues Jahrbuch fur Geologie und Palaontologie - Abhandlungen</t>
  </si>
  <si>
    <t>Neues Jahrbuch fur Mineralogie, Abhandlungen</t>
  </si>
  <si>
    <t>Neue Zeitschrift fur Musik</t>
  </si>
  <si>
    <t>Neue Zeitschrift fur Systematische Theologie und Religionsphilosophie</t>
  </si>
  <si>
    <t>Neuphilologische Mitteilungen</t>
  </si>
  <si>
    <t>Neural Computation</t>
  </si>
  <si>
    <t>Neural Computing and Applications</t>
  </si>
  <si>
    <t>Neural Development</t>
  </si>
  <si>
    <t>Neural Networks</t>
  </si>
  <si>
    <t>Neural Network World</t>
  </si>
  <si>
    <t>Neural, Parallel and Scientific Computations</t>
  </si>
  <si>
    <t>Neural Plasticity</t>
  </si>
  <si>
    <t>Neural Processing Letters</t>
  </si>
  <si>
    <t>Neural Regeneration Research</t>
  </si>
  <si>
    <t>Neuroanatomy</t>
  </si>
  <si>
    <t>Neurobehavioral HIV Medicine</t>
  </si>
  <si>
    <t>Neurobiology of Aging</t>
  </si>
  <si>
    <t>Neurobiology of Disease</t>
  </si>
  <si>
    <t>Neurobiology of Learning and Memory</t>
  </si>
  <si>
    <t>Neurocase</t>
  </si>
  <si>
    <t>Neurochemical Journal</t>
  </si>
  <si>
    <t>Neurochemical Research</t>
  </si>
  <si>
    <t>Neurochemistry International</t>
  </si>
  <si>
    <t>Neurochirurgie</t>
  </si>
  <si>
    <t>Neurocirugia</t>
  </si>
  <si>
    <t>Neurocomputing</t>
  </si>
  <si>
    <t>Neurocritical Care</t>
  </si>
  <si>
    <t>Neurodegenerative Diseases</t>
  </si>
  <si>
    <t>Neurodiagnostic journal,The</t>
  </si>
  <si>
    <t>Neuroendocrinology</t>
  </si>
  <si>
    <t>Neuroendocrinology Letters</t>
  </si>
  <si>
    <t>Neuroepidemiology</t>
  </si>
  <si>
    <t>Neuroethics</t>
  </si>
  <si>
    <t>Neuroforum</t>
  </si>
  <si>
    <t>Neurogastroenterology and Motility</t>
  </si>
  <si>
    <t>Neurogenetics</t>
  </si>
  <si>
    <t>NeuroImage</t>
  </si>
  <si>
    <t>NeuroImage: Clinical</t>
  </si>
  <si>
    <t>Neuroimaging Clinics of North America</t>
  </si>
  <si>
    <t>NeuroImmunoModulation</t>
  </si>
  <si>
    <t>Neuroinformatics</t>
  </si>
  <si>
    <t>Neurologia</t>
  </si>
  <si>
    <t>Neurologia Argentina</t>
  </si>
  <si>
    <t>Neurologia Croatica</t>
  </si>
  <si>
    <t>Neurologia i Neurochirurgia Polska</t>
  </si>
  <si>
    <t>Neurologia Medico-Chirurgica</t>
  </si>
  <si>
    <t>Neurologia-Neurocirugia Psiquiatria</t>
  </si>
  <si>
    <t>Neurological Research</t>
  </si>
  <si>
    <t>Neurological Sciences</t>
  </si>
  <si>
    <t>Neurological Surgery</t>
  </si>
  <si>
    <t>Neurologic Clinics</t>
  </si>
  <si>
    <t>Neurologie und Rehabilitation</t>
  </si>
  <si>
    <t>Neurologist</t>
  </si>
  <si>
    <t>Neurology</t>
  </si>
  <si>
    <t>Neurology Asia</t>
  </si>
  <si>
    <t>Neurology India</t>
  </si>
  <si>
    <t>Neurology International</t>
  </si>
  <si>
    <t>Neurology Psychiatry and Brain Research</t>
  </si>
  <si>
    <t>Neurology Research International</t>
  </si>
  <si>
    <t>Neuromethods</t>
  </si>
  <si>
    <t>Neuromodulation</t>
  </si>
  <si>
    <t>NeuroMolecular Medicine</t>
  </si>
  <si>
    <t>Neuromuscular Disorders</t>
  </si>
  <si>
    <t>Neuron</t>
  </si>
  <si>
    <t>Neuron Glia Biology</t>
  </si>
  <si>
    <t>Neuro-Oncology</t>
  </si>
  <si>
    <t>Neuro-Ophthalmology</t>
  </si>
  <si>
    <t>Neuro-Ophthalmology Japan</t>
  </si>
  <si>
    <t>Neuropathology</t>
  </si>
  <si>
    <t>Neuropathology and Applied Neurobiology</t>
  </si>
  <si>
    <t>Neuropediatrics</t>
  </si>
  <si>
    <t>Neuropeptides</t>
  </si>
  <si>
    <t>Neuropharmacology</t>
  </si>
  <si>
    <t>Neurophysiologie Clinique</t>
  </si>
  <si>
    <t>Neurophysiologie-Labor</t>
  </si>
  <si>
    <t>Neurophysiology</t>
  </si>
  <si>
    <t>Neuropsychiatria i Neuropsychologia</t>
  </si>
  <si>
    <t>Neuropsychiatric Disease and Treatment</t>
  </si>
  <si>
    <t>Neuropsychiatrie</t>
  </si>
  <si>
    <t>Neuropsychiatrie de l'Enfance et de l'Adolescence</t>
  </si>
  <si>
    <t>Neuropsychiatry</t>
  </si>
  <si>
    <t>Neuropsychobiology</t>
  </si>
  <si>
    <t>Neuropsychologia</t>
  </si>
  <si>
    <t>Neuropsychological Rehabilitation</t>
  </si>
  <si>
    <t>Neuropsychology</t>
  </si>
  <si>
    <t>Neuropsychology Review</t>
  </si>
  <si>
    <t>Neuropsychopharmacologia Hungarica</t>
  </si>
  <si>
    <t>Neuropsychopharmacology</t>
  </si>
  <si>
    <t>NeuroQuantology</t>
  </si>
  <si>
    <t>Neuroradiology</t>
  </si>
  <si>
    <t>Neuroradiology Journal</t>
  </si>
  <si>
    <t>NeuroRehabilitation</t>
  </si>
  <si>
    <t>Neurorehabilitation and Neural Repair</t>
  </si>
  <si>
    <t>NeuroReport</t>
  </si>
  <si>
    <t>Neuroscience</t>
  </si>
  <si>
    <t>Neuroscience and Behavioral Physiology</t>
  </si>
  <si>
    <t>Neuroscience and Biobehavioral Reviews</t>
  </si>
  <si>
    <t>Neuroscience Bulletin</t>
  </si>
  <si>
    <t>Neuroscience Letters</t>
  </si>
  <si>
    <t>Neuroscience Research</t>
  </si>
  <si>
    <t>Neurosciences</t>
  </si>
  <si>
    <t>Neuroscientist : a review journal bringing neurobiology, neurology and psychiatry, The</t>
  </si>
  <si>
    <t>Neuro-Signals</t>
  </si>
  <si>
    <t>Neurosurgery</t>
  </si>
  <si>
    <t>Neurosurgery Clinics of North America</t>
  </si>
  <si>
    <t>Neurosurgery Quarterly</t>
  </si>
  <si>
    <t>Neurosurgical Focus</t>
  </si>
  <si>
    <t>Neurosurgical Review</t>
  </si>
  <si>
    <t>Neurotherapeutics</t>
  </si>
  <si>
    <t>Neurotoxicity Research</t>
  </si>
  <si>
    <t>NeuroToxicology</t>
  </si>
  <si>
    <t>Neurotoxicology and Teratology</t>
  </si>
  <si>
    <t>Neurourology and Urodynamics</t>
  </si>
  <si>
    <t>Neutron News</t>
  </si>
  <si>
    <t>New Armenian Medical Journal</t>
  </si>
  <si>
    <t>Armenia</t>
  </si>
  <si>
    <t>New Astronomy</t>
  </si>
  <si>
    <t>New Astronomy Reviews</t>
  </si>
  <si>
    <t>New Biotechnology</t>
  </si>
  <si>
    <t>Newborn and Infant Nursing Reviews</t>
  </si>
  <si>
    <t>New Criminal Law Review</t>
  </si>
  <si>
    <t>New Design</t>
  </si>
  <si>
    <t>New Directions for Child and Adolescent Development</t>
  </si>
  <si>
    <t>New Directions for Evaluation</t>
  </si>
  <si>
    <t>New Directions for Teaching and Learning</t>
  </si>
  <si>
    <t>New directions for youth development</t>
  </si>
  <si>
    <t>New Educational Review</t>
  </si>
  <si>
    <t>New England Journal of Medicine</t>
  </si>
  <si>
    <t>New England Quarterly-A Historical Review of New England Life and Letters</t>
  </si>
  <si>
    <t>New England Review-Middlebury Series</t>
  </si>
  <si>
    <t>New Forests</t>
  </si>
  <si>
    <t>New Generation Computing</t>
  </si>
  <si>
    <t>New Genetics and Society</t>
  </si>
  <si>
    <t>New German Critique</t>
  </si>
  <si>
    <t>New Horizons in Education</t>
  </si>
  <si>
    <t>New Ideas in Psychology</t>
  </si>
  <si>
    <t>New Iraqi Journal of Medicine</t>
  </si>
  <si>
    <t>New Jersey nurse</t>
  </si>
  <si>
    <t>New Journal of Chemistry</t>
  </si>
  <si>
    <t>New Journal of Physics</t>
  </si>
  <si>
    <t>New Left Review</t>
  </si>
  <si>
    <t>New Library World</t>
  </si>
  <si>
    <t>New Literary History</t>
  </si>
  <si>
    <t>New Mathematics and Natural Computation</t>
  </si>
  <si>
    <t>New Media and Society</t>
  </si>
  <si>
    <t>New Medit</t>
  </si>
  <si>
    <t>New Mexico Geology</t>
  </si>
  <si>
    <t>New Mexico Historical Review</t>
  </si>
  <si>
    <t>New Microbiologica</t>
  </si>
  <si>
    <t>New Orleans Review</t>
  </si>
  <si>
    <t>New Perspectives on Turkey</t>
  </si>
  <si>
    <t>New Phytologist</t>
  </si>
  <si>
    <t>New Political Economy</t>
  </si>
  <si>
    <t>New Political Science</t>
  </si>
  <si>
    <t>New Republic</t>
  </si>
  <si>
    <t>New Review of Film and Television Studies</t>
  </si>
  <si>
    <t>New Review of Hypermedia and Multimedia</t>
  </si>
  <si>
    <t>New Review of Information Networking</t>
  </si>
  <si>
    <t>New Scientist</t>
  </si>
  <si>
    <t>Newsletters on Stratigraphy</t>
  </si>
  <si>
    <t>New Solutions: A Journal of Environmental and Occupational Health Policy</t>
  </si>
  <si>
    <t>New South Wales Public Health Bulletin</t>
  </si>
  <si>
    <t>New Technology, Work and Employment</t>
  </si>
  <si>
    <t>New Testament Studies</t>
  </si>
  <si>
    <t>New Theatre Quarterly</t>
  </si>
  <si>
    <t>New Voices in Translation Studies</t>
  </si>
  <si>
    <t>New West Indian Guide/Nieuwe West-Indische Gids (NWIG)</t>
  </si>
  <si>
    <t>New Yorker (New York, N.Y. : 1925)</t>
  </si>
  <si>
    <t>New York Journal of Mathematics</t>
  </si>
  <si>
    <t>New York Review of Books, The</t>
  </si>
  <si>
    <t>New York State Dental Journal</t>
  </si>
  <si>
    <t>New York University Law Review</t>
  </si>
  <si>
    <t>New Zealand Dental Journal</t>
  </si>
  <si>
    <t>New Zealand Economic Papers</t>
  </si>
  <si>
    <t>New Zealand Entomologist</t>
  </si>
  <si>
    <t>New Zealand Geographer</t>
  </si>
  <si>
    <t>New Zealand Journal of Agricultural Research</t>
  </si>
  <si>
    <t>New Zealand Journal of Botany</t>
  </si>
  <si>
    <t>New Zealand Journal of Crop and Horticultural Science</t>
  </si>
  <si>
    <t>New Zealand Journal of Ecology</t>
  </si>
  <si>
    <t>New Zealand Journal of Educational Studies</t>
  </si>
  <si>
    <t>New Zealand Journal of Forestry</t>
  </si>
  <si>
    <t>New Zealand Journal of Forestry Science</t>
  </si>
  <si>
    <t>New Zealand Journal of Geology, and Geophysics</t>
  </si>
  <si>
    <t>New Zealand Journal of History</t>
  </si>
  <si>
    <t>New Zealand Journal of Marine and Freshwater Research</t>
  </si>
  <si>
    <t>New Zealand Journal of Medical Laboratory Science</t>
  </si>
  <si>
    <t>New Zealand Journal of Psychology</t>
  </si>
  <si>
    <t>New Zealand Journal of Zoology</t>
  </si>
  <si>
    <t>New Zealand Medical Journal</t>
  </si>
  <si>
    <t>New Zealand Plant Protection</t>
  </si>
  <si>
    <t>New Zealand Public Health Surveillance Report</t>
  </si>
  <si>
    <t>New Zealand Sociology</t>
  </si>
  <si>
    <t>New Zealand Veterinary Journal</t>
  </si>
  <si>
    <t>Nexus Network Journal</t>
  </si>
  <si>
    <t>NHSA Dialog</t>
  </si>
  <si>
    <t>Nicotine and Tobacco Research</t>
  </si>
  <si>
    <t>Nieren- und Hochdruckkrankheiten</t>
  </si>
  <si>
    <t>Nietzsche-Studien</t>
  </si>
  <si>
    <t>Nigerian Journal of Clinical Practice</t>
  </si>
  <si>
    <t>Nigerian journal of medicine : journal of the National Association of Resident Doctors of Nigeria</t>
  </si>
  <si>
    <t>Nigerian postgraduate medical journal, The</t>
  </si>
  <si>
    <t>Nigerian quarterly journal of hospital medicine</t>
  </si>
  <si>
    <t>Nihon Enerugi Gakkaishi/Journal of the Japan Institute of Energy</t>
  </si>
  <si>
    <t>Nihon ishigaku zasshi. [Journal of Japanese history of medicine]</t>
  </si>
  <si>
    <t>Nihon Kikai Gakkai Ronbunshu, A Hen/Transactions of the Japan Society of Mechanical Engineers, Part A</t>
  </si>
  <si>
    <t>Nihon Kikai Gakkai Ronbunshu, B Hen/Transactions of the Japan Society of Mechanical Engineers, Part B</t>
  </si>
  <si>
    <t>Nihon Naika Gakkai zasshi. The Journal of the Japanese Society of Internal Medicine</t>
  </si>
  <si>
    <t>Nihon Reoroji Gakkaishi</t>
  </si>
  <si>
    <t>Nihon Ringakkai Shi/Journal of the Japanese Forestry Society</t>
  </si>
  <si>
    <t>Nihon Rinsho Meneki Gakkai kaishi = Japanese journal of clinical immunology</t>
  </si>
  <si>
    <t>NII Technical Reports</t>
  </si>
  <si>
    <t>Nineteenth-Century Contexts</t>
  </si>
  <si>
    <t>Nineteenth-Century French Studies</t>
  </si>
  <si>
    <t>Nineteenth-Century Literature</t>
  </si>
  <si>
    <t>Nineteenth Century Music</t>
  </si>
  <si>
    <t>Nineteenth Century Prose</t>
  </si>
  <si>
    <t>Nippon Geka Gakkai zasshi</t>
  </si>
  <si>
    <t>Nippon Hoshasen Gijutsu Gakkai zasshi</t>
  </si>
  <si>
    <t>Nippon Kikai Gakkai Ronbunshu, C Hen/Transactions of the Japan Society of Mechanical Engineers, Part C</t>
  </si>
  <si>
    <t>Nippon Kinzoku Gakkaishi/Journal of the Japan Institute of Metals</t>
  </si>
  <si>
    <t>Nippon koshu eisei zasshi] Japanese journal of public health</t>
  </si>
  <si>
    <t>Nippon rinsho. Japanese journal of clinical medicine</t>
  </si>
  <si>
    <t>Nippon seirigaku zasshi. Journal of the Physiological Society of Japan</t>
  </si>
  <si>
    <t>Nippon Seramikkusu Kyokai Gakujutsu Ronbunshi/Journal of the Ceramic Society of Japan</t>
  </si>
  <si>
    <t>Nippon Shokuhin Kagaku Kogaku Kaishi</t>
  </si>
  <si>
    <t>Nippon Steel Technical Report</t>
  </si>
  <si>
    <t>Nippon Suisan Gakkaishi (Japanese Edition)</t>
  </si>
  <si>
    <t>Nishinihon Journal of Dermatology</t>
  </si>
  <si>
    <t>Nishinihon Journal of Urology</t>
  </si>
  <si>
    <t>NIST Special Publication</t>
  </si>
  <si>
    <t>Nitric Oxide - Biology and Chemistry</t>
  </si>
  <si>
    <t>NIWA Biodiversity Memoirs</t>
  </si>
  <si>
    <t>NJAS - Wageningen Journal of Life Sciences</t>
  </si>
  <si>
    <t>NMR in Biomedicine</t>
  </si>
  <si>
    <t>Nobel Medicus</t>
  </si>
  <si>
    <t>Noise and Health</t>
  </si>
  <si>
    <t>Noise and Vibration Worldwide</t>
  </si>
  <si>
    <t>Noise Control Engineering Journal</t>
  </si>
  <si>
    <t>Nomadic Peoples</t>
  </si>
  <si>
    <t>Nondestructive Testing and Evaluation</t>
  </si>
  <si>
    <t>Nongye Gongcheng Xuebao/Transactions of the Chinese Society of Agricultural Engineering</t>
  </si>
  <si>
    <t>Nongye Jixie Xuebao/Transactions of the Chinese Society of Agricultural Machinery</t>
  </si>
  <si>
    <t>Nonlinear Analysis: Hybrid Systems</t>
  </si>
  <si>
    <t>Nonlinear Analysis: Modelling and Control</t>
  </si>
  <si>
    <t>Nonlinear Analysis: Real World Applications</t>
  </si>
  <si>
    <t>Nonlinear Analysis, Theory, Methods and Applications</t>
  </si>
  <si>
    <t>Nonlinear Biomedical Physics</t>
  </si>
  <si>
    <t>Nonlinear Differential Equations and Applications</t>
  </si>
  <si>
    <t>Nonlinear Dynamics</t>
  </si>
  <si>
    <t>Nonlinear Dynamics and Systems Theory</t>
  </si>
  <si>
    <t>Nonlinear Dynamics, Psychology, and Life Sciences</t>
  </si>
  <si>
    <t>Nonlinearity</t>
  </si>
  <si>
    <t>Nonlinear Optics Quantum Optics</t>
  </si>
  <si>
    <t>Nonlinear Oscillations</t>
  </si>
  <si>
    <t>Nonlinear Processes in Geophysics</t>
  </si>
  <si>
    <t>Nonlinear Studies</t>
  </si>
  <si>
    <t>Nonprofit and Voluntary Sector Quarterly</t>
  </si>
  <si>
    <t>Nonprofit Management &amp; Leadership</t>
  </si>
  <si>
    <t>Nonproliferation Review</t>
  </si>
  <si>
    <t>NORA - Nordic Journal of Feminist and Gender Research</t>
  </si>
  <si>
    <t>Nordia Geographical Publications</t>
  </si>
  <si>
    <t>Nordic Journal of Botany</t>
  </si>
  <si>
    <t>Nordic Journal of English Studies</t>
  </si>
  <si>
    <t>Nordic Journal of International Law</t>
  </si>
  <si>
    <t>Nordic Journal of Linguistics</t>
  </si>
  <si>
    <t>Nordic Journal of Music Therapy</t>
  </si>
  <si>
    <t>Nordic Journal of Psychiatry</t>
  </si>
  <si>
    <t>Nordic Journal of Religion and Society</t>
  </si>
  <si>
    <t>Nordicom Review</t>
  </si>
  <si>
    <t>Nordic Psychology</t>
  </si>
  <si>
    <t>Nordic Pulp and Paper Research Journal</t>
  </si>
  <si>
    <t>Nordic Theatre Studies</t>
  </si>
  <si>
    <t>Noropsikiyatri Arsivi</t>
  </si>
  <si>
    <t>Norsk Antropologisk Tidsskrift</t>
  </si>
  <si>
    <t>Norsk Epidemiologi</t>
  </si>
  <si>
    <t>Norsk Geografisk Tidsskrift</t>
  </si>
  <si>
    <t>Norsk Geologisk Tiddsskrift</t>
  </si>
  <si>
    <t>Norsk Teologisk Tidsskrift</t>
  </si>
  <si>
    <t>North American Actuarial Journal</t>
  </si>
  <si>
    <t>North American Archaeologist</t>
  </si>
  <si>
    <t>North American Fungi</t>
  </si>
  <si>
    <t>North American Journal of Aquaculture</t>
  </si>
  <si>
    <t>North American Journal of Economics and Finance</t>
  </si>
  <si>
    <t>North American Journal of Fisheries Management</t>
  </si>
  <si>
    <t>North American Journal of Psychology</t>
  </si>
  <si>
    <t>North American Review</t>
  </si>
  <si>
    <t>North Carolina Medical Journal</t>
  </si>
  <si>
    <t>North Carolina State University, Dissertation</t>
  </si>
  <si>
    <t>Northeast African Studies</t>
  </si>
  <si>
    <t>Northeastern Naturalist</t>
  </si>
  <si>
    <t>Northeastern University, Dissertation</t>
  </si>
  <si>
    <t>Northern History</t>
  </si>
  <si>
    <t>Northern Journal of Applied Forestry</t>
  </si>
  <si>
    <t>North Korean Review</t>
  </si>
  <si>
    <t>Northwest dentistry</t>
  </si>
  <si>
    <t>Northwestern Geology</t>
  </si>
  <si>
    <t>North-Western Journal of Zoology</t>
  </si>
  <si>
    <t>Northwestern University Law Review</t>
  </si>
  <si>
    <t>Northwest Science</t>
  </si>
  <si>
    <t>Norwegian Archaeological Review</t>
  </si>
  <si>
    <t>Nota Lepidopterologica</t>
  </si>
  <si>
    <t>Notarzt</t>
  </si>
  <si>
    <t>Notes</t>
  </si>
  <si>
    <t>Notes and Queries</t>
  </si>
  <si>
    <t>Notes and Records of the Royal Society of London</t>
  </si>
  <si>
    <t>Notes on Numerical Fluid Mechanics</t>
  </si>
  <si>
    <t>Notfall und Rettungsmedizin</t>
  </si>
  <si>
    <t>Notices of the American Mathematical Society</t>
  </si>
  <si>
    <t>No To Hattatsu</t>
  </si>
  <si>
    <t>Notornis</t>
  </si>
  <si>
    <t>Notre Dame Journal of Formal Logic</t>
  </si>
  <si>
    <t>Notre Dame Law Review</t>
  </si>
  <si>
    <t>Nottingham French Studies</t>
  </si>
  <si>
    <t>Notulae Botanicae Horti Agrobotanici Cluj-Napoca</t>
  </si>
  <si>
    <t>Nous</t>
  </si>
  <si>
    <t>Nous-Supplement: Philosophical Issues</t>
  </si>
  <si>
    <t>Nouvelle Revue Francaise</t>
  </si>
  <si>
    <t>Nouvelles Dermatologiques</t>
  </si>
  <si>
    <t>Nouvelles Questions Feministes</t>
  </si>
  <si>
    <t>Nova Economia</t>
  </si>
  <si>
    <t>Nova Hedwigia</t>
  </si>
  <si>
    <t>Nova Mehanizacija Sumarstva</t>
  </si>
  <si>
    <t>Nova Prisutnost</t>
  </si>
  <si>
    <t>Nova Religio: The Journal of Alternative and Emergent Religions</t>
  </si>
  <si>
    <t>Novel: A Forum on Fiction</t>
  </si>
  <si>
    <t>Novi Sad Journal of Mathematics</t>
  </si>
  <si>
    <t>Novon</t>
  </si>
  <si>
    <t>Novos Estudos CEBRAP</t>
  </si>
  <si>
    <t>Novum Testamentum</t>
  </si>
  <si>
    <t>NOWELE</t>
  </si>
  <si>
    <t>Nowotwory</t>
  </si>
  <si>
    <t>NPG Asia Materials</t>
  </si>
  <si>
    <t>NPG Neurologie - Psychiatrie - Geriatrie</t>
  </si>
  <si>
    <t>NPRA Environmental Conference Papers</t>
  </si>
  <si>
    <t>NPRA National Safety Conference Papers</t>
  </si>
  <si>
    <t>NTM International Journal of History and Ethics of Natural Sciences, Technology and Medicine</t>
  </si>
  <si>
    <t>NTT Technical Review</t>
  </si>
  <si>
    <t>Nuclear Data Sheets</t>
  </si>
  <si>
    <t>Nuclear Engineering and Design</t>
  </si>
  <si>
    <t>Nuclear Engineering and Technology</t>
  </si>
  <si>
    <t>Nuclear Fusion</t>
  </si>
  <si>
    <t>Nuclear Future</t>
  </si>
  <si>
    <t>Nuclear Instruments and Methods in Physics Research, Section A: Accelerators, Spectrometers, Detectors and Associated Equipment</t>
  </si>
  <si>
    <t>Nuclear Instruments and Methods in Physics Research, Section B: Beam Interactions with Materials and Atoms</t>
  </si>
  <si>
    <t>Nuclear Magnetic Resonance</t>
  </si>
  <si>
    <t>Nuclear Medicine and Biology</t>
  </si>
  <si>
    <t>Nuclear Medicine and Molecular Imaging</t>
  </si>
  <si>
    <t>Nuclear Medicine Communications</t>
  </si>
  <si>
    <t>Nuclear Medicine Review</t>
  </si>
  <si>
    <t>Nuclear Physics A</t>
  </si>
  <si>
    <t>Nuclear Physics and Atomic Energy</t>
  </si>
  <si>
    <t>Nuclear Physics B</t>
  </si>
  <si>
    <t>Nuclear Physics B - Proceedings Supplements</t>
  </si>
  <si>
    <t>Nuclear receptor signaling</t>
  </si>
  <si>
    <t>Nuclear Science and Engineering</t>
  </si>
  <si>
    <t>Nuclear Technology</t>
  </si>
  <si>
    <t>Nuclear Technology and Radiation Protection</t>
  </si>
  <si>
    <t>Nucleic Acids Research</t>
  </si>
  <si>
    <t>Nucleic Acid Therapeutics</t>
  </si>
  <si>
    <t>Nucleosides, Nucleotides and Nucleic Acids</t>
  </si>
  <si>
    <t>Nucleus (Austin, Tex.)</t>
  </si>
  <si>
    <t>Nuklearmedizin</t>
  </si>
  <si>
    <t>Nukleonika</t>
  </si>
  <si>
    <t>Numen</t>
  </si>
  <si>
    <t>Numerical Algorithms</t>
  </si>
  <si>
    <t>Numerical Analysis and Applications</t>
  </si>
  <si>
    <t>Numerical Functional Analysis and Optimization</t>
  </si>
  <si>
    <t>Numerical Heat Transfer; Part A: Applications</t>
  </si>
  <si>
    <t>Numerical Heat Transfer, Part B: Fundamentals</t>
  </si>
  <si>
    <t>Numerical Linear Algebra with Applications</t>
  </si>
  <si>
    <t>Numerical Mathematics</t>
  </si>
  <si>
    <t>Numerical Methods for Partial Differential Equations</t>
  </si>
  <si>
    <t>Numerische Mathematik</t>
  </si>
  <si>
    <t>Numismatic Chronicle</t>
  </si>
  <si>
    <t>Nuncius / Istituto e museo di storia della scienza</t>
  </si>
  <si>
    <t>Nuova Rivista Musicale Italiana</t>
  </si>
  <si>
    <t>Nuova Rivista Storica</t>
  </si>
  <si>
    <t>Nuovo Cimento della Societa Italiana di Fisica C</t>
  </si>
  <si>
    <t>Nurse Education in Practice</t>
  </si>
  <si>
    <t>Nurse Education Today</t>
  </si>
  <si>
    <t>Nurse Educator</t>
  </si>
  <si>
    <t>Nurse Leader</t>
  </si>
  <si>
    <t>Nurse Practitioner</t>
  </si>
  <si>
    <t>Nurse researcher</t>
  </si>
  <si>
    <t>Nursing</t>
  </si>
  <si>
    <t>Nursing Administration Quarterly</t>
  </si>
  <si>
    <t>Nursing and Health Sciences</t>
  </si>
  <si>
    <t>Nursing children and young people</t>
  </si>
  <si>
    <t>Nursing Clinics of North America</t>
  </si>
  <si>
    <t>Nursing Critical Care</t>
  </si>
  <si>
    <t>Nursing Economics</t>
  </si>
  <si>
    <t>Nursing Education Perspectives</t>
  </si>
  <si>
    <t>Nursing Ethics</t>
  </si>
  <si>
    <t>Nursing Forum</t>
  </si>
  <si>
    <t>Nursing for Women's Health</t>
  </si>
  <si>
    <t>Nursing History Review</t>
  </si>
  <si>
    <t>Nursing in critical care</t>
  </si>
  <si>
    <t>Nursing Inquiry</t>
  </si>
  <si>
    <t>Nursing journal of India, The</t>
  </si>
  <si>
    <t>Nursing law's Regan report</t>
  </si>
  <si>
    <t>Nursing leadership (Toronto, Ont.)</t>
  </si>
  <si>
    <t>Nursing Made Incredibly Easy</t>
  </si>
  <si>
    <t>Nursing management</t>
  </si>
  <si>
    <t>Nursing New Zealand (Wellington, N.Z. : 1995)</t>
  </si>
  <si>
    <t>Nursing Outlook</t>
  </si>
  <si>
    <t>Nursing Philosophy</t>
  </si>
  <si>
    <t>Nursing praxis in New Zealand inc</t>
  </si>
  <si>
    <t>Nursing Research</t>
  </si>
  <si>
    <t>Nursing Science Quarterly</t>
  </si>
  <si>
    <t>Nursing standard (Royal College of Nursing (Great Britain) : 1987)</t>
  </si>
  <si>
    <t>Nursing times</t>
  </si>
  <si>
    <t>Nutricion Clinica y Dietetica Hospitalaria</t>
  </si>
  <si>
    <t>Nutricion Hospitalaria</t>
  </si>
  <si>
    <t>Nutrient Cycling in Agroecosystems</t>
  </si>
  <si>
    <t>Nutrients</t>
  </si>
  <si>
    <t>Nutrition</t>
  </si>
  <si>
    <t>Nutritional Neuroscience</t>
  </si>
  <si>
    <t>Nutritional Therapy and Metabolism</t>
  </si>
  <si>
    <t>Nutrition and Cancer</t>
  </si>
  <si>
    <t>Nutrition and Dietetics</t>
  </si>
  <si>
    <t>Nutrition and Food Science</t>
  </si>
  <si>
    <t>Nutrition and Health</t>
  </si>
  <si>
    <t>Nutrition and Metabolism</t>
  </si>
  <si>
    <t>Nutrition Bulletin</t>
  </si>
  <si>
    <t>Nutrition Clinique et Metabolisme</t>
  </si>
  <si>
    <t>Nutrition in Clinical Practice</t>
  </si>
  <si>
    <t>Nutrition Journal</t>
  </si>
  <si>
    <t>Nutrition, Metabolism and Cardiovascular Diseases</t>
  </si>
  <si>
    <t>Nutrition Research</t>
  </si>
  <si>
    <t>Nutrition Research and Practice</t>
  </si>
  <si>
    <t>Nutrition Research Reviews</t>
  </si>
  <si>
    <t>Nutrition Reviews</t>
  </si>
  <si>
    <t>Nutrition Today</t>
  </si>
  <si>
    <t>Nuytsia</t>
  </si>
  <si>
    <t>Obere Extremitat</t>
  </si>
  <si>
    <t>Obesite</t>
  </si>
  <si>
    <t>Obesity</t>
  </si>
  <si>
    <t>Obesity Facts</t>
  </si>
  <si>
    <t>Obesity Research and Clinical Practice</t>
  </si>
  <si>
    <t>Obesity Reviews</t>
  </si>
  <si>
    <t>Obesity Surgery</t>
  </si>
  <si>
    <t>Obnovljeni Zivot</t>
  </si>
  <si>
    <t>Obradoiro de Historia Moderna</t>
  </si>
  <si>
    <t>Observatorio</t>
  </si>
  <si>
    <t>Observatory</t>
  </si>
  <si>
    <t>Obstetrical and Gynecological Survey</t>
  </si>
  <si>
    <t>Obstetrica si Ginecologie</t>
  </si>
  <si>
    <t>Obstetrics and Gynaecology Forum</t>
  </si>
  <si>
    <t>Obstetrics and Gynecology</t>
  </si>
  <si>
    <t>Obstetrics and Gynecology Clinics of North America</t>
  </si>
  <si>
    <t>Obstetrics, Gynaecology and Reproductive Medicine</t>
  </si>
  <si>
    <t>Occasional Paper of the Canadian Wildlife Service</t>
  </si>
  <si>
    <t>Occupational and Environmental Medicine</t>
  </si>
  <si>
    <t>Occupational Ergonomics</t>
  </si>
  <si>
    <t>Occupational Health and Safety</t>
  </si>
  <si>
    <t>Occupational Medicine</t>
  </si>
  <si>
    <t>Occupational Therapy in Health Care</t>
  </si>
  <si>
    <t>Occupational Therapy in Mental Health</t>
  </si>
  <si>
    <t>Occupational Therapy International</t>
  </si>
  <si>
    <t>Occupational Therapy Now</t>
  </si>
  <si>
    <t>Ocean and Coastal Management</t>
  </si>
  <si>
    <t>Ocean and Polar Research</t>
  </si>
  <si>
    <t>Ocean Development and International Law</t>
  </si>
  <si>
    <t>Ocean Dynamics</t>
  </si>
  <si>
    <t>Ocean Engineering</t>
  </si>
  <si>
    <t>Oceania</t>
  </si>
  <si>
    <t>Oceanic Linguistics</t>
  </si>
  <si>
    <t>Ocean Modelling</t>
  </si>
  <si>
    <t>Oceanography</t>
  </si>
  <si>
    <t>Oceanography and Marine Biology</t>
  </si>
  <si>
    <t>Oceanologia</t>
  </si>
  <si>
    <t>Oceanological and Hydrobiological Studies</t>
  </si>
  <si>
    <t>Oceanology</t>
  </si>
  <si>
    <t>Ocean Science</t>
  </si>
  <si>
    <t>Ocean Science Journal</t>
  </si>
  <si>
    <t>Oceanus</t>
  </si>
  <si>
    <t>Ochrona Srodowiska</t>
  </si>
  <si>
    <t>Ochsner Journal</t>
  </si>
  <si>
    <t>OCLC Systems and Services</t>
  </si>
  <si>
    <t>OCL - Oleagineux Corps Gras Lipides</t>
  </si>
  <si>
    <t>OCNOS</t>
  </si>
  <si>
    <t>October</t>
  </si>
  <si>
    <t>Ocular Immunology and Inflammation</t>
  </si>
  <si>
    <t>Ocular Surface</t>
  </si>
  <si>
    <t>Odgojne znanosti/Educational Sciences</t>
  </si>
  <si>
    <t>Odonatologica</t>
  </si>
  <si>
    <t>Odontology / the Society of the Nippon Dental University</t>
  </si>
  <si>
    <t>Odonto-stomatologie tropicale = Tropical dental journal</t>
  </si>
  <si>
    <t>OECD observer. Organisation for Economic Co-operation and Development, The</t>
  </si>
  <si>
    <t>Oecologia</t>
  </si>
  <si>
    <t>Oecologia Australis</t>
  </si>
  <si>
    <t>Oeil</t>
  </si>
  <si>
    <t>Official Publication - EuroSDR</t>
  </si>
  <si>
    <t>Offshore</t>
  </si>
  <si>
    <t>Ofioliti</t>
  </si>
  <si>
    <t>Oftalmologia (Bucharest, Romania : 1990)</t>
  </si>
  <si>
    <t>Ohio history / Ohio Historical Society</t>
  </si>
  <si>
    <t>Ohio Journal of Sciences</t>
  </si>
  <si>
    <t>Ohio nurses review</t>
  </si>
  <si>
    <t>OIE Revue Scientifique et Technique</t>
  </si>
  <si>
    <t>Oikos</t>
  </si>
  <si>
    <t>Oil and Gas Science and Technology</t>
  </si>
  <si>
    <t>Oilfield Chemistry</t>
  </si>
  <si>
    <t>Oilfield Review</t>
  </si>
  <si>
    <t>Oil Shale</t>
  </si>
  <si>
    <t>Okajimas Folia Anatomica Japonica</t>
  </si>
  <si>
    <t>Oklahoma nurse, The</t>
  </si>
  <si>
    <t>Oklahoma State University, Dissertation</t>
  </si>
  <si>
    <t>Old Dominion University, Dissertation</t>
  </si>
  <si>
    <t>Olhydraulik und Penumatik</t>
  </si>
  <si>
    <t>Oman Medical Journal</t>
  </si>
  <si>
    <t>Omega</t>
  </si>
  <si>
    <t>Omega: Journal of Death and Dying</t>
  </si>
  <si>
    <t>OMICS A Journal of Integrative Biology</t>
  </si>
  <si>
    <t>O Mundo da Saude</t>
  </si>
  <si>
    <t>Oncogene</t>
  </si>
  <si>
    <t>Oncogenesis</t>
  </si>
  <si>
    <t>Oncologie</t>
  </si>
  <si>
    <t>Oncologist</t>
  </si>
  <si>
    <t>Oncology</t>
  </si>
  <si>
    <t>Oncology Letters</t>
  </si>
  <si>
    <t>Oncology Nursing Forum</t>
  </si>
  <si>
    <t>Oncology Report</t>
  </si>
  <si>
    <t>Oncology Reports</t>
  </si>
  <si>
    <t>Oncology Research</t>
  </si>
  <si>
    <t>Oncology Reviews</t>
  </si>
  <si>
    <t>Oncotarget</t>
  </si>
  <si>
    <t>OncoTargets and Therapy</t>
  </si>
  <si>
    <t>Onderstepoort Journal of Veterinary Research</t>
  </si>
  <si>
    <t>Ondokuz Mayis Universitesi Tip Dergisi</t>
  </si>
  <si>
    <t>Onkologe</t>
  </si>
  <si>
    <t>Onkologia i Radioterapia</t>
  </si>
  <si>
    <t>Onkologia Polska</t>
  </si>
  <si>
    <t>Onkologie</t>
  </si>
  <si>
    <t>Online Brazilian Journal of Nursing</t>
  </si>
  <si>
    <t>Online Information Review</t>
  </si>
  <si>
    <t>OnLine Journal of Biological Sciences</t>
  </si>
  <si>
    <t>Online Journal of Health and Allied Sciences</t>
  </si>
  <si>
    <t>Online Journal of Issues in Nursing</t>
  </si>
  <si>
    <t>Online Journal of Nursing Informatics</t>
  </si>
  <si>
    <t>Onomazein</t>
  </si>
  <si>
    <t>ONS connect</t>
  </si>
  <si>
    <t>Ons Geestelijk Erf</t>
  </si>
  <si>
    <t>Ontario Health Technology Assessment Series</t>
  </si>
  <si>
    <t>On the Horizon</t>
  </si>
  <si>
    <t>Ontogenez</t>
  </si>
  <si>
    <t>Opcion</t>
  </si>
  <si>
    <t>Open Access Emergency Medicine</t>
  </si>
  <si>
    <t>Open Access Journal of Clinical Trials</t>
  </si>
  <si>
    <t>Open Access Journal of Urology</t>
  </si>
  <si>
    <t>Open Access Rheumatology: Research and Reviews</t>
  </si>
  <si>
    <t>Open AIDS Journal</t>
  </si>
  <si>
    <t>Open Allergy Journal</t>
  </si>
  <si>
    <t>Open Anesthesiology Journal</t>
  </si>
  <si>
    <t>Open Applied Mathematics Journal</t>
  </si>
  <si>
    <t>Open Arthritis Journal</t>
  </si>
  <si>
    <t>Open Autoimmunity Journal</t>
  </si>
  <si>
    <t>Open Automation and Control Systems Journal</t>
  </si>
  <si>
    <t>Open Biology</t>
  </si>
  <si>
    <t>Open Biomarkers Journal</t>
  </si>
  <si>
    <t>Open Biomedical Engineering Journal</t>
  </si>
  <si>
    <t>Open Biotechnology Journal</t>
  </si>
  <si>
    <t>Open Cancer Immunology Journal</t>
  </si>
  <si>
    <t>Open Cancer Journal</t>
  </si>
  <si>
    <t>Open Cardiovascular Medicine Journal</t>
  </si>
  <si>
    <t>Open Catalysis Journal</t>
  </si>
  <si>
    <t>Open Chemical and Biomedical Methods Journal</t>
  </si>
  <si>
    <t>Open Chemical Engineering Journal</t>
  </si>
  <si>
    <t>Open Civil Engineering Journal</t>
  </si>
  <si>
    <t>Open Clinical Cancer Journal</t>
  </si>
  <si>
    <t>Open Clinical Chemistry Journal</t>
  </si>
  <si>
    <t>Open Construction and Building Technology Journal</t>
  </si>
  <si>
    <t>Open Critical Care Medicine Journal</t>
  </si>
  <si>
    <t>Open Cybernetics and Systemics Journal</t>
  </si>
  <si>
    <t>Open Dentistry Journal</t>
  </si>
  <si>
    <t>Open Dermatology Journal</t>
  </si>
  <si>
    <t>Open Diabetes Journal</t>
  </si>
  <si>
    <t>Open Drug Metabolism Journal</t>
  </si>
  <si>
    <t>Open Ecology Journal</t>
  </si>
  <si>
    <t>Open Economices Review</t>
  </si>
  <si>
    <t>Open Electrical and Electronic Engineering Journal</t>
  </si>
  <si>
    <t>Open Enzyme Inhibition Journal</t>
  </si>
  <si>
    <t>Open Fuels and Energy Science Journal</t>
  </si>
  <si>
    <t>Open Gene Therapy Journal</t>
  </si>
  <si>
    <t>Open Genomics Journal</t>
  </si>
  <si>
    <t>Open Glycoscience</t>
  </si>
  <si>
    <t>Open Hematology Journal</t>
  </si>
  <si>
    <t>Open House International</t>
  </si>
  <si>
    <t>Open Hypertension Journal</t>
  </si>
  <si>
    <t>Open Immunology Journal</t>
  </si>
  <si>
    <t>Open Infectious Diseases Journal</t>
  </si>
  <si>
    <t>Open Learning</t>
  </si>
  <si>
    <t>Open Materials Science Journal</t>
  </si>
  <si>
    <t>Open Mathematics Journal</t>
  </si>
  <si>
    <t>Open Mechanical Engineering Journal</t>
  </si>
  <si>
    <t>Open Mechanics Journal</t>
  </si>
  <si>
    <t>Open Medical Devices Journal</t>
  </si>
  <si>
    <t>Open Medicinal Chemistry Journal</t>
  </si>
  <si>
    <t>Open Medicine</t>
  </si>
  <si>
    <t>Open Neurology Journal</t>
  </si>
  <si>
    <t>Open Neuropsychopharmacology Journal</t>
  </si>
  <si>
    <t>Open Neuroscience Journal</t>
  </si>
  <si>
    <t>Open Ornithology Journal</t>
  </si>
  <si>
    <t>Open Pain Journal</t>
  </si>
  <si>
    <t>Open Petroleum Engineering Journal</t>
  </si>
  <si>
    <t>Open Pharmacology Journal</t>
  </si>
  <si>
    <t>Open Proteomics Journal</t>
  </si>
  <si>
    <t>Open Respiratory Medicine Journal</t>
  </si>
  <si>
    <t>Open Rheumatology Journal</t>
  </si>
  <si>
    <t>Open Signal Processing Journal</t>
  </si>
  <si>
    <t>Open Spine Journal</t>
  </si>
  <si>
    <t>Open Surgical Oncology Journal</t>
  </si>
  <si>
    <t>Open Systems and Information Dynamics</t>
  </si>
  <si>
    <t>Open Tissue Engineering and Regenerative Medicine Journal</t>
  </si>
  <si>
    <t>Open Toxicology Journal</t>
  </si>
  <si>
    <t>Open Toxinology Journal</t>
  </si>
  <si>
    <t>Open Translational Medicine Journal</t>
  </si>
  <si>
    <t>Open Transportation Journal</t>
  </si>
  <si>
    <t>Open Transport Phenomena Journal</t>
  </si>
  <si>
    <t>Open Tropical Medicine Journal</t>
  </si>
  <si>
    <t>Open Vaccine Journal</t>
  </si>
  <si>
    <t>Open Women's Health Journal</t>
  </si>
  <si>
    <t>Opera</t>
  </si>
  <si>
    <t>Opera Quarterly</t>
  </si>
  <si>
    <t>Operational Research</t>
  </si>
  <si>
    <t>Operations Management Research</t>
  </si>
  <si>
    <t>Operations Research</t>
  </si>
  <si>
    <t>Operations Research/ Computer Science Interfaces Series</t>
  </si>
  <si>
    <t>Operations Research for Health Care</t>
  </si>
  <si>
    <t>Operations Research Letters</t>
  </si>
  <si>
    <t>Operations-Research-Spektrum</t>
  </si>
  <si>
    <t>Operative Dentistry</t>
  </si>
  <si>
    <t>Operative Orthopadie und Traumatologie</t>
  </si>
  <si>
    <t>Operative Techniques in Orthopaedics</t>
  </si>
  <si>
    <t>Operative Techniques in Otolaryngology - Head and Neck Surgery</t>
  </si>
  <si>
    <t>Operative Techniques in Sports Medicine</t>
  </si>
  <si>
    <t>Operative Techniques in Thoracic and Cardiovascular Surgery</t>
  </si>
  <si>
    <t>Operators and Matrices</t>
  </si>
  <si>
    <t>Ophthalmic and Physiological Optics</t>
  </si>
  <si>
    <t>Ophthalmic Epidemiology</t>
  </si>
  <si>
    <t>Ophthalmic Genetics</t>
  </si>
  <si>
    <t>Ophthalmic Plastic and Reconstructive Surgery</t>
  </si>
  <si>
    <t>Ophthalmic Research</t>
  </si>
  <si>
    <t>Ophthalmic Surgery Lasers and Imaging</t>
  </si>
  <si>
    <t>Ophthalmologica. Journal international d'ophtalmologie. International journal of ophthalmology. Zeitschrift fur Augenheilkunde</t>
  </si>
  <si>
    <t>Ophthalmology</t>
  </si>
  <si>
    <t>Ophthalmology in China</t>
  </si>
  <si>
    <t>Opiniao Publica</t>
  </si>
  <si>
    <t>OPSEARCH</t>
  </si>
  <si>
    <t>Optica Applicata</t>
  </si>
  <si>
    <t>Optical and Quantum Electronics</t>
  </si>
  <si>
    <t>Optical Engineering</t>
  </si>
  <si>
    <t>Optical Fiber Technology</t>
  </si>
  <si>
    <t>Optical Materials</t>
  </si>
  <si>
    <t>Optical Materials Express</t>
  </si>
  <si>
    <t>Optical Memory and Neural Networks (Information Optics)</t>
  </si>
  <si>
    <t>Optical Review</t>
  </si>
  <si>
    <t>Optical Switching and Networking</t>
  </si>
  <si>
    <t>Optica Pura y Aplicada</t>
  </si>
  <si>
    <t>Optics and Lasers in Engineering</t>
  </si>
  <si>
    <t>Optics and Laser Technology</t>
  </si>
  <si>
    <t>Optics and Spectroscopy (English translation of Optika i Spektroskopiya)</t>
  </si>
  <si>
    <t>Optics Communications</t>
  </si>
  <si>
    <t>Optics Express</t>
  </si>
  <si>
    <t>Optics Letters</t>
  </si>
  <si>
    <t>Optik</t>
  </si>
  <si>
    <t>Optimal Control Applications and Methods</t>
  </si>
  <si>
    <t>Optimization</t>
  </si>
  <si>
    <t>Optimization and Engineering</t>
  </si>
  <si>
    <t>Optimization Letters</t>
  </si>
  <si>
    <t>Optimization Methods and Software</t>
  </si>
  <si>
    <t>Option/Bio</t>
  </si>
  <si>
    <t>Optoelectronics and Advanced Materials, Rapid Communications</t>
  </si>
  <si>
    <t>Optoelectronics, Instrumentation and Data Processing (English translation of Avtometriya)</t>
  </si>
  <si>
    <t>Optoelectronics Letters</t>
  </si>
  <si>
    <t>Opto-electronics Review</t>
  </si>
  <si>
    <t>Optometry</t>
  </si>
  <si>
    <t>Optometry and Vision Science</t>
  </si>
  <si>
    <t>Opuscula Mathematica</t>
  </si>
  <si>
    <t>Oral and Maxillofacial Surgery</t>
  </si>
  <si>
    <t>Oral and Maxillofacial Surgery Clinics of North America</t>
  </si>
  <si>
    <t>Oral Diseases</t>
  </si>
  <si>
    <t>Oral health and dental management</t>
  </si>
  <si>
    <t>Oral health &amp; preventive dentistry</t>
  </si>
  <si>
    <t>Oral History Review</t>
  </si>
  <si>
    <t>Oralia</t>
  </si>
  <si>
    <t>Oral Oncology</t>
  </si>
  <si>
    <t>Oralprophylaxe und Kinderzahnheilkunde</t>
  </si>
  <si>
    <t>Oral Radiology</t>
  </si>
  <si>
    <t>Oral Science International</t>
  </si>
  <si>
    <t>Oral Surgery, Oral Medicine, Oral Pathology and Oral Radiology</t>
  </si>
  <si>
    <t>Oral Therapeutics and Pharmacology</t>
  </si>
  <si>
    <t>Orbis</t>
  </si>
  <si>
    <t>Orbis Litterarum</t>
  </si>
  <si>
    <t>Orbit</t>
  </si>
  <si>
    <t>Order</t>
  </si>
  <si>
    <t>Ore Geology Reviews</t>
  </si>
  <si>
    <t>Oregon Historical Quarterly</t>
  </si>
  <si>
    <t>Oregon nurse, The</t>
  </si>
  <si>
    <t>Oregon State University, Dissertation</t>
  </si>
  <si>
    <t>Organic and Biomolecular Chemistry</t>
  </si>
  <si>
    <t>Organic Communications</t>
  </si>
  <si>
    <t>Organic Electronics: physics, materials, applications</t>
  </si>
  <si>
    <t>Organic Geochemistry</t>
  </si>
  <si>
    <t>Organic Letters</t>
  </si>
  <si>
    <t>Organic Preparations and Procedures International</t>
  </si>
  <si>
    <t>Organic Process Research and Development</t>
  </si>
  <si>
    <t>Organic Reactions</t>
  </si>
  <si>
    <t>Organisation Management Journal</t>
  </si>
  <si>
    <t>Organised Sound</t>
  </si>
  <si>
    <t>Organisms Diversity and Evolution</t>
  </si>
  <si>
    <t>Organization</t>
  </si>
  <si>
    <t>Organizational Behavior and Human Decision Processes</t>
  </si>
  <si>
    <t>Organizational Dynamics</t>
  </si>
  <si>
    <t>Organizational Research Methods</t>
  </si>
  <si>
    <t>Organization and Environment</t>
  </si>
  <si>
    <t>Organization Development Journal</t>
  </si>
  <si>
    <t>Organization Science</t>
  </si>
  <si>
    <t>Organization Studies</t>
  </si>
  <si>
    <t>Organogenesis</t>
  </si>
  <si>
    <t>Organometallics</t>
  </si>
  <si>
    <t>Organon F</t>
  </si>
  <si>
    <t>Orientalia Christiana Periodica</t>
  </si>
  <si>
    <t>Oriental Insects</t>
  </si>
  <si>
    <t>Oriental Journal of Chemistry</t>
  </si>
  <si>
    <t>Orientation Scolaire et Professionnelle</t>
  </si>
  <si>
    <t>Origins of Life and Evolution of the Biosphere</t>
  </si>
  <si>
    <t>ORL-head and neck nursing : official journal of the Society of Otorhinolaryngology and Head-Neck Nurses</t>
  </si>
  <si>
    <t>ORL; journal for oto-rhino-laryngology and its related specialties</t>
  </si>
  <si>
    <t>OR manager</t>
  </si>
  <si>
    <t>Ornis Fennica</t>
  </si>
  <si>
    <t>Ornis Norvegica</t>
  </si>
  <si>
    <t>Ornis Svecica</t>
  </si>
  <si>
    <t>Ornithological Monographs</t>
  </si>
  <si>
    <t>Ornithological Science</t>
  </si>
  <si>
    <t>Ornithologische Beobachter</t>
  </si>
  <si>
    <t>Ornitologia Colombiana</t>
  </si>
  <si>
    <t>Ornitologia Neotropical</t>
  </si>
  <si>
    <t>Orphanet Journal of Rare Diseases</t>
  </si>
  <si>
    <t>Orthodontics and Craniofacial Research</t>
  </si>
  <si>
    <t>Orthodontics : the art and practice of dentofacial enhancement</t>
  </si>
  <si>
    <t>Orthodontic Waves</t>
  </si>
  <si>
    <t>Ortho Magazine</t>
  </si>
  <si>
    <t>Orthopaedic Nursing</t>
  </si>
  <si>
    <t>Orthopaedics and Trauma</t>
  </si>
  <si>
    <t>Orthopaedics and Traumatology: Surgery and Research</t>
  </si>
  <si>
    <t>Orthopaedic surgery</t>
  </si>
  <si>
    <t>Orthopedic Clinics of North America</t>
  </si>
  <si>
    <t>Orthopedics</t>
  </si>
  <si>
    <t>Ortopedia Traumatologia Rehabilitacja</t>
  </si>
  <si>
    <t>Orvosi Hetilap</t>
  </si>
  <si>
    <t>Orvoskepzes</t>
  </si>
  <si>
    <t>Orvostorteneti kozlemenyek</t>
  </si>
  <si>
    <t>Oryx</t>
  </si>
  <si>
    <t>Osaka City Medical Journal</t>
  </si>
  <si>
    <t>Osaka Journal of Mathematics</t>
  </si>
  <si>
    <t>Osiris</t>
  </si>
  <si>
    <t>Osler Library newsletter</t>
  </si>
  <si>
    <t>Osteoarthritis and Cartilage</t>
  </si>
  <si>
    <t>Osteologicky Bulletin</t>
  </si>
  <si>
    <t>Osteologie</t>
  </si>
  <si>
    <t>Osteopathic Family Physician</t>
  </si>
  <si>
    <t>Osteopathische Medizin</t>
  </si>
  <si>
    <t>Osteopatia Cientifica</t>
  </si>
  <si>
    <t>Osteoporosis International</t>
  </si>
  <si>
    <t>Osterreichische Musikzeitschrift</t>
  </si>
  <si>
    <t>Osterreichische Wasser- und Abfallwirtschaft</t>
  </si>
  <si>
    <t>Osterreichische Zeitschrift fur Geschichtswissenschaften</t>
  </si>
  <si>
    <t>Osterreichische Zeitschrift fur Politikwissenschaft</t>
  </si>
  <si>
    <t>Osterreichische Zeitschrift fur Volkskunde</t>
  </si>
  <si>
    <t>Osteuropa</t>
  </si>
  <si>
    <t>Ostomy Wound Management</t>
  </si>
  <si>
    <t>Ostrich</t>
  </si>
  <si>
    <t>OTJR Occupation, Participation and Health</t>
  </si>
  <si>
    <t>Otolaryngologia Polska</t>
  </si>
  <si>
    <t>Otolaryngologic Clinics of North America</t>
  </si>
  <si>
    <t>Otolaryngology - Head and Neck Surgery</t>
  </si>
  <si>
    <t>Otolaryngology - Head and Neck Surgery (Tokyo)</t>
  </si>
  <si>
    <t>Otology and Neurotology</t>
  </si>
  <si>
    <t>Otorhinolaryngologist</t>
  </si>
  <si>
    <t>Otorhinolaryngology Clinics</t>
  </si>
  <si>
    <t>Oto-Rhino-Laryngology Tokyo</t>
  </si>
  <si>
    <t>Otorinolaringologia</t>
  </si>
  <si>
    <t>Otorinolaryngologie a Foniatrie</t>
  </si>
  <si>
    <t>OT Practice</t>
  </si>
  <si>
    <t>Oud Holland</t>
  </si>
  <si>
    <t>Outlook on Agriculture</t>
  </si>
  <si>
    <t>Outlooks on Pest Management</t>
  </si>
  <si>
    <t>Overland</t>
  </si>
  <si>
    <t>Oxford Art Journal</t>
  </si>
  <si>
    <t>Oxford Bulletin of Economics and Statistics</t>
  </si>
  <si>
    <t>Oxford Development Studies</t>
  </si>
  <si>
    <t>Oxford Economic Papers</t>
  </si>
  <si>
    <t>Oxford German Studies</t>
  </si>
  <si>
    <t>Oxford Journal of Archaeology</t>
  </si>
  <si>
    <t>Oxford Journal of Legal Studies</t>
  </si>
  <si>
    <t>Oxford Literary Review</t>
  </si>
  <si>
    <t>Oxford Review of Economic Policy</t>
  </si>
  <si>
    <t>Oxford Review of Education</t>
  </si>
  <si>
    <t>Oxidation Communications</t>
  </si>
  <si>
    <t>Oxidation of Metals</t>
  </si>
  <si>
    <t>Oxidative Medicine and Cellular Longevity</t>
  </si>
  <si>
    <t>Oxymag</t>
  </si>
  <si>
    <t>Ozone: Science and Engineering</t>
  </si>
  <si>
    <t>PACE - Pacing and Clinical Electrophysiology</t>
  </si>
  <si>
    <t>Pachyderm</t>
  </si>
  <si>
    <t>Pacific Affairs</t>
  </si>
  <si>
    <t>Pacific Basin Finance Journal</t>
  </si>
  <si>
    <t>Pacific Conservation Biology</t>
  </si>
  <si>
    <t>Pacific Economic Review</t>
  </si>
  <si>
    <t>Pacific Focus</t>
  </si>
  <si>
    <t>Pacific health dialog : a publication of the Pacific Basin Officers Training Program and the Fiji School of Medicine</t>
  </si>
  <si>
    <t>Pacific Historical Review</t>
  </si>
  <si>
    <t>Pacific Journalism Review</t>
  </si>
  <si>
    <t>Pacific Journal of Mathematics</t>
  </si>
  <si>
    <t>Pacific Journal of Optimization</t>
  </si>
  <si>
    <t>Pacific Northwest Quarterly</t>
  </si>
  <si>
    <t>Pacific Philosophical Quarterly</t>
  </si>
  <si>
    <t>Pacific Review</t>
  </si>
  <si>
    <t>Pacific Rim Property Research Journal</t>
  </si>
  <si>
    <t>Pacific Science</t>
  </si>
  <si>
    <t>Packaging Technology and Science</t>
  </si>
  <si>
    <t>Packaging, Transport, Storage and Security of Radioactive Material</t>
  </si>
  <si>
    <t>Paddy and Water Environment</t>
  </si>
  <si>
    <t>Padiatrische Praxis</t>
  </si>
  <si>
    <t>Paedagogica Historica</t>
  </si>
  <si>
    <t>Paediatria Croatica</t>
  </si>
  <si>
    <t>Paediatria Croatica, Supplement</t>
  </si>
  <si>
    <t>Paediatric Anaesthesia</t>
  </si>
  <si>
    <t>Paediatric and Perinatal Epidemiology</t>
  </si>
  <si>
    <t>Paediatric Drugs</t>
  </si>
  <si>
    <t>Paediatric Respiratory Reviews</t>
  </si>
  <si>
    <t>Paediatrics and Child Health</t>
  </si>
  <si>
    <t>Paediatrics and Child Health (United Kingdom)</t>
  </si>
  <si>
    <t>Paideia</t>
  </si>
  <si>
    <t>Paideuma</t>
  </si>
  <si>
    <t>Paiguan Jixie Gongcheng Xuebao/Journal of Drainage and Irrigation Machinery Engineering</t>
  </si>
  <si>
    <t>Pain</t>
  </si>
  <si>
    <t>Pain Management Nursing</t>
  </si>
  <si>
    <t>Pain Medicine</t>
  </si>
  <si>
    <t>Pain Physician</t>
  </si>
  <si>
    <t>Pain Practice</t>
  </si>
  <si>
    <t>Pain Research and Management</t>
  </si>
  <si>
    <t>Pain Research and Treatment</t>
  </si>
  <si>
    <t>Paint and Coatings Industry</t>
  </si>
  <si>
    <t>Paint and Resin Times</t>
  </si>
  <si>
    <t>PAJ - Journal of Performance and Art</t>
  </si>
  <si>
    <t>Pakistan Journal of Agricultural Sciences</t>
  </si>
  <si>
    <t>Pakistan Journal of Biological Sciences</t>
  </si>
  <si>
    <t>Pakistan Journal of Biotechnology</t>
  </si>
  <si>
    <t>Pakistan Journal of Botany</t>
  </si>
  <si>
    <t>Pakistan Journal of Library and Information Science</t>
  </si>
  <si>
    <t>Pakistan Journal of Medical and Health Sciences</t>
  </si>
  <si>
    <t>Pakistan Journal of Medical Sciences</t>
  </si>
  <si>
    <t>Pakistan Journal of Nutrition</t>
  </si>
  <si>
    <t>Pakistan Journal of Pharmaceutical Sciences</t>
  </si>
  <si>
    <t>Pakistan Journal of Scientific and Industrial Research</t>
  </si>
  <si>
    <t>Pakistan Journal of Statistics</t>
  </si>
  <si>
    <t>Pakistan Journal of Statistics and Operation Research</t>
  </si>
  <si>
    <t>Pakistan Journal of Zoology</t>
  </si>
  <si>
    <t>Pakistan Paediatric Journal</t>
  </si>
  <si>
    <t>Pakistan Veterinary Journal</t>
  </si>
  <si>
    <t>Palabra Clave</t>
  </si>
  <si>
    <t>Palaeobiodiversity and Palaeoenvironments</t>
  </si>
  <si>
    <t>Palaeogeography, Palaeoclimatology, Palaeoecology</t>
  </si>
  <si>
    <t>Palaeontographica, Abteilung A: Palaozoologie - Stratigraphie</t>
  </si>
  <si>
    <t>Palaeontographica Abteilung B: Palaeophytologie</t>
  </si>
  <si>
    <t>Palaeontologia Electronica</t>
  </si>
  <si>
    <t>Palaeontologia Polonica</t>
  </si>
  <si>
    <t>Palaeontology</t>
  </si>
  <si>
    <t>Palaeoworld</t>
  </si>
  <si>
    <t>Palaios</t>
  </si>
  <si>
    <t>Palaontologische Zeitschrift</t>
  </si>
  <si>
    <t>PalArch's Journal of Vertebrate Palaeontology</t>
  </si>
  <si>
    <t>Paleobiology</t>
  </si>
  <si>
    <t>Paleoceanography</t>
  </si>
  <si>
    <t>Paleontological Journal</t>
  </si>
  <si>
    <t>Paleontological Research</t>
  </si>
  <si>
    <t>Palestine Exploration Quarterly</t>
  </si>
  <si>
    <t>Palliative and Supportive Care</t>
  </si>
  <si>
    <t>Palliative Medicine</t>
  </si>
  <si>
    <t>Palpu Chongi Gisul/Journal of Korea Technical Association of the Pulp and Paper Industry</t>
  </si>
  <si>
    <t>Palynology</t>
  </si>
  <si>
    <t>Pamatky Archeologicke</t>
  </si>
  <si>
    <t>Pamietnik Literacki</t>
  </si>
  <si>
    <t>Panacea</t>
  </si>
  <si>
    <t>Pan-American Journal of Aquatic Sciences</t>
  </si>
  <si>
    <t>Panamerican Mathematical Journal</t>
  </si>
  <si>
    <t>Pan Arab Journal of Neurosurgery</t>
  </si>
  <si>
    <t>Pancreas</t>
  </si>
  <si>
    <t>Pancreatology</t>
  </si>
  <si>
    <t>P and T</t>
  </si>
  <si>
    <t>Panminerva Medica</t>
  </si>
  <si>
    <t>Panoeconomicus</t>
  </si>
  <si>
    <t>Pan-Pacific Entomologist</t>
  </si>
  <si>
    <t>Papeis Avulsos de Zoologia</t>
  </si>
  <si>
    <t>Papeles del Psicologo</t>
  </si>
  <si>
    <t>Papeles de Poblacion</t>
  </si>
  <si>
    <t>Papers in Meteorology and Geophysics</t>
  </si>
  <si>
    <t>Papers in Regional Science</t>
  </si>
  <si>
    <t>Papers of the Bibliographical Society of America</t>
  </si>
  <si>
    <t>Papers of the British School at Rome</t>
  </si>
  <si>
    <t>Papers on French Seventeenth Century Literature</t>
  </si>
  <si>
    <t>Papers on Language and Literature</t>
  </si>
  <si>
    <t>Papers: Revista de sociologia</t>
  </si>
  <si>
    <t>Parabola</t>
  </si>
  <si>
    <t>Paragraph</t>
  </si>
  <si>
    <t>Parallax</t>
  </si>
  <si>
    <t>Parallel and Distributed Computing, Applications and Technologies, PDCAT Proceedings</t>
  </si>
  <si>
    <t>Parallel Architectures and Compilation Techniques - Conference Proceedings, PACT</t>
  </si>
  <si>
    <t>Parallel Computing</t>
  </si>
  <si>
    <t>Parallel Processing Letters</t>
  </si>
  <si>
    <t>Parasite</t>
  </si>
  <si>
    <t>Parasite Immunology</t>
  </si>
  <si>
    <t>Parasites and Vectors</t>
  </si>
  <si>
    <t>Parasitology</t>
  </si>
  <si>
    <t>Parasitology International</t>
  </si>
  <si>
    <t>Parasitology Research</t>
  </si>
  <si>
    <t>Parazitologiia</t>
  </si>
  <si>
    <t>Parenting</t>
  </si>
  <si>
    <t>Parergon</t>
  </si>
  <si>
    <t>Parish Nurse Perspectives</t>
  </si>
  <si>
    <t>Paris Review</t>
  </si>
  <si>
    <t>Parkinsonism and Related Disorders</t>
  </si>
  <si>
    <t>Park Science</t>
  </si>
  <si>
    <t>Parlement[s]</t>
  </si>
  <si>
    <t>Parliamentary Affairs</t>
  </si>
  <si>
    <t>Parliamentary History</t>
  </si>
  <si>
    <t>Parliaments, Estates and Representation</t>
  </si>
  <si>
    <t>Parnassus</t>
  </si>
  <si>
    <t>Parola del Passato</t>
  </si>
  <si>
    <t>Partial Answers</t>
  </si>
  <si>
    <t>Particle and Fibre Toxicology</t>
  </si>
  <si>
    <t>Particle and Particle Systems Characterization</t>
  </si>
  <si>
    <t>Particulate Science and Technology</t>
  </si>
  <si>
    <t>Particuology</t>
  </si>
  <si>
    <t>Party Politics</t>
  </si>
  <si>
    <t>Past and Present</t>
  </si>
  <si>
    <t>Pastoral Psychology</t>
  </si>
  <si>
    <t>Pathobiology</t>
  </si>
  <si>
    <t>Pathogens and Global Health</t>
  </si>
  <si>
    <t>Pathologica</t>
  </si>
  <si>
    <t>Pathologie Biologie</t>
  </si>
  <si>
    <t>Pathology</t>
  </si>
  <si>
    <t>Pathology Case Reviews</t>
  </si>
  <si>
    <t>Pathology International</t>
  </si>
  <si>
    <t>Pathology Oncology Research</t>
  </si>
  <si>
    <t>Pathology Research and Practice</t>
  </si>
  <si>
    <t>Pathology Research International</t>
  </si>
  <si>
    <t>Pathophysiology</t>
  </si>
  <si>
    <t>Patient</t>
  </si>
  <si>
    <t>Patient Education and Counseling</t>
  </si>
  <si>
    <t>Patient Preference and Adherence</t>
  </si>
  <si>
    <t>Patient Safety in Surgery</t>
  </si>
  <si>
    <t>Patologicheskaya Fiziologiya i Eksperimentalnaya Terapiya</t>
  </si>
  <si>
    <t>Pattern Analysis and Applications</t>
  </si>
  <si>
    <t>Pattern Recognition</t>
  </si>
  <si>
    <t>Pattern Recognition and Image Analysis</t>
  </si>
  <si>
    <t>Pattern Recognition Letters</t>
  </si>
  <si>
    <t>Patterns of Prejudice</t>
  </si>
  <si>
    <t>PCI Journal</t>
  </si>
  <si>
    <t>PDA Journal of Pharmaceutical Science and Technology</t>
  </si>
  <si>
    <t>Peabody Journal of Education</t>
  </si>
  <si>
    <t>Peace and Conflict</t>
  </si>
  <si>
    <t>Peace and Conflict Studies</t>
  </si>
  <si>
    <t>Peace Economics, Peace Science and Public Policy</t>
  </si>
  <si>
    <t>Peace Review</t>
  </si>
  <si>
    <t>Pedagogies</t>
  </si>
  <si>
    <t>Pedagogika</t>
  </si>
  <si>
    <t>Pedagogische Studien</t>
  </si>
  <si>
    <t>Pedagogy, Culture &amp; Society</t>
  </si>
  <si>
    <t>Pediatria Catalana</t>
  </si>
  <si>
    <t>Pediatria de Atencion Primaria</t>
  </si>
  <si>
    <t>Pediatria i Medycyna Rodzinna</t>
  </si>
  <si>
    <t>Pediatria Integral</t>
  </si>
  <si>
    <t>Pediatria Medica e Chirurgica</t>
  </si>
  <si>
    <t>Pediatria Polska</t>
  </si>
  <si>
    <t>Pediatria Wspolczesna</t>
  </si>
  <si>
    <t>Pediatric Allergy and Immunology</t>
  </si>
  <si>
    <t>Pediatric, Allergy, Immunology, and Pulmonology</t>
  </si>
  <si>
    <t>Pediatric and Adolescent Medicine</t>
  </si>
  <si>
    <t>Pediatric and Developmental Pathology</t>
  </si>
  <si>
    <t>Pediatric Annals</t>
  </si>
  <si>
    <t>Pediatric Blood and Cancer</t>
  </si>
  <si>
    <t>Pediatric Cardiac Surgery Annual</t>
  </si>
  <si>
    <t>Pediatric Cardiology</t>
  </si>
  <si>
    <t>Pediatric Clinics of North America</t>
  </si>
  <si>
    <t>Pediatric Critical Care Medicine</t>
  </si>
  <si>
    <t>Pediatric Dentistry</t>
  </si>
  <si>
    <t>Pediatric Dermatology</t>
  </si>
  <si>
    <t>Pediatric Diabetes</t>
  </si>
  <si>
    <t>Pediatric Emergency Care</t>
  </si>
  <si>
    <t>Pediatric Endocrinology Reviews</t>
  </si>
  <si>
    <t>Pediatric Exercise Science</t>
  </si>
  <si>
    <t>Pediatric Hematology and Oncology</t>
  </si>
  <si>
    <t>Pediatric Infectious Disease Journal</t>
  </si>
  <si>
    <t>Pediatric Nephrology</t>
  </si>
  <si>
    <t>Pediatric Neurology</t>
  </si>
  <si>
    <t>Pediatric Neurosurgery</t>
  </si>
  <si>
    <t>Pediatric nursing</t>
  </si>
  <si>
    <t>Pediatric obesity</t>
  </si>
  <si>
    <t>Pediatric Physical Therapy</t>
  </si>
  <si>
    <t>Pediatric Pulmonology</t>
  </si>
  <si>
    <t>Pediatric Radiology</t>
  </si>
  <si>
    <t>Pediatric Research</t>
  </si>
  <si>
    <t>Pediatric Rheumatology</t>
  </si>
  <si>
    <t>Pediatrics</t>
  </si>
  <si>
    <t>Pediatrics and Neonatology</t>
  </si>
  <si>
    <t>Pediatrics in Review</t>
  </si>
  <si>
    <t>Pediatrics International</t>
  </si>
  <si>
    <t>Pediatric Surgery International</t>
  </si>
  <si>
    <t>Pediatric Transplantation</t>
  </si>
  <si>
    <t>Pediatrie pro Praxi</t>
  </si>
  <si>
    <t>Pediatriya</t>
  </si>
  <si>
    <t>Pedobiologia</t>
  </si>
  <si>
    <t>Pedosphere</t>
  </si>
  <si>
    <t>Peer-to-Peer Networking and Applications</t>
  </si>
  <si>
    <t>Pelvi-perineologie</t>
  </si>
  <si>
    <t>Penn dental journal, The</t>
  </si>
  <si>
    <t>Penn State Environmental Law Review</t>
  </si>
  <si>
    <t>Pennsylvania dental journal</t>
  </si>
  <si>
    <t>Pennsylvania Geographer</t>
  </si>
  <si>
    <t>Pennsylvania History</t>
  </si>
  <si>
    <t>Pennsylvania Magazine of History and Biography</t>
  </si>
  <si>
    <t>Pennsylvania nurse, The</t>
  </si>
  <si>
    <t>Pensamiento</t>
  </si>
  <si>
    <t>Pensee</t>
  </si>
  <si>
    <t>Pensee Plurielle</t>
  </si>
  <si>
    <t>Pensions</t>
  </si>
  <si>
    <t>Peptides</t>
  </si>
  <si>
    <t>Perception</t>
  </si>
  <si>
    <t>Perceptual and Motor Skills</t>
  </si>
  <si>
    <t>Perfiles Educativos</t>
  </si>
  <si>
    <t>Perfiles Latinoamericanos</t>
  </si>
  <si>
    <t>Performance Apparel Markets</t>
  </si>
  <si>
    <t>Performance Enhancement and Health</t>
  </si>
  <si>
    <t>Performance Evaluation</t>
  </si>
  <si>
    <t>Performance Evaluation Review</t>
  </si>
  <si>
    <t>Performance Improvement Quarterly</t>
  </si>
  <si>
    <t>Performance Measurement and Metrics</t>
  </si>
  <si>
    <t>Performance Research</t>
  </si>
  <si>
    <t>Perfusion</t>
  </si>
  <si>
    <t>Pergamon Materials Series</t>
  </si>
  <si>
    <t>Perichoresis</t>
  </si>
  <si>
    <t>Perinatology</t>
  </si>
  <si>
    <t>Periodica Mathematica Hungarica</t>
  </si>
  <si>
    <t>Periodica Polytechnica: Chemical Engineering</t>
  </si>
  <si>
    <t>Periodica Polytechnica: Civil Engineering</t>
  </si>
  <si>
    <t>Periodica Polytechnica, Mechanical Engineering</t>
  </si>
  <si>
    <t>Periodica Polytechnica, Social and Management Sciences</t>
  </si>
  <si>
    <t>Periodica Polytechnica Transportation Engineering</t>
  </si>
  <si>
    <t>Periodico di Mineralogia</t>
  </si>
  <si>
    <t>Periodico Tche Quimica</t>
  </si>
  <si>
    <t>Periodicum Biologorum</t>
  </si>
  <si>
    <t>Periodontology 2000</t>
  </si>
  <si>
    <t>Perioperative Nursing Clinics</t>
  </si>
  <si>
    <t>Peritoneal Dialysis International</t>
  </si>
  <si>
    <t>Permafrost and Periglacial Processes</t>
  </si>
  <si>
    <t>Personal and Ubiquitous Computing</t>
  </si>
  <si>
    <t>Personality and Individual Differences</t>
  </si>
  <si>
    <t>Personality and Mental Health</t>
  </si>
  <si>
    <t>Personality and Social Psychology Bulletin</t>
  </si>
  <si>
    <t>Personality and Social Psychology Review</t>
  </si>
  <si>
    <t>Personality Disorders: Theory, Research, and Treatment</t>
  </si>
  <si>
    <t>Personalized Medicine</t>
  </si>
  <si>
    <t>Personal Relationships</t>
  </si>
  <si>
    <t>Personnel Psychology</t>
  </si>
  <si>
    <t>Personnel Review</t>
  </si>
  <si>
    <t>Persoonia</t>
  </si>
  <si>
    <t>Perspectivas em Ciencia da Informacao</t>
  </si>
  <si>
    <t>Perspective infirmiere : revue officielle de l'Ordre des infirmieres et infirmiers du Quebec</t>
  </si>
  <si>
    <t>Perspectives</t>
  </si>
  <si>
    <t>Perspectives in Biology and Medicine</t>
  </si>
  <si>
    <t>Perspectives in Education</t>
  </si>
  <si>
    <t>Perspectives in health information management / AHIMA, American Health Information Management Association</t>
  </si>
  <si>
    <t>Perspectives in Medicinal Chemistry</t>
  </si>
  <si>
    <t>Perspectives in Medicine</t>
  </si>
  <si>
    <t>Perspectives in Plant Ecology, Evolution and Systematics</t>
  </si>
  <si>
    <t>Perspectives in Psychiatric Care</t>
  </si>
  <si>
    <t>Perspectives in Public Health</t>
  </si>
  <si>
    <t>Perspectives in Vaccinology</t>
  </si>
  <si>
    <t>Perspectives in Vascular Surgery and Endovascular Therapy</t>
  </si>
  <si>
    <t>Perspectives on European Politics and Society</t>
  </si>
  <si>
    <t>Perspectives on Global Development and Technology</t>
  </si>
  <si>
    <t>Perspectives on Labour and Income</t>
  </si>
  <si>
    <t>Perspectives on Political Science</t>
  </si>
  <si>
    <t>Perspectives on Politics</t>
  </si>
  <si>
    <t>Perspectives on Psychological Science</t>
  </si>
  <si>
    <t>Perspectives on Science</t>
  </si>
  <si>
    <t>Perspectives on Sexual and Reproductive Health</t>
  </si>
  <si>
    <t>Perspektiven der Wirtschaftspolitik</t>
  </si>
  <si>
    <t>Pertanika Journal of Science and Technology</t>
  </si>
  <si>
    <t>Pertanika Journal of Social Science and Humanities</t>
  </si>
  <si>
    <t>Pertanika Journal of Tropical Agricultural Science</t>
  </si>
  <si>
    <t>Pervasive and Mobile Computing</t>
  </si>
  <si>
    <t>Pesquisa Agropecuaria Brasileira</t>
  </si>
  <si>
    <t>Pesquisa Agropecuaria Tropical</t>
  </si>
  <si>
    <t>Pesquisa Brasileira em Odontopediatria e Clinica Integrada</t>
  </si>
  <si>
    <t>Pesquisa odontologica brasileira = Brazilian oral research</t>
  </si>
  <si>
    <t>Pesquisa Operacional</t>
  </si>
  <si>
    <t>Pesquisas em Geociencias</t>
  </si>
  <si>
    <t>Pesquisa Veterinaria Brasileira</t>
  </si>
  <si>
    <t>Pesticide Biochemistry and Physiology</t>
  </si>
  <si>
    <t>Pest Management Science</t>
  </si>
  <si>
    <t>Pestology</t>
  </si>
  <si>
    <t>PET Clinics</t>
  </si>
  <si>
    <t>Petroleum and Coal</t>
  </si>
  <si>
    <t>Petroleum Chemistry</t>
  </si>
  <si>
    <t>Petroleum Exploration and Development</t>
  </si>
  <si>
    <t>Petroleum Geoscience</t>
  </si>
  <si>
    <t>Petroleum Refinery Engineering</t>
  </si>
  <si>
    <t>Petroleum Science</t>
  </si>
  <si>
    <t>Petroleum Science and Technology</t>
  </si>
  <si>
    <t>Petroleum Technology Quarterly</t>
  </si>
  <si>
    <t>Petrology</t>
  </si>
  <si>
    <t>Petrophysics</t>
  </si>
  <si>
    <t>Pferdeheilkunde</t>
  </si>
  <si>
    <t>Pflege</t>
  </si>
  <si>
    <t>Pflege Zeitschrift</t>
  </si>
  <si>
    <t>Pflugers Archiv European Journal of Physiology</t>
  </si>
  <si>
    <t>Phainomena</t>
  </si>
  <si>
    <t>Pharmaca</t>
  </si>
  <si>
    <t>Pharmaceutical Biology</t>
  </si>
  <si>
    <t>Pharmaceutical Biotechnology</t>
  </si>
  <si>
    <t>Pharmaceutical Care and Research</t>
  </si>
  <si>
    <t>Pharmaceutical Care Espana</t>
  </si>
  <si>
    <t>Pharmaceutical Chemistry Journal</t>
  </si>
  <si>
    <t>Pharmaceutical Development and Technology</t>
  </si>
  <si>
    <t>Pharmaceutical Engineering</t>
  </si>
  <si>
    <t>Pharmaceutical historian</t>
  </si>
  <si>
    <t>Pharmaceutical Journal</t>
  </si>
  <si>
    <t>Pharmaceutical Medicine</t>
  </si>
  <si>
    <t>Pharmaceutical Outsourcing</t>
  </si>
  <si>
    <t>Pharmaceutical Research</t>
  </si>
  <si>
    <t>Pharmaceutical Reviews</t>
  </si>
  <si>
    <t>Pharmaceuticals</t>
  </si>
  <si>
    <t>Pharmaceutical Sciences</t>
  </si>
  <si>
    <t>Pharmaceuticals Policy and Law</t>
  </si>
  <si>
    <t>Pharmaceutical Statistics</t>
  </si>
  <si>
    <t>Pharmaceutical Technology</t>
  </si>
  <si>
    <t>Pharmaceutical Technology Europe</t>
  </si>
  <si>
    <t>Pharmaceutics</t>
  </si>
  <si>
    <t>Pharmaceutisch Weekblad</t>
  </si>
  <si>
    <t>Pharmacia</t>
  </si>
  <si>
    <t>Pharmacien Hospitalier et Clinicien</t>
  </si>
  <si>
    <t>PharmacoEconomics</t>
  </si>
  <si>
    <t>PharmacoEconomics - German Research Articles</t>
  </si>
  <si>
    <t>PharmacoEconomics - Italian Research Articles</t>
  </si>
  <si>
    <t>Pharmacoeconomics - Spanish Research Articles</t>
  </si>
  <si>
    <t>Pharmacoepidemiology and Drug Safety</t>
  </si>
  <si>
    <t>Pharmacogenetics and Genomics</t>
  </si>
  <si>
    <t>Pharmacogenomics</t>
  </si>
  <si>
    <t>Pharmacogenomics and Personalized Medicine</t>
  </si>
  <si>
    <t>Pharmacogenomics Journal</t>
  </si>
  <si>
    <t>Pharmacognosy Journal</t>
  </si>
  <si>
    <t>Pharmacognosy Magazine</t>
  </si>
  <si>
    <t>Pharmacognosy Research</t>
  </si>
  <si>
    <t>Pharmacognosy Reviews</t>
  </si>
  <si>
    <t>Pharmacological Reports</t>
  </si>
  <si>
    <t>Pharmacological Research</t>
  </si>
  <si>
    <t>Pharmacological Reviews</t>
  </si>
  <si>
    <t>Pharmacology</t>
  </si>
  <si>
    <t>Pharmacology and Therapeutics</t>
  </si>
  <si>
    <t>Pharmacology, Biochemistry and Behavior</t>
  </si>
  <si>
    <t>Pharmacologyonline</t>
  </si>
  <si>
    <t>Pharmacopeial Forum</t>
  </si>
  <si>
    <t>Pharmacopsychiatry</t>
  </si>
  <si>
    <t>Pharmacotherapy</t>
  </si>
  <si>
    <t>PharmacoVigilance Review</t>
  </si>
  <si>
    <t>Pharmacy in history</t>
  </si>
  <si>
    <t>Pharmacy News</t>
  </si>
  <si>
    <t>Pharmacy Practice</t>
  </si>
  <si>
    <t>Pharmakeftiki</t>
  </si>
  <si>
    <t>Pharma-Kritik</t>
  </si>
  <si>
    <t>Pharma Times</t>
  </si>
  <si>
    <t>Pharmazeutische Industrie</t>
  </si>
  <si>
    <t>Pharmazeutische Zeitung</t>
  </si>
  <si>
    <t>Pharmazie in Unserer Zeit</t>
  </si>
  <si>
    <t>Pharmeuropa bio &amp; scientific notes</t>
  </si>
  <si>
    <t>Pharos of Alpha Omega Alpha-Honor Medical Society. Alpha Omega Alpha, The</t>
  </si>
  <si>
    <t>Phase Transitions</t>
  </si>
  <si>
    <t>Phenomenology and the Cognitive Sciences</t>
  </si>
  <si>
    <t>Phi Delta Kappan</t>
  </si>
  <si>
    <t>Philippine Agricultural Scientist</t>
  </si>
  <si>
    <t>Philippine Journal of Nursing</t>
  </si>
  <si>
    <t>Philippine Journal of Science</t>
  </si>
  <si>
    <t>Philippine Journal of Veterinary Medicine</t>
  </si>
  <si>
    <t>Philippine Political Science Journal</t>
  </si>
  <si>
    <t>Philippine Studies: Historical and Ethnographic Viewpoints</t>
  </si>
  <si>
    <t>Phillippine Journal of Internal Medicine</t>
  </si>
  <si>
    <t>Philological Quarterly</t>
  </si>
  <si>
    <t>Philologus</t>
  </si>
  <si>
    <t>Philosophia</t>
  </si>
  <si>
    <t>Philosophia Christi</t>
  </si>
  <si>
    <t>Philosophia Mathematica</t>
  </si>
  <si>
    <t>Philosophia (Philippines)</t>
  </si>
  <si>
    <t>Philosophia Reformata</t>
  </si>
  <si>
    <t>Philosophia Scientiae</t>
  </si>
  <si>
    <t>Philosophica</t>
  </si>
  <si>
    <t>Philosophical Explorations</t>
  </si>
  <si>
    <t>Philosophical Forum, The</t>
  </si>
  <si>
    <t>Philosophical Investigations</t>
  </si>
  <si>
    <t>Philosophical Magazine</t>
  </si>
  <si>
    <t>Philosophical Magazine Letters</t>
  </si>
  <si>
    <t>Philosophical Psychology</t>
  </si>
  <si>
    <t>Philosophical Quarterly</t>
  </si>
  <si>
    <t>Philosophical Review, The</t>
  </si>
  <si>
    <t>Philosophical Studies</t>
  </si>
  <si>
    <t>Philosophical Transactions of the Royal Society A: Mathematical, Physical and Engineering Sciences</t>
  </si>
  <si>
    <t>Philosophical Transactions of the Royal Society B: Biological Sciences</t>
  </si>
  <si>
    <t>Philosophische Rundschau</t>
  </si>
  <si>
    <t>Philosophisches Jahrbuch</t>
  </si>
  <si>
    <t>Philosophy</t>
  </si>
  <si>
    <t>Philosophy and Literature</t>
  </si>
  <si>
    <t>Philosophy and Phenomenological Research</t>
  </si>
  <si>
    <t>Philosophy and Public Affairs</t>
  </si>
  <si>
    <t>Philosophy and Rhetoric</t>
  </si>
  <si>
    <t>Philosophy and Social Criticism</t>
  </si>
  <si>
    <t>Philosophy and Technology</t>
  </si>
  <si>
    <t>Philosophy Compass</t>
  </si>
  <si>
    <t>Philosophy East and West</t>
  </si>
  <si>
    <t>Philosophy, Ethics, and Humanities in Medicine</t>
  </si>
  <si>
    <t>Philosophy of Science</t>
  </si>
  <si>
    <t>Philosophy of the Social Sciences</t>
  </si>
  <si>
    <t>Philosophy, Psychiatry and Psychology</t>
  </si>
  <si>
    <t>Philosophy Today</t>
  </si>
  <si>
    <t>Phlebologie</t>
  </si>
  <si>
    <t>Phlebology</t>
  </si>
  <si>
    <t>Phlebolymphology</t>
  </si>
  <si>
    <t>Phoenix</t>
  </si>
  <si>
    <t>Phonetica</t>
  </si>
  <si>
    <t>Phonology</t>
  </si>
  <si>
    <t>Phosphorus, Sulfur and Silicon and the Related Elements</t>
  </si>
  <si>
    <t>Photochemical and Photobiological Sciences</t>
  </si>
  <si>
    <t>Photochemistry</t>
  </si>
  <si>
    <t>Photochemistry and Photobiology</t>
  </si>
  <si>
    <t>Photodermatology Photoimmunology and Photomedicine</t>
  </si>
  <si>
    <t>Photodiagnosis and Photodynamic Therapy</t>
  </si>
  <si>
    <t>Photogrammetric Engineering and Remote Sensing</t>
  </si>
  <si>
    <t>Photogrammetric Record</t>
  </si>
  <si>
    <t>Photogrammetrie, Fernerkundung, Geoinformation</t>
  </si>
  <si>
    <t>Photographies</t>
  </si>
  <si>
    <t>Photomedicine and Laser Surgery</t>
  </si>
  <si>
    <t>Photonic Network Communications</t>
  </si>
  <si>
    <t>Photonics and Nanostructures - Fundamentals and Applications</t>
  </si>
  <si>
    <t>Photonic Sensors</t>
  </si>
  <si>
    <t>Photonics Letters of Poland</t>
  </si>
  <si>
    <t>Photosynthesis Research</t>
  </si>
  <si>
    <t>Photosynthetica</t>
  </si>
  <si>
    <t>Phronesis</t>
  </si>
  <si>
    <t>Phuket Marine Biological Center Research Bulletin</t>
  </si>
  <si>
    <t>Phycologia</t>
  </si>
  <si>
    <t>Phyllomedusa</t>
  </si>
  <si>
    <t>Physica A: Statistical Mechanics and its Applications</t>
  </si>
  <si>
    <t>Physica B: Condensed Matter</t>
  </si>
  <si>
    <t>Physica C: Superconductivity and its Applications</t>
  </si>
  <si>
    <t>Physica D: Nonlinear Phenomena</t>
  </si>
  <si>
    <t>Physica E: Low-Dimensional Systems and Nanostructures</t>
  </si>
  <si>
    <t>Physical and Chemical News</t>
  </si>
  <si>
    <t>Physical and Occupational Therapy in Geriatrics</t>
  </si>
  <si>
    <t>Physical and Occupational Therapy in Pediatrics</t>
  </si>
  <si>
    <t>Physical Biology</t>
  </si>
  <si>
    <t>Physical Chemistry Chemical Physics</t>
  </si>
  <si>
    <t>Physical Communication</t>
  </si>
  <si>
    <t>Physical Education and Sport Pedagogy</t>
  </si>
  <si>
    <t>Physical Geography</t>
  </si>
  <si>
    <t>Physical Medicine and Rehabilitation Clinics of North America</t>
  </si>
  <si>
    <t>Physical Mesomechanics</t>
  </si>
  <si>
    <t>Physical Oceanography</t>
  </si>
  <si>
    <t>Physical Review A - Atomic, Molecular, and Optical Physics</t>
  </si>
  <si>
    <t>Physical Review B - Condensed Matter and Materials Physics</t>
  </si>
  <si>
    <t>Physical Review C - Nuclear Physics</t>
  </si>
  <si>
    <t>Physical Review D - Particles, Fields, Gravitation and Cosmology</t>
  </si>
  <si>
    <t>Physical Review E - Statistical, Nonlinear, and Soft Matter Physics</t>
  </si>
  <si>
    <t>Physical Review Letters</t>
  </si>
  <si>
    <t>Physical Review Special Topics - Accelerators and Beams</t>
  </si>
  <si>
    <t>Physical Review Special Topics - Physics Education Research</t>
  </si>
  <si>
    <t>Physical Review X</t>
  </si>
  <si>
    <t>Physical Therapy</t>
  </si>
  <si>
    <t>Physical Therapy in Sport</t>
  </si>
  <si>
    <t>Physica Medica</t>
  </si>
  <si>
    <t>Physica Scripta</t>
  </si>
  <si>
    <t>Physica Status Solidi (A) Applications and Materials</t>
  </si>
  <si>
    <t>Physica Status Solidi (B): Basic Research</t>
  </si>
  <si>
    <t>Physica Status Solidi (C) Current Topics in Solid State Physics</t>
  </si>
  <si>
    <t>Physica Status Solidi - Rapid Research Letetrs</t>
  </si>
  <si>
    <t>Physician and Sportsmedicine</t>
  </si>
  <si>
    <t>Physician executive</t>
  </si>
  <si>
    <t>Physicist</t>
  </si>
  <si>
    <t>Physicochemical Problems of Mineral Processing</t>
  </si>
  <si>
    <t>Physics and Chemistry of Glasses: European Journal of Glass Science and Technology Part B</t>
  </si>
  <si>
    <t>Physics and Chemistry of Liquids</t>
  </si>
  <si>
    <t>Physics and Chemistry of Minerals</t>
  </si>
  <si>
    <t>Physics and Chemistry of the Earth</t>
  </si>
  <si>
    <t>Physics Education</t>
  </si>
  <si>
    <t>Physics Essays</t>
  </si>
  <si>
    <t>Physics in Medicine and Biology</t>
  </si>
  <si>
    <t>Physics in Perspective</t>
  </si>
  <si>
    <t>Physics Letters, Section A: General, Atomic and Solid State Physics</t>
  </si>
  <si>
    <t>Physics Letters, Section B: Nuclear, Elementary Particle and High-Energy Physics</t>
  </si>
  <si>
    <t>Physics of Atomic Nuclei</t>
  </si>
  <si>
    <t>Physics of Fluids</t>
  </si>
  <si>
    <t>Physics of Life Reviews</t>
  </si>
  <si>
    <t>Physics of Metals and Metallography</t>
  </si>
  <si>
    <t>Physics of Particles and Nuclei</t>
  </si>
  <si>
    <t>Physics of Particles and Nuclei Letters</t>
  </si>
  <si>
    <t>Physics of Plasmas</t>
  </si>
  <si>
    <t>Physics of the Dark Universe</t>
  </si>
  <si>
    <t>Physics of the Earth and Planetary Interiors</t>
  </si>
  <si>
    <t>Physics of the Solid State</t>
  </si>
  <si>
    <t>Physics Procedia</t>
  </si>
  <si>
    <t>Physics Reports</t>
  </si>
  <si>
    <t>Physics Research International</t>
  </si>
  <si>
    <t>Physics Uspekhi</t>
  </si>
  <si>
    <t>Physikalische Medizin Rehabilitationsmedizin Kurortmedizin</t>
  </si>
  <si>
    <t>Physiologia Plantarum</t>
  </si>
  <si>
    <t>Physiological and Biochemical Zoology</t>
  </si>
  <si>
    <t>Physiological and Molecular Plant Pathology</t>
  </si>
  <si>
    <t>Physiological Chemistry and Physics and Medical NMR</t>
  </si>
  <si>
    <t>Physiological Entomology</t>
  </si>
  <si>
    <t>Physiological Genomics</t>
  </si>
  <si>
    <t>Physiological Measurement</t>
  </si>
  <si>
    <t>Physiological Research</t>
  </si>
  <si>
    <t>Physiological Reviews</t>
  </si>
  <si>
    <t>Physiology</t>
  </si>
  <si>
    <t>Physiology and Behavior</t>
  </si>
  <si>
    <t>Physiology and Molecular Biology of Plants</t>
  </si>
  <si>
    <t>Physiology and Pharmacology</t>
  </si>
  <si>
    <t>Physiotherapy</t>
  </si>
  <si>
    <t>Physiotherapy Canada. Physiotherapie Canada</t>
  </si>
  <si>
    <t>Physiotherapy Research International</t>
  </si>
  <si>
    <t>Physiotherapy Theory and Practice</t>
  </si>
  <si>
    <t>Physis: Revista de Saude Coletiva</t>
  </si>
  <si>
    <t>Phytochemical Analysis</t>
  </si>
  <si>
    <t>Phytochemistry</t>
  </si>
  <si>
    <t>Phytochemistry Letters</t>
  </si>
  <si>
    <t>Phytochemistry Reviews</t>
  </si>
  <si>
    <t>Phytocoenologia</t>
  </si>
  <si>
    <t>Phytomedicine : international journal of phytotherapy and phytopharmacology</t>
  </si>
  <si>
    <t>Phytomorphology: An International Journal of Plant Morphology</t>
  </si>
  <si>
    <t>Phyton</t>
  </si>
  <si>
    <t>Phyton - Annales Rei Botanicae</t>
  </si>
  <si>
    <t>Phytoparasitica</t>
  </si>
  <si>
    <t>Phytopathologia Mediterranea</t>
  </si>
  <si>
    <t>Phytopathology</t>
  </si>
  <si>
    <t>Phytotherapie</t>
  </si>
  <si>
    <t>Phytotherapy Research</t>
  </si>
  <si>
    <t>PIDE Working Papers</t>
  </si>
  <si>
    <t>Piel</t>
  </si>
  <si>
    <t>Pigment and Resin Technology</t>
  </si>
  <si>
    <t>Pigment Cell and Melanoma Research</t>
  </si>
  <si>
    <t>PIK Report</t>
  </si>
  <si>
    <t>Pirineos</t>
  </si>
  <si>
    <t>Pituitary</t>
  </si>
  <si>
    <t>Place Branding and Public Diplomacy</t>
  </si>
  <si>
    <t>Placenta</t>
  </si>
  <si>
    <t>Plains Anthropologist</t>
  </si>
  <si>
    <t>Plainsong and Medieval Music</t>
  </si>
  <si>
    <t>Plan Canada</t>
  </si>
  <si>
    <t>Planetary and Space Science</t>
  </si>
  <si>
    <t>Planet Earth</t>
  </si>
  <si>
    <t>Plankton and Benthos Research</t>
  </si>
  <si>
    <t>Planning</t>
  </si>
  <si>
    <t>Planning Advisory Service Memo</t>
  </si>
  <si>
    <t>Planning and Environmental Law</t>
  </si>
  <si>
    <t>Planning Malaysia</t>
  </si>
  <si>
    <t>Planning Perspectives</t>
  </si>
  <si>
    <t>Planning Practice and Research</t>
  </si>
  <si>
    <t>Planning Theory</t>
  </si>
  <si>
    <t>Planning Theory and Practice</t>
  </si>
  <si>
    <t>Planta</t>
  </si>
  <si>
    <t>Planta Daninha</t>
  </si>
  <si>
    <t>Planta Medica</t>
  </si>
  <si>
    <t>Plant and Cell Physiology</t>
  </si>
  <si>
    <t>Plant and Soil</t>
  </si>
  <si>
    <t>Plant Archives</t>
  </si>
  <si>
    <t>Plant Biology</t>
  </si>
  <si>
    <t>Plant Biosystems</t>
  </si>
  <si>
    <t>Plant Biotechnology</t>
  </si>
  <si>
    <t>Plant Biotechnology Journal</t>
  </si>
  <si>
    <t>Plant Biotechnology Reports</t>
  </si>
  <si>
    <t>Plant Breeding</t>
  </si>
  <si>
    <t>Plant Cell</t>
  </si>
  <si>
    <t>Plant, Cell and Environment</t>
  </si>
  <si>
    <t>Plant Cell Biotechnology and Molecular Biology</t>
  </si>
  <si>
    <t>Plant Cell Reports</t>
  </si>
  <si>
    <t>Plant Cell, Tissue and Organ Culture</t>
  </si>
  <si>
    <t>Plant Disease</t>
  </si>
  <si>
    <t>Plant Ecology</t>
  </si>
  <si>
    <t>Plant Ecology and Diversity</t>
  </si>
  <si>
    <t>Plant Ecology and Evolution</t>
  </si>
  <si>
    <t>Plant Engineer (London)</t>
  </si>
  <si>
    <t>Plant Foods for Human Nutrition</t>
  </si>
  <si>
    <t>Plant Genetic Resources: Characterisation and Utilisation</t>
  </si>
  <si>
    <t>Plant Growth Regulation</t>
  </si>
  <si>
    <t>Plant Journal</t>
  </si>
  <si>
    <t>Plant Methods</t>
  </si>
  <si>
    <t>Plant Molecular Biology</t>
  </si>
  <si>
    <t>Plant Molecular Biology Reporter</t>
  </si>
  <si>
    <t>Plant OMICS</t>
  </si>
  <si>
    <t>Plant Pathology</t>
  </si>
  <si>
    <t>Plant Pathology Journal</t>
  </si>
  <si>
    <t>Plant Physiology</t>
  </si>
  <si>
    <t>Plant Physiology and Biochemistry</t>
  </si>
  <si>
    <t>Plant Production Science</t>
  </si>
  <si>
    <t>Plant Protection Quarterly</t>
  </si>
  <si>
    <t>Plant Protection Science</t>
  </si>
  <si>
    <t>Plant Root</t>
  </si>
  <si>
    <t>Plant Science</t>
  </si>
  <si>
    <t>Plant Signaling and Behavior</t>
  </si>
  <si>
    <t>Plant, Soil and Environment</t>
  </si>
  <si>
    <t>Plant Species Biology</t>
  </si>
  <si>
    <t>Plant Systematics and Evolution</t>
  </si>
  <si>
    <t>Plant Tissue Culture and Biotechnology</t>
  </si>
  <si>
    <t>Plasma and Fusion Research</t>
  </si>
  <si>
    <t>Plasma Chemistry and Plasma Processing</t>
  </si>
  <si>
    <t>Plasma Medicine</t>
  </si>
  <si>
    <t>Plasma Physics and Controlled Fusion</t>
  </si>
  <si>
    <t>Plasma Physics Reports</t>
  </si>
  <si>
    <t>Plasma Processes and Polymers</t>
  </si>
  <si>
    <t>Plasma Science and Technology</t>
  </si>
  <si>
    <t>Plasma Sources Science and Technology</t>
  </si>
  <si>
    <t>Plasmid</t>
  </si>
  <si>
    <t>Plasmonics</t>
  </si>
  <si>
    <t>Plastic and Reconstructive Surgery</t>
  </si>
  <si>
    <t>Plastics Engineering</t>
  </si>
  <si>
    <t>Plastics, Rubber and Composites</t>
  </si>
  <si>
    <t>Plastic Surgical Nursing</t>
  </si>
  <si>
    <t>Platelets</t>
  </si>
  <si>
    <t>Platform</t>
  </si>
  <si>
    <t>Platinum Metals Review</t>
  </si>
  <si>
    <t>PLoS Biology</t>
  </si>
  <si>
    <t>PLoS Computational Biology</t>
  </si>
  <si>
    <t>PLoS Currents</t>
  </si>
  <si>
    <t>PLoS Genetics</t>
  </si>
  <si>
    <t>PLoS Medicine</t>
  </si>
  <si>
    <t>PLoS Neglected Tropical Diseases</t>
  </si>
  <si>
    <t>PLoS One</t>
  </si>
  <si>
    <t>PLoS Pathogens</t>
  </si>
  <si>
    <t>Ploughshares</t>
  </si>
  <si>
    <t>Pluralist</t>
  </si>
  <si>
    <t>PM and R</t>
  </si>
  <si>
    <t>PMLA</t>
  </si>
  <si>
    <t>Pneuma</t>
  </si>
  <si>
    <t>Pneumologe</t>
  </si>
  <si>
    <t>Pneumologia</t>
  </si>
  <si>
    <t>Pneumologie</t>
  </si>
  <si>
    <t>Pneumon</t>
  </si>
  <si>
    <t>Pneumonologia i Alergologia Polska</t>
  </si>
  <si>
    <t>Podravina</t>
  </si>
  <si>
    <t>Poe Studies - Dark Romanticism</t>
  </si>
  <si>
    <t>Poetica</t>
  </si>
  <si>
    <t>Poetics</t>
  </si>
  <si>
    <t>Poetics Today</t>
  </si>
  <si>
    <t>Poetique</t>
  </si>
  <si>
    <t>Poetry</t>
  </si>
  <si>
    <t>Poetry Review</t>
  </si>
  <si>
    <t>Poetry Wales</t>
  </si>
  <si>
    <t>Poiesis und Praxis</t>
  </si>
  <si>
    <t>Point of Care</t>
  </si>
  <si>
    <t>Point Veterinaire</t>
  </si>
  <si>
    <t>Polar Biology</t>
  </si>
  <si>
    <t>Polarforschung</t>
  </si>
  <si>
    <t>Polar Geography</t>
  </si>
  <si>
    <t>PoLAR: Political and Legal Anthropology Review</t>
  </si>
  <si>
    <t>Polar Record</t>
  </si>
  <si>
    <t>Polar Research</t>
  </si>
  <si>
    <t>Polar Science</t>
  </si>
  <si>
    <t>Police Practice and Research</t>
  </si>
  <si>
    <t>Police Quarterly</t>
  </si>
  <si>
    <t>Policing</t>
  </si>
  <si>
    <t>Policing and Society</t>
  </si>
  <si>
    <t>Policlinico - Sezione Medica</t>
  </si>
  <si>
    <t>Policy and Politics</t>
  </si>
  <si>
    <t>Policy and Society</t>
  </si>
  <si>
    <t>Policy brief (UCLA Center for Health Policy Research)</t>
  </si>
  <si>
    <t>Policy Futures in Education</t>
  </si>
  <si>
    <t>Policy, Politics, and Nursing Practice</t>
  </si>
  <si>
    <t>Policy Review</t>
  </si>
  <si>
    <t>Policy Sciences</t>
  </si>
  <si>
    <t>Policy Studies</t>
  </si>
  <si>
    <t>Policy Studies Journal</t>
  </si>
  <si>
    <t>Polimeri</t>
  </si>
  <si>
    <t>Polimeros</t>
  </si>
  <si>
    <t>Polimery</t>
  </si>
  <si>
    <t>Polimery w medycynie</t>
  </si>
  <si>
    <t>Polis</t>
  </si>
  <si>
    <t>Polish Annals of Medicine</t>
  </si>
  <si>
    <t>Polish Botanical Journal</t>
  </si>
  <si>
    <t>Polish Botanical Studies</t>
  </si>
  <si>
    <t>Polish Journal of Chemical Technology</t>
  </si>
  <si>
    <t>Polish Journal of Ecology</t>
  </si>
  <si>
    <t>Polish Journal of Environmental Studies</t>
  </si>
  <si>
    <t>Polish Journal of Food and Nutrition Sciences</t>
  </si>
  <si>
    <t>Polish Journal of Medical Physics and Engineering</t>
  </si>
  <si>
    <t>Polish Journal of Microbiology</t>
  </si>
  <si>
    <t>Polish Journal of Pathology</t>
  </si>
  <si>
    <t>Polish Journal of Radiology</t>
  </si>
  <si>
    <t>Polish Journal of Soil Science</t>
  </si>
  <si>
    <t>Polish Journal of Veterinary Sciences</t>
  </si>
  <si>
    <t>Polish Maritime Research</t>
  </si>
  <si>
    <t>Polish Polar Research</t>
  </si>
  <si>
    <t>Politica Criminal</t>
  </si>
  <si>
    <t>Politica Economica</t>
  </si>
  <si>
    <t>Political Analysis</t>
  </si>
  <si>
    <t>Political Behavior</t>
  </si>
  <si>
    <t>Political Communication</t>
  </si>
  <si>
    <t>Political Geography</t>
  </si>
  <si>
    <t>Political Psychology</t>
  </si>
  <si>
    <t>Political Quarterly</t>
  </si>
  <si>
    <t>Political Research Quarterly</t>
  </si>
  <si>
    <t>Political Science</t>
  </si>
  <si>
    <t>Political Science Quarterly</t>
  </si>
  <si>
    <t>Political Studies</t>
  </si>
  <si>
    <t>Political Studies Review</t>
  </si>
  <si>
    <t>Political Theory</t>
  </si>
  <si>
    <t>Politica y Gobierno</t>
  </si>
  <si>
    <t>Politica y Sociedad</t>
  </si>
  <si>
    <t>Politicka Ekonomie</t>
  </si>
  <si>
    <t>Politics</t>
  </si>
  <si>
    <t>Politics and Policy</t>
  </si>
  <si>
    <t>Politics and Society</t>
  </si>
  <si>
    <t>Politics and the Life Sciences</t>
  </si>
  <si>
    <t>Politics &amp; Gender</t>
  </si>
  <si>
    <t>Politics, Philosophy and Economics</t>
  </si>
  <si>
    <t>Politikon: South African Journal of Political Studies</t>
  </si>
  <si>
    <t>Politische Vierteljahresschrift</t>
  </si>
  <si>
    <t>Politix</t>
  </si>
  <si>
    <t>Politologija</t>
  </si>
  <si>
    <t>Polity</t>
  </si>
  <si>
    <t>Poljoprivreda</t>
  </si>
  <si>
    <t>Pollack Periodica</t>
  </si>
  <si>
    <t>Pollution Atmospherique</t>
  </si>
  <si>
    <t>Pollution Research</t>
  </si>
  <si>
    <t>Polskie Archiwum Medycyny Wewnetrznej</t>
  </si>
  <si>
    <t>Polski Merkuriusz Lekarski</t>
  </si>
  <si>
    <t>Polski Przeglad Chirurgiczny</t>
  </si>
  <si>
    <t>Polski Przeglad Kardiologiczny</t>
  </si>
  <si>
    <t>Polycyclic Aromatic Compounds</t>
  </si>
  <si>
    <t>Polyhedron</t>
  </si>
  <si>
    <t>Polymer</t>
  </si>
  <si>
    <t>Polymer Bulletin</t>
  </si>
  <si>
    <t>Polymer Chemistry</t>
  </si>
  <si>
    <t>Polymer Composites</t>
  </si>
  <si>
    <t>Polymer Degradation and Stability</t>
  </si>
  <si>
    <t>Polymer Engineering and Science</t>
  </si>
  <si>
    <t>Polymer International</t>
  </si>
  <si>
    <t>Polymer Journal</t>
  </si>
  <si>
    <t>Polymer (Korea)</t>
  </si>
  <si>
    <t>Polymer - Plastics Technology and Engineering</t>
  </si>
  <si>
    <t>Polymer Reviews</t>
  </si>
  <si>
    <t>Polymers and Polymer Composites</t>
  </si>
  <si>
    <t>Polymer Science - Series A</t>
  </si>
  <si>
    <t>Polymer Science - Series B</t>
  </si>
  <si>
    <t>Polymer Science - Series C</t>
  </si>
  <si>
    <t>Polymer Science - Series D</t>
  </si>
  <si>
    <t>Polymers for Advanced Technologies</t>
  </si>
  <si>
    <t>Polymers from Renewable Resources</t>
  </si>
  <si>
    <t>Polymer Testing</t>
  </si>
  <si>
    <t>Pomegranate</t>
  </si>
  <si>
    <t>Pomorstvo</t>
  </si>
  <si>
    <t>Ponte</t>
  </si>
  <si>
    <t>Popular Communication</t>
  </si>
  <si>
    <t>Popular Music</t>
  </si>
  <si>
    <t>Popular Music and Society</t>
  </si>
  <si>
    <t>Population</t>
  </si>
  <si>
    <t>Population and Development Review</t>
  </si>
  <si>
    <t>Population and Environment</t>
  </si>
  <si>
    <t>Population Bulletin</t>
  </si>
  <si>
    <t>Population Ecology</t>
  </si>
  <si>
    <t>Population et societes; bulletin mensuel d'informations demographiques, economiques, sociales</t>
  </si>
  <si>
    <t>Population Health Management</t>
  </si>
  <si>
    <t>Population Health Metrics</t>
  </si>
  <si>
    <t>Population Research and Policy Review</t>
  </si>
  <si>
    <t>Population Review</t>
  </si>
  <si>
    <t>Population, Space and Place</t>
  </si>
  <si>
    <t>Population Studies</t>
  </si>
  <si>
    <t>Population Trends</t>
  </si>
  <si>
    <t>Poradnik Jezykowy</t>
  </si>
  <si>
    <t>Porta Linguarum</t>
  </si>
  <si>
    <t>Portal: Libraries and the Academy</t>
  </si>
  <si>
    <t>Portugaliae Electrochimica Acta</t>
  </si>
  <si>
    <t>Portuguese Economic Journal</t>
  </si>
  <si>
    <t>Portuguese Studies</t>
  </si>
  <si>
    <t>Positif</t>
  </si>
  <si>
    <t>Positions</t>
  </si>
  <si>
    <t>Positively aware : the monthly journal of the Test Positive Aware Network</t>
  </si>
  <si>
    <t>Positivity</t>
  </si>
  <si>
    <t>Postcolonial Studies</t>
  </si>
  <si>
    <t>Post-Communist Economies</t>
  </si>
  <si>
    <t>Postepy biochemii</t>
  </si>
  <si>
    <t>Postepy Dermatologii I Alergologii</t>
  </si>
  <si>
    <t>Postepy higieny i medycyny doswiadczalnej</t>
  </si>
  <si>
    <t>Postepy Mikrobiologii</t>
  </si>
  <si>
    <t>Postepy Psychiatrii i Neurologii</t>
  </si>
  <si>
    <t>Postepy Rehabilitacji</t>
  </si>
  <si>
    <t>Postepy w Kardiologii Interwencyjnej</t>
  </si>
  <si>
    <t>Postgraduate Medical Journal</t>
  </si>
  <si>
    <t>Postgraduate Medicine</t>
  </si>
  <si>
    <t>Postharvest Biology and Technology</t>
  </si>
  <si>
    <t>Post-Medieval Archaeology</t>
  </si>
  <si>
    <t>Postmodern Culture</t>
  </si>
  <si>
    <t>Post-Soviet Affairs</t>
  </si>
  <si>
    <t>Potato Research</t>
  </si>
  <si>
    <t>Potential Analysis</t>
  </si>
  <si>
    <t>Poultry Science</t>
  </si>
  <si>
    <t>Pouvoirs: Revue d'Etudes Constitutionnelles et Politiques</t>
  </si>
  <si>
    <t>Powder Diffraction</t>
  </si>
  <si>
    <t>Powder Metallurgy</t>
  </si>
  <si>
    <t>Powder Metallurgy and Metal Ceramics</t>
  </si>
  <si>
    <t>Powder Technology</t>
  </si>
  <si>
    <t>Power Electronics Technology</t>
  </si>
  <si>
    <t>Power System Technology</t>
  </si>
  <si>
    <t>Poznan Studies in Contemporary Linguistics</t>
  </si>
  <si>
    <t>Poznan Studies in the Philosophy of the Sciences and the Humanities</t>
  </si>
  <si>
    <t>PPAR Research</t>
  </si>
  <si>
    <t>PPI Europe</t>
  </si>
  <si>
    <t>PPmP Psychotherapie Psychosomatik Medizinische Psychologie</t>
  </si>
  <si>
    <t>Prace Naukowe Instytutu Gornictwa Politechniki Wroclawskiej</t>
  </si>
  <si>
    <t>Prace Naukowe Instytutu Inzynierii Ochrony Srodowiska, Politechniki Wroclawskiej</t>
  </si>
  <si>
    <t>Prace - Panstwowego Instytutu Geologicznego</t>
  </si>
  <si>
    <t>Pracovni Lekarstvi</t>
  </si>
  <si>
    <t>Practical Assessment, Research and Evaluation</t>
  </si>
  <si>
    <t>Practical Diabetes International</t>
  </si>
  <si>
    <t>Practical Gastroenterology</t>
  </si>
  <si>
    <t>Practical Neurology</t>
  </si>
  <si>
    <t>Practical Radiation Oncology</t>
  </si>
  <si>
    <t>Practica Otologica</t>
  </si>
  <si>
    <t>Practica Otologica, Supplement</t>
  </si>
  <si>
    <t>Practice Periodical on Structural Design and Construction</t>
  </si>
  <si>
    <t>Practice (UK)</t>
  </si>
  <si>
    <t>Practising Midwife</t>
  </si>
  <si>
    <t>Practitioner</t>
  </si>
  <si>
    <t>Pragmalinguistica</t>
  </si>
  <si>
    <t>Pragmatics</t>
  </si>
  <si>
    <t>Pragmatics and Cognition</t>
  </si>
  <si>
    <t>Prague Economic Papers</t>
  </si>
  <si>
    <t>Prague medical report</t>
  </si>
  <si>
    <t>Prahistorische Zeitschrift</t>
  </si>
  <si>
    <t>Prairie Forum</t>
  </si>
  <si>
    <t>Prairie rose, The</t>
  </si>
  <si>
    <t>Prakticky Lekar</t>
  </si>
  <si>
    <t>Praktische Metallographie/Practical Metallography</t>
  </si>
  <si>
    <t>Praktische Tierarzt</t>
  </si>
  <si>
    <t>Pramana - Journal of Physics</t>
  </si>
  <si>
    <t>Praticien en Anesthesie Reanimation</t>
  </si>
  <si>
    <t>Pratique Medicale et Chirurgicale de l'Animal de Compagnie</t>
  </si>
  <si>
    <t>Pratique Neurologique - FMC</t>
  </si>
  <si>
    <t>Pratiques en Nutrition</t>
  </si>
  <si>
    <t>Pratiques Psychologiques</t>
  </si>
  <si>
    <t>Pratique Vet</t>
  </si>
  <si>
    <t>Pravara Medical Review</t>
  </si>
  <si>
    <t>Pravention und Gesundheitsforderung</t>
  </si>
  <si>
    <t>Pravention und Rehabilitation</t>
  </si>
  <si>
    <t>Praxis</t>
  </si>
  <si>
    <t>Praxis der Kinderpsychologie und Kinderpsychiatrie</t>
  </si>
  <si>
    <t>Precambrian Research</t>
  </si>
  <si>
    <t>Precision Agriculture</t>
  </si>
  <si>
    <t>Precision Engineering</t>
  </si>
  <si>
    <t>Pregnancy Hypertension</t>
  </si>
  <si>
    <t>Prehospital and disaster medicine : the official journal of the National Association of EMS Physicians and the World Association for Emergency and Disaster Medicine in association with the Acute Care Foundation</t>
  </si>
  <si>
    <t>Prehospital Emergency Care</t>
  </si>
  <si>
    <t>Prenatal Diagnosis</t>
  </si>
  <si>
    <t>Prensa Medica Argentina</t>
  </si>
  <si>
    <t>Preparative Biochemistry and Biotechnology</t>
  </si>
  <si>
    <t>Prescrire International</t>
  </si>
  <si>
    <t>Presence: Teleoperators and Virtual Environments</t>
  </si>
  <si>
    <t>Preservation</t>
  </si>
  <si>
    <t>Preslia</t>
  </si>
  <si>
    <t>Presse Medicale</t>
  </si>
  <si>
    <t>Preventing chronic disease</t>
  </si>
  <si>
    <t>Prevention Science</t>
  </si>
  <si>
    <t>Preventive Medicine</t>
  </si>
  <si>
    <t>Preventive Veterinary Medicine</t>
  </si>
  <si>
    <t>Prevenzione e Assistenza Dentale</t>
  </si>
  <si>
    <t>Prikladnaya Biokhimiya i Mikrobiologiya</t>
  </si>
  <si>
    <t>Prilozi Instituta za Arheologiju</t>
  </si>
  <si>
    <t>Primary Care Cardiovascular Journal</t>
  </si>
  <si>
    <t>Primary Care - Clinics in Office Practice</t>
  </si>
  <si>
    <t>Primary Care Companion to the Journal of Clinical Psychiatry</t>
  </si>
  <si>
    <t>Primary Care Diabetes</t>
  </si>
  <si>
    <t>Primary Care Respiratory Journal</t>
  </si>
  <si>
    <t>Primary dental care : journal of the Faculty of General Dental Practitioners (UK)</t>
  </si>
  <si>
    <t>Primary health care research &amp; development</t>
  </si>
  <si>
    <t>Primate Conservation</t>
  </si>
  <si>
    <t>Primates; journal of primatology</t>
  </si>
  <si>
    <t>Primerjalna Knjizevnost</t>
  </si>
  <si>
    <t>PRIMUS</t>
  </si>
  <si>
    <t>Princeton University, Dissertation</t>
  </si>
  <si>
    <t>Printed Circuit Design and Fab</t>
  </si>
  <si>
    <t>Print Quarterly</t>
  </si>
  <si>
    <t>Prion</t>
  </si>
  <si>
    <t>Prison Journal</t>
  </si>
  <si>
    <t>Privredna Kretanja i Ekonomska Politika</t>
  </si>
  <si>
    <t>Probabilistic Engineering Mechanics</t>
  </si>
  <si>
    <t>Probability and Mathematical Statistics</t>
  </si>
  <si>
    <t>Probability in the Engineering and Informational Sciences</t>
  </si>
  <si>
    <t>Probability Surveys</t>
  </si>
  <si>
    <t>Probability Theory and Related Fields</t>
  </si>
  <si>
    <t>Probation Journal</t>
  </si>
  <si>
    <t>Probiotics and Antimicrobial Proteins</t>
  </si>
  <si>
    <t>Problemas del Desarrollo</t>
  </si>
  <si>
    <t>Problemos</t>
  </si>
  <si>
    <t>Problems of Atomic Science and Technology</t>
  </si>
  <si>
    <t>Problems of Infectious and Parasitic Diseases</t>
  </si>
  <si>
    <t>Problems of Information Transmission</t>
  </si>
  <si>
    <t>Problems of Post-Communism</t>
  </si>
  <si>
    <t>Problemy Ekorozwoju</t>
  </si>
  <si>
    <t>Problemy sotsial'noi gigieny i istoriia meditsiny / NII sotsial'noi gigieny, ekonomiki i upravleniia zdravookhraneniem im. N.A. Semashko RAMN, AO 'Assotsiatsiia 'Meditsinskaia literatura'</t>
  </si>
  <si>
    <t>Probus</t>
  </si>
  <si>
    <t>Procedia Chemistry</t>
  </si>
  <si>
    <t>Procedia Earth and Planetary Science</t>
  </si>
  <si>
    <t>Procedia Engineering</t>
  </si>
  <si>
    <t>Procedia in Vaccinology</t>
  </si>
  <si>
    <t>Procedia - Social and Behavioral Sciences</t>
  </si>
  <si>
    <t>Proceedings ACM SIGUCCS User Services Conference</t>
  </si>
  <si>
    <t>Proceedings, Annual Convention - Gas Processors Association</t>
  </si>
  <si>
    <t>Proceedings - Annual SAFE Symposium (Survival and Flight Equipment Association)</t>
  </si>
  <si>
    <t>Proceedings - Electronic Components and Technology Conference</t>
  </si>
  <si>
    <t>Proceedings - Euromicro Conference on Real-Time Systems</t>
  </si>
  <si>
    <t>Proceedings - Frontiers in Education Conference</t>
  </si>
  <si>
    <t>Proceedings - Graphics Interface</t>
  </si>
  <si>
    <t>Proceedings - ICASSP, IEEE International Conference on Acoustics, Speech and Signal Processing</t>
  </si>
  <si>
    <t>Proceedings - IEEE INFOCOM</t>
  </si>
  <si>
    <t>Proceedings - IEEE International Conference on Computer Design: VLSI in Computers and Processors</t>
  </si>
  <si>
    <t>Proceedings - IEEE International Conference on Robotics and Automation</t>
  </si>
  <si>
    <t>Proceedings - IEEE International Symposium on Circuits and Systems</t>
  </si>
  <si>
    <t>Proceedings - IEEE Military Communications Conference</t>
  </si>
  <si>
    <t>Proceedings - International Conference on Data Engineering</t>
  </si>
  <si>
    <t>Proceedings - International Conference on Distributed Computing Systems</t>
  </si>
  <si>
    <t>Proceedings - International Conference on Pattern Recognition</t>
  </si>
  <si>
    <t>Proceedings - International Conference on Software Engineering</t>
  </si>
  <si>
    <t>Proceedings - International Symposium on Computers and Communications</t>
  </si>
  <si>
    <t>Proceedings - International Symposium on Discharges and Electrical Insulation in Vacuum, ISDEIV</t>
  </si>
  <si>
    <t>Proceedings - International Symposium on Electrets</t>
  </si>
  <si>
    <t>Proceedings of IEEE Sensors</t>
  </si>
  <si>
    <t>Proceedings of Institution of Civil Engineers: Construction Materials</t>
  </si>
  <si>
    <t>Proceedings of Institution of Civil Engineers: Energy</t>
  </si>
  <si>
    <t>Proceedings of Institution of Civil Engineers: Management, Procurement and Law</t>
  </si>
  <si>
    <t>Proceedings of Institution of Civil Engineers: Waste and Resource Management</t>
  </si>
  <si>
    <t>Proceedings of SPIE - The International Society for Optical Engineering</t>
  </si>
  <si>
    <t>Proceedings of the Academy of Natural Sciences of Philadelphia</t>
  </si>
  <si>
    <t>Proceedings of the ACM Conference on Computer and Communications Security</t>
  </si>
  <si>
    <t>Proceedings of the ACM Conference on Computer Supported Cooperative Work, CSCW</t>
  </si>
  <si>
    <t>Proceedings of the ACM Conference on Electronic Commerce</t>
  </si>
  <si>
    <t>Proceedings of the ACM Great Lakes Symposium on VLSI, GLSVLSI</t>
  </si>
  <si>
    <t>Proceedings of the ACM SIGACT-SIGMOD-SIGART Symposium on Principles of Database Systems</t>
  </si>
  <si>
    <t>Proceedings of the ACM SIGKDD International Conference on Knowledge Discovery and Data Mining</t>
  </si>
  <si>
    <t>Proceedings of the ACM SIGMOD International Conference on Management of Data</t>
  </si>
  <si>
    <t>Proceedings of the ACM SIGPLAN Conference on Languages, Compilers, and Tools for Embedded Systems (LCTES)</t>
  </si>
  <si>
    <t>Proceedings of the ACM SIGPLAN Conference on Programming Language Design and Implementation (PLDI)</t>
  </si>
  <si>
    <t>Proceedings of the ACM SIGPLAN International Conference on Functional Programming, ICFP</t>
  </si>
  <si>
    <t>Proceedings of the ACM SIGPLAN Symposium on Principles and Practice of Parallel Programming, PPOPP</t>
  </si>
  <si>
    <t>Proceedings of the ACM SIGSOFT Symposium on the Foundations of Software Engineering</t>
  </si>
  <si>
    <t>Proceedings of the ACM Symposium on Applied Computing</t>
  </si>
  <si>
    <t>Proceedings of the American Control Conference</t>
  </si>
  <si>
    <t>Proceedings of the American Gas Association, Operating Section</t>
  </si>
  <si>
    <t>Proceedings of the American Mathematical Society</t>
  </si>
  <si>
    <t>Proceedings of the American Philosophical Society</t>
  </si>
  <si>
    <t>Proceedings of the American Thoracic Society</t>
  </si>
  <si>
    <t>Proceedings of the Annual ACM-SIAM Symposium on Discrete Algorithms</t>
  </si>
  <si>
    <t>Proceedings of the Annual ACM Symposium on Principles of Distributed Computing</t>
  </si>
  <si>
    <t>Proceedings of the Annual ACM Symposium on Theory of Computing</t>
  </si>
  <si>
    <t>Proceedings of the Annual IEEE Conference on Computational Complexity</t>
  </si>
  <si>
    <t>Proceedings of the Annual International Conference on Mobile Computing and Networking, MOBICOM</t>
  </si>
  <si>
    <t>Proceedings of the Annual Offshore Technology Conference</t>
  </si>
  <si>
    <t>Proceedings of the Annual Southeastern Symposium on System Theory</t>
  </si>
  <si>
    <t>Proceedings of the Annual Symposium on Computational Geometry</t>
  </si>
  <si>
    <t>Proceedings of the Annual Symposium on Instrumentation for the Process Industries</t>
  </si>
  <si>
    <t>Proceedings of the Aristotelean Society</t>
  </si>
  <si>
    <t>Proceedings of the Asia and South Pacific Design Automation Conference, ASP-DAC</t>
  </si>
  <si>
    <t>Proceedings of the Asian Test Symposium</t>
  </si>
  <si>
    <t>Proceedings of the ASIST Annual Meeting</t>
  </si>
  <si>
    <t>Proceedings of the ASME Design Engineering Technical Conference</t>
  </si>
  <si>
    <t>Proceedings of the ASME Turbo Expo</t>
  </si>
  <si>
    <t>Proceedings of the Biological Society of Washington</t>
  </si>
  <si>
    <t>Proceedings of the Combustion Institute</t>
  </si>
  <si>
    <t>Proceedings of the Conference on Object-Oriented Programming Systems, Languages, and Applications, OOPSLA</t>
  </si>
  <si>
    <t>Proceedings of the Corporate Aviation Safety Seminar</t>
  </si>
  <si>
    <t>Proceedings of the Custom Integrated Circuits Conference</t>
  </si>
  <si>
    <t>Proceedings of the Data Compression Conference</t>
  </si>
  <si>
    <t>Proceedings of the Edinburgh Mathematical Society</t>
  </si>
  <si>
    <t>Proceedings of the Entomological Society of Washington</t>
  </si>
  <si>
    <t>Proceedings of the Estonian Academy of Sciences</t>
  </si>
  <si>
    <t>Proceedings of the Euromicro Conference on Software Maintenance and Reengineering, CSMR</t>
  </si>
  <si>
    <t>Proceedings of the European Conference on Radiation and its Effects on Components and Systems, RADECS</t>
  </si>
  <si>
    <t>Proceedings of the Geologists Association</t>
  </si>
  <si>
    <t>Proceedings of the IASTED International Conference on Intelligent Systems and Control</t>
  </si>
  <si>
    <t>Proceedings of the IASTED International Conference on Modelling, Identification, and Control, MIC</t>
  </si>
  <si>
    <t>Proceedings of the IASTED International Conference on Modelling, Simulation and Optimatization</t>
  </si>
  <si>
    <t>Proceedings of the IASTED International Conference on Parallel and Distributed Computing and Systems</t>
  </si>
  <si>
    <t>Proceedings of the IEEE</t>
  </si>
  <si>
    <t>Proceedings of the IEEE Bipolar/BiCMOS Circuits and Technology Meeting</t>
  </si>
  <si>
    <t>Proceedings of the IEEE Computer Society Conference on Computer Vision and Pattern Recognition</t>
  </si>
  <si>
    <t>Proceedings of the IEEE Conference on Decision and Control</t>
  </si>
  <si>
    <t>Proceedings of the IEEE International Conference on Computer Vision</t>
  </si>
  <si>
    <t>Proceedings of the IEEE International Conference on Industrial Technology</t>
  </si>
  <si>
    <t>Proceedings of the IEEE International Conference on Micro Electro Mechanical Systems (MEMS)</t>
  </si>
  <si>
    <t>Proceedings of the IEEE International Conference on Properties and Applications of Dielectric Materials</t>
  </si>
  <si>
    <t>Proceedings of the IEEE International Conference on Transmission and Distribution Construction and Live Line Maintenance, ESMO</t>
  </si>
  <si>
    <t>Proceedings of the IEEE International Conference on VLSI Design</t>
  </si>
  <si>
    <t>Proceedings of the IEEE Power Engineering Society Transmission and Distribution Conference</t>
  </si>
  <si>
    <t>Proceedings of the IEEE Southwest Symposium on Image Analysis and Interpretation</t>
  </si>
  <si>
    <t>Proceedings of the IEEE Symposium on Computer-Based Medical Systems</t>
  </si>
  <si>
    <t>Proceedings of the IEEE Symposium on Reliable Distributed Systems</t>
  </si>
  <si>
    <t>Proceedings of the IEEE VLSI Test Symposium</t>
  </si>
  <si>
    <t>Proceedings of the Indian Academy of Sciences, Earth and Planetary Sciences</t>
  </si>
  <si>
    <t>Proceedings of the Indian Academy of Sciences: Mathematical Sciences</t>
  </si>
  <si>
    <t>Proceedings of the Institute of Civil Engineers: Bridge Engineering</t>
  </si>
  <si>
    <t>Proceedings of the Institution of Civil Engineers: Civil Engineering</t>
  </si>
  <si>
    <t>Proceedings of the Institution of Civil Engineers: Engineering and Computational Mechanics</t>
  </si>
  <si>
    <t>Proceedings of the Institution of Civil Engineers: Engineering Sustainability</t>
  </si>
  <si>
    <t>Proceedings of the Institution of Civil Engineers: Geotechnical Engineering</t>
  </si>
  <si>
    <t>Proceedings of the Institution of Civil Engineers: Ground Improvement</t>
  </si>
  <si>
    <t>Proceedings of the Institution of Civil Engineers: Maritime Engineering</t>
  </si>
  <si>
    <t>Proceedings of the Institution of Civil Engineers: Municipal Engineer</t>
  </si>
  <si>
    <t>Proceedings of the Institution of Civil Engineers: Structures and Buildings</t>
  </si>
  <si>
    <t>Proceedings of the Institution of Civil Engineers: Transport</t>
  </si>
  <si>
    <t>Proceedings of the Institution of Civil Engineers: Urban Design and Planning</t>
  </si>
  <si>
    <t>Proceedings of the Institution of Mechanical Engineers, Part A: Journal of Power and Energy</t>
  </si>
  <si>
    <t>Proceedings of the Institution of Mechanical Engineers, Part B: Journal of Engineering Manufacture</t>
  </si>
  <si>
    <t>Proceedings of the Institution of Mechanical Engineers, Part C: Journal of Mechanical Engineering Science</t>
  </si>
  <si>
    <t>Proceedings of the Institution of Mechanical Engineers, Part D: Journal of Automobile Engineering</t>
  </si>
  <si>
    <t>Proceedings of the Institution of Mechanical Engineers, Part E: Journal of Process Mechanical Engineering</t>
  </si>
  <si>
    <t>Proceedings of the Institution of Mechanical Engineers, Part F: Journal of Rail and Rapid Transit</t>
  </si>
  <si>
    <t>Proceedings of the Institution of Mechanical Engineers, Part G: Journal of Aerospace Engineering</t>
  </si>
  <si>
    <t>Proceedings of the Institution of Mechanical Engineers, Part H: Journal of Engineering in Medicine</t>
  </si>
  <si>
    <t>Proceedings of the Institution of Mechanical Engineers. Part I: Journal of Systems and Control Engineering</t>
  </si>
  <si>
    <t>Proceedings of the Institution of Mechanical Engineers, Part J: Journal of Engineering Tribology</t>
  </si>
  <si>
    <t>Proceedings of the Institution of Mechanical Engineers, Part K: Journal of Multi-body Dynamics</t>
  </si>
  <si>
    <t>Proceedings of the Institution of Mechanical Engineers, Part L: Journal of Materials: Design and Applications</t>
  </si>
  <si>
    <t>Proceedings of the Institution of Mechanical Engineers Part M: Journal of Engineering for the Maritime Environment</t>
  </si>
  <si>
    <t>Proceedings of the Institution of Mechanical Engineers, Part N: Journal of Nanoengineering and Nanosystems</t>
  </si>
  <si>
    <t>Proceedings of the Institution of Mechanical Engineers, Part O: Journal of Risk and Reliability</t>
  </si>
  <si>
    <t>Proceedings of the International Astronomical Union</t>
  </si>
  <si>
    <t>Proceedings of the International Conference on Dependable Systems and Networks</t>
  </si>
  <si>
    <t>Proceedings of the International Conference on Microelectronics, ICM</t>
  </si>
  <si>
    <t>Proceedings of the International Conference on Offshore Mechanics and Arctic Engineering - OMAE</t>
  </si>
  <si>
    <t>Proceedings of the International Conference on Parallel and Distributed Systems - ICPADS</t>
  </si>
  <si>
    <t>Proceedings of the International Conference on Supercomputing</t>
  </si>
  <si>
    <t>Proceedings of the International Instrumentation Symposium</t>
  </si>
  <si>
    <t>Proceedings of the International Joint Conference on Neural Networks</t>
  </si>
  <si>
    <t>Proceedings of the International Offshore and Polar Engineering Conference</t>
  </si>
  <si>
    <t>Proceedings of the International Semiconductor Conference, CAS</t>
  </si>
  <si>
    <t>Proceedings of the International Symposium on Mobile Ad Hoc Networking and Computing (MobiHoc)</t>
  </si>
  <si>
    <t>Proceedings of The International Symposium on Multiple-Valued Logic</t>
  </si>
  <si>
    <t>Proceedings of the International Symposium on Physical Design</t>
  </si>
  <si>
    <t>Proceedings of the International Symposium on Symbolic and Algebraic Computation, ISSAC</t>
  </si>
  <si>
    <t>Proceedings of the International Workshop on Rapid System Prototyping</t>
  </si>
  <si>
    <t>Proceedings of the International Workshop on Temporal Representation and Reasoning</t>
  </si>
  <si>
    <t>Proceedings of the Jangjeon Mathematical Society</t>
  </si>
  <si>
    <t>Proceedings of the Japan Academy Series A: Mathematical Sciences</t>
  </si>
  <si>
    <t>Proceedings of the Japan Academy Series B: Physical and Biological Sciences</t>
  </si>
  <si>
    <t>Proceedings of the London Mathematical Society</t>
  </si>
  <si>
    <t>Proceedings of the Mediterranean Electrotechnical Conference - MELECON</t>
  </si>
  <si>
    <t>Proceedings of the National Academy of Sciences India Section A - Physical Sciences</t>
  </si>
  <si>
    <t>Proceedings of the National Academy of Sciences of the United States</t>
  </si>
  <si>
    <t>Proceedings of the National Conference on Artificial Intelligence</t>
  </si>
  <si>
    <t>Proceedings of the Nutrition Society</t>
  </si>
  <si>
    <t>Proceedings of the Pakistan Academy of Sciences</t>
  </si>
  <si>
    <t>Proceedings of the Royal Irish Academy, Section C: Archaeology, Celtic Studies, History, Linguistics and Literature</t>
  </si>
  <si>
    <t>Proceedings of the Royal Society A: Mathematical, Physical and Engineering Sciences</t>
  </si>
  <si>
    <t>Proceedings of the Royal Society B: Biological Sciences</t>
  </si>
  <si>
    <t>Proceedings of the Royal Society of Edinburgh Section A: Mathematics</t>
  </si>
  <si>
    <t>Proceedings of the SICE Annual Conference</t>
  </si>
  <si>
    <t>Proceedings of the Steklov Institute of Mathematics</t>
  </si>
  <si>
    <t>Proceedings of the Symposium on Interactive 3D Graphics</t>
  </si>
  <si>
    <t>Proceedings of the Technical Association of the Graphic Arts, TAGA</t>
  </si>
  <si>
    <t>Proceedings of the Western Pharmacology Society</t>
  </si>
  <si>
    <t>Proceedings of the Workshop on Enabling Technologies: Infrastructure for Collaborative Enterprises, WET ICE</t>
  </si>
  <si>
    <t>Proceedings of the World Congress on Intelligent Control and Automation (WCICA)</t>
  </si>
  <si>
    <t>Proceedings - Rapid Excavation and Tunneling Conference</t>
  </si>
  <si>
    <t>Proceedings - Real-Time Systems Symposium</t>
  </si>
  <si>
    <t>Proceedings - SPE Annual Technical Conference and Exhibition</t>
  </si>
  <si>
    <t>Proceedings - SPE International Symposium on Formation Damage Control</t>
  </si>
  <si>
    <t>Proceedings - SPE Symposium on Improved Oil Recovery</t>
  </si>
  <si>
    <t>Proceedings - Symposium on Computer Arithmetic</t>
  </si>
  <si>
    <t>Proceedings - Symposium on Fusion Engineering</t>
  </si>
  <si>
    <t>Proceedings - Symposium on Logic in Computer Science</t>
  </si>
  <si>
    <t>Proceedings. The Computer Security Foundations Workshop III</t>
  </si>
  <si>
    <t>Proceedings - Winter Simulation Conference</t>
  </si>
  <si>
    <t>Proceedings - Yorkshire Geological Society</t>
  </si>
  <si>
    <t>Procesamiento de Lenguaje Natural</t>
  </si>
  <si>
    <t>Process Biochemistry</t>
  </si>
  <si>
    <t>Process Safety and Environmental Protection</t>
  </si>
  <si>
    <t>Process Safety Progress</t>
  </si>
  <si>
    <t>Producao</t>
  </si>
  <si>
    <t>Production and Operations Management</t>
  </si>
  <si>
    <t>Production Engineering</t>
  </si>
  <si>
    <t>Production Planning and Control</t>
  </si>
  <si>
    <t>Productions Animales</t>
  </si>
  <si>
    <t>Profesional de la Informacion</t>
  </si>
  <si>
    <t>Profesorado</t>
  </si>
  <si>
    <t>Professional Case Management</t>
  </si>
  <si>
    <t>Professional Development in Education</t>
  </si>
  <si>
    <t>Professional Geographer</t>
  </si>
  <si>
    <t>Professional Psychology: Research and Practice</t>
  </si>
  <si>
    <t>Professioni infermieristiche</t>
  </si>
  <si>
    <t>Profiles of Drug Substances, Excipients and Related Methodology</t>
  </si>
  <si>
    <t>Program</t>
  </si>
  <si>
    <t>Programming and Computer Software</t>
  </si>
  <si>
    <t>Progres en Urologie</t>
  </si>
  <si>
    <t>Progresos en Obstetricia y Ginecologia</t>
  </si>
  <si>
    <t>Progress in Aerospace Sciences</t>
  </si>
  <si>
    <t>Progress in Agricultural Engineering Sciences</t>
  </si>
  <si>
    <t>Progress in Biochemistry and Biophysics</t>
  </si>
  <si>
    <t>Progress in Biophysics and Molecular Biology</t>
  </si>
  <si>
    <t>Progress in Brain Research</t>
  </si>
  <si>
    <t>Progress in Cardiovascular Diseases</t>
  </si>
  <si>
    <t>Progress in Chemistry</t>
  </si>
  <si>
    <t>Progress in Colloid and Polymer Science</t>
  </si>
  <si>
    <t>Progress in community health partnerships : research, education, and action</t>
  </si>
  <si>
    <t>Progress in Computational Fluid Dynamics</t>
  </si>
  <si>
    <t>Progress in Crystal Growth and Characterization of Materials</t>
  </si>
  <si>
    <t>Progress in Development Studies</t>
  </si>
  <si>
    <t>Progress in Drug Research</t>
  </si>
  <si>
    <t>Progress in Electromagnetics Research</t>
  </si>
  <si>
    <t>Progress In Electromagnetics Research B</t>
  </si>
  <si>
    <t>Progress In Electromagnetics Research C</t>
  </si>
  <si>
    <t>Progress In Electromagnetics Research Letters</t>
  </si>
  <si>
    <t>Progress In Electromagnetics Research M</t>
  </si>
  <si>
    <t>Progress in Energy and Combustion Science</t>
  </si>
  <si>
    <t>Progress in Heterocyclic Chemistry</t>
  </si>
  <si>
    <t>Progress in Histochemistry and Cytochemistry</t>
  </si>
  <si>
    <t>Progress in Human Geography</t>
  </si>
  <si>
    <t>Progress in Informatics</t>
  </si>
  <si>
    <t>Progress in Inorganic Chemistry</t>
  </si>
  <si>
    <t>Progress in Lipid Research</t>
  </si>
  <si>
    <t>Progress in Materials Science</t>
  </si>
  <si>
    <t>Progress in Medicinal Chemistry</t>
  </si>
  <si>
    <t>Progress in Molecular Biology and Translational Science</t>
  </si>
  <si>
    <t>Progress in Natural Science</t>
  </si>
  <si>
    <t>Progress in Neurobiology</t>
  </si>
  <si>
    <t>Progress in neurological surgery</t>
  </si>
  <si>
    <t>Progress in Neurology and Psychiatry</t>
  </si>
  <si>
    <t>Progress in Neuro-Psychopharmacology and Biological Psychiatry</t>
  </si>
  <si>
    <t>Progress in Nuclear Energy</t>
  </si>
  <si>
    <t>Progress in Nuclear Magnetic Resonance Spectroscopy</t>
  </si>
  <si>
    <t>Progress in Nutrition</t>
  </si>
  <si>
    <t>Progress in Oceanography</t>
  </si>
  <si>
    <t>Progress in Optics</t>
  </si>
  <si>
    <t>Progress in Organic Coatings</t>
  </si>
  <si>
    <t>Progress in Orthodontics</t>
  </si>
  <si>
    <t>Progress in Palliative Care</t>
  </si>
  <si>
    <t>Progress in Particle and Nuclear Physics</t>
  </si>
  <si>
    <t>Progress in Pediatric Cardiology</t>
  </si>
  <si>
    <t>Progress in Photovoltaics: Research and Applications</t>
  </si>
  <si>
    <t>Progress in Physical Geography</t>
  </si>
  <si>
    <t>Progress in Planning</t>
  </si>
  <si>
    <t>Progress in Polymer Science</t>
  </si>
  <si>
    <t>Progress in Quantum Electronics</t>
  </si>
  <si>
    <t>Progress in Reaction Kinetics and Mechanism</t>
  </si>
  <si>
    <t>Progress in Respiratory Research</t>
  </si>
  <si>
    <t>Progress in Retinal and Eye Research</t>
  </si>
  <si>
    <t>Progress in Rubber Plastics Recycling Technology</t>
  </si>
  <si>
    <t>Progress in Solid State Chemistry</t>
  </si>
  <si>
    <t>Progress in Surface Science</t>
  </si>
  <si>
    <t>Progress in Transplantation</t>
  </si>
  <si>
    <t>Progress of Theoretical Physics</t>
  </si>
  <si>
    <t>Progress of Theoretical Physics Supplement</t>
  </si>
  <si>
    <t>Progress on Chemistry and Application of Chitin and its Derivatives</t>
  </si>
  <si>
    <t>Project Inform perspective</t>
  </si>
  <si>
    <t>Projections</t>
  </si>
  <si>
    <t>Project Management Journal</t>
  </si>
  <si>
    <t>Prolegomena: Casopis za filozofiju/Journal of Philosophy</t>
  </si>
  <si>
    <t>Prologue</t>
  </si>
  <si>
    <t>Prometheus</t>
  </si>
  <si>
    <t>Prometheus (Italy)</t>
  </si>
  <si>
    <t>Promet - Traffic - Traffico</t>
  </si>
  <si>
    <t>Prooftexts - Journal of Jewish Literature History</t>
  </si>
  <si>
    <t>Propagation of Ornamental Plants</t>
  </si>
  <si>
    <t>Propellants, Explosives, Pyrotechnics</t>
  </si>
  <si>
    <t>Property Management</t>
  </si>
  <si>
    <t>Prose Studies</t>
  </si>
  <si>
    <t>Prospects</t>
  </si>
  <si>
    <t>Prospettiva</t>
  </si>
  <si>
    <t>Prostaglandins and Other Lipid Mediators</t>
  </si>
  <si>
    <t>Prostaglandins Leukotrienes and Essential Fatty Acids</t>
  </si>
  <si>
    <t>Prostate</t>
  </si>
  <si>
    <t>Prostate Cancer and Prostatic Diseases</t>
  </si>
  <si>
    <t>Prosthetics and Orthotics International</t>
  </si>
  <si>
    <t>Prostor</t>
  </si>
  <si>
    <t>Protection of Metals</t>
  </si>
  <si>
    <t>Protein and Cell</t>
  </si>
  <si>
    <t>Protein and Peptide Letters</t>
  </si>
  <si>
    <t>Protein Engineering, Design and Selection</t>
  </si>
  <si>
    <t>Protein Expression and Purification</t>
  </si>
  <si>
    <t>Protein Journal</t>
  </si>
  <si>
    <t>Protein Reviews</t>
  </si>
  <si>
    <t>Protein Science</t>
  </si>
  <si>
    <t>Proteins: Structure, Function and Genetics</t>
  </si>
  <si>
    <t>Proteome Science</t>
  </si>
  <si>
    <t>Proteomics</t>
  </si>
  <si>
    <t>Proteomics - Clinical Applications</t>
  </si>
  <si>
    <t>Proteomics Insights</t>
  </si>
  <si>
    <t>Protist</t>
  </si>
  <si>
    <t>Protoplasma</t>
  </si>
  <si>
    <t>Provider (Washington, D.C.)</t>
  </si>
  <si>
    <t>Proyecciones</t>
  </si>
  <si>
    <t>Przeglad Dermatologiczny</t>
  </si>
  <si>
    <t>Przeglad Elektrotechniczny</t>
  </si>
  <si>
    <t>Przeglad Epidemiologiczny</t>
  </si>
  <si>
    <t>Przeglad Gastroenterologiczny</t>
  </si>
  <si>
    <t>Przeglad Geofizyczny</t>
  </si>
  <si>
    <t>Przeglad Geograficzny</t>
  </si>
  <si>
    <t>Przeglad Geologiczny</t>
  </si>
  <si>
    <t>Przeglad Kardiodiabetologinczny</t>
  </si>
  <si>
    <t>Przeglad Lekarski</t>
  </si>
  <si>
    <t>Przeglad Menopauzalny</t>
  </si>
  <si>
    <t>Przeglad Pediatryczny</t>
  </si>
  <si>
    <t>Przemysl Chemiczny</t>
  </si>
  <si>
    <t>Psicologia Clinica</t>
  </si>
  <si>
    <t>Psicologia Clinica dello Sviluppo</t>
  </si>
  <si>
    <t>Psicologia Conductual</t>
  </si>
  <si>
    <t>Psicologia em Estudo</t>
  </si>
  <si>
    <t>Psicologia e Sociedade</t>
  </si>
  <si>
    <t>Psicologia: Reflexao e Critica</t>
  </si>
  <si>
    <t>Psicologia: Teoria e Pesquisa</t>
  </si>
  <si>
    <t>Psicologia USP</t>
  </si>
  <si>
    <t>Psicologica</t>
  </si>
  <si>
    <t>Psicooncologia</t>
  </si>
  <si>
    <t>Psicoterapia Cognitiva e Comportamentale</t>
  </si>
  <si>
    <t>Psicoterapia e Scienze Umane</t>
  </si>
  <si>
    <t>Psicothema</t>
  </si>
  <si>
    <t>Psihologija</t>
  </si>
  <si>
    <t>Psihologijske Teme</t>
  </si>
  <si>
    <t>Psikhologicheskii Zhurnal</t>
  </si>
  <si>
    <t>Psiquiatria Biologica</t>
  </si>
  <si>
    <t>PSN</t>
  </si>
  <si>
    <t>PS - Political Science and Politics</t>
  </si>
  <si>
    <t>Psyche</t>
  </si>
  <si>
    <t>Psyche (New York)</t>
  </si>
  <si>
    <t>Psychiatria</t>
  </si>
  <si>
    <t>Psychiatria Danubina</t>
  </si>
  <si>
    <t>Psychiatria et Neurologia Japonica - Seishin Shinkeigaku Zasshi</t>
  </si>
  <si>
    <t>Psychiatria Hungarica</t>
  </si>
  <si>
    <t>Psychiatria i Psychologia Kliniczna</t>
  </si>
  <si>
    <t>Psychiatria Polska</t>
  </si>
  <si>
    <t>Psychiatric Annals</t>
  </si>
  <si>
    <t>Psychiatric Clinics of North America</t>
  </si>
  <si>
    <t>Psychiatric Genetics</t>
  </si>
  <si>
    <t>Psychiatric Quarterly</t>
  </si>
  <si>
    <t>Psychiatric Rehabilitation Journal</t>
  </si>
  <si>
    <t>Psychiatric Services</t>
  </si>
  <si>
    <t>Psychiatric Times</t>
  </si>
  <si>
    <t>Psychiatrie</t>
  </si>
  <si>
    <t>Psychiatrie de l'Enfant</t>
  </si>
  <si>
    <t>Psychiatrikē = Psychiatriki</t>
  </si>
  <si>
    <t>Psychiatrische Praxis</t>
  </si>
  <si>
    <t>Psychiatrist</t>
  </si>
  <si>
    <t>Psychiatry</t>
  </si>
  <si>
    <t>Psychiatry and Clinical Neurosciences</t>
  </si>
  <si>
    <t>Psychiatry Investigation</t>
  </si>
  <si>
    <t>Psychiatry, Psychology and Law</t>
  </si>
  <si>
    <t>Psychiatry Research</t>
  </si>
  <si>
    <t>Psychiatry Research - Neuroimaging</t>
  </si>
  <si>
    <t>PsychNology Journal</t>
  </si>
  <si>
    <t>Psychoanalysis and history</t>
  </si>
  <si>
    <t>Psychoanalytic Dialogues</t>
  </si>
  <si>
    <t>Psychoanalytic Inquiry</t>
  </si>
  <si>
    <t>Psychoanalytic Psychology</t>
  </si>
  <si>
    <t>Psychoanalytic Psychotherapy</t>
  </si>
  <si>
    <t>Psychoanalytic Quarterly</t>
  </si>
  <si>
    <t>Psychoanalytic Review</t>
  </si>
  <si>
    <t>Psychoanalytic Social Work</t>
  </si>
  <si>
    <t>Psychodynamic Practice</t>
  </si>
  <si>
    <t>Psychodynamic Psychiatry</t>
  </si>
  <si>
    <t>Psychogeriatria Polska</t>
  </si>
  <si>
    <t>Psychogeriatrics</t>
  </si>
  <si>
    <t>Psychologia</t>
  </si>
  <si>
    <t>Psychologica Belgica</t>
  </si>
  <si>
    <t>Psychological Assessment</t>
  </si>
  <si>
    <t>Psychological Bulletin</t>
  </si>
  <si>
    <t>Psychological Injury and Law</t>
  </si>
  <si>
    <t>Psychological Inquiry</t>
  </si>
  <si>
    <t>Psychological Medicine</t>
  </si>
  <si>
    <t>Psychological Methods</t>
  </si>
  <si>
    <t>Psychological Record</t>
  </si>
  <si>
    <t>Psychological Reports</t>
  </si>
  <si>
    <t>Psychological Research</t>
  </si>
  <si>
    <t>Psychological Review</t>
  </si>
  <si>
    <t>Psychological Science</t>
  </si>
  <si>
    <t>Psychological Science in the Public Interest, Supplement</t>
  </si>
  <si>
    <t>Psychological Services</t>
  </si>
  <si>
    <t>Psychological Trauma: Theory, Research, Practice, and Policy</t>
  </si>
  <si>
    <t>Psychologie Francaise</t>
  </si>
  <si>
    <t>Psychologie in Erziehung und Unterricht</t>
  </si>
  <si>
    <t>Psychologische Rundschau</t>
  </si>
  <si>
    <t>Psychologist</t>
  </si>
  <si>
    <t>Psychologist-Manager Journal</t>
  </si>
  <si>
    <t>Psychology and Aging</t>
  </si>
  <si>
    <t>Psychology and Developing Societies</t>
  </si>
  <si>
    <t>Psychology and Education</t>
  </si>
  <si>
    <t>Psychology and Health</t>
  </si>
  <si>
    <t>Psychology and Marketing</t>
  </si>
  <si>
    <t>Psychology and Neuroscience</t>
  </si>
  <si>
    <t>Psychology and Psychotherapy: Theory, Research and Practice</t>
  </si>
  <si>
    <t>Psychology and Sexuality</t>
  </si>
  <si>
    <t>Psychology, Crime and Law</t>
  </si>
  <si>
    <t>Psychology, Health and Medicine</t>
  </si>
  <si>
    <t>Psychology in Russia: State of the Art</t>
  </si>
  <si>
    <t>Psychology in the Schools</t>
  </si>
  <si>
    <t>Psychology Learning and Teaching</t>
  </si>
  <si>
    <t>Psychology of Addictive Behaviors</t>
  </si>
  <si>
    <t>Psychology of Aesthetics, Creativity, and the Arts</t>
  </si>
  <si>
    <t>Psychology of Language and Communication</t>
  </si>
  <si>
    <t>Psychology of Learning and Motivation - Advances in Research and Theory</t>
  </si>
  <si>
    <t>Psychology of Men and Masculinity</t>
  </si>
  <si>
    <t>Psychology of Music</t>
  </si>
  <si>
    <t>Psychology of Religion and Spirituality</t>
  </si>
  <si>
    <t>Psychology of Sport and Exercise</t>
  </si>
  <si>
    <t>Psychology of Violence</t>
  </si>
  <si>
    <t>Psychology of Women Quarterly</t>
  </si>
  <si>
    <t>Psychology, Public Policy, and Law</t>
  </si>
  <si>
    <t>Psychology Research and Behavior Management</t>
  </si>
  <si>
    <t>Psychometrika</t>
  </si>
  <si>
    <t>Psychoneuroendocrinology</t>
  </si>
  <si>
    <t>Psychonomic Bulletin and Review</t>
  </si>
  <si>
    <t>Psycho-Oncologie</t>
  </si>
  <si>
    <t>Psycho-Oncology</t>
  </si>
  <si>
    <t>Psychopathology</t>
  </si>
  <si>
    <t>Psychopharmacology</t>
  </si>
  <si>
    <t>Psychopharmacology and Biological Narcology</t>
  </si>
  <si>
    <t>Psychopharmacology Bulletin</t>
  </si>
  <si>
    <t>Psychopharmakotherapie</t>
  </si>
  <si>
    <t>Psychophysiology</t>
  </si>
  <si>
    <t>Psychosis</t>
  </si>
  <si>
    <t>Psychosomatic Medicine</t>
  </si>
  <si>
    <t>Psychosomatics</t>
  </si>
  <si>
    <t>Psychoterapia</t>
  </si>
  <si>
    <t>Psychotherapeut</t>
  </si>
  <si>
    <t>Psychotherapies</t>
  </si>
  <si>
    <t>Psychotherapy</t>
  </si>
  <si>
    <t>Psychotherapy and Psychosomatics</t>
  </si>
  <si>
    <t>Psychotherapy Research</t>
  </si>
  <si>
    <t>Psychotropes</t>
  </si>
  <si>
    <t>Psyecology</t>
  </si>
  <si>
    <t>Psykhe</t>
  </si>
  <si>
    <t>PTB Mitteilungen: Amts - und Mitteilungsblatt der Physikalisch - Technischen Bundesanstalt Braunschweig - Berlin</t>
  </si>
  <si>
    <t>Pteridines</t>
  </si>
  <si>
    <t>Publicacions Matematiques</t>
  </si>
  <si>
    <t>Public Administration</t>
  </si>
  <si>
    <t>Public Administration and Development</t>
  </si>
  <si>
    <t>Public Administration and Management</t>
  </si>
  <si>
    <t>Public Administration Review</t>
  </si>
  <si>
    <t>Public Archaeology</t>
  </si>
  <si>
    <t>Publicationes Mathematicae</t>
  </si>
  <si>
    <t>Publication of the Astronomical Society of Japan</t>
  </si>
  <si>
    <t>Publications de l'Institut Mathematique</t>
  </si>
  <si>
    <t>Publications matheÌmatiques</t>
  </si>
  <si>
    <t>Publications of the Astronomical Society of Australia</t>
  </si>
  <si>
    <t>Publications of the Astronomical Society of the Pacific</t>
  </si>
  <si>
    <t>Publications of the English Goethe Society</t>
  </si>
  <si>
    <t>Publications of the Research Institute for Mathematical Sciences</t>
  </si>
  <si>
    <t>Public Budgeting and Finance</t>
  </si>
  <si>
    <t>Public Choice</t>
  </si>
  <si>
    <t>Public Culture</t>
  </si>
  <si>
    <t>Public Finance Review</t>
  </si>
  <si>
    <t>Public Health</t>
  </si>
  <si>
    <t>Public Health Ethics</t>
  </si>
  <si>
    <t>Public Health Forum</t>
  </si>
  <si>
    <t>Public Health Genomics</t>
  </si>
  <si>
    <t>Public Health Nursing</t>
  </si>
  <si>
    <t>Public Health Nutrition</t>
  </si>
  <si>
    <t>Public Health Reports</t>
  </si>
  <si>
    <t>Public Health Reviews</t>
  </si>
  <si>
    <t>Public Historian, The</t>
  </si>
  <si>
    <t>Public Library Quarterly</t>
  </si>
  <si>
    <t>Public Management Review</t>
  </si>
  <si>
    <t>Public Money and Management</t>
  </si>
  <si>
    <t>Public Opinion Quarterly</t>
  </si>
  <si>
    <t>Public Organization Review</t>
  </si>
  <si>
    <t>Public Performance &amp; Management Review</t>
  </si>
  <si>
    <t>Public Personnel Management</t>
  </si>
  <si>
    <t>Public Policy and Administration</t>
  </si>
  <si>
    <t>Public Policy Research</t>
  </si>
  <si>
    <t>Public Relations Review</t>
  </si>
  <si>
    <t>Public Services Quarterly</t>
  </si>
  <si>
    <t>Public Transport</t>
  </si>
  <si>
    <t>Public Transport International</t>
  </si>
  <si>
    <t>Public Understanding of Science</t>
  </si>
  <si>
    <t>Public Works Management and Policy</t>
  </si>
  <si>
    <t>Publishing Executive</t>
  </si>
  <si>
    <t>Publishing Research Quarterly</t>
  </si>
  <si>
    <t>Publius</t>
  </si>
  <si>
    <t>Puerto Rico Health Sciences Journal</t>
  </si>
  <si>
    <t>Pulmonary Pharmacology and Therapeutics</t>
  </si>
  <si>
    <t>Punishment and Society</t>
  </si>
  <si>
    <t>Pure and Applied Chemistry</t>
  </si>
  <si>
    <t>Pure and Applied Geophysics</t>
  </si>
  <si>
    <t>Pure and Applied Mathematics Quarterly</t>
  </si>
  <si>
    <t>Purinergic Signalling</t>
  </si>
  <si>
    <t>Pythagoras</t>
  </si>
  <si>
    <t>PZ Prisma</t>
  </si>
  <si>
    <t>Qatar Medical Journal</t>
  </si>
  <si>
    <t>Qatar</t>
  </si>
  <si>
    <t>Qiangjiguang Yu Lizishu/High Power Laser and Particle Beams</t>
  </si>
  <si>
    <t>Qiche Gongcheng/Automotive Engineering</t>
  </si>
  <si>
    <t>Qinghua Daxue Xuebao/Journal of Tsinghua University</t>
  </si>
  <si>
    <t>QJM - Monthly Journal of the Association of Physicians</t>
  </si>
  <si>
    <t>Quaderni ACP</t>
  </si>
  <si>
    <t>Quaderni d'Italianistica</t>
  </si>
  <si>
    <t>Quaderni Italiani di Psichiatria</t>
  </si>
  <si>
    <t>Quaderni Storici</t>
  </si>
  <si>
    <t>Quaderni Urbinati di Cultura Classica</t>
  </si>
  <si>
    <t>Quaderns</t>
  </si>
  <si>
    <t>Quaderns de l'Institut Catala d'Antropologia</t>
  </si>
  <si>
    <t>Quadrature</t>
  </si>
  <si>
    <t>Quaerendo</t>
  </si>
  <si>
    <t>Quaestiones Geographicae</t>
  </si>
  <si>
    <t>Quaestiones Mathematicae</t>
  </si>
  <si>
    <t>Quaker history</t>
  </si>
  <si>
    <t>Qualitative Health Research</t>
  </si>
  <si>
    <t>Qualitative Inquiry</t>
  </si>
  <si>
    <t>Qualitative Market Research</t>
  </si>
  <si>
    <t>Qualitative Report</t>
  </si>
  <si>
    <t>Qualitative Research</t>
  </si>
  <si>
    <t>Qualitative Research in Accounting and Management</t>
  </si>
  <si>
    <t>Qualitative Research in Psychology</t>
  </si>
  <si>
    <t>Qualitative Research in Sport and Exercise</t>
  </si>
  <si>
    <t>Qualitative Research Journal</t>
  </si>
  <si>
    <t>Qualitative Social Work</t>
  </si>
  <si>
    <t>Qualitative Sociology</t>
  </si>
  <si>
    <t>Qualitative Sociology Review</t>
  </si>
  <si>
    <t>Qualitative Theory of Dynamical Systems</t>
  </si>
  <si>
    <t>Qualitiative Research in Sport, Exercise and Health</t>
  </si>
  <si>
    <t>Quality - Access to Success</t>
  </si>
  <si>
    <t>Quality and Quantity</t>
  </si>
  <si>
    <t>Quality and Reliability Engineering International</t>
  </si>
  <si>
    <t>Quality Assurance and Safety of Crops and Foods</t>
  </si>
  <si>
    <t>Quality Assurance in Education</t>
  </si>
  <si>
    <t>Quality Assurance Journal</t>
  </si>
  <si>
    <t>Quality Engineering</t>
  </si>
  <si>
    <t>Quality in Higher Education</t>
  </si>
  <si>
    <t>Quality Innovation Prosperity</t>
  </si>
  <si>
    <t>Quality in Primary Care</t>
  </si>
  <si>
    <t>Quality Management in Health Care</t>
  </si>
  <si>
    <t>Quality of Life Research</t>
  </si>
  <si>
    <t>Quality Progress</t>
  </si>
  <si>
    <t>Quality Technology and Quantitative Management</t>
  </si>
  <si>
    <t>Quantitative Finance</t>
  </si>
  <si>
    <t>Quantitative InfraRed Thermography</t>
  </si>
  <si>
    <t>Quantitative Marketing and Economics</t>
  </si>
  <si>
    <t>Quantum Electronics</t>
  </si>
  <si>
    <t>Quantum Information and Computation</t>
  </si>
  <si>
    <t>Quantum Information Processing</t>
  </si>
  <si>
    <t>Quartar</t>
  </si>
  <si>
    <t>Quarterly Journal of Austrian Economics</t>
  </si>
  <si>
    <t>Quarterly Journal of Economics</t>
  </si>
  <si>
    <t>Quarterly Journal of Engineering Geology and Hydrogeology</t>
  </si>
  <si>
    <t>Quarterly Journal of Experimental Psychology</t>
  </si>
  <si>
    <t>Quarterly Journal of International Agriculture</t>
  </si>
  <si>
    <t>Quarterly Journal of Mathematics</t>
  </si>
  <si>
    <t>Quarterly Journal of Mechanics and Applied Mathematics</t>
  </si>
  <si>
    <t>Quarterly Journal of Nuclear Medicine and Molecular Imaging</t>
  </si>
  <si>
    <t>Quarterly Journal of Political Science</t>
  </si>
  <si>
    <t>Quarterly Journal of Speech</t>
  </si>
  <si>
    <t>Quarterly Journal of the Royal Meteorological Society</t>
  </si>
  <si>
    <t>Quarterly of Applied Mathematics</t>
  </si>
  <si>
    <t>Quarterly Report of RTRI (Railway Technical Research Institute) (Japan)</t>
  </si>
  <si>
    <t>Quarterly Review of Biology</t>
  </si>
  <si>
    <t>Quarterly Review of Economics and Finance</t>
  </si>
  <si>
    <t>Quarterly Review of Film and Video</t>
  </si>
  <si>
    <t>Quarterly Reviews of Biophysics</t>
  </si>
  <si>
    <t>Quarternary Science Reviews</t>
  </si>
  <si>
    <t>Quasigroups and Related Systems</t>
  </si>
  <si>
    <t>Quaternaire</t>
  </si>
  <si>
    <t>Quaternaire, Supplement</t>
  </si>
  <si>
    <t>Quaternary Geochronology</t>
  </si>
  <si>
    <t>Quaternary International</t>
  </si>
  <si>
    <t>Quaternary Research</t>
  </si>
  <si>
    <t>Quebec Journal of International Law</t>
  </si>
  <si>
    <t>Queensland nurse, The</t>
  </si>
  <si>
    <t>Queen's Quarterly</t>
  </si>
  <si>
    <t>Queeste</t>
  </si>
  <si>
    <t>Quest</t>
  </si>
  <si>
    <t>Questions Liturgiques</t>
  </si>
  <si>
    <t>Queue</t>
  </si>
  <si>
    <t>Queueing Systems</t>
  </si>
  <si>
    <t>Quimica Nova</t>
  </si>
  <si>
    <t>Quintana</t>
  </si>
  <si>
    <t>Quintessence International</t>
  </si>
  <si>
    <t>Quinto Sol</t>
  </si>
  <si>
    <t>Quinzaine Litteraire</t>
  </si>
  <si>
    <t>Race and Class</t>
  </si>
  <si>
    <t>Race and Social Problems</t>
  </si>
  <si>
    <t>Race Ethnicity and Education</t>
  </si>
  <si>
    <t>Radiation and Environmental Biophysics</t>
  </si>
  <si>
    <t>Radiation Effects and Defects in Solids</t>
  </si>
  <si>
    <t>Radiation Measurements</t>
  </si>
  <si>
    <t>Radiation Oncology</t>
  </si>
  <si>
    <t>Radiation Oncology Journal</t>
  </si>
  <si>
    <t>Radiation Physics and Chemistry</t>
  </si>
  <si>
    <t>Radiation Protection Dosimetry</t>
  </si>
  <si>
    <t>Radiation Research</t>
  </si>
  <si>
    <t>Radiatsionnaya Biologiya Radioekologiya</t>
  </si>
  <si>
    <t>Radical History Review</t>
  </si>
  <si>
    <t>Radical Philosophy</t>
  </si>
  <si>
    <t>Radioactivity in the Environment</t>
  </si>
  <si>
    <t>Radiocarbon</t>
  </si>
  <si>
    <t>Radiochemistry</t>
  </si>
  <si>
    <t>Radiochimica Acta</t>
  </si>
  <si>
    <t>Radioelectronics and Communications Systems</t>
  </si>
  <si>
    <t>Radioengineering</t>
  </si>
  <si>
    <t>Radiographics : a review publication of the Radiological Society of North America, Inc</t>
  </si>
  <si>
    <t>Radiography</t>
  </si>
  <si>
    <t>Radiologia</t>
  </si>
  <si>
    <t>Radiologia Brasileira</t>
  </si>
  <si>
    <t>Radiologia Medica</t>
  </si>
  <si>
    <t>Radiological Physics and Technology</t>
  </si>
  <si>
    <t>Radiologic Clinics of North America</t>
  </si>
  <si>
    <t>Radiologic Technology</t>
  </si>
  <si>
    <t>Radiology</t>
  </si>
  <si>
    <t>Radiology and Oncology</t>
  </si>
  <si>
    <t>Radiology management</t>
  </si>
  <si>
    <t>Radiophysics and Quantum Electronics</t>
  </si>
  <si>
    <t>Radioprotection</t>
  </si>
  <si>
    <t>Radio Science</t>
  </si>
  <si>
    <t>Radiotherapy and Oncology</t>
  </si>
  <si>
    <t>Radovi - Zavoda za povijesne znanosti HAZU u Zadru</t>
  </si>
  <si>
    <t>Radwaste Solutions</t>
  </si>
  <si>
    <t>RA'E GA - O Espaco Geografico em Analise</t>
  </si>
  <si>
    <t>RAE Revista de Administracao de Empresas</t>
  </si>
  <si>
    <t>Raffles Bulletin of Zoology</t>
  </si>
  <si>
    <t>RAIRO Recherche Operationnelle</t>
  </si>
  <si>
    <t>RAIRO - Theoretical Informatics and Applications</t>
  </si>
  <si>
    <t>Raisons Politiques</t>
  </si>
  <si>
    <t>Ramanujan Journal</t>
  </si>
  <si>
    <t>Ramus</t>
  </si>
  <si>
    <t>R and D Management</t>
  </si>
  <si>
    <t>R and D: Research and Development Kobe Steel Engineering Reports</t>
  </si>
  <si>
    <t>RAND Journal of Economics</t>
  </si>
  <si>
    <t>Random Operators and Stochastic Equations</t>
  </si>
  <si>
    <t>Random Structures and Algorithms</t>
  </si>
  <si>
    <t>Rangeland Ecology and Management</t>
  </si>
  <si>
    <t>Rangeland Journal</t>
  </si>
  <si>
    <t>Range Management and Agroforestry</t>
  </si>
  <si>
    <t>Ranshao Kexue Yu Jishu/Journal of Combustion Science and Technology</t>
  </si>
  <si>
    <t>Rapid Communications in Mass Spectrometry</t>
  </si>
  <si>
    <t>Rapid Prototyping Journal</t>
  </si>
  <si>
    <t>Rare Metals</t>
  </si>
  <si>
    <t>Rare Tumors</t>
  </si>
  <si>
    <t>Raritan</t>
  </si>
  <si>
    <t>Rasayan Journal of Chemistry</t>
  </si>
  <si>
    <t>Rasprave Instituta za Hrvatski Jezik i Jezikoslovlje</t>
  </si>
  <si>
    <t>Rassegna della Letteratura Italiana</t>
  </si>
  <si>
    <t>Rassegna di Patologia dell'Apparato Respiratorio</t>
  </si>
  <si>
    <t>Rassegna Italiana di Sociologia</t>
  </si>
  <si>
    <t>Rassegna Storica del Risorgimento</t>
  </si>
  <si>
    <t>Ratio</t>
  </si>
  <si>
    <t>Ratio Juris</t>
  </si>
  <si>
    <t>Rationality and Society</t>
  </si>
  <si>
    <t>Rawal Medical Journal</t>
  </si>
  <si>
    <t>Reaction Kinetics, Mechanisms and Catalysis</t>
  </si>
  <si>
    <t>Reactive and Functional Polymers</t>
  </si>
  <si>
    <t>Reading and Writing</t>
  </si>
  <si>
    <t>Reading and Writing Quarterly</t>
  </si>
  <si>
    <t>Reading Psychology</t>
  </si>
  <si>
    <t>Reading Research Quarterly</t>
  </si>
  <si>
    <t>Reading Teacher</t>
  </si>
  <si>
    <t>Reales Sitios</t>
  </si>
  <si>
    <t>Real Estate Economics</t>
  </si>
  <si>
    <t>Real Estate Taxation</t>
  </si>
  <si>
    <t>Real-Time Systems</t>
  </si>
  <si>
    <t>Reanimation</t>
  </si>
  <si>
    <t>ReCALL</t>
  </si>
  <si>
    <t>Recenti Progressi in Medicina</t>
  </si>
  <si>
    <t>Recent Patents on Anti-Cancer Drug Discovery</t>
  </si>
  <si>
    <t>Recent Patents on Anti-Infective Drug Discovery</t>
  </si>
  <si>
    <t>Recent Patents on Biomedical Engineering</t>
  </si>
  <si>
    <t>Recent Patents on Biotechnology</t>
  </si>
  <si>
    <t>Recent Patents on Cardiovascular Drug Discovery</t>
  </si>
  <si>
    <t>Recent Patents on Chemical Engineering</t>
  </si>
  <si>
    <t>Recent Patents on CNS Drug Discovery</t>
  </si>
  <si>
    <t>Recent Patents on Computer Science</t>
  </si>
  <si>
    <t>Recent Patents on DNA and Gene Sequences</t>
  </si>
  <si>
    <t>Recent Patents on Drug Delivery and Formulation</t>
  </si>
  <si>
    <t>Recent Patents on Electrical Engineering</t>
  </si>
  <si>
    <t>Recent Patents on Endocrine, Metabolic and Immune Drug Discovery</t>
  </si>
  <si>
    <t>Recent Patents on Engineering</t>
  </si>
  <si>
    <t>Recent patents on food, nutrition &amp; agriculture</t>
  </si>
  <si>
    <t>Recent Patents on Inflammation and Allergy Drug Discovery</t>
  </si>
  <si>
    <t>Recent Patents on Materials Science</t>
  </si>
  <si>
    <t>Recent Patents on Mechanical Engineering</t>
  </si>
  <si>
    <t>Recent Patents on Medical Imaging</t>
  </si>
  <si>
    <t>Recent Patents on Nanotechnology</t>
  </si>
  <si>
    <t>Recent Results in Cancer Research</t>
  </si>
  <si>
    <t>Recherche en soins infirmiers</t>
  </si>
  <si>
    <t>Recherche et Pratiques Pedagogiques en Langues de Specialite - Cahiers de l'APLIUT</t>
  </si>
  <si>
    <t>Recherches de Science Religieuse</t>
  </si>
  <si>
    <t>Recherches de Theologie et Philosophie Medievales</t>
  </si>
  <si>
    <t>Recherches Economiques de Louvain</t>
  </si>
  <si>
    <t>Recherches sur Diderot et sur L'Encyclopedie</t>
  </si>
  <si>
    <t>Recherche - Transports - Securite</t>
  </si>
  <si>
    <t>Rechtsmedizin</t>
  </si>
  <si>
    <t>Recht und Psychiatrie</t>
  </si>
  <si>
    <t>ReCollections</t>
  </si>
  <si>
    <t>Record - IEEE PLANS, Position Location and Navigation Symposium</t>
  </si>
  <si>
    <t>Record of Conference Papers - Annual Petroleum and Chemical Industry Conference</t>
  </si>
  <si>
    <t>Records Management Journal</t>
  </si>
  <si>
    <t>Records of Natural Products</t>
  </si>
  <si>
    <t>Records of the Australian Museum</t>
  </si>
  <si>
    <t>Recta</t>
  </si>
  <si>
    <t>Red Cedar Review</t>
  </si>
  <si>
    <t>Redia</t>
  </si>
  <si>
    <t>Redox Report</t>
  </si>
  <si>
    <t>Reference and User Services Quarterly</t>
  </si>
  <si>
    <t>Reference Librarian</t>
  </si>
  <si>
    <t>Reference Services Review</t>
  </si>
  <si>
    <t>Reflective Practice</t>
  </si>
  <si>
    <t>Reflets et Perspectives de la Vie Economique</t>
  </si>
  <si>
    <t>Refractories and Industrial Ceramics</t>
  </si>
  <si>
    <t>Refuat Hapeh Vehashinayim</t>
  </si>
  <si>
    <t>Refuge</t>
  </si>
  <si>
    <t>Refugee Survey Quarterly</t>
  </si>
  <si>
    <t>Regenerative Medicine</t>
  </si>
  <si>
    <t>Regional and Federal Studies</t>
  </si>
  <si>
    <t>Regional and Sectoral Economic Studies</t>
  </si>
  <si>
    <t>Regional Anesthesia and Pain Medicine</t>
  </si>
  <si>
    <t>Regional Development Dialogue</t>
  </si>
  <si>
    <t>Regional Environmental Change</t>
  </si>
  <si>
    <t>Regional Science and Urban Economics</t>
  </si>
  <si>
    <t>Regional Science Inquiry</t>
  </si>
  <si>
    <t>Regional Studies</t>
  </si>
  <si>
    <t>Regular and Chaotic Dynamics</t>
  </si>
  <si>
    <t>Regulation and Governance</t>
  </si>
  <si>
    <t>Regulatory Peptides</t>
  </si>
  <si>
    <t>Regulatory Toxicology and Pharmacology</t>
  </si>
  <si>
    <t>Rehabilitace a Fyzikalni Lekarstvi</t>
  </si>
  <si>
    <t>Rehabilitacia</t>
  </si>
  <si>
    <t>Rehabilitacion</t>
  </si>
  <si>
    <t>Rehabilitacja Medyczna</t>
  </si>
  <si>
    <t>Rehabilitation Counseling Bulletin</t>
  </si>
  <si>
    <t>Rehabilitation Nursing</t>
  </si>
  <si>
    <t>Rehabilitation Oncology</t>
  </si>
  <si>
    <t>Rehabilitation Psychology</t>
  </si>
  <si>
    <t>Rehab management</t>
  </si>
  <si>
    <t>Reinardus</t>
  </si>
  <si>
    <t>Rejuvenation Research</t>
  </si>
  <si>
    <t>Relations Industrielles</t>
  </si>
  <si>
    <t>RELC Journal</t>
  </si>
  <si>
    <t>Reliability Engineering and System Safety</t>
  </si>
  <si>
    <t>Reliable Computing</t>
  </si>
  <si>
    <t>Religio</t>
  </si>
  <si>
    <t>Religion</t>
  </si>
  <si>
    <t>Religion and American Culture</t>
  </si>
  <si>
    <t>Religion and Human Rights</t>
  </si>
  <si>
    <t>Religion and Literature</t>
  </si>
  <si>
    <t>Religion, State and Society</t>
  </si>
  <si>
    <t>Religionsvidenskabeligt Tidsskrift</t>
  </si>
  <si>
    <t>Religious Education</t>
  </si>
  <si>
    <t>Religious Humanism</t>
  </si>
  <si>
    <t>Religious Studies</t>
  </si>
  <si>
    <t>Religious Studies and Theology</t>
  </si>
  <si>
    <t>Religious Studies Review</t>
  </si>
  <si>
    <t>Remedial and Special Education</t>
  </si>
  <si>
    <t>Remediation</t>
  </si>
  <si>
    <t>Remote Sensing of Environment</t>
  </si>
  <si>
    <t>Renaissance and Reformation</t>
  </si>
  <si>
    <t>Renaissance Quarterly</t>
  </si>
  <si>
    <t>Renaissance Studies</t>
  </si>
  <si>
    <t>Renal Failure</t>
  </si>
  <si>
    <t>Renascence</t>
  </si>
  <si>
    <t>Rendiconti del Circolo Matematico di Palermo</t>
  </si>
  <si>
    <t>Rendiconti del Seminario Matematico</t>
  </si>
  <si>
    <t>Rendiconti del Seminario Matematico dell Universita di Padovo</t>
  </si>
  <si>
    <t>Rendiconti Online Societa Geologica Italiana</t>
  </si>
  <si>
    <t>Reneng Dongli Gongcheng/Journal of Engineering for Thermal Energy and Power</t>
  </si>
  <si>
    <t>Renewable Agriculture and Food Systems</t>
  </si>
  <si>
    <t>Renewable and Sustainable Energy Reviews</t>
  </si>
  <si>
    <t>Renewable Energy</t>
  </si>
  <si>
    <t>Rengong Jingti Xuebao/Journal of Synthetic Crystals</t>
  </si>
  <si>
    <t>Rensselaer Polytechnic Institute, Dissertation</t>
  </si>
  <si>
    <t>Rentgenologiya i Radiologiya</t>
  </si>
  <si>
    <t>Report on carcinogens : carcinogen profiles / U.S. Dept. of Health and Human Services, Public Health Service, National Toxicology Program</t>
  </si>
  <si>
    <t>Reports from the Kevo Subarctic Research Station</t>
  </si>
  <si>
    <t>Reports in Medical Imaging</t>
  </si>
  <si>
    <t>Reports of Practical Oncology and Radiotherapy</t>
  </si>
  <si>
    <t>Reports on Mathematical Logic</t>
  </si>
  <si>
    <t>Reports on Mathematical Physics</t>
  </si>
  <si>
    <t>Reports on Progress in Physics</t>
  </si>
  <si>
    <t>Representation</t>
  </si>
  <si>
    <t>Representations</t>
  </si>
  <si>
    <t>Representation Theory</t>
  </si>
  <si>
    <t>Reproduction</t>
  </si>
  <si>
    <t>Reproduction, Fertility and Development</t>
  </si>
  <si>
    <t>Reproduction in Domestic Animals</t>
  </si>
  <si>
    <t>Reproductive biology</t>
  </si>
  <si>
    <t>Reproductive Biology and Endocrinology</t>
  </si>
  <si>
    <t>Reproductive Biology Insights</t>
  </si>
  <si>
    <t>Reproductive BioMedicine Online</t>
  </si>
  <si>
    <t>Reproductive Health</t>
  </si>
  <si>
    <t>Reproductive Health Matters</t>
  </si>
  <si>
    <t>Reproductive Medicine and Biology</t>
  </si>
  <si>
    <t>Reproductive Sciences</t>
  </si>
  <si>
    <t>Reproductive Toxicology</t>
  </si>
  <si>
    <t>Requirements Engineering</t>
  </si>
  <si>
    <t>Research and Development (Barrington, Illinois)</t>
  </si>
  <si>
    <t>Research and Perspectives in Endocrine Interactions</t>
  </si>
  <si>
    <t>Research and Perspectives in Neurosciences</t>
  </si>
  <si>
    <t>Research and Practice for Persons with Severe Disabilities</t>
  </si>
  <si>
    <t>Research and theory for nursing practice</t>
  </si>
  <si>
    <t>Research brief</t>
  </si>
  <si>
    <t>Research briefs</t>
  </si>
  <si>
    <t>Research briefs : center for studying health system change</t>
  </si>
  <si>
    <t>Research Evaluation</t>
  </si>
  <si>
    <t>Research in Accounting Regulation</t>
  </si>
  <si>
    <t>Research in African Literatures</t>
  </si>
  <si>
    <t>Research in Agricultural Engineering</t>
  </si>
  <si>
    <t>Research in Astronomy and Astrophysics</t>
  </si>
  <si>
    <t>Research in Autism Spectrum Disorders</t>
  </si>
  <si>
    <t>Research in Comparative and International Education</t>
  </si>
  <si>
    <t>Research in Contemporary World Literature/ Pazhuhesh-e Zabanha-ye Khareji</t>
  </si>
  <si>
    <t>Research in Developmental Disabilities</t>
  </si>
  <si>
    <t>Research in Economics</t>
  </si>
  <si>
    <t>Research in Education</t>
  </si>
  <si>
    <t>Research in Engineering Design - Theory, Applications, and Concurrent Engineering</t>
  </si>
  <si>
    <t>Research in Experimental Economics</t>
  </si>
  <si>
    <t>Research in Finance</t>
  </si>
  <si>
    <t>Research in gerontological nursing</t>
  </si>
  <si>
    <t>Research in Global Strategic Management</t>
  </si>
  <si>
    <t>Research in Higher Education</t>
  </si>
  <si>
    <t>Research in International Business and Finance</t>
  </si>
  <si>
    <t>Research in Labor Economics</t>
  </si>
  <si>
    <t>Research in Microbiology</t>
  </si>
  <si>
    <t>Research in Nondestructive Evaluation</t>
  </si>
  <si>
    <t>Research in Nursing and Health</t>
  </si>
  <si>
    <t>Research in Organizational Behavior</t>
  </si>
  <si>
    <t>Research in Pharmaceutical Sciences</t>
  </si>
  <si>
    <t>Research in Phenomenology</t>
  </si>
  <si>
    <t>Research in Post-Compulsory Education</t>
  </si>
  <si>
    <t>Research in Psychotherapy: Psychopathology, Process and Outcome</t>
  </si>
  <si>
    <t>Research in Rural Sociology and Development</t>
  </si>
  <si>
    <t>Research in Science Education</t>
  </si>
  <si>
    <t>Research in Social and Administrative Pharmacy</t>
  </si>
  <si>
    <t>Research in Social Problems and Public Policy</t>
  </si>
  <si>
    <t>Research in Social Psychology</t>
  </si>
  <si>
    <t>Research in Social Stratification and Mobility</t>
  </si>
  <si>
    <t>Research in Sports Medicine</t>
  </si>
  <si>
    <t>Research in the Sociology of Organizations</t>
  </si>
  <si>
    <t>Research in the Sociology of Work</t>
  </si>
  <si>
    <t>Research in the Teaching of English</t>
  </si>
  <si>
    <t>Research in Transportation Business and Management</t>
  </si>
  <si>
    <t>Research in Transportation Economics</t>
  </si>
  <si>
    <t>Research in Veterinary Science</t>
  </si>
  <si>
    <t>Research Journal of Applied Sciences</t>
  </si>
  <si>
    <t>Research Journal of Applied Sciences, Engineering and Technology</t>
  </si>
  <si>
    <t>Research Journal of Botany</t>
  </si>
  <si>
    <t>Research Journal of Business Management</t>
  </si>
  <si>
    <t>Research Journal of Cardiology</t>
  </si>
  <si>
    <t>Research Journal of Chemistry and Environment</t>
  </si>
  <si>
    <t>Research Journal of Environmental Toxicology</t>
  </si>
  <si>
    <t>Research Journal of Immunology</t>
  </si>
  <si>
    <t>Research Journal of Information Technology</t>
  </si>
  <si>
    <t>Research Journal of Medical Sciences</t>
  </si>
  <si>
    <t>Research Journal of Medicinal Plant</t>
  </si>
  <si>
    <t>Research Journal of Microbiology</t>
  </si>
  <si>
    <t>Research Journal of Obstetrics and Gynecology</t>
  </si>
  <si>
    <t>Research Journal of Parasitology</t>
  </si>
  <si>
    <t>Research Journal of Pharmaceutical, Biological and Chemical Sciences</t>
  </si>
  <si>
    <t>Research Journal of Pharmacology</t>
  </si>
  <si>
    <t>Research Journal of Pharmacy and Technology</t>
  </si>
  <si>
    <t>Research Journal of Phytochemistry</t>
  </si>
  <si>
    <t>Research Journal of Seed Science</t>
  </si>
  <si>
    <t>Research Methodology in Strategy and Management</t>
  </si>
  <si>
    <t>Research on Aging</t>
  </si>
  <si>
    <t>Research on Chemical Intermediates</t>
  </si>
  <si>
    <t>Research on Crops</t>
  </si>
  <si>
    <t>Research on Language and Computation</t>
  </si>
  <si>
    <t>Research on Language and Social Interaction</t>
  </si>
  <si>
    <t>Research on Managing Groups and Teams</t>
  </si>
  <si>
    <t>Research on Social Work Practice</t>
  </si>
  <si>
    <t>Research Papers in Education</t>
  </si>
  <si>
    <t>Research Policy</t>
  </si>
  <si>
    <t>Research Quarterly for Exercise and Sport</t>
  </si>
  <si>
    <t>Research Report ARR</t>
  </si>
  <si>
    <t>Research report (Health Effects Institute)</t>
  </si>
  <si>
    <t>Research Report - University of Sydney, Department of Civil Engineering</t>
  </si>
  <si>
    <t>Research Studies in Music Education</t>
  </si>
  <si>
    <t>Research Technology Management</t>
  </si>
  <si>
    <t>Reseaux</t>
  </si>
  <si>
    <t>Residential Treatment for Children and Youth</t>
  </si>
  <si>
    <t>Resonance</t>
  </si>
  <si>
    <t>Resource Geology</t>
  </si>
  <si>
    <t>Resource Recycling</t>
  </si>
  <si>
    <t>Resources and Energy Economics</t>
  </si>
  <si>
    <t>Resources, Conservation and Recycling</t>
  </si>
  <si>
    <t>Resources for American Literary Study</t>
  </si>
  <si>
    <t>Resources Policy</t>
  </si>
  <si>
    <t>Respiration and Circulation</t>
  </si>
  <si>
    <t>Respiration; international review of thoracic diseases</t>
  </si>
  <si>
    <t>Respiratory Care</t>
  </si>
  <si>
    <t>Respiratory Investigation</t>
  </si>
  <si>
    <t>Respiratory Medicine</t>
  </si>
  <si>
    <t>Respiratory Medicine Case Reports</t>
  </si>
  <si>
    <t>Respiratory Physiology and Neurobiology</t>
  </si>
  <si>
    <t>Respiratory Research</t>
  </si>
  <si>
    <t>Respirology</t>
  </si>
  <si>
    <t>Res Publica</t>
  </si>
  <si>
    <t>Restaurant Business</t>
  </si>
  <si>
    <t>Restaurator</t>
  </si>
  <si>
    <t>Restoration Ecology</t>
  </si>
  <si>
    <t>Restorative Neurology and Neuroscience</t>
  </si>
  <si>
    <t>Results and Problems in Cell Differentiation</t>
  </si>
  <si>
    <t>Results in Immunology</t>
  </si>
  <si>
    <t>Results in Mathematics</t>
  </si>
  <si>
    <t>Results in Pharma Sciences</t>
  </si>
  <si>
    <t>Results in Physics</t>
  </si>
  <si>
    <t>Resuscitation</t>
  </si>
  <si>
    <t>Rethinking History</t>
  </si>
  <si>
    <t>Rethinking Marxism</t>
  </si>
  <si>
    <t>Reti Medievali Rivista</t>
  </si>
  <si>
    <t>Retina</t>
  </si>
  <si>
    <t>Retina Today</t>
  </si>
  <si>
    <t>Retina-Vitreus</t>
  </si>
  <si>
    <t>Retraite et Societe</t>
  </si>
  <si>
    <t>Retrovirology</t>
  </si>
  <si>
    <t>Reumatismo</t>
  </si>
  <si>
    <t>Reumatizam</t>
  </si>
  <si>
    <t>Reumatologia</t>
  </si>
  <si>
    <t>Reumatologia Clinica</t>
  </si>
  <si>
    <t>Reumatologia Clinica Suplementos</t>
  </si>
  <si>
    <t>Revenue-cycle strategist</t>
  </si>
  <si>
    <t>REVESCO Revista de Estudios Cooperativos</t>
  </si>
  <si>
    <t>Review of Accounting and Finance</t>
  </si>
  <si>
    <t>Review of Accounting Studies</t>
  </si>
  <si>
    <t>Review of African Political Economy</t>
  </si>
  <si>
    <t>Review of Austrian Economics</t>
  </si>
  <si>
    <t>Review of Black Political Economy</t>
  </si>
  <si>
    <t>Review of Central and East European Law</t>
  </si>
  <si>
    <t>Review of Clinical Pharmacology and Pharmacokinetics, International Edition</t>
  </si>
  <si>
    <t>Review of Cognitive Linguistics</t>
  </si>
  <si>
    <t>Review of Communication</t>
  </si>
  <si>
    <t>Review of Derivatives Research</t>
  </si>
  <si>
    <t>Review of Development Economics</t>
  </si>
  <si>
    <t>Review of Development Finance</t>
  </si>
  <si>
    <t>Review of Diabetic Studies</t>
  </si>
  <si>
    <t>Review of Economic Conditions in Italy</t>
  </si>
  <si>
    <t>Review of Economic Design</t>
  </si>
  <si>
    <t>Review of Economic Dynamics</t>
  </si>
  <si>
    <t>Review of Economics and Statistics</t>
  </si>
  <si>
    <t>Review of Economics of the Household</t>
  </si>
  <si>
    <t>Review of Economic Studies</t>
  </si>
  <si>
    <t>Review of Educational Research</t>
  </si>
  <si>
    <t>Review of Education, Pedagogy, and Cultural Studies</t>
  </si>
  <si>
    <t>Review of English Studies, The</t>
  </si>
  <si>
    <t>Review of Environmental Economics and Policy</t>
  </si>
  <si>
    <t>Review of European Community and International Environmental Law</t>
  </si>
  <si>
    <t>Review of European Studies</t>
  </si>
  <si>
    <t>Review of Faith and International Affairs</t>
  </si>
  <si>
    <t>Review of Finance</t>
  </si>
  <si>
    <t>Review of Financial Economics</t>
  </si>
  <si>
    <t>Review of Financial Studies</t>
  </si>
  <si>
    <t>Review of General Psychology</t>
  </si>
  <si>
    <t>Review of Higher Education</t>
  </si>
  <si>
    <t>Review of High Pressure Science and Technology/Koatsuryoku No Kagaku To Gijutsu</t>
  </si>
  <si>
    <t>Review of Income and Wealth</t>
  </si>
  <si>
    <t>Review of Industrial Organization</t>
  </si>
  <si>
    <t>Review of International Economics</t>
  </si>
  <si>
    <t>Review of International Organizations</t>
  </si>
  <si>
    <t>Review of International Political Economy</t>
  </si>
  <si>
    <t>Review of International Studies</t>
  </si>
  <si>
    <t>Review of Law and Economics</t>
  </si>
  <si>
    <t>Review of law and social change. New York University</t>
  </si>
  <si>
    <t>Review of Managerial Science</t>
  </si>
  <si>
    <t>Review of Marketing Science</t>
  </si>
  <si>
    <t>Review of Metaphysics</t>
  </si>
  <si>
    <t>Review of Network Economics</t>
  </si>
  <si>
    <t>Review of Pacific Basin Financial Markets and Policies</t>
  </si>
  <si>
    <t>Review of Palaeobotany and Palynology</t>
  </si>
  <si>
    <t>Review of Philosophy and Psychology</t>
  </si>
  <si>
    <t>Review of Policy Research</t>
  </si>
  <si>
    <t>Review of Political Economy</t>
  </si>
  <si>
    <t>Review of Politics</t>
  </si>
  <si>
    <t>Review of Public Personnel Administration</t>
  </si>
  <si>
    <t>Review of Quantitative Finance and Accounting</t>
  </si>
  <si>
    <t>Review of Rabbinic Judaism</t>
  </si>
  <si>
    <t>Review of Radical Political Economics</t>
  </si>
  <si>
    <t>Review of Regional Studies</t>
  </si>
  <si>
    <t>Review of Religious Research</t>
  </si>
  <si>
    <t>Review of Research in Education</t>
  </si>
  <si>
    <t>Review of Scientific Instruments</t>
  </si>
  <si>
    <t>Review of Social Economy</t>
  </si>
  <si>
    <t>Review of Symbolic Logic</t>
  </si>
  <si>
    <t>Review of Urban and Regional Development Studies</t>
  </si>
  <si>
    <t>Review of World Economics</t>
  </si>
  <si>
    <t>Reviews in American History</t>
  </si>
  <si>
    <t>Reviews in Analytical Chemistry</t>
  </si>
  <si>
    <t>Reviews in Anthropology</t>
  </si>
  <si>
    <t>Reviews in Aquaculture</t>
  </si>
  <si>
    <t>Reviews in Cardiovascular Medicine</t>
  </si>
  <si>
    <t>Reviews in Chemical Engineering</t>
  </si>
  <si>
    <t>Reviews in Clinical Gerontology</t>
  </si>
  <si>
    <t>Reviews in Endocrine and Metabolic Disorders</t>
  </si>
  <si>
    <t>Reviews in Environmental Science and Biotechnology</t>
  </si>
  <si>
    <t>Reviews in Fish Biology and Fisheries</t>
  </si>
  <si>
    <t>Reviews in Fisheries Science</t>
  </si>
  <si>
    <t>Reviews in Inorganic Chemistry</t>
  </si>
  <si>
    <t>Reviews in Mathematical Physics</t>
  </si>
  <si>
    <t>Reviews in Medical Microbiology</t>
  </si>
  <si>
    <t>Reviews in Medical Virology</t>
  </si>
  <si>
    <t>Reviews in Mineralogy and Geochemistry</t>
  </si>
  <si>
    <t>Reviews in Neurological Diseases</t>
  </si>
  <si>
    <t>Reviews in the Neurosciences</t>
  </si>
  <si>
    <t>Reviews of Environmental Contamination and Toxicology</t>
  </si>
  <si>
    <t>Reviews of Geophysics</t>
  </si>
  <si>
    <t>Reviews of Human Factors and Ergonomics</t>
  </si>
  <si>
    <t>Reviews of Modern Physics</t>
  </si>
  <si>
    <t>Reviews of Physiology Biochemistry and Pharmacology</t>
  </si>
  <si>
    <t>Reviews on Advanced Materials Science</t>
  </si>
  <si>
    <t>Reviews on Environmental Health</t>
  </si>
  <si>
    <t>Reviews on Recent Clinical Trials</t>
  </si>
  <si>
    <t>Review (United Kingdom)</t>
  </si>
  <si>
    <t>Revija Za Socijalnu Politiku</t>
  </si>
  <si>
    <t>Revija za Sociologiju</t>
  </si>
  <si>
    <t>Revisiones en Cancer</t>
  </si>
  <si>
    <t>Revista Alergia Mexico</t>
  </si>
  <si>
    <t>Revista Andaluza de Medicina del Deporte</t>
  </si>
  <si>
    <t>Revista Argentina de Cardiologia</t>
  </si>
  <si>
    <t>Revista Argentina de Clinica Psicologica</t>
  </si>
  <si>
    <t>Revista Argentina de Dermatologia</t>
  </si>
  <si>
    <t>Revista Argentina de Endocrinologia y Metabolismo</t>
  </si>
  <si>
    <t>Revista Argentina de Microbiologia</t>
  </si>
  <si>
    <t>Revista Arvore</t>
  </si>
  <si>
    <t>Revista Brasileira de Anestesiologia</t>
  </si>
  <si>
    <t>Revista Brasileira de Botanica</t>
  </si>
  <si>
    <t>Revista Brasileira de Cardiologia Invasiva</t>
  </si>
  <si>
    <t>Revista Brasileira de Ciencia Avicola</t>
  </si>
  <si>
    <t>Revista Brasileira de Ciencia do Solo</t>
  </si>
  <si>
    <t>Revista Brasileira de Ciencias Sociais</t>
  </si>
  <si>
    <t>Revista Brasileira de Cineantropometria e Desempenho Humano</t>
  </si>
  <si>
    <t>Revista Brasileira de Coloproctologia</t>
  </si>
  <si>
    <t>Revista Brasileira de Crescimento e Desenvolvimento Humano</t>
  </si>
  <si>
    <t>Revista Brasileira de Economia</t>
  </si>
  <si>
    <t>Revista Brasileira de Educacao</t>
  </si>
  <si>
    <t>Revista Brasileira de Educacao Especial</t>
  </si>
  <si>
    <t>Revista brasileira de enfermagem</t>
  </si>
  <si>
    <t>Revista Brasileira de Engenharia Agricola e Ambiental</t>
  </si>
  <si>
    <t>Revista Brasileira de Engenharia Biomedica</t>
  </si>
  <si>
    <t>Revista Brasileira de Ensino de Fisica</t>
  </si>
  <si>
    <t>Revista Brasileira de Entomologia</t>
  </si>
  <si>
    <t>Revista Brasileira de Epidemiologia</t>
  </si>
  <si>
    <t>Revista Brasileira de Estudos de Populacao</t>
  </si>
  <si>
    <t>Revista Brasileira de Fisioterapia</t>
  </si>
  <si>
    <t>Revista Brasileira de Fruticultura</t>
  </si>
  <si>
    <t>Revista Brasileira de Geofisica</t>
  </si>
  <si>
    <t>Revista Brasileira de Gestao de Negocios</t>
  </si>
  <si>
    <t>Revista Brasileira de Gestao e Desenvolvimento Regional</t>
  </si>
  <si>
    <t>Revista Brasileira de Ginecologia e Obstetricia</t>
  </si>
  <si>
    <t>Revista brasileira de ginecologia e obstetricÌia : revista da FederacÌ§aÌƒo Brasileira das Sociedades de Ginecologia e ObstetriÌcia</t>
  </si>
  <si>
    <t>Revista Brasileira de Hematologia e Hemoterapia</t>
  </si>
  <si>
    <t>Revista Brasileira de Historia</t>
  </si>
  <si>
    <t>Revista Brasileira de Medicina</t>
  </si>
  <si>
    <t>Revista Brasileira de Medicina do Esporte</t>
  </si>
  <si>
    <t>Revista Brasileira de Medicina do Trabalho</t>
  </si>
  <si>
    <t>Revista Brasileira de Oftalmologia</t>
  </si>
  <si>
    <t>Revista Brasileira de Orientacao Profissional</t>
  </si>
  <si>
    <t>Revista Brasileira de Ortopedia</t>
  </si>
  <si>
    <t>Revista Brasileira de Paleontologia</t>
  </si>
  <si>
    <t>Revista Brasileira de Parasitologia Veterinaria</t>
  </si>
  <si>
    <t>Revista Brasileira de Plantas Medicinais</t>
  </si>
  <si>
    <t>Revista Brasileira de Politica Internacional</t>
  </si>
  <si>
    <t>Revista Brasileira de Psiquiatria</t>
  </si>
  <si>
    <t>Revista Brasileira de Reumatologia</t>
  </si>
  <si>
    <t>Revista Brasileira de Saude Materno Infantil</t>
  </si>
  <si>
    <t>Revista Brasileira de Sementes</t>
  </si>
  <si>
    <t>Revista Brasileira de Zootecnia</t>
  </si>
  <si>
    <t>Revista Caatinga</t>
  </si>
  <si>
    <t>Revista Canadiense de Estudios Hispanicos</t>
  </si>
  <si>
    <t>Revista Catalana d'Ornitologia</t>
  </si>
  <si>
    <t>Revista Chapingo, Serie Ciencias Forestales y del Ambiente</t>
  </si>
  <si>
    <t>Revista Chilena de Anestesia</t>
  </si>
  <si>
    <t>Revista Chilena de Cirugia</t>
  </si>
  <si>
    <t>Revista Chilena de Derecho</t>
  </si>
  <si>
    <t>Revista Chilena de Enfermedades Respiratorias</t>
  </si>
  <si>
    <t>Revista Chilena de Historia Natural</t>
  </si>
  <si>
    <t>Revista Chilena de Infectologia</t>
  </si>
  <si>
    <t>Revista Chilena de Literatura</t>
  </si>
  <si>
    <t>Revista Chilena de Neuro-Psiquiatria</t>
  </si>
  <si>
    <t>Revista Chilena de Nutricion</t>
  </si>
  <si>
    <t>Revista Chilena de Obstetricia y Ginecologia</t>
  </si>
  <si>
    <t>Revista Chilena de Pediatria</t>
  </si>
  <si>
    <t>Revista Chilena de Radiologia</t>
  </si>
  <si>
    <t>Revista Ciencia Agronomica</t>
  </si>
  <si>
    <t>Revista Ciencias de la Salud</t>
  </si>
  <si>
    <t>Revista Cientifica de la Facultad de Ciencias Veterinarias de la Universidad del Zulia</t>
  </si>
  <si>
    <t>Revista Cientifica de la Sociedad Espanola de Enfermeria Neurologica</t>
  </si>
  <si>
    <t>Revista Clinica Espanola</t>
  </si>
  <si>
    <t>Revista Colombiana de Anestesiologia</t>
  </si>
  <si>
    <t>Revista Colombiana de Antropologia</t>
  </si>
  <si>
    <t>Revista Colombiana de Cardiologia</t>
  </si>
  <si>
    <t>Revista Colombiana de Ciencias Pecuarias</t>
  </si>
  <si>
    <t>Revista Colombiana de Entomologia</t>
  </si>
  <si>
    <t>Revista Colombiana de Estadistica</t>
  </si>
  <si>
    <t>Revista Colombiana de Gastroenterologia</t>
  </si>
  <si>
    <t>Revista Colombiana de Obstetricia y Ginecologia</t>
  </si>
  <si>
    <t>Revista Colombiana de Psicologia</t>
  </si>
  <si>
    <t>Revista Colombiana de Quimica</t>
  </si>
  <si>
    <t>Revista Complutense de Educacion</t>
  </si>
  <si>
    <t>Revista Complutense de Historia de America</t>
  </si>
  <si>
    <t>Revista Cubana de Cirugia</t>
  </si>
  <si>
    <t>Revista Cubana de Educacion Medica Superior</t>
  </si>
  <si>
    <t>Revista Cubana de Enfermeria</t>
  </si>
  <si>
    <t>Revista Cubana de Estomatologia</t>
  </si>
  <si>
    <t>Revista Cubana de Farmacia</t>
  </si>
  <si>
    <t>Revista Cubana de Fisica</t>
  </si>
  <si>
    <t>Revista Cubana de Hematologia, Inmunologia y Hemoterapia</t>
  </si>
  <si>
    <t>Revista Cubana de Higiene y Epidemiologia</t>
  </si>
  <si>
    <t>Revista Cubana de Investigaciones Biomedicas</t>
  </si>
  <si>
    <t>Revista Cubana de Medicina</t>
  </si>
  <si>
    <t>Revista Cubana de Medicina General Integral</t>
  </si>
  <si>
    <t>Revista Cubana de Medicina Militar</t>
  </si>
  <si>
    <t>Revista Cubana de Medicina Tropical</t>
  </si>
  <si>
    <t>Revista Cubana de Obstetricia y Ginecologia</t>
  </si>
  <si>
    <t>Revista Cubana de Ortopedia y Traumatologia</t>
  </si>
  <si>
    <t>Revista Cubana de Pediatria</t>
  </si>
  <si>
    <t>Revista Cubana de Plantas Medicinales</t>
  </si>
  <si>
    <t>Revista Cubana de Salud Publica</t>
  </si>
  <si>
    <t>Revista da Abordagem Gestaltica</t>
  </si>
  <si>
    <t>Revista da Associacao Medica Brasileira</t>
  </si>
  <si>
    <t>Revista da Educacao Fisica</t>
  </si>
  <si>
    <t>Revista da Escola de Enfermagem da U S P</t>
  </si>
  <si>
    <t>Revista da Sociedade Brasileira de Medicina Tropical</t>
  </si>
  <si>
    <t>Revista de Administracao Publica</t>
  </si>
  <si>
    <t>Revista de Analisis Economico</t>
  </si>
  <si>
    <t>Revista de Antropologia</t>
  </si>
  <si>
    <t>Revista de Antropologia Social</t>
  </si>
  <si>
    <t>Revista de Biologia Marina y Oceanografia</t>
  </si>
  <si>
    <t>Revista de Biologia Tropical</t>
  </si>
  <si>
    <t>Costa Rica</t>
  </si>
  <si>
    <t>Revista de Calidad Asistencial</t>
  </si>
  <si>
    <t>Revista de Chimie</t>
  </si>
  <si>
    <t>Revista de Ciencia Politica</t>
  </si>
  <si>
    <t>Revista de Ciencias Farmaceuticas Basica e Aplicada</t>
  </si>
  <si>
    <t>Revista de Ciencias Sociales</t>
  </si>
  <si>
    <t>Revista de Critica Literaria Latinoamericana</t>
  </si>
  <si>
    <t>Peru</t>
  </si>
  <si>
    <t>Revista de Derecho</t>
  </si>
  <si>
    <t>Revista de derecho y genoma humano = Law and the human genome review / Cátedra de Derecho y Genoma Humano/Fundación BBV-Diputación Foral de Bizkaia</t>
  </si>
  <si>
    <t>Revista de Dialectologia y Tradiciones Populares</t>
  </si>
  <si>
    <t>Revista de Economia Aplicada</t>
  </si>
  <si>
    <t>Revista de Economia Contemporanea</t>
  </si>
  <si>
    <t>Revista de Economia del Rosario</t>
  </si>
  <si>
    <t>Revista de Economia e Sociologia Rural</t>
  </si>
  <si>
    <t>Revista de Economia Institucional</t>
  </si>
  <si>
    <t>Revista de Economia Mundial</t>
  </si>
  <si>
    <t>Revista de Economia Politica/Brazilian Journal of Political Economy</t>
  </si>
  <si>
    <t>Revista de Educacion</t>
  </si>
  <si>
    <t>Revista de enfermeria (Barcelona, Spain)</t>
  </si>
  <si>
    <t>Revista de Estudios Hispanicos</t>
  </si>
  <si>
    <t>Revista de Estudios Historico-Juridicos</t>
  </si>
  <si>
    <t>Revista de Estudios Politicos</t>
  </si>
  <si>
    <t>Revista de Estudios Sociales</t>
  </si>
  <si>
    <t>Revista de Filologia Alemana</t>
  </si>
  <si>
    <t>Revista de Filologia Espanola</t>
  </si>
  <si>
    <t>Revista de Filologia Romanica</t>
  </si>
  <si>
    <t>Revista de Filosofia</t>
  </si>
  <si>
    <t>Revista de Filosofia: Aurora</t>
  </si>
  <si>
    <t>Revista de Fitoterapia</t>
  </si>
  <si>
    <t>Revista de gastroenterologia del Peru : organo oficial de la Sociedad de Gastroenterologia del Peru</t>
  </si>
  <si>
    <t>Revista de Gastroenterologia de Mexico</t>
  </si>
  <si>
    <t>Revista de Geografia Norte Grande</t>
  </si>
  <si>
    <t>Revista de Historia Economica - Journal of Iberian and Latin American Economic History</t>
  </si>
  <si>
    <t>Revista de Historia Industrial</t>
  </si>
  <si>
    <t>Revista de Humanidades</t>
  </si>
  <si>
    <t>Revista de Indias</t>
  </si>
  <si>
    <t>Revista de Investigacion Clinica</t>
  </si>
  <si>
    <t>Revista de Investigacion Educativa</t>
  </si>
  <si>
    <t>Revista de Investigaciones Veterinarias del Peru</t>
  </si>
  <si>
    <t>Revista de la Asociacion Espanola de Especialistas en Medicina del Trabajo</t>
  </si>
  <si>
    <t>Revista de la Asociacion Geologica Argentina</t>
  </si>
  <si>
    <t>Revista de la Construccion</t>
  </si>
  <si>
    <t>Revista de la Facultad de Agronomia</t>
  </si>
  <si>
    <t>Revista de la Facultad de Ciencias Agrarias</t>
  </si>
  <si>
    <t>Revista de la Facultad de Ciencias Medicas de Cordoba</t>
  </si>
  <si>
    <t>Revista de la Facultad de Ingenieria</t>
  </si>
  <si>
    <t>Revista de la Facultad de Medicina</t>
  </si>
  <si>
    <t>Revista de la Federacion Argentina de Cardiologia</t>
  </si>
  <si>
    <t>Revista de la Real Academia de Ciencias Exactas, Fisicas y Naturales - Serie A: Matematicas</t>
  </si>
  <si>
    <t>Revista de la Sociedad Espanola de Enfermeria Nefrologica</t>
  </si>
  <si>
    <t>Revista de la Union Matematica Argentina</t>
  </si>
  <si>
    <t>Revista de Letras</t>
  </si>
  <si>
    <t>Revista del Hospital Psiquiatrico de la Habana</t>
  </si>
  <si>
    <t>Revista del Instituto Nacional de Enfermedades Respiratorias</t>
  </si>
  <si>
    <t>Revista de Literatura</t>
  </si>
  <si>
    <t>Revista de Literatura Medieval</t>
  </si>
  <si>
    <t>Revista del Laboratorio Clinico</t>
  </si>
  <si>
    <t>Revista de Llengua i Dret</t>
  </si>
  <si>
    <t>Revista del Museo Argentino de Ciencias Naturales, Nueva Serie</t>
  </si>
  <si>
    <t>Revista de Logopedia, Foniatria y Audiologia</t>
  </si>
  <si>
    <t>Revista de Metalurgia</t>
  </si>
  <si>
    <t>Revista de Metodos Cuantitativos para la Economia y la Empresa</t>
  </si>
  <si>
    <t>Revista de Nefrologia, Dialisis y Transplante</t>
  </si>
  <si>
    <t>Revista de Neurologia</t>
  </si>
  <si>
    <t>Revista de Nutricao</t>
  </si>
  <si>
    <t>Revista de Obras Publicas</t>
  </si>
  <si>
    <t>Revista de Obstetricia y Ginecologia de Venezuela</t>
  </si>
  <si>
    <t>Revista de Occidente</t>
  </si>
  <si>
    <t>Revista de Pedagogia</t>
  </si>
  <si>
    <t>Revista de Psicodidactica</t>
  </si>
  <si>
    <t>Revista de Psicologia del Deporte</t>
  </si>
  <si>
    <t>Revista de Psicologia Social</t>
  </si>
  <si>
    <t>Revista de Psicopatologia y Psicologia Clinica</t>
  </si>
  <si>
    <t>Revista de Psiquiatria Clinica</t>
  </si>
  <si>
    <t>Revista de Psiquiatria do Rio Grande do Sul</t>
  </si>
  <si>
    <t>Revista de Psiquiatria y Salud Mental</t>
  </si>
  <si>
    <t>Revista de Salud Publica</t>
  </si>
  <si>
    <t>Revista de Saude Publica</t>
  </si>
  <si>
    <t>Revista de Sociologia e Politica</t>
  </si>
  <si>
    <t>Revista d'Estudis Autonomics i Federals</t>
  </si>
  <si>
    <t>Revista de Toxicologia</t>
  </si>
  <si>
    <t>Revista de Universidad y Sociedad del Conocimiento</t>
  </si>
  <si>
    <t>Revista do Colegio Brasileiro de Cirurgioes</t>
  </si>
  <si>
    <t>Revista do Instituto de Medicina Tropical de Sao Paulo</t>
  </si>
  <si>
    <t>Revista Ecuatoriana de Neurologia</t>
  </si>
  <si>
    <t>Revista Electronica Complutense de Investigacion Musical</t>
  </si>
  <si>
    <t>Revista Electronica de Investigacion Educativa</t>
  </si>
  <si>
    <t>Revista Electronica de Investigacion y Evaluacion Educativa</t>
  </si>
  <si>
    <t>Revista em Agronegocio e Meio Ambiente</t>
  </si>
  <si>
    <t>Revista Enfermagem</t>
  </si>
  <si>
    <t>Revista Escola de Minas</t>
  </si>
  <si>
    <t>Revista Espanola de Anestesiologia y Reanimacion</t>
  </si>
  <si>
    <t>Revista Espanola de Antropologia Americana</t>
  </si>
  <si>
    <t>Revista Espanola de Cardiologia</t>
  </si>
  <si>
    <t>Revista Espanola de Cardiologia Suplementos</t>
  </si>
  <si>
    <t>Revista Espanola de Cirugia Oral y Maxilofacial</t>
  </si>
  <si>
    <t>Revista Espanola de Cirugia Ortopedica y Traumatologia</t>
  </si>
  <si>
    <t>Revista Espanola de Derecho Constitucional</t>
  </si>
  <si>
    <t>Revista Espanola de Documentacion Cientifica</t>
  </si>
  <si>
    <t>Revista Espanola de Drogodependencias</t>
  </si>
  <si>
    <t>Revista Espanola de Enfermedades Digestivas</t>
  </si>
  <si>
    <t>Revista Espanola de Financiacion y Contabilidad</t>
  </si>
  <si>
    <t>Revista Espanola de Geriatria y Gerontologia</t>
  </si>
  <si>
    <t>Revista Espanola de Investigaciones Sociologicas</t>
  </si>
  <si>
    <t>Revista Espanola de Linguistica Aplicada</t>
  </si>
  <si>
    <t>Revista Espanola de Medicina Legal</t>
  </si>
  <si>
    <t>Revista Espanola de Medicina Nuclear e Imagen Molecular</t>
  </si>
  <si>
    <t>Revista Espanola de Nutricion Humana y Dietetica</t>
  </si>
  <si>
    <t>Revista Espanola de Obesidad</t>
  </si>
  <si>
    <t>Revista Espanola de Paleontologia</t>
  </si>
  <si>
    <t>Revista Espanola de Patologia</t>
  </si>
  <si>
    <t>Revista Espanola de Pedagogia</t>
  </si>
  <si>
    <t>Revista Espanola de Pediatria</t>
  </si>
  <si>
    <t>Revista Espanola de Quimioterapia</t>
  </si>
  <si>
    <t>Revista Espanola de Salud Publica</t>
  </si>
  <si>
    <t>Revista Espanola de Sociologia</t>
  </si>
  <si>
    <t>Revista Europea de Direccion y Economia de la Empresa</t>
  </si>
  <si>
    <t>Revista Europea de Estudios Latinoamericanos y del Caribe/European Review of Latin American and Caribbean Studies</t>
  </si>
  <si>
    <t>Revista Facultad de Ingenieria</t>
  </si>
  <si>
    <t>Revista Fitotecnia Mexicana</t>
  </si>
  <si>
    <t>Revista Galega de Economia</t>
  </si>
  <si>
    <t>Revista gaucha de enfermagem / EENFUFRGS</t>
  </si>
  <si>
    <t>Revista General de Informacion y Documentacion</t>
  </si>
  <si>
    <t>Revista Geografica Venezolana</t>
  </si>
  <si>
    <t>Revista Gerencia y Politicas de Salud</t>
  </si>
  <si>
    <t>Revista Iberoamericana</t>
  </si>
  <si>
    <t>Revista Iberoamericana de Diagnostico y Evaluacion Psicologica</t>
  </si>
  <si>
    <t>Revista Iberoamericana de Fertilidad y Reproduccion Humana</t>
  </si>
  <si>
    <t>Revista Iberoamericana de Fisioterapia y Kinesiologia</t>
  </si>
  <si>
    <t>Revista Iberoamericana de Micologia</t>
  </si>
  <si>
    <t>Revista Iberoamericana de Psicologia del Ejercicio y el Deporte</t>
  </si>
  <si>
    <t>Revista Ingenieria de Construccion</t>
  </si>
  <si>
    <t>Revista Interamericana de psicologia/Interamerican Journal of Psychology</t>
  </si>
  <si>
    <t>Revista Internacional de Acupuntura</t>
  </si>
  <si>
    <t>Revista Internacional de Andrologia</t>
  </si>
  <si>
    <t>Revista Internacional de Contaminacion Ambiental</t>
  </si>
  <si>
    <t>Revista Internacional de Linguistica Iberoamericana</t>
  </si>
  <si>
    <t>Revista Internacional de Medicina y Ciencias de la Actividad Fisica y del Deporte</t>
  </si>
  <si>
    <t>Revista Internacional de Metodos Numericos para Calculo y Diseno en Ingenieria</t>
  </si>
  <si>
    <t>Revista Internacional de Sociologia</t>
  </si>
  <si>
    <t>Revista INVI</t>
  </si>
  <si>
    <t>Revista Lasallista de Investigacion</t>
  </si>
  <si>
    <t>Revista Latina de Comunicacion Social</t>
  </si>
  <si>
    <t>Revista Latino-Americana de Enfermagem</t>
  </si>
  <si>
    <t>Revista Latinoamericana de Hipertension</t>
  </si>
  <si>
    <t>Revista Latinoamericana de Metalurgia y Materiales</t>
  </si>
  <si>
    <t>Revista Latinoamericana de Psicologia</t>
  </si>
  <si>
    <t>Revista Latinoamericana de Psicopatologia Fundamental</t>
  </si>
  <si>
    <t>Revista Latinoamericana de Quimica</t>
  </si>
  <si>
    <t>Revista Lusofona de Educacao</t>
  </si>
  <si>
    <t>Revista Matematica Complutense</t>
  </si>
  <si>
    <t>Revista Matematica Iberoamericana</t>
  </si>
  <si>
    <t>Revista Materia</t>
  </si>
  <si>
    <t>Revista Medica de Chile</t>
  </si>
  <si>
    <t>Revista Medica de Homeopatia</t>
  </si>
  <si>
    <t>Revista Medica del Instituto Mexicano del Seguro Social</t>
  </si>
  <si>
    <t>Revista Medica de Rosario</t>
  </si>
  <si>
    <t>Revista Medico-Chirurgicala a Societatii de Medici si Naturalisti din Iasi</t>
  </si>
  <si>
    <t>Revista Mexicana de Anestesiologia</t>
  </si>
  <si>
    <t>Revista Mexicana de Astronomia y Astrofisica</t>
  </si>
  <si>
    <t>Revista Mexicana de Biodiversidad</t>
  </si>
  <si>
    <t>Revista Mexicana de Cardiologia</t>
  </si>
  <si>
    <t>Revista Mexicana de Ciencias Farmaceuticas</t>
  </si>
  <si>
    <t>Revista Mexicana de Ciencias Geologicas</t>
  </si>
  <si>
    <t>Revista Mexicana de Enfermeria Cardiologica</t>
  </si>
  <si>
    <t>Revista Mexicana de Fisica</t>
  </si>
  <si>
    <t>Revista Mexicana de Ingeniera Qumica</t>
  </si>
  <si>
    <t>Revista Mexicana de Ingenieria Biomedica</t>
  </si>
  <si>
    <t>Revista Mexicana de Investigacion Educativa</t>
  </si>
  <si>
    <t>Revista Mexicana de Neurociencia</t>
  </si>
  <si>
    <t>Revista Mexicana de Oftalmologia</t>
  </si>
  <si>
    <t>Revista Mexicana de Psicologia</t>
  </si>
  <si>
    <t>Revista Mexicana de Sociologia</t>
  </si>
  <si>
    <t>Revista Multidisciplinar de Gerontologia</t>
  </si>
  <si>
    <t>Revista Musical Chilena</t>
  </si>
  <si>
    <t>Revista MVZ Cordoba</t>
  </si>
  <si>
    <t>Revista Neurociencias</t>
  </si>
  <si>
    <t>Revista Odonto Ciencia</t>
  </si>
  <si>
    <t>Revista Panamericana de Salud Publica/Pan American Journal of Public Health</t>
  </si>
  <si>
    <t>Revista Paulista de Pediatria</t>
  </si>
  <si>
    <t>Revista Peruana de Medicina de Experimental y Salud Publica</t>
  </si>
  <si>
    <t>Revista Portuguesa de Cardiologia</t>
  </si>
  <si>
    <t>Revista Portuguesa de Estomatologia, Medicina Dentaria e Cirurgia Maxilofacial</t>
  </si>
  <si>
    <t>Revista Portuguesa de Imunoalergologia</t>
  </si>
  <si>
    <t>Revista Portuguesa de Pneumologia</t>
  </si>
  <si>
    <t>Revista Romana de Bioetica</t>
  </si>
  <si>
    <t>Revista Romana de Materiale/ Romanian Journal of Materials</t>
  </si>
  <si>
    <t>Revista Romana de Medicina de Laborator</t>
  </si>
  <si>
    <t>Revista Signos</t>
  </si>
  <si>
    <t>Revista Tecnica de la Facultad de Ingenieria Universidad del Zulia</t>
  </si>
  <si>
    <t>Revista Transilvania</t>
  </si>
  <si>
    <t>Revista Venezolana de Gerencia</t>
  </si>
  <si>
    <t>Revista Venezolana de Oncologia</t>
  </si>
  <si>
    <t>Revista Veterinaria</t>
  </si>
  <si>
    <t>Revista Virtual de Quimica</t>
  </si>
  <si>
    <t>Revolutionary Russia</t>
  </si>
  <si>
    <t>Rev Roumaine des Sciences Techniques-Series Electrotechnique et Energetique</t>
  </si>
  <si>
    <t>Revue Archeologique</t>
  </si>
  <si>
    <t>Revue Archeologique de l'Est</t>
  </si>
  <si>
    <t>Revue Belge de Philologie et de Histoire</t>
  </si>
  <si>
    <t>Revue belge d"histoire contemporaine. Belgisch tijdschrift voor nieuwste geschiedenis</t>
  </si>
  <si>
    <t>Revue Biblique</t>
  </si>
  <si>
    <t>Revue d'Anthropologie des Connaissances</t>
  </si>
  <si>
    <t>Revue de Chirurgie Orthopedique et Traumatologique</t>
  </si>
  <si>
    <t>Revue d'Ecologie (La Terre et la Vie)</t>
  </si>
  <si>
    <t>Revue d'Economie du Developpement</t>
  </si>
  <si>
    <t>Revue d'Economie Politique</t>
  </si>
  <si>
    <t>Revue de Geographie Alpine</t>
  </si>
  <si>
    <t>Revue de Geriatrie</t>
  </si>
  <si>
    <t>Revue d'Egyptologie</t>
  </si>
  <si>
    <t>Revue de Histoire Litteraire de la France</t>
  </si>
  <si>
    <t>Revue de la Histoire des Religions</t>
  </si>
  <si>
    <t>Revue de l'Art</t>
  </si>
  <si>
    <t>Revue de Laryngologie Otologie Rhinologie</t>
  </si>
  <si>
    <t>Revue de la Societe francaise d'histoire des hopitaux</t>
  </si>
  <si>
    <t>Revue de l'Infirmiere</t>
  </si>
  <si>
    <t>Revue de Linguistique Romane</t>
  </si>
  <si>
    <t>Revue de l'OFCE</t>
  </si>
  <si>
    <t>Revue de Medecine Interne</t>
  </si>
  <si>
    <t>Revue de Medecine Legale</t>
  </si>
  <si>
    <t>Revue de Medecine Perinatale</t>
  </si>
  <si>
    <t>Revue de Medecine Veterinaire</t>
  </si>
  <si>
    <t>Revue de Metallurgie. Cahiers D'Informations Techniques</t>
  </si>
  <si>
    <t>Revue de Metaphysique et de Morale</t>
  </si>
  <si>
    <t>Revue de Micropaleontologie</t>
  </si>
  <si>
    <t>Revue de Musicologie</t>
  </si>
  <si>
    <t>Revue de Paleobiologie</t>
  </si>
  <si>
    <t>Revue de Philosophie Ancienne</t>
  </si>
  <si>
    <t>Revue d'Epidemiologie et de Sante Publique</t>
  </si>
  <si>
    <t>Revue de Pneumologie Clinique</t>
  </si>
  <si>
    <t>Revue de Psychotherapie Psychanalytique de Groupe</t>
  </si>
  <si>
    <t>Revue de Qumran</t>
  </si>
  <si>
    <t>Revue des Etudes Anciennes</t>
  </si>
  <si>
    <t>Revue des Etudes Armeniennes</t>
  </si>
  <si>
    <t>Revue des Etudes Grecques</t>
  </si>
  <si>
    <t>Revue des Etudes Juives</t>
  </si>
  <si>
    <t>Revue des Langues Romanes</t>
  </si>
  <si>
    <t>Revue des Maladies Respiratoires</t>
  </si>
  <si>
    <t>Revue des Maladies Respiratoires Actualites</t>
  </si>
  <si>
    <t>Revue des Musees de France</t>
  </si>
  <si>
    <t>Revue Des Sciences De L'Eau</t>
  </si>
  <si>
    <t>Revue des Sciences Humaines</t>
  </si>
  <si>
    <t>Revue de Stomatologie et de Chirurgie Maxillo-Faciale</t>
  </si>
  <si>
    <t>Revue de synthese / Centre international de synthese</t>
  </si>
  <si>
    <t>Revue de Theologie et de Philosophie</t>
  </si>
  <si>
    <t>Revue d Etudes Augustiniennes et Patristiques</t>
  </si>
  <si>
    <t>Revue d'Etudes Comparatives Est-Ouest</t>
  </si>
  <si>
    <t>Revue d'histoire de la pharmacie</t>
  </si>
  <si>
    <t>Revue d'Histoire des Sciences Humaines</t>
  </si>
  <si>
    <t>Revue d'Histoire des Textes</t>
  </si>
  <si>
    <t>Revue d'Histoire du Theatre</t>
  </si>
  <si>
    <t>Revue d'Histoire du XIXe Siecle</t>
  </si>
  <si>
    <t>Revue d'Histoire Ecclesiastique</t>
  </si>
  <si>
    <t>Revue d'Histoire Moderne et Contemporaine</t>
  </si>
  <si>
    <t>Revue d'Homeopathie</t>
  </si>
  <si>
    <t>Revue d'Intelligence Artificielle</t>
  </si>
  <si>
    <t>Revue du Marche Commun et de L'Union Europeenne</t>
  </si>
  <si>
    <t>Revue du Nord</t>
  </si>
  <si>
    <t>Revue du Podologue</t>
  </si>
  <si>
    <t>Revue du Praticien</t>
  </si>
  <si>
    <t>Revue du Rhumatisme (Edition Francaise)</t>
  </si>
  <si>
    <t>Revue du Rhumatisme Monographies</t>
  </si>
  <si>
    <t>Revue Economique</t>
  </si>
  <si>
    <t>Revue Europeene de Psychologie Appliquee</t>
  </si>
  <si>
    <t>Revue Francaise d'Administration Publique</t>
  </si>
  <si>
    <t>Revue Francaise d'Allergologie</t>
  </si>
  <si>
    <t>Revue Francaise de Gestion</t>
  </si>
  <si>
    <t>Revue Francaise de Linguistique Appliquee</t>
  </si>
  <si>
    <t>Revue Francaise de Pedagogie</t>
  </si>
  <si>
    <t>Revue Francaise de Photogrammetrie et de Teledetection</t>
  </si>
  <si>
    <t>Revue Francaise de Psychanalyse</t>
  </si>
  <si>
    <t>Revue Francaise de Psychosomatique</t>
  </si>
  <si>
    <t>Revue Francaise de Science Politique</t>
  </si>
  <si>
    <t>Revue Francaise de Sociologie</t>
  </si>
  <si>
    <t>Revue Francaise d'Etudes Americaines</t>
  </si>
  <si>
    <t>Revue Francophone des Laboratoires</t>
  </si>
  <si>
    <t>Revue Francophone d'Orthoptie</t>
  </si>
  <si>
    <t>Revue Historique</t>
  </si>
  <si>
    <t>Revue Historique de Droit Francais et Etranger</t>
  </si>
  <si>
    <t>Revue Internationale de Criminologie et de Police Technique et Scientifique</t>
  </si>
  <si>
    <t>Revue Internationale de Droit Economique</t>
  </si>
  <si>
    <t>Revue Internationale de Droit Penal</t>
  </si>
  <si>
    <t>Revue Internationale de Philosophie</t>
  </si>
  <si>
    <t>Revue Internationale de Politique Comparee</t>
  </si>
  <si>
    <t>Revue Internationale et Strategique</t>
  </si>
  <si>
    <t>Revue Medicale de Bruxelles</t>
  </si>
  <si>
    <t>Revue Medicale de Liege</t>
  </si>
  <si>
    <t>Revue Medicale Suisse</t>
  </si>
  <si>
    <t>Revue Neurologique</t>
  </si>
  <si>
    <t>Revue Numismatique</t>
  </si>
  <si>
    <t>Revue Philosophique de la France et de La Etranger</t>
  </si>
  <si>
    <t>Revue Philosophique de Louvain</t>
  </si>
  <si>
    <t>Revue Romane</t>
  </si>
  <si>
    <t>Revue Roumaine de Chimie</t>
  </si>
  <si>
    <t>Revue Roumaine de Linguistique</t>
  </si>
  <si>
    <t>Revue Sage - Femme</t>
  </si>
  <si>
    <t>Revue Suisse de Zoologie</t>
  </si>
  <si>
    <t>Revue Theologique de Louvain</t>
  </si>
  <si>
    <t>Rheedea</t>
  </si>
  <si>
    <t>Rheologica Acta</t>
  </si>
  <si>
    <t>Rhetorica</t>
  </si>
  <si>
    <t>Rhetoric and Public Affairs</t>
  </si>
  <si>
    <t>Rhetoric Review</t>
  </si>
  <si>
    <t>Rheumatic Disease Clinics of North America</t>
  </si>
  <si>
    <t>Rheumatology</t>
  </si>
  <si>
    <t>Rheumatology International</t>
  </si>
  <si>
    <t>Rheumatology Reports</t>
  </si>
  <si>
    <t>Rhinology</t>
  </si>
  <si>
    <t>Rhinology. Supplement</t>
  </si>
  <si>
    <t>Rhodes Cook Letter</t>
  </si>
  <si>
    <t>Rhodora</t>
  </si>
  <si>
    <t>RIAI - Revista Iberoamericana de Automatica e Informatica Industrial</t>
  </si>
  <si>
    <t>Rice</t>
  </si>
  <si>
    <t>Ricerca e Pratica</t>
  </si>
  <si>
    <t>Ricerche di Matematica</t>
  </si>
  <si>
    <t>Ricerche di Storia dell'Arte</t>
  </si>
  <si>
    <t>Ricerche di Storia Politica</t>
  </si>
  <si>
    <t>Rice Science</t>
  </si>
  <si>
    <t>Rice University, Dissertation</t>
  </si>
  <si>
    <t>RICYDE. Revista internacional de ciencias del deporte</t>
  </si>
  <si>
    <t>Rigakuryoho Kagaku</t>
  </si>
  <si>
    <t>RILCE. Revista de Filologia Hispanica</t>
  </si>
  <si>
    <t>RIMA: Review of Indonesian and Malaysian Affairs</t>
  </si>
  <si>
    <t>Ringing and Migration</t>
  </si>
  <si>
    <t>Rinsan Shikenj Oha/Journal of the Hokkaido Forest Products Research Institute</t>
  </si>
  <si>
    <t>Rinsho Biseibutsu Jinsoku Shindan Kenkyukai shi = JARMAM : Journal of the Association for Rapid Method and Automation in Microbiology</t>
  </si>
  <si>
    <t>Rinsho byori. The Japanese journal of clinical pathology</t>
  </si>
  <si>
    <t>Rinsho ketsueki] The Japanese journal of clinical hematology</t>
  </si>
  <si>
    <t>Risk Analysis</t>
  </si>
  <si>
    <t>Risk and Decision Analysis</t>
  </si>
  <si>
    <t>Risk Management and Healthcare Policy</t>
  </si>
  <si>
    <t>Risk Management and Insurance Review</t>
  </si>
  <si>
    <t>Risk Management: An International Journal</t>
  </si>
  <si>
    <t>RISTI - Revista Iberica de Sistemas e Tecnologias de Informacao</t>
  </si>
  <si>
    <t>River Research and Applications</t>
  </si>
  <si>
    <t>Rivista di Biologia</t>
  </si>
  <si>
    <t>Rivista di Cultura Classica e Medioevale</t>
  </si>
  <si>
    <t>Rivista di Filologia Classica</t>
  </si>
  <si>
    <t>Rivista di Filosofia Neo-Scolastica</t>
  </si>
  <si>
    <t>Rivista di Letterature Moderne e Comparate</t>
  </si>
  <si>
    <t>Rivista di Linguistica</t>
  </si>
  <si>
    <t>Rivista di Psichiatria</t>
  </si>
  <si>
    <t>Rivista Di Psicoanalisi</t>
  </si>
  <si>
    <t>Rivista di Storia della Filosofia</t>
  </si>
  <si>
    <t>Rivista di Storia e Letteratura Religiosa</t>
  </si>
  <si>
    <t>Rivista Giurdica dell'Ambiente</t>
  </si>
  <si>
    <t>Rivista Italiana della Medicina di Laboratorio</t>
  </si>
  <si>
    <t>Rivista Italiana della Saldatura</t>
  </si>
  <si>
    <t>Rivista Italiana delle Sostanze Grasse</t>
  </si>
  <si>
    <t>Rivista Italiana di Medicina dell'Adolescenza</t>
  </si>
  <si>
    <t>Rivista, Italiana di Paleontologiia e Stratigrafia</t>
  </si>
  <si>
    <t>Rivista Italiana di Scienza Politica</t>
  </si>
  <si>
    <t>Rivista Storica dell'Antichita</t>
  </si>
  <si>
    <t>Rivista Storica Italiana</t>
  </si>
  <si>
    <t>RLA, Revista de linguistica teorica y aplicada</t>
  </si>
  <si>
    <t>RLC - Revue de Litterature Comparee</t>
  </si>
  <si>
    <t>RNA</t>
  </si>
  <si>
    <t>RNA Biology</t>
  </si>
  <si>
    <t>Road and Bridges - Drogi i Mosty</t>
  </si>
  <si>
    <t>Road and Transport Research</t>
  </si>
  <si>
    <t>Road Materials and Pavement Design</t>
  </si>
  <si>
    <t>Robotica</t>
  </si>
  <si>
    <t>Robotics and Autonomous Systems</t>
  </si>
  <si>
    <t>Robotics and Computer-Integrated Manufacturing</t>
  </si>
  <si>
    <t>Rochester Institute of Technology, Dissertation</t>
  </si>
  <si>
    <t>Rock Art Research</t>
  </si>
  <si>
    <t>Rock Mechanics and Rock Engineering</t>
  </si>
  <si>
    <t>Rocky Mountain Geology</t>
  </si>
  <si>
    <t>Rocky Mountain Journal of Mathematics</t>
  </si>
  <si>
    <t>Roczniki Panstwowego Zakladu Higieny</t>
  </si>
  <si>
    <t>Rocznik Ochrona Srodowiska</t>
  </si>
  <si>
    <t>Rodriguesia</t>
  </si>
  <si>
    <t>Roeper Review</t>
  </si>
  <si>
    <t>RoFo Fortschritte auf dem Gebiet der Rontgenstrahlen und der Bildgebenden Verfahren</t>
  </si>
  <si>
    <t>Romance Philology</t>
  </si>
  <si>
    <t>Romance Quarterly</t>
  </si>
  <si>
    <t>Romance Studies</t>
  </si>
  <si>
    <t>Romanian Agricultural Research</t>
  </si>
  <si>
    <t>Romanian Biotechnological Letters</t>
  </si>
  <si>
    <t>Romanian Journal in Physics</t>
  </si>
  <si>
    <t>Romanian Journal of Acoustics and Vibration</t>
  </si>
  <si>
    <t>Romanian Journal of Diabetes, Nutrition and Metabolic Diseases</t>
  </si>
  <si>
    <t>Romanian Journal of Economic Forecasting</t>
  </si>
  <si>
    <t>Romanian Journal of European Affairs</t>
  </si>
  <si>
    <t>Romanian Journal of Internal Medicine</t>
  </si>
  <si>
    <t>Romanian Journal of Legal Medicine</t>
  </si>
  <si>
    <t>Romanian Journal of Morphology and Embryology</t>
  </si>
  <si>
    <t>Romanian Journal of Neurology/ Revista Romana de Neurologie</t>
  </si>
  <si>
    <t>Romanian Journal of Political Science</t>
  </si>
  <si>
    <t>Romanian Reports on Physics</t>
  </si>
  <si>
    <t>Romanian Review Precision Mechanics, Optics and Mechatronics</t>
  </si>
  <si>
    <t>Romanic Review</t>
  </si>
  <si>
    <t>Romanische Forschungen</t>
  </si>
  <si>
    <t>Romani Studies</t>
  </si>
  <si>
    <t>Romanticism</t>
  </si>
  <si>
    <t>Romantische Zeitschrift fur Literaturgeschichte - Cahiers de Histoire des Litteratures Romanes</t>
  </si>
  <si>
    <t>Romantisme</t>
  </si>
  <si>
    <t>Romische Quartalschrift fur Christliche Altertumskunde und Kirchengeschichte</t>
  </si>
  <si>
    <t>Rorschachiana</t>
  </si>
  <si>
    <t>Rossiiskaia Istoria</t>
  </si>
  <si>
    <t>Rossiiskii fiziologicheskii zhurnal imeni I.M. Sechenova / Rossiiskaia akademiia nauk</t>
  </si>
  <si>
    <t>Roumanian Archives of Microbiology and Immunology</t>
  </si>
  <si>
    <t>Round Table</t>
  </si>
  <si>
    <t>Rozhledy v Chirurgii</t>
  </si>
  <si>
    <t>RSC Advances</t>
  </si>
  <si>
    <t>RSC Biomolecular Sciences</t>
  </si>
  <si>
    <t>RSC Catalysis Series</t>
  </si>
  <si>
    <t>RSC Chromatography Monographs</t>
  </si>
  <si>
    <t>RSC Food Analysis Monographs</t>
  </si>
  <si>
    <t>RSC Nanoscience and Nanotechnology</t>
  </si>
  <si>
    <t>RSC Polymer Chemistry Series</t>
  </si>
  <si>
    <t>RSC Theoretical and Computational Chemistry Series</t>
  </si>
  <si>
    <t>RSQ-Rhetoric Society Quarterly</t>
  </si>
  <si>
    <t>Ruan Jian Xue Bao/Journal of Software</t>
  </si>
  <si>
    <t>Rubber Chemistry and Technology</t>
  </si>
  <si>
    <t>Rubber World</t>
  </si>
  <si>
    <t>Rudarsko Geolosko Naftni Zbornik</t>
  </si>
  <si>
    <t>Rupkatha Journal on Interdisciplinary Studies in Humanities</t>
  </si>
  <si>
    <t>Rural and Remote Health</t>
  </si>
  <si>
    <t>Rural History: Economy, Society, Culture</t>
  </si>
  <si>
    <t>Rural Society</t>
  </si>
  <si>
    <t>Rural Sociology</t>
  </si>
  <si>
    <t>RUSI Journal</t>
  </si>
  <si>
    <t>Rusin</t>
  </si>
  <si>
    <t>Russell - Journal of the Bertrand Russell Studies</t>
  </si>
  <si>
    <t>Russian Aeronautics</t>
  </si>
  <si>
    <t>Russian Chemical Bulletin</t>
  </si>
  <si>
    <t>Russian Chemical Reviews</t>
  </si>
  <si>
    <t>Russian Education and Society</t>
  </si>
  <si>
    <t>Russian Electrical Engineering</t>
  </si>
  <si>
    <t>Russian Engineering Research</t>
  </si>
  <si>
    <t>Russian Geology and Geophysics</t>
  </si>
  <si>
    <t>Russian History</t>
  </si>
  <si>
    <t>Russian Journal of Applied Chemistry</t>
  </si>
  <si>
    <t>Russian Journal of Bioorganic Chemistry</t>
  </si>
  <si>
    <t>Russian Journal of Coordination Chemistry/Koordinatsionnaya Khimiya</t>
  </si>
  <si>
    <t>Russian Journal of Developmental Biology</t>
  </si>
  <si>
    <t>Russian Journal of Ecology</t>
  </si>
  <si>
    <t>Russian Journal of Electrochemistry</t>
  </si>
  <si>
    <t>Russian Journal of General Chemistry</t>
  </si>
  <si>
    <t>Russian Journal of Genetics</t>
  </si>
  <si>
    <t>Russian Journal of Genetics: Applied Research</t>
  </si>
  <si>
    <t>Russian Journal of Inorganic Chemistry</t>
  </si>
  <si>
    <t>Russian Journal of Marine Biology</t>
  </si>
  <si>
    <t>Russian Journal of Mathematical Physics</t>
  </si>
  <si>
    <t>Russian Journal of Nematology</t>
  </si>
  <si>
    <t>Russian Journal of Nondestructive Testing</t>
  </si>
  <si>
    <t>Russian Journal of Numerical Analysis and Mathematical Modelling</t>
  </si>
  <si>
    <t>Russian Journal of Organic Chemistry</t>
  </si>
  <si>
    <t>Russian Journal of Pacific Geology</t>
  </si>
  <si>
    <t>Russian Journal of Physical Chemistry A</t>
  </si>
  <si>
    <t>Russian Journal of Physical Chemistry B</t>
  </si>
  <si>
    <t>Russian Journal of Plant Physiology</t>
  </si>
  <si>
    <t>Russian Journal of Theriology</t>
  </si>
  <si>
    <t>Russian Linguistics</t>
  </si>
  <si>
    <t>Russian Literature</t>
  </si>
  <si>
    <t>Russian Mathematical Surveys</t>
  </si>
  <si>
    <t>Russian Mathematics</t>
  </si>
  <si>
    <t>Russian Metallurgy (Metally)</t>
  </si>
  <si>
    <t>Russian Meteorology and Hydrology</t>
  </si>
  <si>
    <t>Russian Microelectronics</t>
  </si>
  <si>
    <t>Russian Physics Journal</t>
  </si>
  <si>
    <t>Russian Politics and Law</t>
  </si>
  <si>
    <t>Russian Review</t>
  </si>
  <si>
    <t>Russian Studies in Literature</t>
  </si>
  <si>
    <t>Russian Studies in Philosophy</t>
  </si>
  <si>
    <t>Rutgers the State University of New Jersey - Newark, Dissertation</t>
  </si>
  <si>
    <t>Rutgers the State University of New Jersey - New Brunswick, Dissertation</t>
  </si>
  <si>
    <t>Rynek Energii</t>
  </si>
  <si>
    <t>SAAD digest</t>
  </si>
  <si>
    <t>Sabrao Journal of Breeding and Genetics</t>
  </si>
  <si>
    <t>Sacred Music</t>
  </si>
  <si>
    <t>Sacris Erudiri</t>
  </si>
  <si>
    <t>Sadhana - Academy Proceedings in Engineering Sciences</t>
  </si>
  <si>
    <t>SADJ : journal of the South African Dental Association = tydskrif van die Suid-Afrikaanse Tandheelkundige Vereniging</t>
  </si>
  <si>
    <t>Saeculum</t>
  </si>
  <si>
    <t>SAE International Journal of Aerospace</t>
  </si>
  <si>
    <t>SAE International Journal of Commercial Vehicles</t>
  </si>
  <si>
    <t>SAE International Journal of Engines</t>
  </si>
  <si>
    <t>SAE International Journal of Fuels and Lubricants</t>
  </si>
  <si>
    <t>SAE International Journal of Materials and Manufacturing</t>
  </si>
  <si>
    <t>SAE International Journal of Passenger Cars - Electronic and Electrical Systems</t>
  </si>
  <si>
    <t>SAE International Journal of Passenger Cars - Mechanical Systems</t>
  </si>
  <si>
    <t>Safer Communities</t>
  </si>
  <si>
    <t>Safety Science</t>
  </si>
  <si>
    <t>Safundi</t>
  </si>
  <si>
    <t>Sahara J</t>
  </si>
  <si>
    <t>Sains Malaysiana</t>
  </si>
  <si>
    <t>SAJCH South African Journal of Child Health</t>
  </si>
  <si>
    <t>SA Journal of Industrial Psychology</t>
  </si>
  <si>
    <t>Salamandra</t>
  </si>
  <si>
    <t>Sales and Marketing Management</t>
  </si>
  <si>
    <t>Saline Systems</t>
  </si>
  <si>
    <t>Salmagundi</t>
  </si>
  <si>
    <t>Salud Colectiva</t>
  </si>
  <si>
    <t>Salud (i) Ciencia</t>
  </si>
  <si>
    <t>Salud Mental</t>
  </si>
  <si>
    <t>Salud Publica de Mexico</t>
  </si>
  <si>
    <t>Salud Uninorte</t>
  </si>
  <si>
    <t>Salud y Drogas</t>
  </si>
  <si>
    <t>Salus</t>
  </si>
  <si>
    <t>SAMPE Journal</t>
  </si>
  <si>
    <t>Sampling Theory in Signal and Image Processing</t>
  </si>
  <si>
    <t>Samuel Beckett Today - Aujourd hui</t>
  </si>
  <si>
    <t>Sang Thrombose Vaisseaux</t>
  </si>
  <si>
    <t>Sangyo eiseigaku zasshi = Journal of occupational health</t>
  </si>
  <si>
    <t>Sankhya: The Indian Journal of Statistics</t>
  </si>
  <si>
    <t>Sante Mentale au Quebec</t>
  </si>
  <si>
    <t>Sante (Montrouge, France)</t>
  </si>
  <si>
    <t>Sante Publique</t>
  </si>
  <si>
    <t>Sao Paulo Medical Journal</t>
  </si>
  <si>
    <t>SA Pharmaceutical Journal</t>
  </si>
  <si>
    <t>Sapiens</t>
  </si>
  <si>
    <t>SAR and QSAR in Environmental Research</t>
  </si>
  <si>
    <t>Sarcoidosis Vasculitis and Diffuse Lung Diseases</t>
  </si>
  <si>
    <t>Sarcoma</t>
  </si>
  <si>
    <t>SATS</t>
  </si>
  <si>
    <t>Saude e Sociedade</t>
  </si>
  <si>
    <t>Saudi Dental Journal</t>
  </si>
  <si>
    <t>Saudi Journal of Biological Sciences</t>
  </si>
  <si>
    <t>Saudi Journal of Gastroenterology</t>
  </si>
  <si>
    <t>Saudi journal of kidney diseases and transplantation : an official publication of the Saudi Center for Organ Transplantation, Saudi Arabia.</t>
  </si>
  <si>
    <t>Saudi Journal of Ophthalmology</t>
  </si>
  <si>
    <t>Saudi Medical Journal</t>
  </si>
  <si>
    <t>Saudi Pharmaceutical Journal</t>
  </si>
  <si>
    <t>Savings and Development</t>
  </si>
  <si>
    <t>Savoirs et Clinique</t>
  </si>
  <si>
    <t>SBMO/IEEE MTT-S International Microwave and Optoelectronics Conference Proceedings</t>
  </si>
  <si>
    <t>Sbornik Ceske Geograficke Spolecnosti</t>
  </si>
  <si>
    <t>Sbornik Geologickych Ved - Antropozoikum</t>
  </si>
  <si>
    <t>Sbornik Mathematics</t>
  </si>
  <si>
    <t>Scandinavian Actuarial Journal</t>
  </si>
  <si>
    <t>Scandinavian Cardiovascular Journal</t>
  </si>
  <si>
    <t>Scandinavian Economic History Review</t>
  </si>
  <si>
    <t>Scandinavian Journal of Caring Sciences</t>
  </si>
  <si>
    <t>Scandinavian Journal of Clinical and Laboratory Investigation</t>
  </si>
  <si>
    <t>Scandinavian Journal of Clinical and Laboratory Investigation, Supplement</t>
  </si>
  <si>
    <t>Scandinavian Journal of Economics</t>
  </si>
  <si>
    <t>Scandinavian Journal of Educational Research</t>
  </si>
  <si>
    <t>Scandinavian Journal of Forest Research</t>
  </si>
  <si>
    <t>Scandinavian Journal of Gastroenterology</t>
  </si>
  <si>
    <t>Scandinavian Journal of History</t>
  </si>
  <si>
    <t>Scandinavian Journal of Hospitality and Tourism</t>
  </si>
  <si>
    <t>Scandinavian Journal of Immunology</t>
  </si>
  <si>
    <t>Scandinavian Journal of Infectious Diseases</t>
  </si>
  <si>
    <t>Scandinavian Journal of Information Systems</t>
  </si>
  <si>
    <t>Scandinavian Journal of Laboratory Animal Science</t>
  </si>
  <si>
    <t>Scandinavian Journal of Management</t>
  </si>
  <si>
    <t>Scandinavian Journal of Medicine and Science in Sports</t>
  </si>
  <si>
    <t>Scandinavian Journal of Occupational Therapy</t>
  </si>
  <si>
    <t>Scandinavian Journal of Pain</t>
  </si>
  <si>
    <t>Scandinavian Journal of Primary Health Care</t>
  </si>
  <si>
    <t>Scandinavian Journal of Psychology</t>
  </si>
  <si>
    <t>Scandinavian Journal of Public Health</t>
  </si>
  <si>
    <t>Scandinavian Journal of Rheumatology</t>
  </si>
  <si>
    <t>Scandinavian Journal of Rheumatology, Supplement</t>
  </si>
  <si>
    <t>Scandinavian Journal of Statistics</t>
  </si>
  <si>
    <t>Scandinavian Journal of Surgery</t>
  </si>
  <si>
    <t>Scandinavian Journal of the Old Testament</t>
  </si>
  <si>
    <t>Scandinavian Journal of Trauma, Resuscitation and Emergency Medicine</t>
  </si>
  <si>
    <t>Scandinavian Journal of Urology and Nephrology</t>
  </si>
  <si>
    <t>Scandinavian Journal of Work, Environment and Health</t>
  </si>
  <si>
    <t>Scandinavian Political Studies</t>
  </si>
  <si>
    <t>Scandinavian Psychoanalytic Review</t>
  </si>
  <si>
    <t>Scandinavian Studies</t>
  </si>
  <si>
    <t>Scandinavica</t>
  </si>
  <si>
    <t>Scando-Slavica</t>
  </si>
  <si>
    <t>Scanning</t>
  </si>
  <si>
    <t>Schizophrenia Bulletin</t>
  </si>
  <si>
    <t>Schizophrenia Research</t>
  </si>
  <si>
    <t>Schmerz</t>
  </si>
  <si>
    <t>Schole</t>
  </si>
  <si>
    <t>School Effectiveness and School Improvement</t>
  </si>
  <si>
    <t>School Leadership and Management</t>
  </si>
  <si>
    <t>School Library Media Research</t>
  </si>
  <si>
    <t>School Mental Health</t>
  </si>
  <si>
    <t>School Psychology International</t>
  </si>
  <si>
    <t>School Psychology Quarterly</t>
  </si>
  <si>
    <t>School Psychology Review</t>
  </si>
  <si>
    <t>Schweizer Archiv fur Neurologie und Psychiatrie</t>
  </si>
  <si>
    <t>Schweizer Archiv fur Tierheilkunde</t>
  </si>
  <si>
    <t>Schweizerische Rundschau fur Medizin Praxis = Revue suisse de medecine Praxis</t>
  </si>
  <si>
    <t>Schweizerisches Archiv fur Volkskunde</t>
  </si>
  <si>
    <t>Schweizerische Zeitschrift fur Forstwesen</t>
  </si>
  <si>
    <t>Schweizerische Zeitschrift fur GanzheitsMedizin</t>
  </si>
  <si>
    <t>Schweizerische Zeitschrift fur Sportmedizin und Sporttraumatologie</t>
  </si>
  <si>
    <t>Schweizer Monatsschrift fur Zahnmedizin = Revue mensuelle suisse d'odonto-stomatologie = Rivista mensile svizzera di odontologia e stomatologia / SSO</t>
  </si>
  <si>
    <t>Science</t>
  </si>
  <si>
    <t>Science and Education</t>
  </si>
  <si>
    <t>Science and Engineering Ethics</t>
  </si>
  <si>
    <t>Science and Engineering of Composite Materials</t>
  </si>
  <si>
    <t>Science and Global Security</t>
  </si>
  <si>
    <t>Science and Justice - Journal of the Forensic Science Society</t>
  </si>
  <si>
    <t>Science and Public Policy</t>
  </si>
  <si>
    <t>Science and Society</t>
  </si>
  <si>
    <t>Science and Sports</t>
  </si>
  <si>
    <t>Science and Technology Libraries</t>
  </si>
  <si>
    <t>Science and Technology of Advanced Materials</t>
  </si>
  <si>
    <t>Science and Technology of Atomic, Molecular, Condensed Matter and Biological Systems</t>
  </si>
  <si>
    <t>Science and Technology of Energetic Materials</t>
  </si>
  <si>
    <t>Science and Technology of Welding and Joining</t>
  </si>
  <si>
    <t>Science as Culture</t>
  </si>
  <si>
    <t>ScienceAsia</t>
  </si>
  <si>
    <t>Science China Chemistry</t>
  </si>
  <si>
    <t>Science China Earth Sciences</t>
  </si>
  <si>
    <t>Science China Information Sciences</t>
  </si>
  <si>
    <t>Science China Life Sciences</t>
  </si>
  <si>
    <t>Science China Mathematics</t>
  </si>
  <si>
    <t>Science China: Physics, Mechanics and Astronomy</t>
  </si>
  <si>
    <t>Science China Technological Sciences</t>
  </si>
  <si>
    <t>Science Communication</t>
  </si>
  <si>
    <t>Science Education</t>
  </si>
  <si>
    <t>Science et Changements Planetaires - Secheresse</t>
  </si>
  <si>
    <t>Science et Motricite</t>
  </si>
  <si>
    <t>Science-Fiction Studies</t>
  </si>
  <si>
    <t>Science for Conservation</t>
  </si>
  <si>
    <t>Science in China, Series A: Mathematics</t>
  </si>
  <si>
    <t>Science in Context</t>
  </si>
  <si>
    <t>Science of Advanced Materials</t>
  </si>
  <si>
    <t>Science of Computer Programming</t>
  </si>
  <si>
    <t>Science of Gymnastics Journal</t>
  </si>
  <si>
    <t>Science of Sintering</t>
  </si>
  <si>
    <t>Science of the Total Environment</t>
  </si>
  <si>
    <t>Science of Tsunami Hazards</t>
  </si>
  <si>
    <t>Science Progress</t>
  </si>
  <si>
    <t>Sciences des Aliments</t>
  </si>
  <si>
    <t>Science Signaling</t>
  </si>
  <si>
    <t>Sciences Sociales et Sante</t>
  </si>
  <si>
    <t>Science Studies</t>
  </si>
  <si>
    <t>Science Technology and Human Values</t>
  </si>
  <si>
    <t>Science, Technology and Society</t>
  </si>
  <si>
    <t>Science Translational Medicine</t>
  </si>
  <si>
    <t>Scientia Agraria</t>
  </si>
  <si>
    <t>Scientia Agricola</t>
  </si>
  <si>
    <t>Scientia Agriculturae Bohemica</t>
  </si>
  <si>
    <t>Scientia Forestalis/Forest Sciences</t>
  </si>
  <si>
    <t>Scientia Geologica Sinica</t>
  </si>
  <si>
    <t>Scientia Horticulturae</t>
  </si>
  <si>
    <t>Scientia Iranica</t>
  </si>
  <si>
    <t>Scientia Marina</t>
  </si>
  <si>
    <t>Scientia Pharmaceutica</t>
  </si>
  <si>
    <t>Scientific American</t>
  </si>
  <si>
    <t>Scientific and Technical Information Processing</t>
  </si>
  <si>
    <t>Scientific Annals of Computer Science</t>
  </si>
  <si>
    <t>Scientific Journal of Kurdistan University of Medical Sciences</t>
  </si>
  <si>
    <t>Scientific Online Letters on the Atmosphere</t>
  </si>
  <si>
    <t>Scientific Papers of the Research Institute for Fruit Growing</t>
  </si>
  <si>
    <t>Scientific Programming</t>
  </si>
  <si>
    <t>Scientific Reports</t>
  </si>
  <si>
    <t>Scientific Research and Essays</t>
  </si>
  <si>
    <t>Scientific Studies of Reading</t>
  </si>
  <si>
    <t>Scientific Study and Research: Chemistry and Chemical Engineering, Biotechnology, Food Industry</t>
  </si>
  <si>
    <t>Scientist</t>
  </si>
  <si>
    <t>Scientometrics</t>
  </si>
  <si>
    <t>Scire</t>
  </si>
  <si>
    <t>Scoliosis</t>
  </si>
  <si>
    <t>Scopus</t>
  </si>
  <si>
    <t>Scottish Gaelic Studies</t>
  </si>
  <si>
    <t>Scottish Geographical Journal</t>
  </si>
  <si>
    <t>Scottish Historical Review</t>
  </si>
  <si>
    <t>Scottish Journal of Geology</t>
  </si>
  <si>
    <t>Scottish Journal of Political Economy</t>
  </si>
  <si>
    <t>Scottish Literary Review</t>
  </si>
  <si>
    <t>Scottish Medical Journal</t>
  </si>
  <si>
    <t>Screen</t>
  </si>
  <si>
    <t>Scripta Botanica Belgica</t>
  </si>
  <si>
    <t>Scripta Geologica</t>
  </si>
  <si>
    <t>Scripta Materialia</t>
  </si>
  <si>
    <t>Script and Print</t>
  </si>
  <si>
    <t>Scripta Nova</t>
  </si>
  <si>
    <t>Scripta Theologica</t>
  </si>
  <si>
    <t>Scriptorium</t>
  </si>
  <si>
    <t>Sculpture Journal</t>
  </si>
  <si>
    <t>Sculpture Review</t>
  </si>
  <si>
    <t>SDHM Structural Durability and Health Monitoring</t>
  </si>
  <si>
    <t>SD Revista Medica Internacional sobre el Sindrome de Down</t>
  </si>
  <si>
    <t>SEARCH (Malaysia)</t>
  </si>
  <si>
    <t>Second Language Research</t>
  </si>
  <si>
    <t>Security and Communication Networks</t>
  </si>
  <si>
    <t>Security and Human Rights</t>
  </si>
  <si>
    <t>Security Dialogue</t>
  </si>
  <si>
    <t>Security Journal</t>
  </si>
  <si>
    <t>Security Studies</t>
  </si>
  <si>
    <t>Sedimentary Geology</t>
  </si>
  <si>
    <t>Sedimentology</t>
  </si>
  <si>
    <t>Seed Science and Technology</t>
  </si>
  <si>
    <t>Seed Science Research</t>
  </si>
  <si>
    <t>Seeing and Perceiving</t>
  </si>
  <si>
    <t>Sefarad</t>
  </si>
  <si>
    <t>SEG Technical Program Expanded Abstracts</t>
  </si>
  <si>
    <t>Seibutsu-kogaku Kaishi</t>
  </si>
  <si>
    <t>Seikagaku. The Journal of Japanese Biochemical Society</t>
  </si>
  <si>
    <t>Seimitsu Kogaku Kaishi/Journal of the Japan Society for Precision Engineering</t>
  </si>
  <si>
    <t>Seismic Isolation and Protective Systems</t>
  </si>
  <si>
    <t>Seismological Research Letters</t>
  </si>
  <si>
    <t>SEI Technical Review</t>
  </si>
  <si>
    <t>Seizure : the journal of the British Epilepsy Association</t>
  </si>
  <si>
    <t>Seksuologia Polska</t>
  </si>
  <si>
    <t>Selecta Mathematica, New Series</t>
  </si>
  <si>
    <t>Self and Identity</t>
  </si>
  <si>
    <t>Self/Nonself - Immune Recognition and Signaling</t>
  </si>
  <si>
    <t>SEL - Studies in English Literature</t>
  </si>
  <si>
    <t>Selvedge</t>
  </si>
  <si>
    <t>Semantic Web and Information Systems</t>
  </si>
  <si>
    <t>Semeia Studies</t>
  </si>
  <si>
    <t>Semergen</t>
  </si>
  <si>
    <t>Semiconductors</t>
  </si>
  <si>
    <t>Semiconductors and Semimetals</t>
  </si>
  <si>
    <t>Semiconductor Science and Technology</t>
  </si>
  <si>
    <t>Semigroup Forum</t>
  </si>
  <si>
    <t>Semina:Ciencias Agrarias</t>
  </si>
  <si>
    <t>Seminar - A Journal of Germanic Studies</t>
  </si>
  <si>
    <t>Seminarios de la Fundacion Espanola de Reumatologia</t>
  </si>
  <si>
    <t>Seminars in Arthritis and Rheumatism</t>
  </si>
  <si>
    <t>Seminars in Arthroplasty</t>
  </si>
  <si>
    <t>Seminars in Cancer Biology</t>
  </si>
  <si>
    <t>Seminars in Cardiothoracic and Vascular Anesthesia</t>
  </si>
  <si>
    <t>Seminars in Cell and Developmental Biology</t>
  </si>
  <si>
    <t>Seminars in Colon and Rectal Surgery</t>
  </si>
  <si>
    <t>Seminars in Cutaneous Medicine and Surgery</t>
  </si>
  <si>
    <t>Seminars in Diagnostic Pathology</t>
  </si>
  <si>
    <t>Seminars in Dialysis</t>
  </si>
  <si>
    <t>Seminars in Fetal and Neonatal Medicine</t>
  </si>
  <si>
    <t>Seminars in Hearing</t>
  </si>
  <si>
    <t>Seminars in Hematology</t>
  </si>
  <si>
    <t>Seminars in Immunology</t>
  </si>
  <si>
    <t>Seminars in Immunopathology</t>
  </si>
  <si>
    <t>Seminars in Interventional Radiology</t>
  </si>
  <si>
    <t>Seminars in Liver Disease</t>
  </si>
  <si>
    <t>Seminars in Musculoskeletal Radiology</t>
  </si>
  <si>
    <t>Seminars in Nephrology</t>
  </si>
  <si>
    <t>Seminars in Neurology</t>
  </si>
  <si>
    <t>Seminars in Nuclear Medicine</t>
  </si>
  <si>
    <t>Seminars in Oncology</t>
  </si>
  <si>
    <t>Seminars in Oncology Nursing</t>
  </si>
  <si>
    <t>Seminars in Ophthalmology</t>
  </si>
  <si>
    <t>Seminars in Orthodontics</t>
  </si>
  <si>
    <t>Seminars in Pediatric Neurology</t>
  </si>
  <si>
    <t>Seminars in Pediatric Surgery</t>
  </si>
  <si>
    <t>Seminars in Perinatology</t>
  </si>
  <si>
    <t>Seminars in Plastic Surgery</t>
  </si>
  <si>
    <t>Seminars in Radiation Oncology</t>
  </si>
  <si>
    <t>Seminars in Reproductive Medicine</t>
  </si>
  <si>
    <t>Seminars in Respiratory and Critical Care Medicine</t>
  </si>
  <si>
    <t>Seminars in Roentgenology</t>
  </si>
  <si>
    <t>Seminars in Speech and Language</t>
  </si>
  <si>
    <t>Seminars in Spine Surgery</t>
  </si>
  <si>
    <t>Seminars in Thoracic and Cardiovascular Surgery</t>
  </si>
  <si>
    <t>Seminars in Thrombosis and Hemostasis</t>
  </si>
  <si>
    <t>Seminars in Ultrasound, CT and MRI</t>
  </si>
  <si>
    <t>Seminars in Vascular Surgery</t>
  </si>
  <si>
    <t>Semiotica</t>
  </si>
  <si>
    <t>SENDROM</t>
  </si>
  <si>
    <t>Sen'i Gakkaishi</t>
  </si>
  <si>
    <t>Senses and Society</t>
  </si>
  <si>
    <t>Sensing and Imaging</t>
  </si>
  <si>
    <t>Sensing and Instrumentation for Food Quality and Safety</t>
  </si>
  <si>
    <t>Sensor Letters</t>
  </si>
  <si>
    <t>Sensor Review</t>
  </si>
  <si>
    <t>Sensors</t>
  </si>
  <si>
    <t>Sensors and Actuators, A: Physical</t>
  </si>
  <si>
    <t>Sensors and Actuators, B: Chemical</t>
  </si>
  <si>
    <t>Sensors and Materials</t>
  </si>
  <si>
    <t>Sentinel event alert / Joint Commission on Accreditation of Healthcare Organizations</t>
  </si>
  <si>
    <t>Separation and Purification Reviews</t>
  </si>
  <si>
    <t>Separation and Purification Technology</t>
  </si>
  <si>
    <t>Separation Science and Technology</t>
  </si>
  <si>
    <t>Sequential Analysis</t>
  </si>
  <si>
    <t>Serbian Astronomical Journal</t>
  </si>
  <si>
    <t>Serbian Journal of Experimental and Clinical Research</t>
  </si>
  <si>
    <t>Serials</t>
  </si>
  <si>
    <t>Serials Librarian</t>
  </si>
  <si>
    <t>Serials Review</t>
  </si>
  <si>
    <t>SERIEs</t>
  </si>
  <si>
    <t>Service Business</t>
  </si>
  <si>
    <t>Service Industries Journal</t>
  </si>
  <si>
    <t>Service Oriented Computing and Applications</t>
  </si>
  <si>
    <t>Services Marketing Quarterly</t>
  </si>
  <si>
    <t>Seton Hall law review</t>
  </si>
  <si>
    <t>Set-Valued and Variational Analysis</t>
  </si>
  <si>
    <t>Seventeenth Century</t>
  </si>
  <si>
    <t>Sewanee Review</t>
  </si>
  <si>
    <t>Sex Education</t>
  </si>
  <si>
    <t>Sexologies</t>
  </si>
  <si>
    <t>Sex Roles: A Journal of Research</t>
  </si>
  <si>
    <t>Sexual Abuse: Journal of Research and Treatment</t>
  </si>
  <si>
    <t>Sexual Addiction and Compulsivity</t>
  </si>
  <si>
    <t>Sexual and Relationship Therapy</t>
  </si>
  <si>
    <t>Sexual and Reproductive Healthcare</t>
  </si>
  <si>
    <t>Sexual Development</t>
  </si>
  <si>
    <t>Sexual Health</t>
  </si>
  <si>
    <t>Sexualities</t>
  </si>
  <si>
    <t>Sexuality and Culture</t>
  </si>
  <si>
    <t>Sexuality and Disability</t>
  </si>
  <si>
    <t>Sexuality, Reproduction and Menopause</t>
  </si>
  <si>
    <t>Sexuality Research and Social Policy: Journal of NSRC</t>
  </si>
  <si>
    <t>Sexually Transmitted Diseases</t>
  </si>
  <si>
    <t>Sexually Transmitted Infections</t>
  </si>
  <si>
    <t>Sexuologie</t>
  </si>
  <si>
    <t>Shakespeare</t>
  </si>
  <si>
    <t>Shakespeare Quarterly</t>
  </si>
  <si>
    <t>Shakespeare Studies</t>
  </si>
  <si>
    <t>Shanghai Jiaotong Daxue Xuebao/Journal of Shanghai Jiaotong University</t>
  </si>
  <si>
    <t>Shanghai Ligong Daxue Xuebao/Journal of University of Shanghai for Science and Technology</t>
  </si>
  <si>
    <t>Shapu Giho/Sharp Technical Journal</t>
  </si>
  <si>
    <t>SHAW</t>
  </si>
  <si>
    <t>Shenandoah</t>
  </si>
  <si>
    <t>Sheng li ke xue jin zhan [Progress in physiology]</t>
  </si>
  <si>
    <t>Shengwu Gongcheng Xuebao/Chinese Journal of Biotechnology</t>
  </si>
  <si>
    <t>Shengwu Yixue Gongchengxue Zazhi/Journal of Biomedical Engineering</t>
  </si>
  <si>
    <t>Shengxue Xuebao/Acta Acustica</t>
  </si>
  <si>
    <t>Shenyang Gongye Daxue Xuebao/Journal of Shenyang University of Technology</t>
  </si>
  <si>
    <t>Shenyang Jianzhu Daxue Xuebao (Ziran Kexue Ban)/Journal of Shenyang Jianzhu University (Natural Science)</t>
  </si>
  <si>
    <t>Shenzhen Daxue Xuebao (Ligong Ban)/Journal of Shenzhen University Science and Engineering</t>
  </si>
  <si>
    <t>SHILAP</t>
  </si>
  <si>
    <t>Shinrigaku Kenkyu</t>
  </si>
  <si>
    <t>Ships and Offshore Structures</t>
  </si>
  <si>
    <t>Ship Technology Research</t>
  </si>
  <si>
    <t>Shiraz E Medical Journal</t>
  </si>
  <si>
    <t>Shiyan Liuti Lixue/Journal of Experiments in Fluid Mechanics</t>
  </si>
  <si>
    <t>Shiyou Diqiu Wuli Kantan/Oil Geophysical Prospecting</t>
  </si>
  <si>
    <t>Shiyou Huagong Gaodeng Xuexiao Xuebao/Journal of Petrochemical Universities</t>
  </si>
  <si>
    <t>Shiyou Huagong/Petrochemical Technology</t>
  </si>
  <si>
    <t>Shiyou Huagong Shebei/ Petro-Chemical Equipment</t>
  </si>
  <si>
    <t>Shiyou Kantan Yu Kaifa/Petroleum Exploration and Development</t>
  </si>
  <si>
    <t>Shi You Lian Zhi Yu Hua Gong/Petroleum Processing and Petrochemicals</t>
  </si>
  <si>
    <t>Shiyou Xuebao/Acta Petrolei Sinica</t>
  </si>
  <si>
    <t>Shiyou Xuebao, Shiyou Jiagong/Acta Petrolei Sinica (Petroleum Processing Section)</t>
  </si>
  <si>
    <t>Shock</t>
  </si>
  <si>
    <t>Shock and Vibration</t>
  </si>
  <si>
    <t>Shock Waves</t>
  </si>
  <si>
    <t>Shokuhin eiseigaku zasshi. Journal of the Food Hygienic Society of Japan</t>
  </si>
  <si>
    <t>Shomei Gakkai Shi</t>
  </si>
  <si>
    <t>Showa Igakkai zasshi = The Journal of the Showa Medical Association</t>
  </si>
  <si>
    <t>Shuidonglixue Yanjiu yu Jinzhan/Chinese Journal of Hydrodynamics Ser. A</t>
  </si>
  <si>
    <t>Shuikexue Jinzhan/Advances in Water Science</t>
  </si>
  <si>
    <t>Shuili Fadian Xuebao/Journal of Hydroelectric Engineering</t>
  </si>
  <si>
    <t>Shuili Xuebao/Journal of Hydraulic Engineering</t>
  </si>
  <si>
    <t>Shu Ju Cai Ji Yu Chu Li/Journal of Data Acquisition and Processing</t>
  </si>
  <si>
    <t>SIAM Journal of Scientific Computing</t>
  </si>
  <si>
    <t>SIAM Journal on Applied Dynamical Systems</t>
  </si>
  <si>
    <t>SIAM Journal on Applied Mathematics</t>
  </si>
  <si>
    <t>SIAM Journal on Computing</t>
  </si>
  <si>
    <t>SIAM Journal on Control and Optimization</t>
  </si>
  <si>
    <t>SIAM Journal on Discrete Mathematics</t>
  </si>
  <si>
    <t>SIAM Journal on Financial Mathematics</t>
  </si>
  <si>
    <t>SIAM Journal on Imaging Sciences</t>
  </si>
  <si>
    <t>SIAM Journal on Mathematical Analysis</t>
  </si>
  <si>
    <t>SIAM Journal on Matrix Analysis and Applications</t>
  </si>
  <si>
    <t>SIAM Journal on Numerical Analysis</t>
  </si>
  <si>
    <t>SIAM Journal on Optimization</t>
  </si>
  <si>
    <t>SIAM Review</t>
  </si>
  <si>
    <t>Siberian Advances in Mathematics</t>
  </si>
  <si>
    <t>Siberian Electronic Mathematical Reports</t>
  </si>
  <si>
    <t>Siberian Mathematical Journal</t>
  </si>
  <si>
    <t>Sichuan Daxue Xuebao (Gongcheng Kexue Ban)/Journal of Sichuan University (Engineering Science Edition)</t>
  </si>
  <si>
    <t>SID Conference Record of the International Display Research Conference</t>
  </si>
  <si>
    <t>Side Effects of Drugs Annual</t>
  </si>
  <si>
    <t>Sight and Sound</t>
  </si>
  <si>
    <t>Siglo Cero</t>
  </si>
  <si>
    <t>SIGMOD Record</t>
  </si>
  <si>
    <t>Signa</t>
  </si>
  <si>
    <t>Signal, Image and Video Processing</t>
  </si>
  <si>
    <t>Signal Processing</t>
  </si>
  <si>
    <t>Signal Processing: Image Communication</t>
  </si>
  <si>
    <t>Significance</t>
  </si>
  <si>
    <t>Sign Language and Linguistics (Online)</t>
  </si>
  <si>
    <t>Sign Language Studies</t>
  </si>
  <si>
    <t>Signos Filosoficos</t>
  </si>
  <si>
    <t>Signs</t>
  </si>
  <si>
    <t>Sign Systems Studies</t>
  </si>
  <si>
    <t>Sigurnost</t>
  </si>
  <si>
    <t>Sikh Formations: Religion, Culture, Theory</t>
  </si>
  <si>
    <t>Silicon</t>
  </si>
  <si>
    <t>Silva Balcanica</t>
  </si>
  <si>
    <t>Silvae Genetica</t>
  </si>
  <si>
    <t>Silva Fennica</t>
  </si>
  <si>
    <t>Simiolus</t>
  </si>
  <si>
    <t>Simulation</t>
  </si>
  <si>
    <t>Simulation and Gaming</t>
  </si>
  <si>
    <t>Simulation in Healthcare</t>
  </si>
  <si>
    <t>Simulation Modelling Practice and Theory</t>
  </si>
  <si>
    <t>Sinapse</t>
  </si>
  <si>
    <t>Singapore Economic Review</t>
  </si>
  <si>
    <t>Singapore Journal of Tropical Geography</t>
  </si>
  <si>
    <t>Singapore Management Review</t>
  </si>
  <si>
    <t>Singapore Medical Journal</t>
  </si>
  <si>
    <t>Sinn und Form</t>
  </si>
  <si>
    <t>Sintagma</t>
  </si>
  <si>
    <t>Sistemi Intelligenti</t>
  </si>
  <si>
    <t>Sixteenth Century Journal</t>
  </si>
  <si>
    <t>Sixties, The</t>
  </si>
  <si>
    <t>SKASE Journal of Translation and Interpretation</t>
  </si>
  <si>
    <t>Skeletal Muscle</t>
  </si>
  <si>
    <t>Skeletal Radiology</t>
  </si>
  <si>
    <t>Skinmed</t>
  </si>
  <si>
    <t>Skin Pharmacology and Physiology</t>
  </si>
  <si>
    <t>Skin Research</t>
  </si>
  <si>
    <t>Skin Research and Technology</t>
  </si>
  <si>
    <t>Skin therapy letter</t>
  </si>
  <si>
    <t>Skull Base</t>
  </si>
  <si>
    <t>SKY Journal of Linguistics</t>
  </si>
  <si>
    <t>Slavery and Abolition</t>
  </si>
  <si>
    <t>Slavia</t>
  </si>
  <si>
    <t>Slavic and East European Information Resources</t>
  </si>
  <si>
    <t>Slavic and East European Journal</t>
  </si>
  <si>
    <t>Slavica Slovaca</t>
  </si>
  <si>
    <t>Slavic Review</t>
  </si>
  <si>
    <t>Slavisticna Revija</t>
  </si>
  <si>
    <t>Slavonica</t>
  </si>
  <si>
    <t>Slavonic and East European Review</t>
  </si>
  <si>
    <t>Sleep</t>
  </si>
  <si>
    <t>Sleep and Biological Rhythms</t>
  </si>
  <si>
    <t>Sleep and Breathing</t>
  </si>
  <si>
    <t>Sleep Medicine</t>
  </si>
  <si>
    <t>Sleep Medicine Clinics</t>
  </si>
  <si>
    <t>Sleep Medicine Reviews</t>
  </si>
  <si>
    <t>Slovenian Veterinary Research</t>
  </si>
  <si>
    <t>Slovenska Rec/Slovak Speech</t>
  </si>
  <si>
    <t>Slovo</t>
  </si>
  <si>
    <t>Slovo a Slovesnost</t>
  </si>
  <si>
    <t>Slovo (Leeds)</t>
  </si>
  <si>
    <t>Small</t>
  </si>
  <si>
    <t>Small Business Economics</t>
  </si>
  <si>
    <t>Small Group Research</t>
  </si>
  <si>
    <t>Small GTPases</t>
  </si>
  <si>
    <t>Small Ruminant Research</t>
  </si>
  <si>
    <t>Small-scale Forestry</t>
  </si>
  <si>
    <t>Small Wars and Insurgencies</t>
  </si>
  <si>
    <t>Smart Innovation, Systems and Technologies</t>
  </si>
  <si>
    <t>Smart Materials and Structures</t>
  </si>
  <si>
    <t>Smart Structures and Systems</t>
  </si>
  <si>
    <t>Smith College Studies in Social Work</t>
  </si>
  <si>
    <t>Smithsonian</t>
  </si>
  <si>
    <t>SMT Surface Mount Technology Magazine</t>
  </si>
  <si>
    <t>Sobornost Incorporating Eastern Churches Review</t>
  </si>
  <si>
    <t>Soccer and Society</t>
  </si>
  <si>
    <t>Social Analysis</t>
  </si>
  <si>
    <t>Social and Cultural Geography</t>
  </si>
  <si>
    <t>Social and Economic Studies</t>
  </si>
  <si>
    <t>Social and Legal Studies</t>
  </si>
  <si>
    <t>Social and Personality Psychology Compass</t>
  </si>
  <si>
    <t>Social Anthropology</t>
  </si>
  <si>
    <t>Social Behavior and Personality</t>
  </si>
  <si>
    <t>Social Choice and Welfare</t>
  </si>
  <si>
    <t>Social Cognition</t>
  </si>
  <si>
    <t>Social Cognitive and Affective Neuroscience</t>
  </si>
  <si>
    <t>Social Compass</t>
  </si>
  <si>
    <t>Social Development</t>
  </si>
  <si>
    <t>Social Dynamics</t>
  </si>
  <si>
    <t>Social Epistemology</t>
  </si>
  <si>
    <t>Social Evolution and History</t>
  </si>
  <si>
    <t>Social Forces</t>
  </si>
  <si>
    <t>Social Geography</t>
  </si>
  <si>
    <t>Social History</t>
  </si>
  <si>
    <t>Social History of Medicine</t>
  </si>
  <si>
    <t>Social Identities</t>
  </si>
  <si>
    <t>Social Indicators Research</t>
  </si>
  <si>
    <t>Social Influence</t>
  </si>
  <si>
    <t>Socialism and Democracy</t>
  </si>
  <si>
    <t>Social Issues and Policy Review</t>
  </si>
  <si>
    <t>Social Justice Research</t>
  </si>
  <si>
    <t>Social Marketing Quarterly</t>
  </si>
  <si>
    <t>Social Medicine</t>
  </si>
  <si>
    <t>Social Movement Studies</t>
  </si>
  <si>
    <t>Social Networks</t>
  </si>
  <si>
    <t>Social Neuroscience</t>
  </si>
  <si>
    <t>Socialni Studia</t>
  </si>
  <si>
    <t>Social Philosophy and Policy</t>
  </si>
  <si>
    <t>Social Policy and Administration</t>
  </si>
  <si>
    <t>Social Policy Journal of New Zealand</t>
  </si>
  <si>
    <t>Social Politics</t>
  </si>
  <si>
    <t>Social Problems</t>
  </si>
  <si>
    <t>Social Psychiatry and Psychiatric Epidemiology</t>
  </si>
  <si>
    <t>Social Psychology</t>
  </si>
  <si>
    <t>Social Psychology of Education</t>
  </si>
  <si>
    <t>Social Psychology Quarterly</t>
  </si>
  <si>
    <t>Social Research</t>
  </si>
  <si>
    <t>Social Responsibility Journal</t>
  </si>
  <si>
    <t>Social Science and Medicine</t>
  </si>
  <si>
    <t>Social Science Computer Review</t>
  </si>
  <si>
    <t>Social Science History</t>
  </si>
  <si>
    <t>Social Science Information</t>
  </si>
  <si>
    <t>Social Science Japan Journal</t>
  </si>
  <si>
    <t>Social Science Journal</t>
  </si>
  <si>
    <t>Social Science Quarterly</t>
  </si>
  <si>
    <t>Social Science Research</t>
  </si>
  <si>
    <t>Social Sciences</t>
  </si>
  <si>
    <t>Social Sciences and Missions</t>
  </si>
  <si>
    <t>Social Sciences in China</t>
  </si>
  <si>
    <t>Social Security Bulletin</t>
  </si>
  <si>
    <t>Social Semiotics</t>
  </si>
  <si>
    <t>Social Service Review</t>
  </si>
  <si>
    <t>Social Studies of Science</t>
  </si>
  <si>
    <t>Social Theory and Health</t>
  </si>
  <si>
    <t>Social Work</t>
  </si>
  <si>
    <t>Social Work and Social Sciences Review</t>
  </si>
  <si>
    <t>Social Work Education</t>
  </si>
  <si>
    <t>Social Work in Health Care</t>
  </si>
  <si>
    <t>Social Work in Mental Health</t>
  </si>
  <si>
    <t>Social Work in Public Health</t>
  </si>
  <si>
    <t>Social Work/Maatskaplike Werk</t>
  </si>
  <si>
    <t>Social Work Research</t>
  </si>
  <si>
    <t>Social Work &amp; Society</t>
  </si>
  <si>
    <t>Social Work with Groups</t>
  </si>
  <si>
    <t>Sociedade e Cultura</t>
  </si>
  <si>
    <t>Sociedade e Estado</t>
  </si>
  <si>
    <t>Societes</t>
  </si>
  <si>
    <t>Societes Contemporaines</t>
  </si>
  <si>
    <t>Society</t>
  </si>
  <si>
    <t>Society and Animals</t>
  </si>
  <si>
    <t>Society and Economy</t>
  </si>
  <si>
    <t>Society and Natural Resources</t>
  </si>
  <si>
    <t>Society in Transition</t>
  </si>
  <si>
    <t>Socijalna Ekologija</t>
  </si>
  <si>
    <t>Socijalna Psihijatrija</t>
  </si>
  <si>
    <t>Sociobiology</t>
  </si>
  <si>
    <t>Socio-Economic Planning Sciences</t>
  </si>
  <si>
    <t>Socio-Economic Review</t>
  </si>
  <si>
    <t>Sociolinguistic Studies</t>
  </si>
  <si>
    <t>Sociologia</t>
  </si>
  <si>
    <t>Sociologia - Problemas e Praticas</t>
  </si>
  <si>
    <t>Sociologia Ruralis</t>
  </si>
  <si>
    <t>Sociologias</t>
  </si>
  <si>
    <t>Sociological Forum</t>
  </si>
  <si>
    <t>Sociological Inquiry</t>
  </si>
  <si>
    <t>Sociological Methodology</t>
  </si>
  <si>
    <t>Sociological Methods and Research</t>
  </si>
  <si>
    <t>Sociological Perspectives</t>
  </si>
  <si>
    <t>Sociological Quarterly</t>
  </si>
  <si>
    <t>Sociological Research Online</t>
  </si>
  <si>
    <t>Sociological Review</t>
  </si>
  <si>
    <t>Sociological Spectrum</t>
  </si>
  <si>
    <t>Sociological Theory</t>
  </si>
  <si>
    <t>Sociological Theory and Methods</t>
  </si>
  <si>
    <t>Sociologicky Casopis</t>
  </si>
  <si>
    <t>Sociologie du Travail</t>
  </si>
  <si>
    <t>Sociologija</t>
  </si>
  <si>
    <t>Sociologija i Prostor</t>
  </si>
  <si>
    <t>Sociologisk Forskning</t>
  </si>
  <si>
    <t>Sociologus</t>
  </si>
  <si>
    <t>Sociology</t>
  </si>
  <si>
    <t>Sociology Compass</t>
  </si>
  <si>
    <t>Sociology of Education</t>
  </si>
  <si>
    <t>Sociology of Health and Illness</t>
  </si>
  <si>
    <t>Sociology of Religion</t>
  </si>
  <si>
    <t>Sociology of Sport Journal</t>
  </si>
  <si>
    <t>Soft Computing</t>
  </si>
  <si>
    <t>Soft Materials</t>
  </si>
  <si>
    <t>Soft Matter</t>
  </si>
  <si>
    <t>Software and Systems Modeling</t>
  </si>
  <si>
    <t>Software - Practice and Experience</t>
  </si>
  <si>
    <t>Software Quality Journal</t>
  </si>
  <si>
    <t>Software Testing Verification and Reliability</t>
  </si>
  <si>
    <t>Soil and Sediment Contamination</t>
  </si>
  <si>
    <t>Soil and Tillage Research</t>
  </si>
  <si>
    <t>Soil and Water Research</t>
  </si>
  <si>
    <t>Soil Biology and Biochemistry</t>
  </si>
  <si>
    <t>Soil Dynamics and Earthquake Engineering</t>
  </si>
  <si>
    <t>Soil Mechanics and Foundation Engineering</t>
  </si>
  <si>
    <t>Soils and Foundations</t>
  </si>
  <si>
    <t>Soils and Rocks</t>
  </si>
  <si>
    <t>Soil Science</t>
  </si>
  <si>
    <t>Soil Science and Plant Nutrition</t>
  </si>
  <si>
    <t>Soil Science Society of America Journal</t>
  </si>
  <si>
    <t>Soil Use and Management</t>
  </si>
  <si>
    <t>Soins Aides - Soignantes</t>
  </si>
  <si>
    <t>Soins Cadres</t>
  </si>
  <si>
    <t>Soins. Gerontologie</t>
  </si>
  <si>
    <t>Soins; la revue de reference infirmiere</t>
  </si>
  <si>
    <t>Soins. Pediatrie, puericulture</t>
  </si>
  <si>
    <t>Soins. Psychiatrie</t>
  </si>
  <si>
    <t>Sojourn</t>
  </si>
  <si>
    <t>Sokendai Review of Cultural and Social Studies</t>
  </si>
  <si>
    <t>Solar Energy</t>
  </si>
  <si>
    <t>Solar Energy Materials and Solar Cells</t>
  </si>
  <si>
    <t>Solar Physics</t>
  </si>
  <si>
    <t>Solar System Research</t>
  </si>
  <si>
    <t>Soldagem e Inspecao</t>
  </si>
  <si>
    <t>Soldering and Surface Mount Technology</t>
  </si>
  <si>
    <t>Solid Earth</t>
  </si>
  <si>
    <t>Solid Fuel Chemistry (English Translation of Khimiya Tverdogo Topliva)</t>
  </si>
  <si>
    <t>Solid Mechanics and its Applications</t>
  </si>
  <si>
    <t>Solid State Communications</t>
  </si>
  <si>
    <t>Solid-State Electronics</t>
  </si>
  <si>
    <t>Solid State Ionics</t>
  </si>
  <si>
    <t>Solid State Nuclear Magnetic Resonance</t>
  </si>
  <si>
    <t>Solid State Physics: Advances in Research and Applications</t>
  </si>
  <si>
    <t>Solid State Sciences</t>
  </si>
  <si>
    <t>Solvent Extraction and Ion Exchange</t>
  </si>
  <si>
    <t>Solvent Extraction Research and Development</t>
  </si>
  <si>
    <t>Somatosensory and Motor Research</t>
  </si>
  <si>
    <t>Somnologie</t>
  </si>
  <si>
    <t>Songklanakarin Journal of Science and Technology</t>
  </si>
  <si>
    <t>Sophia</t>
  </si>
  <si>
    <t>SORT</t>
  </si>
  <si>
    <t>Sotsiologicheskie issledovaniia</t>
  </si>
  <si>
    <t>Soudni Lekarstvi</t>
  </si>
  <si>
    <t>Souls</t>
  </si>
  <si>
    <t>Soundings</t>
  </si>
  <si>
    <t>Source Code for Biology and Medicine</t>
  </si>
  <si>
    <t>Source: Notes in the History of Art</t>
  </si>
  <si>
    <t>South African Archaeological Bulletin</t>
  </si>
  <si>
    <t>South African Family Practice</t>
  </si>
  <si>
    <t>South African Gastroenterology Review</t>
  </si>
  <si>
    <t>South African Historical Journal</t>
  </si>
  <si>
    <t>South African Journal for Research in Sport, Physical Education and Recreation</t>
  </si>
  <si>
    <t>South African Journal of Animal Sciences</t>
  </si>
  <si>
    <t>South African Journal of Botany</t>
  </si>
  <si>
    <t>South African Journal of Business Management</t>
  </si>
  <si>
    <t>South African Journal of Chemistry</t>
  </si>
  <si>
    <t>South African Journal of Clinical Nutrition</t>
  </si>
  <si>
    <t>South African journal of communication disorders. Die Suid-Afrikaanse tydskrif vir Kommunikasieafwykings, The</t>
  </si>
  <si>
    <t>South African Journal of Economic and Management Sciences</t>
  </si>
  <si>
    <t>South African Journal of Economics</t>
  </si>
  <si>
    <t>South African Journal of Education</t>
  </si>
  <si>
    <t>South African Journal of Enology and Viticulture</t>
  </si>
  <si>
    <t>South African Journal of Geology</t>
  </si>
  <si>
    <t>South African Journal of International Affairs</t>
  </si>
  <si>
    <t>South African Journal of Obstetrics and Gynaecology</t>
  </si>
  <si>
    <t>South African Journal of Plant and Soil</t>
  </si>
  <si>
    <t>South African Journal of Psychiatry</t>
  </si>
  <si>
    <t>South African Journal of Psychology</t>
  </si>
  <si>
    <t>South African Journal of Science</t>
  </si>
  <si>
    <t>South African Journal of Surgery</t>
  </si>
  <si>
    <t>South African Journal of Wildlife Research</t>
  </si>
  <si>
    <t>South African Medical Journal</t>
  </si>
  <si>
    <t>South African Statistical Journal</t>
  </si>
  <si>
    <t>South Asia Economic Journal</t>
  </si>
  <si>
    <t>South Asia: Journal of South Asia Studies</t>
  </si>
  <si>
    <t>South Asian Diaspora</t>
  </si>
  <si>
    <t>South Asian History and Culture</t>
  </si>
  <si>
    <t>South Asian Popular Culture</t>
  </si>
  <si>
    <t>South Asia Research</t>
  </si>
  <si>
    <t>South Atlantic Quarterly</t>
  </si>
  <si>
    <t>South Australian Ornithologist</t>
  </si>
  <si>
    <t>South Carolina nurse / South Carolina Nurses' Association, The</t>
  </si>
  <si>
    <t>South Central Review</t>
  </si>
  <si>
    <t>South Dakota medicine : the journal of the South Dakota State Medical Association</t>
  </si>
  <si>
    <t>South Dakota Review</t>
  </si>
  <si>
    <t>Southeast Asian Journal of Tropical Medicine and Public Health</t>
  </si>
  <si>
    <t>Southeast Asian Studies</t>
  </si>
  <si>
    <t>South East Asia Research</t>
  </si>
  <si>
    <t>Southeastern Archaeology</t>
  </si>
  <si>
    <t>Southeastern Europe</t>
  </si>
  <si>
    <t>Southeastern Geographer</t>
  </si>
  <si>
    <t>Southeastern Geology</t>
  </si>
  <si>
    <t>Southeastern Naturalist</t>
  </si>
  <si>
    <t>South East European Journal of Economics and Business</t>
  </si>
  <si>
    <t>Southern African Geographical Journal</t>
  </si>
  <si>
    <t>Southern African Humanities</t>
  </si>
  <si>
    <t>Southern African Journal of Anaesthesia and Analgesia</t>
  </si>
  <si>
    <t>Southern African Journal of Critical Care</t>
  </si>
  <si>
    <t>Southern African Journal of HIV Medicine</t>
  </si>
  <si>
    <t>Southern African Linguistics and Applied Language Studies</t>
  </si>
  <si>
    <t>Southern California Law Review</t>
  </si>
  <si>
    <t>Southern Communication Journal, The</t>
  </si>
  <si>
    <t>Southern Cultures</t>
  </si>
  <si>
    <t>Southern Economic Journal</t>
  </si>
  <si>
    <t>Southern Forests</t>
  </si>
  <si>
    <t>Southern Humanities Review</t>
  </si>
  <si>
    <t>Southern Illinois University at Carbondale, Dissertation</t>
  </si>
  <si>
    <t>Southern Journal of Applied Forestry</t>
  </si>
  <si>
    <t>Southern Journal of Philosophy</t>
  </si>
  <si>
    <t>Southern Literary Journal</t>
  </si>
  <si>
    <t>Southern Medical Journal</t>
  </si>
  <si>
    <t>Southern Med Review</t>
  </si>
  <si>
    <t>Southern University and Agricultural and Mechanical College, Dissertation</t>
  </si>
  <si>
    <t>South European Society and Politics</t>
  </si>
  <si>
    <t>Southwestern Entomologist</t>
  </si>
  <si>
    <t>Southwestern Historical Quarterly</t>
  </si>
  <si>
    <t>Southwestern Naturalist</t>
  </si>
  <si>
    <t>Soviet and Post Soviet Review</t>
  </si>
  <si>
    <t>Sovremennye Tehnologii v Medicine</t>
  </si>
  <si>
    <t>Soziale Welt</t>
  </si>
  <si>
    <t>Space</t>
  </si>
  <si>
    <t>Space and Culture</t>
  </si>
  <si>
    <t>Space and Polity</t>
  </si>
  <si>
    <t>Space Policy</t>
  </si>
  <si>
    <t>Space Research Journal</t>
  </si>
  <si>
    <t>Space Research Today</t>
  </si>
  <si>
    <t>Space Science Reviews</t>
  </si>
  <si>
    <t>Space Weather</t>
  </si>
  <si>
    <t>Spanish in Context</t>
  </si>
  <si>
    <t>Spanish Journal of Agricultural Research</t>
  </si>
  <si>
    <t>Spanish Journal of Psychology</t>
  </si>
  <si>
    <t>Spanish Review of Financial Economics</t>
  </si>
  <si>
    <t>Spatial and Spatio-temporal Epidemiology</t>
  </si>
  <si>
    <t>Spatial Cognition and Computation</t>
  </si>
  <si>
    <t>Spatial Economic Analysis</t>
  </si>
  <si>
    <t>Spatium</t>
  </si>
  <si>
    <t>SPE Asia Pacific Oil and Gas Conference [APOGCE] (Jakarta, Indonesia, 9/20-22/2011) Proceedings</t>
  </si>
  <si>
    <t>Special Care in Dentistry</t>
  </si>
  <si>
    <t>Speciality Petrochemicals</t>
  </si>
  <si>
    <t>Special Paper - Geological Survey of Finland</t>
  </si>
  <si>
    <t>Special Paper of the Geological Society of America</t>
  </si>
  <si>
    <t>Special Papers in Palaeontology</t>
  </si>
  <si>
    <t>Special Report - National Research Council, Transportation Research Board</t>
  </si>
  <si>
    <t>Special Topics and Reviews in Porous Media</t>
  </si>
  <si>
    <t>Specialusis Ugdymas</t>
  </si>
  <si>
    <t>Spectrochimica Acta - Part A: Molecular and Biomolecular Spectroscopy</t>
  </si>
  <si>
    <t>Spectrochimica Acta, Part B: Atomic Spectroscopy</t>
  </si>
  <si>
    <t>Spectroscopic Properties of Inorganic and Organometallic Compounds</t>
  </si>
  <si>
    <t>Spectroscopy</t>
  </si>
  <si>
    <t>Spectroscopy Europe</t>
  </si>
  <si>
    <t>Spectroscopy Letters</t>
  </si>
  <si>
    <t>Speculum</t>
  </si>
  <si>
    <t>SPE - DOE Improved Oil Recovery Symposium Proceedings</t>
  </si>
  <si>
    <t>SPE Drilling and Completion</t>
  </si>
  <si>
    <t>Speech Communication</t>
  </si>
  <si>
    <t>SPE Hydraulic Fracturing Technology Conference (The Woodlands, TX, 2/6-8/2012) Proceedings</t>
  </si>
  <si>
    <t>SPE Hydrocarbon Economics and Evaluation Symposium</t>
  </si>
  <si>
    <t>SPE International Formation Damage Control Symposium Proceedings</t>
  </si>
  <si>
    <t>SPE International Heavy Oil Conference (Kuwait, 12/12-14/2011) Proceedings</t>
  </si>
  <si>
    <t>SPE International Oilfield Chemistry Symposium Proceedings</t>
  </si>
  <si>
    <t>SPE International Production and Operations Conference (Doha, Qatar, 5/14-16/2012) Proceedings</t>
  </si>
  <si>
    <t>SPE Journal</t>
  </si>
  <si>
    <t>Spektrum der Augenheilkunde</t>
  </si>
  <si>
    <t>SPE Middle East Health, Safety, Security and Environment Conference [MEHSSE] (Abu Dhabi, UAE, 4/2-4/2012) Proceedings</t>
  </si>
  <si>
    <t>SPE North Africa Technical Conference [NATC] (Cairo, Egypt, 2/20-22/2012) Proceedings</t>
  </si>
  <si>
    <t>Spenser Studies</t>
  </si>
  <si>
    <t>SPE Oil and Gas India Conference [OGIC] (Mumbai, India, 3/28-30/2012) Proceedings</t>
  </si>
  <si>
    <t>SPE Production and Operations</t>
  </si>
  <si>
    <t>SPE Projects, Facilities and Construction</t>
  </si>
  <si>
    <t>SPE Reservoir Evaluation and Engineering</t>
  </si>
  <si>
    <t>Spiegel der Letteren</t>
  </si>
  <si>
    <t>Spinal Cord</t>
  </si>
  <si>
    <t>Spine</t>
  </si>
  <si>
    <t>Spine Journal</t>
  </si>
  <si>
    <t>Spirale</t>
  </si>
  <si>
    <t>Spiritus</t>
  </si>
  <si>
    <t>Spixiana</t>
  </si>
  <si>
    <t>Spore</t>
  </si>
  <si>
    <t>Sport, Education and Society</t>
  </si>
  <si>
    <t>Sport en Geneeskunde</t>
  </si>
  <si>
    <t>Sport, Ethics and Philosophy</t>
  </si>
  <si>
    <t>Sport History Review</t>
  </si>
  <si>
    <t>Sport in History</t>
  </si>
  <si>
    <t>Sport in Society</t>
  </si>
  <si>
    <t>Sport Management Review</t>
  </si>
  <si>
    <t>Sport Orthopadie Traumatologie</t>
  </si>
  <si>
    <t>Sport Psychologist</t>
  </si>
  <si>
    <t>Sports Biomechanics</t>
  </si>
  <si>
    <t>Sport Science</t>
  </si>
  <si>
    <t>Sport Sciences for Health</t>
  </si>
  <si>
    <t>Sports Engineering</t>
  </si>
  <si>
    <t>Sports Medicine</t>
  </si>
  <si>
    <t>Sports Medicine and Arthroscopy Review</t>
  </si>
  <si>
    <t>Sports Medicine Standards and Malpractice Reporter</t>
  </si>
  <si>
    <t>Sportverletzung Sportschaden : Organ der Gesellschaft fur Orthopadisch-Traumatologische Sportmedizin</t>
  </si>
  <si>
    <t>Sportwissenschaft</t>
  </si>
  <si>
    <t>Sprache Stimme Gehor</t>
  </si>
  <si>
    <t>Sprachwissenschaft</t>
  </si>
  <si>
    <t>Sprak och Stil</t>
  </si>
  <si>
    <t>Springer Monographs in Mathematics</t>
  </si>
  <si>
    <t>SpringerPlus</t>
  </si>
  <si>
    <t>Springer Series in Advanced Microelectronics</t>
  </si>
  <si>
    <t>Springer Series in Chemical Physics</t>
  </si>
  <si>
    <t>Springer Series in Geomechanics and Geoengineering</t>
  </si>
  <si>
    <t>Springer Series in Materials Science</t>
  </si>
  <si>
    <t>Springer Series in Optical Sciences</t>
  </si>
  <si>
    <t>Springer Tracts in Advanced Robotics</t>
  </si>
  <si>
    <t>Sri Lankan Journal of Anaesthesiology</t>
  </si>
  <si>
    <t>Srpski Arhiv Za Celokupno Lekarstvo</t>
  </si>
  <si>
    <t>Stadsgeschiedenis</t>
  </si>
  <si>
    <t>Stamford Journal of Pharmaceutical Sciences</t>
  </si>
  <si>
    <t>Stand</t>
  </si>
  <si>
    <t>Standardization News</t>
  </si>
  <si>
    <t>Standards in Genomic Sciences</t>
  </si>
  <si>
    <t>Standort</t>
  </si>
  <si>
    <t>Stanford Journal of International Law</t>
  </si>
  <si>
    <t>Stanford Law Review</t>
  </si>
  <si>
    <t>Stapp car crash journal</t>
  </si>
  <si>
    <t>Staps</t>
  </si>
  <si>
    <t>Starch/Staerke</t>
  </si>
  <si>
    <t>Stata Journal</t>
  </si>
  <si>
    <t>State legislatures</t>
  </si>
  <si>
    <t>State Politics and Policy Quarterly</t>
  </si>
  <si>
    <t>State University of New York at Albany, Dissertation</t>
  </si>
  <si>
    <t>State University of New York at Binghamton, Dissertation</t>
  </si>
  <si>
    <t>Statistical Analysis and Data Mining</t>
  </si>
  <si>
    <t>Statistical Applications in Genetics and Molecular Biology</t>
  </si>
  <si>
    <t>Statistical Inference for Stochastic Processes</t>
  </si>
  <si>
    <t>Statistical Journal of the IAOS</t>
  </si>
  <si>
    <t>Statistical Methodology</t>
  </si>
  <si>
    <t>Statistical Methods and Applications</t>
  </si>
  <si>
    <t>Statistical Methods in Medical Research</t>
  </si>
  <si>
    <t>Statistical Modelling</t>
  </si>
  <si>
    <t>Statistical Papers</t>
  </si>
  <si>
    <t>Statistical Science</t>
  </si>
  <si>
    <t>Statistica Neerlandica</t>
  </si>
  <si>
    <t>Statistica Sinica</t>
  </si>
  <si>
    <t>Statistics</t>
  </si>
  <si>
    <t>Statistics and Computing</t>
  </si>
  <si>
    <t>Statistics and Probability Letters</t>
  </si>
  <si>
    <t>Statistics Education Research Journal</t>
  </si>
  <si>
    <t>Statistics in Biosciences</t>
  </si>
  <si>
    <t>Statistics in Medicine</t>
  </si>
  <si>
    <t>Statistics Surveys</t>
  </si>
  <si>
    <t>Stato e Mercato</t>
  </si>
  <si>
    <t>Statute Law Review</t>
  </si>
  <si>
    <t>Steel and Composite Structures</t>
  </si>
  <si>
    <t>Steel in Translation</t>
  </si>
  <si>
    <t>Steel Research International</t>
  </si>
  <si>
    <t>Stem Cell Research</t>
  </si>
  <si>
    <t>Stem Cell Research and Therapy</t>
  </si>
  <si>
    <t>Stem Cell Reviews and Reports</t>
  </si>
  <si>
    <t>Stem Cells</t>
  </si>
  <si>
    <t>Stem Cells and Cloning: Advances and Applications</t>
  </si>
  <si>
    <t>Stem Cells and Development</t>
  </si>
  <si>
    <t>Stem Cells International</t>
  </si>
  <si>
    <t>Stem cells translational medicine</t>
  </si>
  <si>
    <t>Stem-, Spraak- en Taalpathologie</t>
  </si>
  <si>
    <t>Stereotactic and Functional Neurosurgery</t>
  </si>
  <si>
    <t>Steroids</t>
  </si>
  <si>
    <t>Stevens Institute of Technology, Dissertation</t>
  </si>
  <si>
    <t>Stewart Postharvest Review</t>
  </si>
  <si>
    <t>Stochastic Analysis and Applications</t>
  </si>
  <si>
    <t>Stochastic Environmental Research and Risk Assessment</t>
  </si>
  <si>
    <t>Stochastic Models</t>
  </si>
  <si>
    <t>Stochastic Processes and their Applications</t>
  </si>
  <si>
    <t>Stochastics</t>
  </si>
  <si>
    <t>Stochastics and Dynamics</t>
  </si>
  <si>
    <t>Stomatologija / issued by public institution 'Odontologijos studija' ... [et al.].</t>
  </si>
  <si>
    <t>Stomatologiya</t>
  </si>
  <si>
    <t>Storytelling, Self, Society</t>
  </si>
  <si>
    <t>St. Petersburg Mathematical Journal</t>
  </si>
  <si>
    <t>S.T.P. Pharma Pratiques</t>
  </si>
  <si>
    <t>Strabismus</t>
  </si>
  <si>
    <t>Strad</t>
  </si>
  <si>
    <t>Strahlentherapie und Onkologie</t>
  </si>
  <si>
    <t>Strain</t>
  </si>
  <si>
    <t>Strategic Comments</t>
  </si>
  <si>
    <t>Strategic Direction</t>
  </si>
  <si>
    <t>Strategic Entrepreneurship Journal</t>
  </si>
  <si>
    <t>Strategic Management Journal</t>
  </si>
  <si>
    <t>Strategic Organization</t>
  </si>
  <si>
    <t>Strategic Planning for Energy and the Environment</t>
  </si>
  <si>
    <t>Strategies and Tactics in Organic Synthesis</t>
  </si>
  <si>
    <t>Strategies in Trauma and Limb Reconstruction</t>
  </si>
  <si>
    <t>Strategy and Leadership</t>
  </si>
  <si>
    <t>Stratigraphy</t>
  </si>
  <si>
    <t>Stratigraphy and Geological Correlation</t>
  </si>
  <si>
    <t>Strength and Conditioning Journal</t>
  </si>
  <si>
    <t>Strength, Fracture and Complexity</t>
  </si>
  <si>
    <t>Strength of Materials</t>
  </si>
  <si>
    <t>Stress and Health</t>
  </si>
  <si>
    <t>Stress: the International Journal on Biology of Stress</t>
  </si>
  <si>
    <t>Strojarstvo</t>
  </si>
  <si>
    <t>Strojniski Vestnik/Journal of Mechanical Engineering</t>
  </si>
  <si>
    <t>Stroke</t>
  </si>
  <si>
    <t>Structural and Multidisciplinary Optimization</t>
  </si>
  <si>
    <t>Structural Change and Economic Dynamics</t>
  </si>
  <si>
    <t>Structural Chemistry</t>
  </si>
  <si>
    <t>Structural Concrete</t>
  </si>
  <si>
    <t>Structural Control and Health Monitoring</t>
  </si>
  <si>
    <t>Structural Design of Tall and Special Buildings</t>
  </si>
  <si>
    <t>Structural Engineering and Mechanics</t>
  </si>
  <si>
    <t>Structural Engineering/Earthquake Engineering</t>
  </si>
  <si>
    <t>Structural Engineering International: Journal of the International Association for Bridge and Structural Engineering (IABSE)</t>
  </si>
  <si>
    <t>Structural Equation Modeling</t>
  </si>
  <si>
    <t>Structural Health Monitoring</t>
  </si>
  <si>
    <t>Structural Safety</t>
  </si>
  <si>
    <t>Structural Survey</t>
  </si>
  <si>
    <t>Structure</t>
  </si>
  <si>
    <t>Structure and Bonding</t>
  </si>
  <si>
    <t>Structure and Infrastructure Engineering</t>
  </si>
  <si>
    <t>Strumenti Critici</t>
  </si>
  <si>
    <t>Studia Anglica Posnaniensia</t>
  </si>
  <si>
    <t>Studia Antiqua et Archaeologica</t>
  </si>
  <si>
    <t>Studia Geological Polonica</t>
  </si>
  <si>
    <t>Studia Geophysica et Geodaetica</t>
  </si>
  <si>
    <t>Studia Historica, Historia Medieval</t>
  </si>
  <si>
    <t>Studia Historica, Historia Moderna</t>
  </si>
  <si>
    <t>Studia Iranica</t>
  </si>
  <si>
    <t>Studia Leibnitiana</t>
  </si>
  <si>
    <t>Studia Linguistica</t>
  </si>
  <si>
    <t>Studia Logica</t>
  </si>
  <si>
    <t>Studia Mathematica</t>
  </si>
  <si>
    <t>Studia Monastica</t>
  </si>
  <si>
    <t>Studia Musicologica Academiae Scientiarum Hungaricae</t>
  </si>
  <si>
    <t>Studia Neophilologica</t>
  </si>
  <si>
    <t>Studia Phaenomenologica</t>
  </si>
  <si>
    <t>Studia Pneumologica et Phthiseologica</t>
  </si>
  <si>
    <t>Studia Psychologica</t>
  </si>
  <si>
    <t>Studia Quaternaria</t>
  </si>
  <si>
    <t>Studia Romanica Posnaniensia</t>
  </si>
  <si>
    <t>Studia Rosenthaliana</t>
  </si>
  <si>
    <t>Studia Scientiarum Mathematicarum Hungarica</t>
  </si>
  <si>
    <t>Studia Slavica</t>
  </si>
  <si>
    <t>Studia Socjologiczne</t>
  </si>
  <si>
    <t>Studia Theologica</t>
  </si>
  <si>
    <t>Studia Theologica - Nordic Journal of Theology</t>
  </si>
  <si>
    <t>Studia Universitatis Babes-Bolyai Chemia</t>
  </si>
  <si>
    <t>Studia Universitatis Vasile Goldis Arad, Seria Stiintele Vietii</t>
  </si>
  <si>
    <t>Studia z Filologii Polskiej i Slowianskiej</t>
  </si>
  <si>
    <t>Studi Danteschi</t>
  </si>
  <si>
    <t>Studi Emigrazione</t>
  </si>
  <si>
    <t>Studi e Problemi di Critica Testuale</t>
  </si>
  <si>
    <t>Studies in African Linguistics</t>
  </si>
  <si>
    <t>Studies in American Fiction</t>
  </si>
  <si>
    <t>Studies in American Indian Literatures</t>
  </si>
  <si>
    <t>Studies in American Political Development</t>
  </si>
  <si>
    <t>Studies in ancient medicine</t>
  </si>
  <si>
    <t>Studies in Applied Mathematics</t>
  </si>
  <si>
    <t>Studies in Canadian Literature - Etudes en Litterature Canadienne</t>
  </si>
  <si>
    <t>Studies in Communication Sciences</t>
  </si>
  <si>
    <t>Studies in Comparative International Development</t>
  </si>
  <si>
    <t>Studies in Computational Intelligence</t>
  </si>
  <si>
    <t>Studies in Conflict and Terrorism</t>
  </si>
  <si>
    <t>Studies in Conservation</t>
  </si>
  <si>
    <t>Studies in Continuing Education</t>
  </si>
  <si>
    <t>Studies in East European Thought</t>
  </si>
  <si>
    <t>Studies in Economics and Finance</t>
  </si>
  <si>
    <t>Studies in Educational Evaluation</t>
  </si>
  <si>
    <t>Studies in Eighteenth Century Culture</t>
  </si>
  <si>
    <t>Studies in Ethics, Law, and Technology</t>
  </si>
  <si>
    <t>Studies in Familiy Planning</t>
  </si>
  <si>
    <t>Studies in French Cinema</t>
  </si>
  <si>
    <t>Studies in Fuzziness and Soft Computing</t>
  </si>
  <si>
    <t>Studies in Gender and Sexuality</t>
  </si>
  <si>
    <t>Studies in Health Technology and Informatics</t>
  </si>
  <si>
    <t>Studies in Higher Education</t>
  </si>
  <si>
    <t>Studies in History</t>
  </si>
  <si>
    <t>Studies in History and Philosophy of Science Part A</t>
  </si>
  <si>
    <t>Studies in History and Philosophy of Science Part B - Studies in History and Philosophy of Modern Physics</t>
  </si>
  <si>
    <t>Studies in History and Philosophy of Science Part C Studies in History and Philosophy of Biological and Biomedical Sciences</t>
  </si>
  <si>
    <t>Studies in Iconography</t>
  </si>
  <si>
    <t>Studies in Informatics and Control</t>
  </si>
  <si>
    <t>Studies in Interface Science</t>
  </si>
  <si>
    <t>Studies in Interreligious Dialogue</t>
  </si>
  <si>
    <t>Studies in Language</t>
  </si>
  <si>
    <t>Studies in Latin American Popular Culture</t>
  </si>
  <si>
    <t>Studies in Logic, Grammar and Rhetoric</t>
  </si>
  <si>
    <t>Studies in Mycology</t>
  </si>
  <si>
    <t>Studies in Natural Products Chemistry</t>
  </si>
  <si>
    <t>Studies in Nonlinear Dynamics and Econometrics</t>
  </si>
  <si>
    <t>Studies in Philology</t>
  </si>
  <si>
    <t>Studies in Philosophy and Education</t>
  </si>
  <si>
    <t>Studies in Political Economy</t>
  </si>
  <si>
    <t>Studies in Regional Science</t>
  </si>
  <si>
    <t>Studies in Religion-Sciences Religieuses</t>
  </si>
  <si>
    <t>Studies in Romanticism</t>
  </si>
  <si>
    <t>Studies in Second Language Acquisition</t>
  </si>
  <si>
    <t>Studies in Social Justice</t>
  </si>
  <si>
    <t>Studies in Surface Science and Catalysis</t>
  </si>
  <si>
    <t>Studies in Symbolic Interaction</t>
  </si>
  <si>
    <t>Studies in the Age of Chaucer</t>
  </si>
  <si>
    <t>Studies in Theatre and Performance</t>
  </si>
  <si>
    <t>Studies in the History of Gardens and Designed Landscapes</t>
  </si>
  <si>
    <t>Studies in the Literary Imagination</t>
  </si>
  <si>
    <t>Studies in the Novel</t>
  </si>
  <si>
    <t>Studies in Travel Writing</t>
  </si>
  <si>
    <t>Studies in World Christianity</t>
  </si>
  <si>
    <t>Studies of Transition States and Societies</t>
  </si>
  <si>
    <t>Studies on Ethno-Medicine</t>
  </si>
  <si>
    <t>Studies on Neotropical Fauna and Environment</t>
  </si>
  <si>
    <t>Studies on Russian Economic Development</t>
  </si>
  <si>
    <t>Studies on Voltaire and the Eighteenth Century</t>
  </si>
  <si>
    <t>Studi Francesi</t>
  </si>
  <si>
    <t>Studi Medievali</t>
  </si>
  <si>
    <t>Studi Piemontesi</t>
  </si>
  <si>
    <t>Studi Storici</t>
  </si>
  <si>
    <t>Studium (Rotterdam, Netherlands)</t>
  </si>
  <si>
    <t>Style</t>
  </si>
  <si>
    <t>Sub-Stance</t>
  </si>
  <si>
    <t>Substance Abuse</t>
  </si>
  <si>
    <t>Substance Abuse: Research and Treatment</t>
  </si>
  <si>
    <t>Substance Abuse: Treatment, Prevention, and Policy</t>
  </si>
  <si>
    <t>Substance Use and Misuse</t>
  </si>
  <si>
    <t>Subterranean Biology</t>
  </si>
  <si>
    <t>Sucht</t>
  </si>
  <si>
    <t>Suchtmedizin in Forschung und Praxis</t>
  </si>
  <si>
    <t>Suchttherapie</t>
  </si>
  <si>
    <t>Sudebno-Meditsinskaya Ekspertisa</t>
  </si>
  <si>
    <t>Sudhoffs Archiv</t>
  </si>
  <si>
    <t>Sugar Tech</t>
  </si>
  <si>
    <t>Suhayl</t>
  </si>
  <si>
    <t>Suicide and Life-Threatening Behavior</t>
  </si>
  <si>
    <t>Sultan Qaboos University Medical Journal</t>
  </si>
  <si>
    <t>Sumarski List</t>
  </si>
  <si>
    <t>Summa Phytopathologica</t>
  </si>
  <si>
    <t>Sungkyun Journal of East Asian Studies</t>
  </si>
  <si>
    <t>Suo</t>
  </si>
  <si>
    <t>Superconductor Science and Technology</t>
  </si>
  <si>
    <t>Supercritical Fluid Science and Technology</t>
  </si>
  <si>
    <t>Superficies y Vacio</t>
  </si>
  <si>
    <t>Superlattices and Microstructures</t>
  </si>
  <si>
    <t>Supply Chain Management</t>
  </si>
  <si>
    <t>Support for Learning</t>
  </si>
  <si>
    <t>Supportive Care in Cancer</t>
  </si>
  <si>
    <t>Supramolecular Chemistry</t>
  </si>
  <si>
    <t>Supreme Court Review</t>
  </si>
  <si>
    <t>Surface and Coatings Technology</t>
  </si>
  <si>
    <t>Surface and Interface Analysis</t>
  </si>
  <si>
    <t>Surface Design Journal</t>
  </si>
  <si>
    <t>Surface Engineering</t>
  </si>
  <si>
    <t>Surface Engineering and Applied Electrochemistry</t>
  </si>
  <si>
    <t>Surface Investigation X-Ray, Synchrotron and Neutron Techniques</t>
  </si>
  <si>
    <t>Surface Review and Letters</t>
  </si>
  <si>
    <t>Surface Science</t>
  </si>
  <si>
    <t>Surface Science Reports</t>
  </si>
  <si>
    <t>Surgeon</t>
  </si>
  <si>
    <t>Surgery</t>
  </si>
  <si>
    <t>Surgery for Obesity and Related Diseases</t>
  </si>
  <si>
    <t>Surgery Today</t>
  </si>
  <si>
    <t>Surgical and Cosmetic Dermatology</t>
  </si>
  <si>
    <t>Surgical and Radiologic Anatomy</t>
  </si>
  <si>
    <t>Surgical Chronicles</t>
  </si>
  <si>
    <t>Surgical Clinics of North America</t>
  </si>
  <si>
    <t>Surgical Endoscopy</t>
  </si>
  <si>
    <t>Surgical Infections</t>
  </si>
  <si>
    <t>Surgical Innovation</t>
  </si>
  <si>
    <t>Surgical Laparoscopy, Endoscopy and Percutaneous Techniques</t>
  </si>
  <si>
    <t>Surgical Oncology</t>
  </si>
  <si>
    <t>Surgical Oncology Clinics of North America</t>
  </si>
  <si>
    <t>Surgical Pathology Clinics</t>
  </si>
  <si>
    <t>Surgical Practice</t>
  </si>
  <si>
    <t>Surgical Products</t>
  </si>
  <si>
    <t>Sur - International Journal of Human Rights</t>
  </si>
  <si>
    <t>Surveillance &amp; Society</t>
  </si>
  <si>
    <t>Surveying and Land Information Science</t>
  </si>
  <si>
    <t>Survey Methodology</t>
  </si>
  <si>
    <t>Survey of Ophthalmology</t>
  </si>
  <si>
    <t>Survey Review</t>
  </si>
  <si>
    <t>Surveys in Geophysics</t>
  </si>
  <si>
    <t>Surveys in Operations Research and Management Science</t>
  </si>
  <si>
    <t>Survival</t>
  </si>
  <si>
    <t>Sustainability</t>
  </si>
  <si>
    <t>Sustainability Accounting, Management and Policy Journal</t>
  </si>
  <si>
    <t>Sustainability Science</t>
  </si>
  <si>
    <t>Sustainability: Science, Practice, and Policy</t>
  </si>
  <si>
    <t>Sustainable Development</t>
  </si>
  <si>
    <t>Suvremena Lingvistika</t>
  </si>
  <si>
    <t>Suvremena Psihologija</t>
  </si>
  <si>
    <t>Suxing Gongcheng Xuebao/Journal of Plasticity Engineering</t>
  </si>
  <si>
    <t>Svensk Botanisk Tidskrift</t>
  </si>
  <si>
    <t>Swarm and Evolutionary Computation</t>
  </si>
  <si>
    <t>Swarm Intelligence</t>
  </si>
  <si>
    <t>Swedish Dental Journal</t>
  </si>
  <si>
    <t>Swedish dental journal. Supplement</t>
  </si>
  <si>
    <t>Swiss Journal of Geosciences</t>
  </si>
  <si>
    <t>Swiss Journal of Psychology</t>
  </si>
  <si>
    <t>Swiss Medical Weekly</t>
  </si>
  <si>
    <t>Swiss Political Science Review</t>
  </si>
  <si>
    <t>SWS - Rundschau</t>
  </si>
  <si>
    <t>Sydowia</t>
  </si>
  <si>
    <t>Sylvia</t>
  </si>
  <si>
    <t>Symbiosis</t>
  </si>
  <si>
    <t>Symbolae Osloenses</t>
  </si>
  <si>
    <t>Symbolic Interaction</t>
  </si>
  <si>
    <t>Symmetry</t>
  </si>
  <si>
    <t>Symmetry, Integrability and Geometry - Methods and Applications</t>
  </si>
  <si>
    <t>Symposium - Quarterly Journal in Modern Literatures</t>
  </si>
  <si>
    <t>Synapse</t>
  </si>
  <si>
    <t>Synchrotron Radiation News</t>
  </si>
  <si>
    <t>Synergies Espagne</t>
  </si>
  <si>
    <t>Synlett</t>
  </si>
  <si>
    <t>Syntax</t>
  </si>
  <si>
    <t>Synthese</t>
  </si>
  <si>
    <t>Synthesiology</t>
  </si>
  <si>
    <t>Synthesis</t>
  </si>
  <si>
    <t>Synthesis and Reactivity in Inorganic, Metal-Organic and Nano-Metal Chemistry</t>
  </si>
  <si>
    <t>Synthesis Lectures on Artificial Intelligence and Machine Learning</t>
  </si>
  <si>
    <t>Synthesis Lectures on Biomedical Engineering</t>
  </si>
  <si>
    <t>Synthesis Lectures on Communications</t>
  </si>
  <si>
    <t>Synthesis Lectures on Computational Electromagnetics</t>
  </si>
  <si>
    <t>Synthesis Lectures on Computer Architecture</t>
  </si>
  <si>
    <t>Synthesis Lectures on Computer Graphics and Animation</t>
  </si>
  <si>
    <t>Synthesis Lectures on Computer Science</t>
  </si>
  <si>
    <t>Synthesis Lectures on Digital Circuits and Systems</t>
  </si>
  <si>
    <t>Synthesis Lectures on Electrical Engineering</t>
  </si>
  <si>
    <t>Synthesis Lectures on Engineers, Technology, and Society</t>
  </si>
  <si>
    <t>Synthesis Lectures on Image, Video, and Multimedia Processing</t>
  </si>
  <si>
    <t>Synthesis Lectures on Mobile and Pervasive Computing</t>
  </si>
  <si>
    <t>Synthesis Lectures on Network Simulation</t>
  </si>
  <si>
    <t>Synthesis Lectures on Power Electronics</t>
  </si>
  <si>
    <t>Synthesis Lectures on Signal Processing</t>
  </si>
  <si>
    <t>Synthesis Lectures on Speech and Audio Processing</t>
  </si>
  <si>
    <t>Synthesis Lectures on Technology, Management and Entrepreneurship</t>
  </si>
  <si>
    <t>Synthesis Philosophica</t>
  </si>
  <si>
    <t>Synthesis project. Research synthesis report, The</t>
  </si>
  <si>
    <t>Synthetic Communications</t>
  </si>
  <si>
    <t>Synthetic Metals</t>
  </si>
  <si>
    <t>System</t>
  </si>
  <si>
    <t>Systematic and Applied Acarology</t>
  </si>
  <si>
    <t>Systematic and Applied Microbiology</t>
  </si>
  <si>
    <t>Systematic Biology</t>
  </si>
  <si>
    <t>Systematic Botany</t>
  </si>
  <si>
    <t>Systematic Entomology</t>
  </si>
  <si>
    <t>Systematic Parasitology</t>
  </si>
  <si>
    <t>Systematics and Biodiversity</t>
  </si>
  <si>
    <t>System Dynamics Review</t>
  </si>
  <si>
    <t>Systemic Practice and Action Research</t>
  </si>
  <si>
    <t>Systems and Control Letters</t>
  </si>
  <si>
    <t>Systems and Synthetic Biology</t>
  </si>
  <si>
    <t>Systems Biology in Reproductive Medicine</t>
  </si>
  <si>
    <t>Systems Engineering</t>
  </si>
  <si>
    <t>Systems Research and Behavioral Science</t>
  </si>
  <si>
    <t>Szociologiai Szemle</t>
  </si>
  <si>
    <t>Tabularia</t>
  </si>
  <si>
    <t>Tagliche Praxis</t>
  </si>
  <si>
    <t>Taiwanese Journal of Agricultural Chemistry and Food Science</t>
  </si>
  <si>
    <t>Taiwanese Journal of Mathematics</t>
  </si>
  <si>
    <t>Taiwanese Journal of Obstetrics and Gynecology</t>
  </si>
  <si>
    <t>Taiwania</t>
  </si>
  <si>
    <t>Taiwan Journal of Linguistics</t>
  </si>
  <si>
    <t>Taiwan Journal of Public Health</t>
  </si>
  <si>
    <t>Taiwan Review</t>
  </si>
  <si>
    <t>Taiwan Water Conservancy</t>
  </si>
  <si>
    <t>Taiyangneng Xuebao/Acta Energiae Solaris Sinica</t>
  </si>
  <si>
    <t>Talanta</t>
  </si>
  <si>
    <t>Taller de Letras</t>
  </si>
  <si>
    <t>TAL Traitement Automatique des Langues</t>
  </si>
  <si>
    <t>Tamkang Journal of International Affairs</t>
  </si>
  <si>
    <t>Tamkang Journal of Mathematics</t>
  </si>
  <si>
    <t>Tamkang Journal of Science and Engineering</t>
  </si>
  <si>
    <t>Tamkang Review</t>
  </si>
  <si>
    <t>Tamsui Oxford Journal of Information and Mathematical Sciences</t>
  </si>
  <si>
    <t>Tanaffos</t>
  </si>
  <si>
    <t>T and D</t>
  </si>
  <si>
    <t>Tanz</t>
  </si>
  <si>
    <t>Tanzania Journal of Health Research</t>
  </si>
  <si>
    <t>TAPPI European PLACE Conference</t>
  </si>
  <si>
    <t>Target</t>
  </si>
  <si>
    <t>Targeted Oncology</t>
  </si>
  <si>
    <t>Tar heel nurse</t>
  </si>
  <si>
    <t>Tarim Bilimleri Dergisi</t>
  </si>
  <si>
    <t>Tarsadalomkutatas</t>
  </si>
  <si>
    <t>Tasforests</t>
  </si>
  <si>
    <t>Tatra Mountains Mathematical Publications</t>
  </si>
  <si>
    <t>Taurus</t>
  </si>
  <si>
    <t>Taxon</t>
  </si>
  <si>
    <t>Tax Policy and the Economy</t>
  </si>
  <si>
    <t>TDR/The Drama Review</t>
  </si>
  <si>
    <t>Teacher Development</t>
  </si>
  <si>
    <t>Teacher Educator</t>
  </si>
  <si>
    <t>Teachers and Teaching: Theory and Practice</t>
  </si>
  <si>
    <t>Teachers College Record</t>
  </si>
  <si>
    <t>Teaching and Learning in Medicine</t>
  </si>
  <si>
    <t>Teaching and Learning in Nursing</t>
  </si>
  <si>
    <t>Teaching and Teacher Education</t>
  </si>
  <si>
    <t>Teaching Artist Journal</t>
  </si>
  <si>
    <t>Teaching Education</t>
  </si>
  <si>
    <t>Teaching in Higher Education</t>
  </si>
  <si>
    <t>Teaching Mathematics and its Applications</t>
  </si>
  <si>
    <t>Teaching of Psychology</t>
  </si>
  <si>
    <t>Teaching Sociology</t>
  </si>
  <si>
    <t>Teaching Statistics</t>
  </si>
  <si>
    <t>Teaching Theology and Religion</t>
  </si>
  <si>
    <t>Team Performance Management</t>
  </si>
  <si>
    <t>Technical Communication</t>
  </si>
  <si>
    <t>Technical Communication Quarterly</t>
  </si>
  <si>
    <t>Technical Digest - International Electron Devices Meeting</t>
  </si>
  <si>
    <t>Technical Physics</t>
  </si>
  <si>
    <t>Technical Physics Letters</t>
  </si>
  <si>
    <t>Technical Report Series - World Health Organization, Geneva</t>
  </si>
  <si>
    <t>Technical Report - University of Texas at Austin, Center for Research in Water Resources</t>
  </si>
  <si>
    <t>Technical Services Quarterly</t>
  </si>
  <si>
    <t>Technics Technologies Education Management</t>
  </si>
  <si>
    <t>Techniques in Coloproctology</t>
  </si>
  <si>
    <t>Techniques in Foot and Ankle Surgery</t>
  </si>
  <si>
    <t>Techniques in Gastrointestinal Endoscopy</t>
  </si>
  <si>
    <t>Techniques in Hand and Upper Extremity Surgery</t>
  </si>
  <si>
    <t>Techniques in Knee Surgery</t>
  </si>
  <si>
    <t>Techniques in Ophthalmology</t>
  </si>
  <si>
    <t>Techniques in Orthopaedics</t>
  </si>
  <si>
    <t>Techniques in Regional Anesthesia and Pain Management</t>
  </si>
  <si>
    <t>Techniques in Shoulder and Elbow Surgery</t>
  </si>
  <si>
    <t>Techniques in Vascular and Interventional Radiology</t>
  </si>
  <si>
    <t>Techniques - Sciences - Methodes</t>
  </si>
  <si>
    <t>Technische Mechanik</t>
  </si>
  <si>
    <t>Technische Uberwachung</t>
  </si>
  <si>
    <t>Technoetic Arts: a journal of speculative research</t>
  </si>
  <si>
    <t>Technologia del Agua</t>
  </si>
  <si>
    <t>Technological and Economic Development of Economy</t>
  </si>
  <si>
    <t>Technological Forecasting and Social Change</t>
  </si>
  <si>
    <t>Technology Analysis and Strategic Management</t>
  </si>
  <si>
    <t>Technology and Culture</t>
  </si>
  <si>
    <t>Technology and Disability</t>
  </si>
  <si>
    <t>Technology and Health Care</t>
  </si>
  <si>
    <t>Technology Evaluation Center Assessment Program. Executive summary</t>
  </si>
  <si>
    <t>Technology in Cancer Research and Treatment</t>
  </si>
  <si>
    <t>Technology in Society</t>
  </si>
  <si>
    <t>Technology, Pedagogy and Education</t>
  </si>
  <si>
    <t>Technology Reports of Kansai University</t>
  </si>
  <si>
    <t>Technology Review</t>
  </si>
  <si>
    <t>Technometrics</t>
  </si>
  <si>
    <t>Technovation</t>
  </si>
  <si>
    <t>TechTrends</t>
  </si>
  <si>
    <t>Tecnica Pecuaria en Mexico</t>
  </si>
  <si>
    <t>Tecnologia y Ciencias del Agua</t>
  </si>
  <si>
    <t>Tectonics</t>
  </si>
  <si>
    <t>Tectonophysics</t>
  </si>
  <si>
    <t>Tehnicki Vjesnik</t>
  </si>
  <si>
    <t>Tehran University Medical Journal</t>
  </si>
  <si>
    <t>Teikyo Medical Journal</t>
  </si>
  <si>
    <t>Teknik Dergi/Technical Journal of Turkish Chamber of Civil Engineers</t>
  </si>
  <si>
    <t>Tekstil</t>
  </si>
  <si>
    <t>Tekstil ve Konfeksiyon</t>
  </si>
  <si>
    <t>Tel Aviv</t>
  </si>
  <si>
    <t>Telecommunications and Radio Engineering (English translation of Elektrosvyaz and Radiotekhnika)</t>
  </si>
  <si>
    <t>Telecommunications Policy</t>
  </si>
  <si>
    <t>Telecommunication Systems</t>
  </si>
  <si>
    <t>Teledetection</t>
  </si>
  <si>
    <t>Telematics and Informatics</t>
  </si>
  <si>
    <t>Telemedicine Journal and e-Health</t>
  </si>
  <si>
    <t>Television and New Media</t>
  </si>
  <si>
    <t>Tellus, Series A: Dynamic Meteorology and Oceanography</t>
  </si>
  <si>
    <t>Tellus, Series B: Chemical and Physical Meteorology</t>
  </si>
  <si>
    <t>Telma</t>
  </si>
  <si>
    <t>Telopea</t>
  </si>
  <si>
    <t>Telos</t>
  </si>
  <si>
    <t>Temas Americanistas</t>
  </si>
  <si>
    <t>Temple Law Review</t>
  </si>
  <si>
    <t>Temple University, Dissertation</t>
  </si>
  <si>
    <t>Tempo</t>
  </si>
  <si>
    <t>Tempo (Brazil)</t>
  </si>
  <si>
    <t>Tempo e Argumento</t>
  </si>
  <si>
    <t>Tempo Psicanalitico</t>
  </si>
  <si>
    <t>Tempo Social: Revista de Sociologia da USP</t>
  </si>
  <si>
    <t>Temps des Medias</t>
  </si>
  <si>
    <t>Temps Modernes</t>
  </si>
  <si>
    <t>Tennessee medicine : journal of the Tennessee Medical Association</t>
  </si>
  <si>
    <t>Tennessee nurse / Tennessee Nurses Association</t>
  </si>
  <si>
    <t>Tennessee Technological University, Dissertation</t>
  </si>
  <si>
    <t>Tenside, Surfactants, Detergents</t>
  </si>
  <si>
    <t>Teologia y Vida</t>
  </si>
  <si>
    <t>Teorema</t>
  </si>
  <si>
    <t>Teoria</t>
  </si>
  <si>
    <t>Teoria de la Educacion</t>
  </si>
  <si>
    <t>Teorija in Praksa</t>
  </si>
  <si>
    <t>Terapevticheskii Arkhiv</t>
  </si>
  <si>
    <t>Terapia Psicologica</t>
  </si>
  <si>
    <t>Terminology</t>
  </si>
  <si>
    <t>Terra</t>
  </si>
  <si>
    <t>Terra Nova</t>
  </si>
  <si>
    <t>Terra Sebvs</t>
  </si>
  <si>
    <t>Terrestrial, Atmospheric and Oceanic Sciences</t>
  </si>
  <si>
    <t>Terrestrial Ecology</t>
  </si>
  <si>
    <t>Territoire en Mouvement</t>
  </si>
  <si>
    <t>Territorio</t>
  </si>
  <si>
    <t>Terrorism and Political Violence</t>
  </si>
  <si>
    <t>Tertiary Education and Management</t>
  </si>
  <si>
    <t>TESOL Quarterly</t>
  </si>
  <si>
    <t>Test</t>
  </si>
  <si>
    <t>Tetrahedron</t>
  </si>
  <si>
    <t>Tetrahedron Asymmetry</t>
  </si>
  <si>
    <t>Tetrahedron Letters</t>
  </si>
  <si>
    <t>Tetsu-To-Hagane/Journal of the Iron and Steel Institute of Japan</t>
  </si>
  <si>
    <t>Texas A &amp; M University, Dissertation</t>
  </si>
  <si>
    <t>Texas dental journal</t>
  </si>
  <si>
    <t>Texas Heart Institute Journal</t>
  </si>
  <si>
    <t>Texas Law Review</t>
  </si>
  <si>
    <t>Texas nursing</t>
  </si>
  <si>
    <t>Text and Performance Quarterly</t>
  </si>
  <si>
    <t>Text and Talk</t>
  </si>
  <si>
    <t>Textile History</t>
  </si>
  <si>
    <t>Textile Network</t>
  </si>
  <si>
    <t>Textile Outlook International</t>
  </si>
  <si>
    <t>Textile Reseach Journal</t>
  </si>
  <si>
    <t>Textiles South East Asia</t>
  </si>
  <si>
    <t>Textile: The Journal of Cloth and Culture</t>
  </si>
  <si>
    <t>Textile View2 Magazine</t>
  </si>
  <si>
    <t>Texto e Contexto Enfermagem</t>
  </si>
  <si>
    <t>Textual Practice</t>
  </si>
  <si>
    <t>Text und Kritik</t>
  </si>
  <si>
    <t>Te Zhong Zhu Zao Ji You Se He Jin/Journal of Special Casting &amp; Nonferrous Alloys</t>
  </si>
  <si>
    <t>Thai Journal of Mathematics</t>
  </si>
  <si>
    <t>Thai Journal of Pharmaceutical Sciences</t>
  </si>
  <si>
    <t>Thai Journal of Veterinary Medicine</t>
  </si>
  <si>
    <t>Thaiszia Journal of Botany</t>
  </si>
  <si>
    <t>Thalassas</t>
  </si>
  <si>
    <t>Theater</t>
  </si>
  <si>
    <t>Theaterheute</t>
  </si>
  <si>
    <t>Theatre History Studies</t>
  </si>
  <si>
    <t>Theatre Journal</t>
  </si>
  <si>
    <t>Theatre Notebook</t>
  </si>
  <si>
    <t>Theatre Research in Canada-Recherches Theatrales au Canada</t>
  </si>
  <si>
    <t>Theatre Research International</t>
  </si>
  <si>
    <t>Theatre Survey</t>
  </si>
  <si>
    <t>The Florida State University, Dissertation</t>
  </si>
  <si>
    <t>The George Washington University, Dissertation</t>
  </si>
  <si>
    <t>The Johns Hopkins University, Dissertation</t>
  </si>
  <si>
    <t>The Ohio State University, Dissertation</t>
  </si>
  <si>
    <t>Theological Studies</t>
  </si>
  <si>
    <t>Theologische Literaturzeitung</t>
  </si>
  <si>
    <t>Theologische Rundschau</t>
  </si>
  <si>
    <t>Theology</t>
  </si>
  <si>
    <t>Theology and Science</t>
  </si>
  <si>
    <t>Theology Today</t>
  </si>
  <si>
    <t>Theoretical and Applied Climatology</t>
  </si>
  <si>
    <t>Theoretical and Applied Fracture Mechanics</t>
  </si>
  <si>
    <t>Theoretical And Applied Genetics</t>
  </si>
  <si>
    <t>Theoretical and Applied Mechanics Japan</t>
  </si>
  <si>
    <t>Theoretical and Computational Fluid Dynamics</t>
  </si>
  <si>
    <t>Theoretical and Empirical Researches in Urban Management</t>
  </si>
  <si>
    <t>Theoretical and Experimental Chemistry</t>
  </si>
  <si>
    <t>Theoretical and Mathematical Physics</t>
  </si>
  <si>
    <t>Theoretical Biology and Medical Modelling</t>
  </si>
  <si>
    <t>Theoretical Chemistry Accounts</t>
  </si>
  <si>
    <t>Theoretical Computer Science</t>
  </si>
  <si>
    <t>Theoretical Criminology</t>
  </si>
  <si>
    <t>Theoretical Ecology</t>
  </si>
  <si>
    <t>Theoretical Economics</t>
  </si>
  <si>
    <t>Theoretical Foundations of Chemical Engineering</t>
  </si>
  <si>
    <t>Theoretical Inquiries in Law</t>
  </si>
  <si>
    <t>Theoretical Issues in Ergonomics Science</t>
  </si>
  <si>
    <t>Theoretical Linguistics</t>
  </si>
  <si>
    <t>Theoretical Medicine and Bioethics</t>
  </si>
  <si>
    <t>Theoretical Population Biology</t>
  </si>
  <si>
    <t>Theoria</t>
  </si>
  <si>
    <t>Theoria: Revista de Teoria, Historia y Fundamentos de la Ciencia</t>
  </si>
  <si>
    <t>Theory and Applications of Categories</t>
  </si>
  <si>
    <t>Theory and Decision</t>
  </si>
  <si>
    <t>Theory and Practice of Logic Programming</t>
  </si>
  <si>
    <t>Theory and Psychology</t>
  </si>
  <si>
    <t>Theory and Research in Education</t>
  </si>
  <si>
    <t>Theory and Society</t>
  </si>
  <si>
    <t>Theory, Culture and Society</t>
  </si>
  <si>
    <t>Theory in Biosciences</t>
  </si>
  <si>
    <t>Theory in biosciences = Theorie in den Biowissenschaften</t>
  </si>
  <si>
    <t>Theory into Practice</t>
  </si>
  <si>
    <t>Theory of Computing Systems</t>
  </si>
  <si>
    <t>Theory of Probability and its Applications</t>
  </si>
  <si>
    <t>The Pennsylvania State University, Dissertation</t>
  </si>
  <si>
    <t>The Permanente journal</t>
  </si>
  <si>
    <t>Therapeutic Advances in Cardiovascular Disease</t>
  </si>
  <si>
    <t>Therapeutic Advances in Drug Safety</t>
  </si>
  <si>
    <t>Therapeutic Advances in Gastroenterology</t>
  </si>
  <si>
    <t>Therapeutic Advances in Medical Oncology</t>
  </si>
  <si>
    <t>Therapeutic Advances in Musculoskeletal Disease</t>
  </si>
  <si>
    <t>Therapeutic Advances in Neurological Disorders</t>
  </si>
  <si>
    <t>Therapeutic Advances in Respiratory Disease</t>
  </si>
  <si>
    <t>Therapeutic Advances in Urology</t>
  </si>
  <si>
    <t>Therapeutic Apheresis and Dialysis</t>
  </si>
  <si>
    <t>Therapeutic Communities: the International Journal for Therapeutic and Supportive Organizations</t>
  </si>
  <si>
    <t>Therapeutic Drug Monitoring</t>
  </si>
  <si>
    <t>Therapeutic Research</t>
  </si>
  <si>
    <t>Therapeutics and Clinical Risk Management</t>
  </si>
  <si>
    <t>Therapeutics, Pharmacology and Clinical Toxicology</t>
  </si>
  <si>
    <t>Therapeutische Umschau. Revue therapeutique</t>
  </si>
  <si>
    <t>Therapie</t>
  </si>
  <si>
    <t>Therapie Familiale</t>
  </si>
  <si>
    <t>Theriaca</t>
  </si>
  <si>
    <t>Theriogenology</t>
  </si>
  <si>
    <t>Thermal Science</t>
  </si>
  <si>
    <t>Thermochimica Acta</t>
  </si>
  <si>
    <t>Thermology International</t>
  </si>
  <si>
    <t>Thermophysics and Aeromechanics</t>
  </si>
  <si>
    <t>The Scientific World Journal</t>
  </si>
  <si>
    <t>Thesis Eleven</t>
  </si>
  <si>
    <t>The Tohoku journal of experimental medicine</t>
  </si>
  <si>
    <t>The University of Akron, Dissertation</t>
  </si>
  <si>
    <t>The University of Iowa, Dissertation</t>
  </si>
  <si>
    <t>The University of Maine, Dissertation</t>
  </si>
  <si>
    <t>The University of New Mexico, Dissertation</t>
  </si>
  <si>
    <t>The University of Regina, Dissertation</t>
  </si>
  <si>
    <t>The University of Texas at Arlington, Dissertation</t>
  </si>
  <si>
    <t>The University of Texas at Dallas, Dissertation</t>
  </si>
  <si>
    <t>The University of Texas at El Paso, Dissertation</t>
  </si>
  <si>
    <t>The University of Texas at San Antonio, Dissertation</t>
  </si>
  <si>
    <t>The University of Toledo, Dissertation</t>
  </si>
  <si>
    <t>The University of Utah, Dissertation</t>
  </si>
  <si>
    <t>The University of Wisconsin - Madison, Dissertation</t>
  </si>
  <si>
    <t>Thinking and Reasoning</t>
  </si>
  <si>
    <t>Thinking Skills and Creativity</t>
  </si>
  <si>
    <t>Thin Solid Films</t>
  </si>
  <si>
    <t>Thin-Walled Structures</t>
  </si>
  <si>
    <t>Thirdspace</t>
  </si>
  <si>
    <t>Third Text</t>
  </si>
  <si>
    <t>Third World Quarterly</t>
  </si>
  <si>
    <t>Thomas Wolfe Review</t>
  </si>
  <si>
    <t>Thomist</t>
  </si>
  <si>
    <t>Thoracic and Cardiovascular Surgeon</t>
  </si>
  <si>
    <t>Thoracic Cancer</t>
  </si>
  <si>
    <t>Thoracic Surgery Clinics</t>
  </si>
  <si>
    <t>Thorax</t>
  </si>
  <si>
    <t>Thrombosis and Haemostasis</t>
  </si>
  <si>
    <t>Thrombosis Journal</t>
  </si>
  <si>
    <t>Thrombosis Research</t>
  </si>
  <si>
    <t>Thunderbird International Business Review</t>
  </si>
  <si>
    <t>Thyroid : official journal of the American Thyroid Association</t>
  </si>
  <si>
    <t>ThyssenKrupp techforum</t>
  </si>
  <si>
    <t>Tianjin Daxue Xuebao (Ziran Kexue yu Gongcheng Jishu Ban)/Journal of Tianjin University Science and Technology</t>
  </si>
  <si>
    <t>Tianranqi Gongye/Natural Gas Industry</t>
  </si>
  <si>
    <t>Ticks and Tick-borne Diseases</t>
  </si>
  <si>
    <t>TIDEE (Teri Information Digest on Energy and Environment)</t>
  </si>
  <si>
    <t>Tidsskriftet FoU i Praksis</t>
  </si>
  <si>
    <t>Tidsskrift for den Norske Laegeforening</t>
  </si>
  <si>
    <t>Tidsskrift for Samfunnsforskning</t>
  </si>
  <si>
    <t>Tidsskrift for Teologi og Kirke</t>
  </si>
  <si>
    <t>Tiedao Xuebao/Journal of the China Railway Society</t>
  </si>
  <si>
    <t>Tien Tzu Hsueh Pao/Acta Electronica Sinica</t>
  </si>
  <si>
    <t>Tierarztliche Praxis Ausgabe G: Grosstiere - Nutztiere</t>
  </si>
  <si>
    <t>Tierarztliche Praxis Ausgabe K: Kleintiere - Heimtiere</t>
  </si>
  <si>
    <t>Tierarztliche Umschau</t>
  </si>
  <si>
    <t>Tijdschrift van de Koninklijke Vereniging voor Nederlandse Muziekgeschiedenis</t>
  </si>
  <si>
    <t>Tijdschrift voor Bedrijfs- en Verzekeringsgeneeskunde</t>
  </si>
  <si>
    <t>Tijdschrift voor Communicatiewetenschap</t>
  </si>
  <si>
    <t>Tijdschrift voor Diergeneeskunde</t>
  </si>
  <si>
    <t>Tijdschrift Voor Economische en Sociale Geografie</t>
  </si>
  <si>
    <t>Tijdschrift voor Filosofie</t>
  </si>
  <si>
    <t>Tijdschrift voor Geneeskunde</t>
  </si>
  <si>
    <t>Tijdschrift voor Gerontologie en Geriatrie</t>
  </si>
  <si>
    <t>Tijdschrift Voor Geschiedenis</t>
  </si>
  <si>
    <t>Tijdschrift voor Kindergeneeskunde</t>
  </si>
  <si>
    <t>Tijdschrift Voor Nederlandse Taal-en Letterkunde</t>
  </si>
  <si>
    <t>Tijdschrift voor Psychiatrie</t>
  </si>
  <si>
    <t>Tijdschrift voor Sociale en Economische Geschiedenis</t>
  </si>
  <si>
    <t>Tijdschrift voor Theologie</t>
  </si>
  <si>
    <t>Time</t>
  </si>
  <si>
    <t>Time and Mind</t>
  </si>
  <si>
    <t>Time and Society</t>
  </si>
  <si>
    <t>Timisoara Medical Journal</t>
  </si>
  <si>
    <t>Tire Science and Technology</t>
  </si>
  <si>
    <t>Tissue and Cell</t>
  </si>
  <si>
    <t>Tissue Antigens</t>
  </si>
  <si>
    <t>Tissue Engineering - Part A.</t>
  </si>
  <si>
    <t>Tissue Engineering - Part B: Reviews</t>
  </si>
  <si>
    <t>Tissue Engineering - Part C: Methods</t>
  </si>
  <si>
    <t>Tizard Learning Disability Review</t>
  </si>
  <si>
    <t>TLS - The Times Literary Supplement</t>
  </si>
  <si>
    <t>TMA - Tijdschrift voor Milieuschade en Aansprakelijkheidsrecht</t>
  </si>
  <si>
    <t>TMS Annual Meeting</t>
  </si>
  <si>
    <t>TMS Light Metals</t>
  </si>
  <si>
    <t>TM. Technisches Messen</t>
  </si>
  <si>
    <t>Tobacco Control</t>
  </si>
  <si>
    <t>Tobacco Induced Diseases</t>
  </si>
  <si>
    <t>Tocqueville Review/La Revue Tocqueville, The</t>
  </si>
  <si>
    <t>Todays FDA : official monthly journal of the Florida Dental Association</t>
  </si>
  <si>
    <t>Tokai Journal of Experimental and Clinical Medicine</t>
  </si>
  <si>
    <t>Tokyo Jikeikai Medical Journal</t>
  </si>
  <si>
    <t>Tongji Daxue Xuebao/Journal of Tongji University</t>
  </si>
  <si>
    <t>Tongxin Xuebao/Journal on Communication</t>
  </si>
  <si>
    <t>Tonos Digital</t>
  </si>
  <si>
    <t>TOP</t>
  </si>
  <si>
    <t>Topicos</t>
  </si>
  <si>
    <t>Topics in Advanced Practice Nursing</t>
  </si>
  <si>
    <t>Topics in antiviral medicine</t>
  </si>
  <si>
    <t>Topics in Catalysis</t>
  </si>
  <si>
    <t>Topics in Clinical Nutrition</t>
  </si>
  <si>
    <t>Topics in Cognitive Science</t>
  </si>
  <si>
    <t>Topics in Companion Animal Medicine</t>
  </si>
  <si>
    <t>Topics in Current Chemistry</t>
  </si>
  <si>
    <t>Topics in Current Genetics</t>
  </si>
  <si>
    <t>Topics in Early Childhood Special Education</t>
  </si>
  <si>
    <t>Topics in Geriatric Rehabilitation</t>
  </si>
  <si>
    <t>Topics in Language Disorders</t>
  </si>
  <si>
    <t>Topics in Magnetic Resonance Imaging</t>
  </si>
  <si>
    <t>Topics in Medicinal Chemistry</t>
  </si>
  <si>
    <t>Topics in Organometallic Chemistry</t>
  </si>
  <si>
    <t>Topics in Spinal Cord Injury Rehabilitation</t>
  </si>
  <si>
    <t>Topics in Stroke Rehabilitation</t>
  </si>
  <si>
    <t>Topique</t>
  </si>
  <si>
    <t>Topoi</t>
  </si>
  <si>
    <t>Topology</t>
  </si>
  <si>
    <t>Topology and its Applications</t>
  </si>
  <si>
    <t>Toraibarojisuto/Journal of Japanese Society of Tribologists</t>
  </si>
  <si>
    <t>Torture : quarterly journal on rehabilitation of torture victims and preventionof torture</t>
  </si>
  <si>
    <t>Total Quality Management and Business Excellence</t>
  </si>
  <si>
    <t>Total Telecom</t>
  </si>
  <si>
    <t>T'oung Pao</t>
  </si>
  <si>
    <t>Tourism</t>
  </si>
  <si>
    <t>Tourism and Hospitality Research</t>
  </si>
  <si>
    <t>Tourism, Culture and Communication</t>
  </si>
  <si>
    <t>Tourism Economics</t>
  </si>
  <si>
    <t>Tourism Geographies</t>
  </si>
  <si>
    <t>Tourism in Marine Environments</t>
  </si>
  <si>
    <t>Tourism Management</t>
  </si>
  <si>
    <t>Tourism Management Perspectives</t>
  </si>
  <si>
    <t>Tourismos</t>
  </si>
  <si>
    <t>Tourism Planning and Development</t>
  </si>
  <si>
    <t>Tourist Studies</t>
  </si>
  <si>
    <t>Town Planning and Architecture</t>
  </si>
  <si>
    <t>Town Planning Review</t>
  </si>
  <si>
    <t>Toxicity report series</t>
  </si>
  <si>
    <t>Toxicological and Environmental Chemistry</t>
  </si>
  <si>
    <t>Toxicological Research</t>
  </si>
  <si>
    <t>Toxicological Sciences</t>
  </si>
  <si>
    <t>Toxicologic Pathology</t>
  </si>
  <si>
    <t>Toxicology</t>
  </si>
  <si>
    <t>Toxicology and Applied Pharmacology</t>
  </si>
  <si>
    <t>Toxicology and Environmental Health Sciences</t>
  </si>
  <si>
    <t>Toxicology and Industrial Health</t>
  </si>
  <si>
    <t>Toxicology International</t>
  </si>
  <si>
    <t>Toxicology in Vitro</t>
  </si>
  <si>
    <t>Toxicology Letters</t>
  </si>
  <si>
    <t>Toxicology Mechanisms and Methods</t>
  </si>
  <si>
    <t>Toxicon</t>
  </si>
  <si>
    <t>Toxin Reviews</t>
  </si>
  <si>
    <t>Toxins</t>
  </si>
  <si>
    <t>TQM Journal</t>
  </si>
  <si>
    <t>Trabajos de Prehistoria</t>
  </si>
  <si>
    <t>Trace Elements and Electrocytes</t>
  </si>
  <si>
    <t>Trace Metals and other Contaminants in the Environment</t>
  </si>
  <si>
    <t>Tracking report [electronic resource] / Center for Studying Health System Change</t>
  </si>
  <si>
    <t>TrAC - Trends in Analytical Chemistry</t>
  </si>
  <si>
    <t>Traditio</t>
  </si>
  <si>
    <t>Traffic</t>
  </si>
  <si>
    <t>Traffic Engineering and Control</t>
  </si>
  <si>
    <t>Traffic Injury Prevention</t>
  </si>
  <si>
    <t>Training and Education in Psychology</t>
  </si>
  <si>
    <t>Trames</t>
  </si>
  <si>
    <t>Transactions - Geothermal Resources Council</t>
  </si>
  <si>
    <t>Transactions Hong Kong Institution of Engineers</t>
  </si>
  <si>
    <t>Transactions in GIS</t>
  </si>
  <si>
    <t>Transactions of Famena</t>
  </si>
  <si>
    <t>Transactions of Japanese Society for Medical and Biological Engineering</t>
  </si>
  <si>
    <t>Transactions of Nanjing University of Aeronautics and Astronautics</t>
  </si>
  <si>
    <t>Transactions of Nonferrous Metals Society of China</t>
  </si>
  <si>
    <t>Transactions of the American Clinical and Climatological Association</t>
  </si>
  <si>
    <t>Transactions of the American Entomological Society</t>
  </si>
  <si>
    <t>Transactions of the American Fisheries Society</t>
  </si>
  <si>
    <t>Transactions of the American Mathematical Society</t>
  </si>
  <si>
    <t>Transactions of the American Ophthalmological Society</t>
  </si>
  <si>
    <t>Transactions of the American Philological Association</t>
  </si>
  <si>
    <t>Transactions of the American Philosophical Society</t>
  </si>
  <si>
    <t>Transactions of the Ancient Monuments Society</t>
  </si>
  <si>
    <t>Transactions of the ASABE</t>
  </si>
  <si>
    <t>Transactions of the Atomic Energy Society of Japan</t>
  </si>
  <si>
    <t>Transactions of the Canadian Society for Mechanical Engineering</t>
  </si>
  <si>
    <t>Transactions of the Charles S. Peirce Society</t>
  </si>
  <si>
    <t>Transactions of the Indian Ceramic Society</t>
  </si>
  <si>
    <t>Transactions of the Indian Institute of Metals</t>
  </si>
  <si>
    <t>Transactions of the Institute of British Geographers</t>
  </si>
  <si>
    <t>Transactions of the Institute of Indian Geographers</t>
  </si>
  <si>
    <t>Transactions of the Institute of Measurement and Control</t>
  </si>
  <si>
    <t>Transactions of the Institute of Metal Finishing</t>
  </si>
  <si>
    <t>Transactions of the Institution of Mining and Metallurgy, Section A: Mining Technology</t>
  </si>
  <si>
    <t>Transactions of the Institutions of Mining and Metallurgy, Section B: Applied Earth Science</t>
  </si>
  <si>
    <t>Transactions of the Institutions of Mining and Metallurgy, Section C: Mineral Processing and Extractive Metallurgy</t>
  </si>
  <si>
    <t>Transactions of the Japanese Society for Artificial Intelligence</t>
  </si>
  <si>
    <t>Transactions of the Japan Society for Aeronautical and Space Sciences</t>
  </si>
  <si>
    <t>Transactions of the Korean Institute of Electrical Engineers</t>
  </si>
  <si>
    <t>Transactions of the Korean Society of Mechanical Engineers, A</t>
  </si>
  <si>
    <t>Transactions of the Korean Society of Mechanical Engineers, B</t>
  </si>
  <si>
    <t>Transactions of the North American Manufacturing Research Institute of SME</t>
  </si>
  <si>
    <t>Transactions of the Philological Society</t>
  </si>
  <si>
    <t>Transactions of the Royal Historical Society</t>
  </si>
  <si>
    <t>Transactions of the Royal Institution of Naval Architects Part A: International Journal of Maritime Engineering</t>
  </si>
  <si>
    <t>Transactions of the Royal Institution of Naval Architects Part B: InternationalJournal of Small Craft Technology</t>
  </si>
  <si>
    <t>Transactions of the Royal Society of South Australia</t>
  </si>
  <si>
    <t>Transactions of the Royal Society of Tropical Medicine and Hygiene</t>
  </si>
  <si>
    <t>Transactions of the South African Institute of Electrical Engineers</t>
  </si>
  <si>
    <t>Transactions of Tianjin University</t>
  </si>
  <si>
    <t>Transactions on Architecture and Code Optimization</t>
  </si>
  <si>
    <t>Transactions on Data Privacy</t>
  </si>
  <si>
    <t>Transactions on Electrical and Electronic Materials</t>
  </si>
  <si>
    <t>Transactions on Electrical Engineering, Electronics, and Communications</t>
  </si>
  <si>
    <t>Transactions on Embedded Computing Systems</t>
  </si>
  <si>
    <t>Transactions - Society of Naval Architects and Marine Engineers</t>
  </si>
  <si>
    <t>Transboundary and Emerging Diseases</t>
  </si>
  <si>
    <t>Transcription</t>
  </si>
  <si>
    <t>Transcultural Psychiatry</t>
  </si>
  <si>
    <t>Transfer</t>
  </si>
  <si>
    <t>Trans/Form/Acao</t>
  </si>
  <si>
    <t>Transformation Groups</t>
  </si>
  <si>
    <t>Transformations in Business and Economics</t>
  </si>
  <si>
    <t>Transforming Anthropology</t>
  </si>
  <si>
    <t>Transforming Government: People, Process and Policy</t>
  </si>
  <si>
    <t>Transfusion</t>
  </si>
  <si>
    <t>Transfusion Alternatives in Transfusion Medicine</t>
  </si>
  <si>
    <t>Transfusion and Apheresis Science</t>
  </si>
  <si>
    <t>Transfusion Clinique et Biologique</t>
  </si>
  <si>
    <t>Transfusion Medicine</t>
  </si>
  <si>
    <t>Transfusion Medicine and Hemotherapy</t>
  </si>
  <si>
    <t>Transfusion Medicine Reviews</t>
  </si>
  <si>
    <t>Transfuze a Hematologie Dnes</t>
  </si>
  <si>
    <t>Transgenic Research</t>
  </si>
  <si>
    <t>Transinformacao</t>
  </si>
  <si>
    <t>Transition Metal Chemistry</t>
  </si>
  <si>
    <t>Transition Studies Review</t>
  </si>
  <si>
    <t>Translational Behavioral Medicine</t>
  </si>
  <si>
    <t>Translational Biomedicine</t>
  </si>
  <si>
    <t>Translational Neuroscience</t>
  </si>
  <si>
    <t>Translational Oncogenomics</t>
  </si>
  <si>
    <t>Translational Oncology</t>
  </si>
  <si>
    <t>Translational Psychiatry</t>
  </si>
  <si>
    <t>Translational Research</t>
  </si>
  <si>
    <t>Translational Stroke Research</t>
  </si>
  <si>
    <t>Translation and Literature</t>
  </si>
  <si>
    <t>Translation Review</t>
  </si>
  <si>
    <t>Translator</t>
  </si>
  <si>
    <t>Transnational Corporations</t>
  </si>
  <si>
    <t>Transplantation</t>
  </si>
  <si>
    <t>Transplantation Proceedings</t>
  </si>
  <si>
    <t>Transplantation Reviews</t>
  </si>
  <si>
    <t>Transplantationsmediz Organ der Deutschen Transplantationsgesellschaft</t>
  </si>
  <si>
    <t>Transplant Immunology</t>
  </si>
  <si>
    <t>Transplant Infectious Disease</t>
  </si>
  <si>
    <t>Transplant International</t>
  </si>
  <si>
    <t>Transplant Nurses Journal</t>
  </si>
  <si>
    <t>Transport</t>
  </si>
  <si>
    <t>Transport and Telecommunication</t>
  </si>
  <si>
    <t>Transportation</t>
  </si>
  <si>
    <t>Transportation Journal</t>
  </si>
  <si>
    <t>Transportation Planning and Technology</t>
  </si>
  <si>
    <t>Transportation Research, Part A: Policy and Practice</t>
  </si>
  <si>
    <t>Transportation Research Part C: Emerging Technologies</t>
  </si>
  <si>
    <t>Transportation Research, Part D: Transport and Environment</t>
  </si>
  <si>
    <t>Transportation Research, Part E: Logistics and Transportation Review</t>
  </si>
  <si>
    <t>Transportation Research Part F: Traffic Psychology and Behaviour</t>
  </si>
  <si>
    <t>Transportation Research Record</t>
  </si>
  <si>
    <t>Transportation Research, Series B: Methodological</t>
  </si>
  <si>
    <t>Transportation Science</t>
  </si>
  <si>
    <t>Transport in Porous Media</t>
  </si>
  <si>
    <t>Transportmetrica</t>
  </si>
  <si>
    <t>Transport Policy</t>
  </si>
  <si>
    <t>Transport Problems</t>
  </si>
  <si>
    <t>Transport Reviews</t>
  </si>
  <si>
    <t>Transport Theory and Statistical Physics</t>
  </si>
  <si>
    <t>Transylvanian Review</t>
  </si>
  <si>
    <t>Transylvanian Review of Administrative Sciences</t>
  </si>
  <si>
    <t>Trastornos Adictivos</t>
  </si>
  <si>
    <t>Trauma</t>
  </si>
  <si>
    <t>Trauma Monthly</t>
  </si>
  <si>
    <t>Traumatology</t>
  </si>
  <si>
    <t>Trauma und Berufskrankheit</t>
  </si>
  <si>
    <t>Trauma, Violence, and Abuse</t>
  </si>
  <si>
    <t>Travail et Emploi</t>
  </si>
  <si>
    <t>Travail, Genre et Societe</t>
  </si>
  <si>
    <t>Travail Humain</t>
  </si>
  <si>
    <t>Travailler</t>
  </si>
  <si>
    <t>Travaux de Linguistique</t>
  </si>
  <si>
    <t>Travaux de Litterature</t>
  </si>
  <si>
    <t>Travel Medicine and Infectious Disease</t>
  </si>
  <si>
    <t>Treatment guidelines from the Medical Letter</t>
  </si>
  <si>
    <t>Tree Genetics and Genomes</t>
  </si>
  <si>
    <t>Tree Physiology</t>
  </si>
  <si>
    <t>Tree-Ring Research</t>
  </si>
  <si>
    <t>Trees - Structure and Function</t>
  </si>
  <si>
    <t>Trends in Amplification</t>
  </si>
  <si>
    <t>Trends in Biochemical Sciences</t>
  </si>
  <si>
    <t>Trends in Bioinformatics</t>
  </si>
  <si>
    <t>Trends in Biomaterials and Artificial Organs</t>
  </si>
  <si>
    <t>Trends in Biotechnology</t>
  </si>
  <si>
    <t>Trends in Carbohydrate Research</t>
  </si>
  <si>
    <t>Trends in Cardiovascular Medicine</t>
  </si>
  <si>
    <t>Trends in Cell Biology</t>
  </si>
  <si>
    <t>Trends in Cognitive Sciences</t>
  </si>
  <si>
    <t>Trends in Ecology and Evolution</t>
  </si>
  <si>
    <t>Trends in Endocrinology and Metabolism</t>
  </si>
  <si>
    <t>Trends in Evolutionary Biology</t>
  </si>
  <si>
    <t>Trends in Food Science and Technology</t>
  </si>
  <si>
    <t>Trends in Genetics</t>
  </si>
  <si>
    <t>Trends in Glycoscience and Glycotechnology</t>
  </si>
  <si>
    <t>Trends in Immunology</t>
  </si>
  <si>
    <t>Trends in Medical Research</t>
  </si>
  <si>
    <t>Trends in Medicine</t>
  </si>
  <si>
    <t>Trends in Microbiology</t>
  </si>
  <si>
    <t>Trends in Molecular Medicine</t>
  </si>
  <si>
    <t>Trends in Neuroscience and Education</t>
  </si>
  <si>
    <t>Trends in Neurosciences</t>
  </si>
  <si>
    <t>Trends in Organized Crime</t>
  </si>
  <si>
    <t>Trends in Parasitology</t>
  </si>
  <si>
    <t>Trends in Pharmacological Sciences</t>
  </si>
  <si>
    <t>Trends in Plant Science</t>
  </si>
  <si>
    <t>Trends in Psychiatry and Psychotherapy</t>
  </si>
  <si>
    <t>Trials</t>
  </si>
  <si>
    <t>Tribologia</t>
  </si>
  <si>
    <t>Tribologie und Schmierungstechnik</t>
  </si>
  <si>
    <t>Tribology in Industry</t>
  </si>
  <si>
    <t>Tribology International</t>
  </si>
  <si>
    <t>Tribology Letters</t>
  </si>
  <si>
    <t>Tribology - Materials, Surfaces and Interfaces</t>
  </si>
  <si>
    <t>Tribology Transactions</t>
  </si>
  <si>
    <t>Tribunes de la Sante</t>
  </si>
  <si>
    <t>TripleC</t>
  </si>
  <si>
    <t>Triquarterly</t>
  </si>
  <si>
    <t>Tropical Agriculture</t>
  </si>
  <si>
    <t>Tropical and Subtropical Agroecosystems</t>
  </si>
  <si>
    <t>Tropical Animal Health and Production</t>
  </si>
  <si>
    <t>Tropical Biomedicine</t>
  </si>
  <si>
    <t>Tropical Doctor</t>
  </si>
  <si>
    <t>Tropical Ecology</t>
  </si>
  <si>
    <t>Tropical gastroenterology : official journal of the Digestive Diseases Foundation</t>
  </si>
  <si>
    <t>Tropical Journal of Pharmaceutical Research</t>
  </si>
  <si>
    <t>Tropical Life Sciences Research</t>
  </si>
  <si>
    <t>Tropical Medicine and Health</t>
  </si>
  <si>
    <t>Tropical Medicine and International Health</t>
  </si>
  <si>
    <t>Tropical Plant Biology</t>
  </si>
  <si>
    <t>Tropical Plant Pathology</t>
  </si>
  <si>
    <t>Tropical Zoology</t>
  </si>
  <si>
    <t>Trustee : the journal for hospital governing boards</t>
  </si>
  <si>
    <t>Trziste</t>
  </si>
  <si>
    <t>Tsinghua Science and Technology</t>
  </si>
  <si>
    <t>Tsitologiya</t>
  </si>
  <si>
    <t>Tsitologiya i Genetika</t>
  </si>
  <si>
    <t>TTR: Traduction, Terminologie et Redaction</t>
  </si>
  <si>
    <t>Tuberculosis</t>
  </si>
  <si>
    <t>Tuberculosis and Respiratory Diseases</t>
  </si>
  <si>
    <t>Tuberkuloz ve Toraks</t>
  </si>
  <si>
    <t>Tufts University, Dissertation</t>
  </si>
  <si>
    <t>Tuijin Jishu/Journal of Propulsion Technology</t>
  </si>
  <si>
    <t>Tulane University School of Science and Engineering, Dissertation</t>
  </si>
  <si>
    <t>Tulsa Studies in Womens Literature</t>
  </si>
  <si>
    <t>Tumor</t>
  </si>
  <si>
    <t>Tumor Biology</t>
  </si>
  <si>
    <t>Tumor Diagnostik und Therapie</t>
  </si>
  <si>
    <t>Tumori</t>
  </si>
  <si>
    <t>Tumu Gongcheng Xuebao/China Civil Engineering Journal</t>
  </si>
  <si>
    <t>Tumu Jianzhu yu Huanjing Gongcheng/Journal of Civil, Architectural and Environmental Engineering</t>
  </si>
  <si>
    <t>Tuna</t>
  </si>
  <si>
    <t>Tunnelling and Underground Space Technology</t>
  </si>
  <si>
    <t>Turk Anesteziyoloji ve Reanimasyon</t>
  </si>
  <si>
    <t>Turk Dermatoloji Dergisi</t>
  </si>
  <si>
    <t>Turk Geriatri Dergisi</t>
  </si>
  <si>
    <t>Turkish Journal of Biochemistry</t>
  </si>
  <si>
    <t>Turkish Journal of Biology</t>
  </si>
  <si>
    <t>Turkish Journal of Chemistry</t>
  </si>
  <si>
    <t>Turkish Journal of Earth Sciences</t>
  </si>
  <si>
    <t>Turkish Journal of Electrical Engineering and Computer Sciences</t>
  </si>
  <si>
    <t>Turkish Journal of Endocrinology and Metabolism</t>
  </si>
  <si>
    <t>Turkish Journal of Engineering and Environmental Sciences</t>
  </si>
  <si>
    <t>Turkish Journal of Field Crops</t>
  </si>
  <si>
    <t>Turkish Journal of Fisheries and Aquatic Sciences</t>
  </si>
  <si>
    <t>Turkish Journal of Gastroenterology</t>
  </si>
  <si>
    <t>Turkish Journal of Haematology</t>
  </si>
  <si>
    <t>Turkish Journal of Immunology</t>
  </si>
  <si>
    <t>Turkish Journal of Mathematics</t>
  </si>
  <si>
    <t>Turkish Journal of Medical Sciences</t>
  </si>
  <si>
    <t>Turkish Journal of Pediatrics</t>
  </si>
  <si>
    <t>Turkish Journal of Pharmaceutical Sciences</t>
  </si>
  <si>
    <t>Turkish Journal of Physics</t>
  </si>
  <si>
    <t>Turkish Journal of Rheumatology</t>
  </si>
  <si>
    <t>Turkish Journal of Surgery</t>
  </si>
  <si>
    <t>Turkish Journal of Thoracic and Cardiovascular Surgery</t>
  </si>
  <si>
    <t>Turkish Journal of Veterinary and Animal Sciences</t>
  </si>
  <si>
    <t>Turkish Journal of Zoology</t>
  </si>
  <si>
    <t>Turkish Nephrology, Dialysis and Transplantation Journal</t>
  </si>
  <si>
    <t>Turkish Neurosurgery</t>
  </si>
  <si>
    <t>Turkish Online Journal of Distance Education</t>
  </si>
  <si>
    <t>Turkish Online Journal of Educational Technology</t>
  </si>
  <si>
    <t>Turkish Studies</t>
  </si>
  <si>
    <t>Turkiye Acil Tip Dergisi</t>
  </si>
  <si>
    <t>Turkiye Entomoloji Dergisi</t>
  </si>
  <si>
    <t>Turkiye Klinikleri Cardiovascular Sciences</t>
  </si>
  <si>
    <t>Turkiye Klinikleri Dermatoloji</t>
  </si>
  <si>
    <t>Turkiye Klinikleri Jinekoloji Obstetrik</t>
  </si>
  <si>
    <t>Turkiye Klinikleri Journal of Medical Sciences</t>
  </si>
  <si>
    <t>Turkiye Klinikleri Pediatri</t>
  </si>
  <si>
    <t>TuÌˆrkiye parazitolojii dergisi / TuÌˆrkiye Parazitoloji DernegÌŒi = Acta parasitologica Turcica / Turkish Society for Parasitology</t>
  </si>
  <si>
    <t>Turk Jinekolojik Onkoloji Dergisi</t>
  </si>
  <si>
    <t>Turk Jinekoloji ve Obstetrik Dernegi Dergisi</t>
  </si>
  <si>
    <t>Turk Kardiyoloji Dernegi Arsivi</t>
  </si>
  <si>
    <t>Turk Kulturu ve Haci Bektas Veli - Arastirma Dergisi</t>
  </si>
  <si>
    <t>Turk Noroloji Dergisi</t>
  </si>
  <si>
    <t>Turk Oftalmoloji Gazetesi</t>
  </si>
  <si>
    <t>Turk Onkoloji Dergisi</t>
  </si>
  <si>
    <t>Turk Osteoporoz Dergisi</t>
  </si>
  <si>
    <t>Turk Patoloji Dergisi</t>
  </si>
  <si>
    <t>Turk Pediatri Arsivi</t>
  </si>
  <si>
    <t>Turk Plastik, Rekonstruktif ve Estetik Cerrahi Dergisi</t>
  </si>
  <si>
    <t>Turk Psikiyatri Dergisi</t>
  </si>
  <si>
    <t>Turk Psikoloji Dergisi</t>
  </si>
  <si>
    <t>Turk Serebrovaskuler Hastaliklar Dergisi</t>
  </si>
  <si>
    <t>Turk Tarim ve Ormancilik Dergisi/Turkish Journal of Agriculture and Forestry</t>
  </si>
  <si>
    <t>Turk Toraks Dergisi</t>
  </si>
  <si>
    <t>Turk Uroloji Dergisi</t>
  </si>
  <si>
    <t>Tutkimusraportti - Geologian Tutkimuskeskus</t>
  </si>
  <si>
    <t>Twentieth Century British History</t>
  </si>
  <si>
    <t>Twentieth-Century China</t>
  </si>
  <si>
    <t>Twentieth Century Literature</t>
  </si>
  <si>
    <t>Twenty-First Century Society</t>
  </si>
  <si>
    <t>Twin Research and Human Genetics</t>
  </si>
  <si>
    <t>Tydskrift vir Geesteswetenskappe</t>
  </si>
  <si>
    <t>Tydskrif vir die Suid-Afrikaanse Reg</t>
  </si>
  <si>
    <t>Tydskrif vir Letterkunde</t>
  </si>
  <si>
    <t>Tzintzun</t>
  </si>
  <si>
    <t>Tzu Chi Medical Journal</t>
  </si>
  <si>
    <t>UCLA Law Review</t>
  </si>
  <si>
    <t>Udar Mozgu - Problemy Interdyscyplinarne</t>
  </si>
  <si>
    <t>Ugeskrift for Laeger</t>
  </si>
  <si>
    <t>UHOD - Uluslararasi Hematoloji-Onkoloji Dergisi</t>
  </si>
  <si>
    <t>Uirusu. Journal of virology</t>
  </si>
  <si>
    <t>Ui sahak</t>
  </si>
  <si>
    <t>Ukrainian Journal of Physical Optics</t>
  </si>
  <si>
    <t>Ukrainian Journal of Physics</t>
  </si>
  <si>
    <t>Ukrainian Mathematical Journal</t>
  </si>
  <si>
    <t>Ukrainskii Biokhimicheskii Zhurnal</t>
  </si>
  <si>
    <t>Ulster Folklife</t>
  </si>
  <si>
    <t>Ulster Medical Journal</t>
  </si>
  <si>
    <t>Ultramicroscopy</t>
  </si>
  <si>
    <t>Ultraschall in der Medizin</t>
  </si>
  <si>
    <t>Ultrasonic Imaging</t>
  </si>
  <si>
    <t>Ultrasonics</t>
  </si>
  <si>
    <t>Ultrasonics Sonochemistry</t>
  </si>
  <si>
    <t>Ultrasound</t>
  </si>
  <si>
    <t>Ultrasound Clinics</t>
  </si>
  <si>
    <t>Ultrasound in Medicine and Biology</t>
  </si>
  <si>
    <t>Ultrasound in Obstetrics and Gynecology</t>
  </si>
  <si>
    <t>Ultrasound Quarterly</t>
  </si>
  <si>
    <t>Ultrastructural Pathology</t>
  </si>
  <si>
    <t>Ulusal Travma ve Acil Cerrahi Dergisi</t>
  </si>
  <si>
    <t>Uluslararasi Iliskiler</t>
  </si>
  <si>
    <t>Umeni</t>
  </si>
  <si>
    <t>Umweltmedizin in Forschung und Praxis</t>
  </si>
  <si>
    <t>Unasylva</t>
  </si>
  <si>
    <t>Undersea and Hyperbaric Medicine</t>
  </si>
  <si>
    <t>Understanding Complex Systems</t>
  </si>
  <si>
    <t>Underwater Technology</t>
  </si>
  <si>
    <t>UNISCI Discussion Papers</t>
  </si>
  <si>
    <t>Universal Access in the Information Society</t>
  </si>
  <si>
    <t>Universia Business Review</t>
  </si>
  <si>
    <t>Universitas</t>
  </si>
  <si>
    <t>Universitas Psychologica</t>
  </si>
  <si>
    <t>Universitas Scientiarum</t>
  </si>
  <si>
    <t>University of Alaska Fairbanks, Dissertation</t>
  </si>
  <si>
    <t>University of Alberta, Dissertation</t>
  </si>
  <si>
    <t>University of Arkansas at Little Rock, Dissertation</t>
  </si>
  <si>
    <t>University of Arkansas, Dissertation</t>
  </si>
  <si>
    <t>University of Calgary, Dissertation</t>
  </si>
  <si>
    <t>University of California, Berkeley, Dissertation</t>
  </si>
  <si>
    <t>University of California, Davis, Dissertation</t>
  </si>
  <si>
    <t>University of California, Los Angeles, Dissertation</t>
  </si>
  <si>
    <t>University of California, Riverside, Dissertation</t>
  </si>
  <si>
    <t>University of California, San Diego, Dissertation</t>
  </si>
  <si>
    <t>University of California, Santa Barbara, Dissertation</t>
  </si>
  <si>
    <t>University of California, Santa Cruz, Dissertation</t>
  </si>
  <si>
    <t>University of Chicago Law Review</t>
  </si>
  <si>
    <t>University of Cincinnati Law Review</t>
  </si>
  <si>
    <t>University of Connecticut, Dissertation</t>
  </si>
  <si>
    <t>University of Delaware, Dissertation</t>
  </si>
  <si>
    <t>University of Denver, Dissertation</t>
  </si>
  <si>
    <t>University of Florida, Dissertation</t>
  </si>
  <si>
    <t>University of Hawai'i at Manoa, Dissertation</t>
  </si>
  <si>
    <t>University of Houston, Dissertation</t>
  </si>
  <si>
    <t>University of Idaho, Dissertation</t>
  </si>
  <si>
    <t>University of Illinois at Chicago, Dissertation</t>
  </si>
  <si>
    <t>University of Illinois Law Review</t>
  </si>
  <si>
    <t>University of Kansas, Dissertation</t>
  </si>
  <si>
    <t>University of Maryland, Baltimore County, Dissertation</t>
  </si>
  <si>
    <t>University of Maryland, College Park, Dissertation</t>
  </si>
  <si>
    <t>University of Massachusetts Amherst, Dissertation</t>
  </si>
  <si>
    <t>University of Massachusetts Lowell, Dissertation</t>
  </si>
  <si>
    <t>University of Miami, Dissertation</t>
  </si>
  <si>
    <t>University of Michigan, Dissertation</t>
  </si>
  <si>
    <t>University of Notre Dame, Dissertation</t>
  </si>
  <si>
    <t>University of Oregon, Dissertation</t>
  </si>
  <si>
    <t>University of Ottawa, Dissertation</t>
  </si>
  <si>
    <t>University of Pennsylvania, Dissertation</t>
  </si>
  <si>
    <t>University of Pennsylvania Journal of International Economic Law</t>
  </si>
  <si>
    <t>University of Pennsylvania Law Review</t>
  </si>
  <si>
    <t>University of Pittsburgh, Dissertation</t>
  </si>
  <si>
    <t>University of Pittsburgh Law Review</t>
  </si>
  <si>
    <t>University of Rhode Island, Dissertation</t>
  </si>
  <si>
    <t>University of South Carolina, Dissertation</t>
  </si>
  <si>
    <t>University of Southern California, Dissertation</t>
  </si>
  <si>
    <t>University of South Florida, Dissertation</t>
  </si>
  <si>
    <t>University of Toronto Law Journal</t>
  </si>
  <si>
    <t>University of Toronto Medical Journal</t>
  </si>
  <si>
    <t>University of Toronto Quarterly</t>
  </si>
  <si>
    <t>University of Virginia, Dissertation</t>
  </si>
  <si>
    <t>University of Windsor, Dissertation</t>
  </si>
  <si>
    <t>University of Wyoming, Dissertation</t>
  </si>
  <si>
    <t>Universum</t>
  </si>
  <si>
    <t>UPB Scientific Bulletin, Series A: Applied Mathematics and Physics</t>
  </si>
  <si>
    <t>UPB Scientific Bulletin, Series B: Chemistry and Materials Science</t>
  </si>
  <si>
    <t>UPB Scientific Bulletin, Series C: Electrical Engineering</t>
  </si>
  <si>
    <t>UPB Scientific Bulletin, Series D: Mechanical Engineering</t>
  </si>
  <si>
    <t>Update in Anaesthesia</t>
  </si>
  <si>
    <t>Updates in Surgery</t>
  </si>
  <si>
    <t>Upsala Journal of Medical Sciences</t>
  </si>
  <si>
    <t>Urban Affairs Review</t>
  </si>
  <si>
    <t>Urban Anthropology and Studies of Cultural Systems and World Economic Development</t>
  </si>
  <si>
    <t>Urban Climate</t>
  </si>
  <si>
    <t>Urban Design International</t>
  </si>
  <si>
    <t>Urban Ecosystems</t>
  </si>
  <si>
    <t>Urban Education</t>
  </si>
  <si>
    <t>Urban Forestry and Urban Greening</t>
  </si>
  <si>
    <t>Urban Forum</t>
  </si>
  <si>
    <t>Urban Geography</t>
  </si>
  <si>
    <t>Urban Habitats</t>
  </si>
  <si>
    <t>Urban History</t>
  </si>
  <si>
    <t>Urban History Review/Revue d'Histoire Urbaine</t>
  </si>
  <si>
    <t>Urbani Izziv</t>
  </si>
  <si>
    <t>Urban Lawyer</t>
  </si>
  <si>
    <t>Urban Morphology</t>
  </si>
  <si>
    <t>Urban Policy and Research</t>
  </si>
  <si>
    <t>Urban Review, The</t>
  </si>
  <si>
    <t>Urban Studies</t>
  </si>
  <si>
    <t>Urban Water Journal</t>
  </si>
  <si>
    <t>URISA Journal</t>
  </si>
  <si>
    <t>Urogynaecologia International Journal</t>
  </si>
  <si>
    <t>Urolithiasis</t>
  </si>
  <si>
    <t>Urologe - Ausgabe A</t>
  </si>
  <si>
    <t>Urologia</t>
  </si>
  <si>
    <t>Urologia Internationalis</t>
  </si>
  <si>
    <t>Urological Science</t>
  </si>
  <si>
    <t>Urologic Clinics of North America</t>
  </si>
  <si>
    <t>Urologic nursing : official journal of the American Urological Association Allied</t>
  </si>
  <si>
    <t>Urologic Oncology</t>
  </si>
  <si>
    <t>Urologiia</t>
  </si>
  <si>
    <t>Urology</t>
  </si>
  <si>
    <t>Urology Journal</t>
  </si>
  <si>
    <t>UroToday International Journal</t>
  </si>
  <si>
    <t>Ursus</t>
  </si>
  <si>
    <t>U.S. Army Medical Department journal</t>
  </si>
  <si>
    <t>US Cardiology</t>
  </si>
  <si>
    <t>USDA Forest Service - General Technical Report PNW</t>
  </si>
  <si>
    <t>USDA Forest Service - General Technical Report RMRS-GTR</t>
  </si>
  <si>
    <t>USDA Forest Service - Research Note PNW-RN</t>
  </si>
  <si>
    <t>USDA Forest Service - Research Note RMRS-RN</t>
  </si>
  <si>
    <t>USDA Forest Service - Research Papers PNW-RP</t>
  </si>
  <si>
    <t>USDA Forest Service - Research Papers RMRS</t>
  </si>
  <si>
    <t>USDA Forest Service - Resource Bulletin PNW-RB</t>
  </si>
  <si>
    <t>US Department of Agriculture, Forest Service - Resource Bulletin</t>
  </si>
  <si>
    <t>US Endocrinology</t>
  </si>
  <si>
    <t>User Modelling and User-Adapted Interaction</t>
  </si>
  <si>
    <t>US Geological Survey Profesional Paper</t>
  </si>
  <si>
    <t>US Musculoskeletal Review</t>
  </si>
  <si>
    <t>US Obstetrics and Gynecology</t>
  </si>
  <si>
    <t>Uspekhi Fiziologicheskikh Nauk</t>
  </si>
  <si>
    <t>Usuteaduslik Ajakiri</t>
  </si>
  <si>
    <t>Utilitas</t>
  </si>
  <si>
    <t>Utilitas Mathematica</t>
  </si>
  <si>
    <t>Utilities Policy</t>
  </si>
  <si>
    <t>Utopia y Praxis Latinoamericana</t>
  </si>
  <si>
    <t>Vaccine</t>
  </si>
  <si>
    <t>Vacunas</t>
  </si>
  <si>
    <t>Vacuum</t>
  </si>
  <si>
    <t>Vadose Zone Journal</t>
  </si>
  <si>
    <t>Vakcinologie</t>
  </si>
  <si>
    <t>Vakuum in Forschung und Praxis</t>
  </si>
  <si>
    <t>Value in Health</t>
  </si>
  <si>
    <t>Value in Health Regional Issues</t>
  </si>
  <si>
    <t>Vanderbilt Law Review</t>
  </si>
  <si>
    <t>VASA. Zeitschrift fur Gefasskrankheiten. Journal for vascular diseases</t>
  </si>
  <si>
    <t>Vascular</t>
  </si>
  <si>
    <t>Vascular and Endovascular Surgery</t>
  </si>
  <si>
    <t>Vascular Cell</t>
  </si>
  <si>
    <t>Vascular Disease Management</t>
  </si>
  <si>
    <t>Vascular Health and Risk Management</t>
  </si>
  <si>
    <t>Vascular Medicine</t>
  </si>
  <si>
    <t>Vascular Pharmacology</t>
  </si>
  <si>
    <t>Vasomed</t>
  </si>
  <si>
    <t>VDI-Z Integrierte Produktion</t>
  </si>
  <si>
    <t>Vector-Borne and Zoonotic Diseases</t>
  </si>
  <si>
    <t>Vegetable Crops Research Bulletin</t>
  </si>
  <si>
    <t>Vegetation History and Archaeobotany</t>
  </si>
  <si>
    <t>Vegetos</t>
  </si>
  <si>
    <t>Vehicle System Dynamics</t>
  </si>
  <si>
    <t>Veliger</t>
  </si>
  <si>
    <t>Venture Capital</t>
  </si>
  <si>
    <t>Verdauungskrankheiten</t>
  </si>
  <si>
    <t>Verhaltenstherapie</t>
  </si>
  <si>
    <t>Verhaltenstherapie und Verhaltensmedizin</t>
  </si>
  <si>
    <t>Verhandelingen - Koninklijke Academie voor Geneeskunde van Belgie</t>
  </si>
  <si>
    <t>Versicherungsmedizin / herausgegeben von Verband der Lebensversicherungs-Unternehmen e.V. und Verband der Privaten Krankenversicherung e.V</t>
  </si>
  <si>
    <t>Vertex (Buenos Aires, Argentina)</t>
  </si>
  <si>
    <t>Vertiflite</t>
  </si>
  <si>
    <t>Vesalius : acta internationales historiae medicinae</t>
  </si>
  <si>
    <t>Vestnik Khirurgii Imeni I.I.Grekova</t>
  </si>
  <si>
    <t>Vestnik Moskovskogo Universiteta, Seriya 5: Geografiya</t>
  </si>
  <si>
    <t>Vestnik Oftalmologii</t>
  </si>
  <si>
    <t>Vestnik Oto-Rino-Laringologii</t>
  </si>
  <si>
    <t>Vestnik Rentgenologii i Radiologii</t>
  </si>
  <si>
    <t>Vestnik Rossiiskoi Akademii Meditsinskikh Nauk</t>
  </si>
  <si>
    <t>Vestnik - Sankt-Petersburgskogo Universiteta, Seriya Geologiya i Geografiya</t>
  </si>
  <si>
    <t>Vestnik St. Petersburg University: Mathematics</t>
  </si>
  <si>
    <t>Vestnik Zoologii</t>
  </si>
  <si>
    <t>Veterinaria Mexico</t>
  </si>
  <si>
    <t>Veterinarija ir Zootechnika</t>
  </si>
  <si>
    <t>Veterinarni Medicina</t>
  </si>
  <si>
    <t>Veterinarski Arhiv</t>
  </si>
  <si>
    <t>Veterinary Anaesthesia and Analgesia</t>
  </si>
  <si>
    <t>Veterinary and Comparative Oncology</t>
  </si>
  <si>
    <t>Veterinary and Comparative Orthopaedics and Traumatology</t>
  </si>
  <si>
    <t>Veterinary Clinical Pathology</t>
  </si>
  <si>
    <t>Veterinary Clinics of North America. Equine Practice</t>
  </si>
  <si>
    <t>Veterinary Clinics of North America - Exotic Animal Practice</t>
  </si>
  <si>
    <t>Veterinary Clinics of North America - Food Animal Practice</t>
  </si>
  <si>
    <t>Veterinary Clinics of North America - Small Animal Practice</t>
  </si>
  <si>
    <t>Veterinary Dermatology</t>
  </si>
  <si>
    <t>Veterinary Economics</t>
  </si>
  <si>
    <t>Veterinary heritage : bulletin of the American Veterinary History Society</t>
  </si>
  <si>
    <t>Veterinary Immunology and Immunopathology</t>
  </si>
  <si>
    <t>Veterinary Journal</t>
  </si>
  <si>
    <t>Veterinary Medicine</t>
  </si>
  <si>
    <t>Veterinary Medicine International</t>
  </si>
  <si>
    <t>Veterinary Microbiology</t>
  </si>
  <si>
    <t>Veterinary Ophthalmology</t>
  </si>
  <si>
    <t>Veterinary Parasitology</t>
  </si>
  <si>
    <t>Veterinary Pathology</t>
  </si>
  <si>
    <t>Veterinary Practitioner</t>
  </si>
  <si>
    <t>Veterinary Quarterly</t>
  </si>
  <si>
    <t>Veterinary Radiology and Ultrasound</t>
  </si>
  <si>
    <t>Veterinary Record</t>
  </si>
  <si>
    <t>Veterinary Research</t>
  </si>
  <si>
    <t>Veterinary Research Communications</t>
  </si>
  <si>
    <t>Veterinary Surgery</t>
  </si>
  <si>
    <t>Veterinary Technician</t>
  </si>
  <si>
    <t>Veterinary World</t>
  </si>
  <si>
    <t>Vetus Testamentum</t>
  </si>
  <si>
    <t>VIAL - Vigo International Journal of Applied Linguistics</t>
  </si>
  <si>
    <t>Viator - Medieval and Renaissance Studies</t>
  </si>
  <si>
    <t>Vibrational Spectroscopy</t>
  </si>
  <si>
    <t>Vibrations in Physical Systems</t>
  </si>
  <si>
    <t>Victims and Offenders</t>
  </si>
  <si>
    <t>Victorian Literature and Culture</t>
  </si>
  <si>
    <t>Victorian Naturalist</t>
  </si>
  <si>
    <t>Victorian Newsletter</t>
  </si>
  <si>
    <t>Victorian Periodicals Review</t>
  </si>
  <si>
    <t>Victorian Poetry</t>
  </si>
  <si>
    <t>Victorian Studies</t>
  </si>
  <si>
    <t>Vie et Milieu</t>
  </si>
  <si>
    <t>Vienna Yearbook of Population Research</t>
  </si>
  <si>
    <t>Vierteljahresschrift fur Sozial und Wirtschaftsgeschichte</t>
  </si>
  <si>
    <t>Vierteljahrshefte fur Zeitgeschichte</t>
  </si>
  <si>
    <t>Vigiliae Christianae</t>
  </si>
  <si>
    <t>VINE</t>
  </si>
  <si>
    <t>Vingtieme Siecle: Revue d'Histoire</t>
  </si>
  <si>
    <t>Violence Against Women</t>
  </si>
  <si>
    <t>Violence and Victims</t>
  </si>
  <si>
    <t>Viral Immunology</t>
  </si>
  <si>
    <t>Virchows Archiv</t>
  </si>
  <si>
    <t>Virginia Commonwealth University, Dissertation</t>
  </si>
  <si>
    <t>Virginia Law Review</t>
  </si>
  <si>
    <t>Virginia Quarterly Review</t>
  </si>
  <si>
    <t>Virittaja</t>
  </si>
  <si>
    <t>Virologica Sinica</t>
  </si>
  <si>
    <t>Virologie</t>
  </si>
  <si>
    <t>Virology</t>
  </si>
  <si>
    <t>Virology Journal</t>
  </si>
  <si>
    <t>Virtual and Physical Prototyping</t>
  </si>
  <si>
    <t>Virtual Reality</t>
  </si>
  <si>
    <t>Virulence</t>
  </si>
  <si>
    <t>Virus Adaptation and Treatment</t>
  </si>
  <si>
    <t>Viruses</t>
  </si>
  <si>
    <t>Virus Genes</t>
  </si>
  <si>
    <t>Virus Research</t>
  </si>
  <si>
    <t>Vision Research</t>
  </si>
  <si>
    <t>Visitor Studies</t>
  </si>
  <si>
    <t>Visual Anthropology</t>
  </si>
  <si>
    <t>Visual Anthropology Review</t>
  </si>
  <si>
    <t>Visual Cognition</t>
  </si>
  <si>
    <t>Visual Communication</t>
  </si>
  <si>
    <t>Visual Communication Quarterly</t>
  </si>
  <si>
    <t>Visual Computer</t>
  </si>
  <si>
    <t>Visual Neuroscience</t>
  </si>
  <si>
    <t>Visual Resources</t>
  </si>
  <si>
    <t>Visual Studies</t>
  </si>
  <si>
    <t>Viszeralmedizin: Gastrointestinal Medicine and Surgery</t>
  </si>
  <si>
    <t>Vitae</t>
  </si>
  <si>
    <t>Vital and health statistics. Ser. 1: Programs and collection procedures</t>
  </si>
  <si>
    <t>Vital and health statistics. Series 10, Data from the National Health Survey</t>
  </si>
  <si>
    <t>Vital and health statistics. Series 11, Data from the National Health Survey</t>
  </si>
  <si>
    <t>Vital and health statistics. Series 13, Data from the National Health Survey</t>
  </si>
  <si>
    <t>Vital and health statistics. Series 23, Data from the National Survey of Family Growth</t>
  </si>
  <si>
    <t>Vital and health statistics. Series 2, Data evaluation and methods research</t>
  </si>
  <si>
    <t>Vitamins and Hormones</t>
  </si>
  <si>
    <t>Vitis - Journal of Grapevine Research</t>
  </si>
  <si>
    <t>Vivarium</t>
  </si>
  <si>
    <t>Vjesnik Bibliotekara Hrvatske</t>
  </si>
  <si>
    <t>Vjesnik za Arheologiju i Povijest Dalmatinsku</t>
  </si>
  <si>
    <t>Vlaams Diergeneeskundig Tijdschrift</t>
  </si>
  <si>
    <t>Vlakna a Textil</t>
  </si>
  <si>
    <t>VLDB Journal</t>
  </si>
  <si>
    <t>VLSI Design</t>
  </si>
  <si>
    <t>Vnitrni Lekarstvi</t>
  </si>
  <si>
    <t>Vocations and Learning</t>
  </si>
  <si>
    <t>Vodohospodarsky Casopis/Journal of Hydrology and Hydromechanics</t>
  </si>
  <si>
    <t>VOEB-Mitteilungen</t>
  </si>
  <si>
    <t>Voenno-meditsinskii zhurnal</t>
  </si>
  <si>
    <t>Vogelwarte</t>
  </si>
  <si>
    <t>Voices - Journal of New York Folklore</t>
  </si>
  <si>
    <t>Voix and Images</t>
  </si>
  <si>
    <t>Vojnosanitetski Pregled</t>
  </si>
  <si>
    <t>Volkskunde</t>
  </si>
  <si>
    <t>Volta Review</t>
  </si>
  <si>
    <t>Voluntas</t>
  </si>
  <si>
    <t>Voprosy kurortologii, fizioterapii, i lechebnoi fizicheskoi kultury</t>
  </si>
  <si>
    <t>Voprosy Onkologii</t>
  </si>
  <si>
    <t>Voprosy Pitaniia</t>
  </si>
  <si>
    <t>Voprosy Psikhologii</t>
  </si>
  <si>
    <t>Voprosy Virusologii</t>
  </si>
  <si>
    <t>Voprosy yazykoznaniya</t>
  </si>
  <si>
    <t>Vox Sanguinis</t>
  </si>
  <si>
    <t>VTT Publications</t>
  </si>
  <si>
    <t>VTT Symposium (Valtion Teknillinen Tutkimuskeskus)</t>
  </si>
  <si>
    <t>VTT Tiedotteita - Valtion Teknillinen Tutkimuskeskus</t>
  </si>
  <si>
    <t>Vulnerable Children and Youth Studies</t>
  </si>
  <si>
    <t>Wacana Seni</t>
  </si>
  <si>
    <t>Wader Study Group Bulletin</t>
  </si>
  <si>
    <t>Waffen-und Kostumkunde</t>
  </si>
  <si>
    <t>Wallace Stevens Journal</t>
  </si>
  <si>
    <t>Walt Whitman Quarterly Review</t>
  </si>
  <si>
    <t>War in History</t>
  </si>
  <si>
    <t>Wasafiri</t>
  </si>
  <si>
    <t>Washington Law Review</t>
  </si>
  <si>
    <t>Washington Quarterly</t>
  </si>
  <si>
    <t>Washington University in St. Louis, Dissertation</t>
  </si>
  <si>
    <t>Wasser und Abfall</t>
  </si>
  <si>
    <t>Wasserwirtschaft</t>
  </si>
  <si>
    <t>Waste and Biomass Valorization</t>
  </si>
  <si>
    <t>Waste Management</t>
  </si>
  <si>
    <t>Waste Management and Research</t>
  </si>
  <si>
    <t>Water, Air, and Soil Pollution</t>
  </si>
  <si>
    <t>Water Alternatives</t>
  </si>
  <si>
    <t>Water and Energy International</t>
  </si>
  <si>
    <t>Water and Environment Journal</t>
  </si>
  <si>
    <t>Waterbirds</t>
  </si>
  <si>
    <t>Water Environment Research</t>
  </si>
  <si>
    <t>Water History</t>
  </si>
  <si>
    <t>Water International</t>
  </si>
  <si>
    <t>Waterlines</t>
  </si>
  <si>
    <t>Water Management</t>
  </si>
  <si>
    <t>Watermark (Archivists and Librarians in the History of the Health Sciences)</t>
  </si>
  <si>
    <t>Water Policy</t>
  </si>
  <si>
    <t>Water Practice and Technology</t>
  </si>
  <si>
    <t>Water Quality, Exposure and Health</t>
  </si>
  <si>
    <t>Water Quality Research Journal of Canada</t>
  </si>
  <si>
    <t>Water Research</t>
  </si>
  <si>
    <t>Water Resources</t>
  </si>
  <si>
    <t>Water Resources Management</t>
  </si>
  <si>
    <t>Water Resources Research</t>
  </si>
  <si>
    <t>Water Resources Research Institute News of the University of North Carolina</t>
  </si>
  <si>
    <t>Water S.A.</t>
  </si>
  <si>
    <t>Water Science and Engineering</t>
  </si>
  <si>
    <t>Water Science and Technology</t>
  </si>
  <si>
    <t>Water Science and Technology: Water Supply</t>
  </si>
  <si>
    <t>Wave Motion</t>
  </si>
  <si>
    <t>Waves in Random and Complex Media</t>
  </si>
  <si>
    <t>Wayne State University, Dissertation</t>
  </si>
  <si>
    <t>Wear</t>
  </si>
  <si>
    <t>Weather</t>
  </si>
  <si>
    <t>Weather and Forecasting</t>
  </si>
  <si>
    <t>Weather, Climate, and Society</t>
  </si>
  <si>
    <t>Web Ecology</t>
  </si>
  <si>
    <t>Web Intelligence and Agent Systems</t>
  </si>
  <si>
    <t>Webology</t>
  </si>
  <si>
    <t>Web Semantics</t>
  </si>
  <si>
    <t>Weed Biology and Management</t>
  </si>
  <si>
    <t>Weed Research</t>
  </si>
  <si>
    <t>Weed Science</t>
  </si>
  <si>
    <t>Weed Technology</t>
  </si>
  <si>
    <t>Weekly epidemiological record. Releve epidemiologique hebdomadaire. World Health Organization</t>
  </si>
  <si>
    <t>Weimarer Beitrage</t>
  </si>
  <si>
    <t>Wei sheng wu xue bao = Acta microbiologica Sinica</t>
  </si>
  <si>
    <t>Wei sheng yan jiu = Journal of hygiene research</t>
  </si>
  <si>
    <t>Welding International</t>
  </si>
  <si>
    <t>Welding in the World, Le Soudage Dans Le Monde</t>
  </si>
  <si>
    <t>Welding Journal</t>
  </si>
  <si>
    <t>Well Testing</t>
  </si>
  <si>
    <t>Welsh History Review</t>
  </si>
  <si>
    <t>Welt der Slaven-Halbjahresschrift fur Slavistik</t>
  </si>
  <si>
    <t>West African Journal of Applied Ecology</t>
  </si>
  <si>
    <t>West African Journal of Medicine</t>
  </si>
  <si>
    <t>Westerly</t>
  </si>
  <si>
    <t>Western American Literature</t>
  </si>
  <si>
    <t>Western Birds</t>
  </si>
  <si>
    <t>Western Criminology Review</t>
  </si>
  <si>
    <t>Western Folklore</t>
  </si>
  <si>
    <t>Western Historical Quarterly</t>
  </si>
  <si>
    <t>Western Humanities Review</t>
  </si>
  <si>
    <t>Western Journal of Applied Forestry</t>
  </si>
  <si>
    <t>Western Journal of Communication</t>
  </si>
  <si>
    <t>Western Journal of Emergency Medicine</t>
  </si>
  <si>
    <t>Western Journal of Nursing Research</t>
  </si>
  <si>
    <t>Western Michigan University, Dissertation</t>
  </si>
  <si>
    <t>Western North American Naturalist</t>
  </si>
  <si>
    <t>West European Politics</t>
  </si>
  <si>
    <t>West Indian Medical Journal</t>
  </si>
  <si>
    <t>West Virginia Medical Journal</t>
  </si>
  <si>
    <t>West Virginia University, Dissertation</t>
  </si>
  <si>
    <t>Wetlands</t>
  </si>
  <si>
    <t>Wetland Science</t>
  </si>
  <si>
    <t>Wetlands Ecology and Management</t>
  </si>
  <si>
    <t>WHO Drug Information</t>
  </si>
  <si>
    <t>Wiadomosci Lekarskie</t>
  </si>
  <si>
    <t>Wiadomosci Psychiatryczne</t>
  </si>
  <si>
    <t>Wideochirurgia I Inne Techniki Maloinwazyjne</t>
  </si>
  <si>
    <t>Wiener Klinische Wochenschrift</t>
  </si>
  <si>
    <t>Wiener Medizinische Wochenschrift</t>
  </si>
  <si>
    <t>Wiener Studien</t>
  </si>
  <si>
    <t>Wiener Tierarztliche Monatsschrift</t>
  </si>
  <si>
    <t>Wilderness and Environmental Medicine</t>
  </si>
  <si>
    <t>Wildfowl</t>
  </si>
  <si>
    <t>Wildlife Biology</t>
  </si>
  <si>
    <t>Wildlife Biology in Practice</t>
  </si>
  <si>
    <t>Wildlife Monographs</t>
  </si>
  <si>
    <t>Wildlife Research</t>
  </si>
  <si>
    <t>Wildlife Society Bulletin</t>
  </si>
  <si>
    <t>Wiley Interdisciplinary Reviews: Cognitive Science</t>
  </si>
  <si>
    <t>Wiley Interdisciplinary Reviews: Computational Molecular Science</t>
  </si>
  <si>
    <t>Wiley Interdisciplinary Reviews: Computational Statistics</t>
  </si>
  <si>
    <t>Wiley Interdisciplinary Reviews: Data Mining and Knowledge Discovery</t>
  </si>
  <si>
    <t>Wiley Interdisciplinary Reviews: Nanomedicine and Nanobiotechnology</t>
  </si>
  <si>
    <t>Wiley interdisciplinary reviews. RNA</t>
  </si>
  <si>
    <t>Wiley Interdisciplinary Reviews: Systems Biology and Medicine</t>
  </si>
  <si>
    <t>Willdenowia</t>
  </si>
  <si>
    <t>William and Mary Quarterly</t>
  </si>
  <si>
    <t>Wilson Journal of Ornithology</t>
  </si>
  <si>
    <t>Wind and Structures, An International Journal</t>
  </si>
  <si>
    <t>Wind Energy</t>
  </si>
  <si>
    <t>Wind Engineering</t>
  </si>
  <si>
    <t>Windows in time</t>
  </si>
  <si>
    <t>Winterthur Portfolio</t>
  </si>
  <si>
    <t>Wireless Communications and Mobile Computing</t>
  </si>
  <si>
    <t>Wireless Networks</t>
  </si>
  <si>
    <t>Wireless Personal Communications</t>
  </si>
  <si>
    <t>WIREs Climate Change</t>
  </si>
  <si>
    <t>Wirtschaftsdienst</t>
  </si>
  <si>
    <t>Wisconsin Law Review</t>
  </si>
  <si>
    <t>Wisconsin Medical Journal</t>
  </si>
  <si>
    <t>WIT Transactions on Ecology and the Environment</t>
  </si>
  <si>
    <t>WIT Transactions on Information and Communication Technologies</t>
  </si>
  <si>
    <t>WIT Transactions on Modelling and Simulation</t>
  </si>
  <si>
    <t>WIT Transactions on the Built Environment</t>
  </si>
  <si>
    <t>Woman's Art Journal</t>
  </si>
  <si>
    <t>Women: A Cultural Review</t>
  </si>
  <si>
    <t>Women and Birth</t>
  </si>
  <si>
    <t>Women and Criminal Justice</t>
  </si>
  <si>
    <t>Women and Health</t>
  </si>
  <si>
    <t>Women and Therapy</t>
  </si>
  <si>
    <t>Women &amp; Performance: a journal of feminist theory</t>
  </si>
  <si>
    <t>Women's Health</t>
  </si>
  <si>
    <t>Women's Health Issues</t>
  </si>
  <si>
    <t>Women's health (London, England)</t>
  </si>
  <si>
    <t>Women's History Review</t>
  </si>
  <si>
    <t>Women's Studies</t>
  </si>
  <si>
    <t>Women's Studies in Communication</t>
  </si>
  <si>
    <t>Women's Studies International Forum</t>
  </si>
  <si>
    <t>Women's Writing</t>
  </si>
  <si>
    <t>Wood and Fiber Science</t>
  </si>
  <si>
    <t>Wood Material Science and Engineering</t>
  </si>
  <si>
    <t>Wood Research</t>
  </si>
  <si>
    <t>Wood Science and Technology</t>
  </si>
  <si>
    <t>Wool Textile Journal</t>
  </si>
  <si>
    <t>Word and Image</t>
  </si>
  <si>
    <t>Word of Mouth</t>
  </si>
  <si>
    <t>Wordsworth Circle</t>
  </si>
  <si>
    <t>Work</t>
  </si>
  <si>
    <t>Work and Occupations</t>
  </si>
  <si>
    <t>Work and Stress</t>
  </si>
  <si>
    <t>Work, Employment and Society</t>
  </si>
  <si>
    <t>Working Paper - Centre for Social and Economic Research on the Global Environment</t>
  </si>
  <si>
    <t>Working Paper - Chr. Michelson Institute</t>
  </si>
  <si>
    <t>Working Paper of the Helen Kellogg Institute for International Studies</t>
  </si>
  <si>
    <t>Working Paper of the University of Leeds, School of Geography</t>
  </si>
  <si>
    <t>Working with Older People</t>
  </si>
  <si>
    <t>Workplace health &amp; safety</t>
  </si>
  <si>
    <t>World Academy of Science, Engineering and Technology</t>
  </si>
  <si>
    <t>World Affairs</t>
  </si>
  <si>
    <t>World Allergy Organization Journal</t>
  </si>
  <si>
    <t>World Applied Sciences Journal</t>
  </si>
  <si>
    <t>World Archaeology</t>
  </si>
  <si>
    <t>World Bank Economic Review</t>
  </si>
  <si>
    <t>World Bank Research Observer</t>
  </si>
  <si>
    <t>World Chinese Journal of Digestology</t>
  </si>
  <si>
    <t>World Development</t>
  </si>
  <si>
    <t>World Economy</t>
  </si>
  <si>
    <t>World Englishes</t>
  </si>
  <si>
    <t>World Futures</t>
  </si>
  <si>
    <t>World health &amp; population</t>
  </si>
  <si>
    <t>World Heart Journal</t>
  </si>
  <si>
    <t>World hospitals and health services : the official journal of the International Hospital Federation</t>
  </si>
  <si>
    <t>World Information on Earthquake Engineering</t>
  </si>
  <si>
    <t>World Journal of Biological Psychiatry</t>
  </si>
  <si>
    <t>World Journal of Emergency Surgery</t>
  </si>
  <si>
    <t>World Journal of Endocrine Surgery</t>
  </si>
  <si>
    <t>World Journal of Gastroenterology</t>
  </si>
  <si>
    <t>World Journal of Laparoscopic Surgery</t>
  </si>
  <si>
    <t>World Journal of Medical Sciences</t>
  </si>
  <si>
    <t>World Journal of Microbiology and Biotechnology</t>
  </si>
  <si>
    <t>World Journal of Modelling and Simulation</t>
  </si>
  <si>
    <t>World Journal of Pediatrics</t>
  </si>
  <si>
    <t>World Journal of Surgery</t>
  </si>
  <si>
    <t>World Journal of Surgical Oncology</t>
  </si>
  <si>
    <t>World Journal of Urology</t>
  </si>
  <si>
    <t>World Literature Studies</t>
  </si>
  <si>
    <t>World Literature Today</t>
  </si>
  <si>
    <t>World Medical and Health Policy</t>
  </si>
  <si>
    <t>World Mycotoxin Journal</t>
  </si>
  <si>
    <t>World Neurosurgery</t>
  </si>
  <si>
    <t>World of Metallurgy - ERZMETALL</t>
  </si>
  <si>
    <t>World of Mining - Surface and Underground</t>
  </si>
  <si>
    <t>World of Music</t>
  </si>
  <si>
    <t>World Patent Information</t>
  </si>
  <si>
    <t>World Policy Journal</t>
  </si>
  <si>
    <t>World Political Science Review</t>
  </si>
  <si>
    <t>World Politics</t>
  </si>
  <si>
    <t>World Psychiatry</t>
  </si>
  <si>
    <t>World Rabbit Science</t>
  </si>
  <si>
    <t>World Review of Entrepreneurship, Management and Sustainable Development</t>
  </si>
  <si>
    <t>World Review of Intermodal Transportation Research</t>
  </si>
  <si>
    <t>World Review of Nutrition and Dietetics</t>
  </si>
  <si>
    <t>World Review of Science, Technology and Sustainable Development</t>
  </si>
  <si>
    <t>World's Poultry Science Journal</t>
  </si>
  <si>
    <t>World Trade Review</t>
  </si>
  <si>
    <t>World Transactions on Engineering and Technology Education</t>
  </si>
  <si>
    <t>Worldviews: Environment, Culture, Religion</t>
  </si>
  <si>
    <t>Worldviews on Evidence-Based Nursing</t>
  </si>
  <si>
    <t>Worldwatch Paper</t>
  </si>
  <si>
    <t>World Wide Web</t>
  </si>
  <si>
    <t>WormBook : the online review of C. elegans biology</t>
  </si>
  <si>
    <t>Wound Repair and Regeneration</t>
  </si>
  <si>
    <t>Wounds</t>
  </si>
  <si>
    <t>Wounds UK</t>
  </si>
  <si>
    <t>Writing Systems Research</t>
  </si>
  <si>
    <t>Written Communication</t>
  </si>
  <si>
    <t>Written Language and Literacy</t>
  </si>
  <si>
    <t>WSEAS Transactions on Applied and Theoretical Mechanics</t>
  </si>
  <si>
    <t>WSEAS Transactions on Biology and Biomedicine</t>
  </si>
  <si>
    <t>WSEAS Transactions on Business and Economics</t>
  </si>
  <si>
    <t>WSEAS Transactions on Circuits and Systems</t>
  </si>
  <si>
    <t>WSEAS Transactions on Communications</t>
  </si>
  <si>
    <t>WSEAS Transactions on Computers</t>
  </si>
  <si>
    <t>WSEAS Transactions on Environment and Development</t>
  </si>
  <si>
    <t>WSEAS Transactions on Fluid Mechanics</t>
  </si>
  <si>
    <t>WSEAS Transactions on Heat and Mass Transfer</t>
  </si>
  <si>
    <t>WSEAS Transactions on Information Science and Applications</t>
  </si>
  <si>
    <t>WSEAS Transactions on Mathematics</t>
  </si>
  <si>
    <t>WSEAS Transactions on Power Systems</t>
  </si>
  <si>
    <t>WSEAS Transactions on Signal Processing</t>
  </si>
  <si>
    <t>WSEAS Transactions on Systems</t>
  </si>
  <si>
    <t>WSEAS Transactions on Systems and Control</t>
  </si>
  <si>
    <t>Wspolczesna Onkologia</t>
  </si>
  <si>
    <t>Wuhan Daxue Xuebao (Xinxi Kexue Ban)/Geomatics and Information Science of Wuhan University</t>
  </si>
  <si>
    <t>Wuhan Ligong Daxue Xuebao (Jiaotong Kexue Yu Gongcheng Ban)/Journal of Wuhan University of Technology (Transportation Science and Engineering)</t>
  </si>
  <si>
    <t>Wuhan University Journal of Natural Sciences</t>
  </si>
  <si>
    <t>Wuji Cailiao Xuebao/Journal of Inorganic Materials</t>
  </si>
  <si>
    <t>Wulfenia</t>
  </si>
  <si>
    <t>Wuli Xuebao/Acta Physica Sinica</t>
  </si>
  <si>
    <t>Wurzburger medizinhistorische Mitteilungen / im Auftrage der Wurzburger medizinhistorischen Gesellschaft und in Verbindung mit dem Institut fur Geschichte der Medizin der Universitat Wurzburg</t>
  </si>
  <si>
    <t>Wutan Huatan Jisuan Jishu</t>
  </si>
  <si>
    <t>Xenobiotica; the fate of foreign compounds in biological systems</t>
  </si>
  <si>
    <t>Xenotransplantation</t>
  </si>
  <si>
    <t>Xiandai Huagong/Modern Chemical Industry</t>
  </si>
  <si>
    <t>Xi'an Dianzi Keji Daxue Xuebao/Journal of Xidian University</t>
  </si>
  <si>
    <t>Xi'an Jianzhu Keji Daxue Xuebao/Journal of Xi'an University of Architecture &amp; Technology</t>
  </si>
  <si>
    <t>Xi'an Shiyou Daxue Xuebao (Ziran Kexue Ban)/Journal of Xi'an Shiyou University, Natural Sciences Edition</t>
  </si>
  <si>
    <t>Xi bao yu fen zi mian yi xue za zhi = Chinese journal of cellular and molecular immunology</t>
  </si>
  <si>
    <t>Xibei Gongye Daxue Xuebao/Journal of Northwestern Polytechnical University</t>
  </si>
  <si>
    <t>Xinan Jiaotong Daxue Xuebao/Journal of Southwest Jiaotong University</t>
  </si>
  <si>
    <t>Xinan Shiyou Xueyuan Xuebao/Journal of Southwestern Petroleum Institute</t>
  </si>
  <si>
    <t>Xinxing Tan Cailiao/New Carbon Materials</t>
  </si>
  <si>
    <t>Xitong Fangzhen Xuebao / Journal of System Simulation</t>
  </si>
  <si>
    <t>Xitong Gongcheng Lilun yu Shijian/System Engineering Theory and Practice</t>
  </si>
  <si>
    <t>Xi Tong Gong Cheng Yu Dian Zi Ji Shu/Systems Engineering and Electronics</t>
  </si>
  <si>
    <t>Xiyou Jinshu Cailiao Yu Gongcheng/Rare Metal Materials and Engineering</t>
  </si>
  <si>
    <t>Xiyou Jinshu/Chinese Journal of Rare Metals</t>
  </si>
  <si>
    <t>X-Ray Optics and Instrumentation</t>
  </si>
  <si>
    <t>X-Ray Spectrometry</t>
  </si>
  <si>
    <t>X-ray Structure Analysis Online</t>
  </si>
  <si>
    <t>Yadian Yu Shengguang/Piezoelectrics and Acoustooptics</t>
  </si>
  <si>
    <t>Yakugaku Zasshi</t>
  </si>
  <si>
    <t>Yakushigaku zasshi. The Journal of Japanese history of pharmacy</t>
  </si>
  <si>
    <t>Yale French Studies</t>
  </si>
  <si>
    <t>Yale Journal of Biology and Medicine</t>
  </si>
  <si>
    <t>Yale journal of health policy, law, and ethics</t>
  </si>
  <si>
    <t>Yale Law Journal</t>
  </si>
  <si>
    <t>Yale University, Dissertation</t>
  </si>
  <si>
    <t>Yanshilixue Yu Gongcheng Xuebao/Chinese Journal of Rock Mechanics and Engineering</t>
  </si>
  <si>
    <t>Yantu Gongcheng Xuebao/Chinese Journal of Geotechnical Engineering</t>
  </si>
  <si>
    <t>Yantu Lixue/Rock and Soil Mechanics</t>
  </si>
  <si>
    <t>Yao xue xue bao = Acta pharmaceutica Sinica</t>
  </si>
  <si>
    <t>YC Young Children</t>
  </si>
  <si>
    <t>Yearbook for Traditional Music</t>
  </si>
  <si>
    <t>Yearbook of Physical Anthropology</t>
  </si>
  <si>
    <t>Year's Work in Critical and Cultural Theory</t>
  </si>
  <si>
    <t>Year's Work in English Studies</t>
  </si>
  <si>
    <t>Yeast</t>
  </si>
  <si>
    <t>Yejin Fenxi/Metallurgical Analysis</t>
  </si>
  <si>
    <t>Yeni Symposium</t>
  </si>
  <si>
    <t>Yerbilimleri/ Earth Sciences</t>
  </si>
  <si>
    <t>Yi chuan = Hereditas / Zhongguo yi chuan xue hui bian ji.</t>
  </si>
  <si>
    <t>Yingxiang Kexue yu Guanghuaxue/Imaging Science and Photochemistry</t>
  </si>
  <si>
    <t>Yingyong Jichu yu Gongcheng Kexue Xuebao/Journal of Basic Science and Engineering</t>
  </si>
  <si>
    <t>Yingyong Kexue Xuebao/Journal of Applied Sciences</t>
  </si>
  <si>
    <t>Ying Yong Li Xue Xue Bao/Chinese Journal of Applied Mechanics</t>
  </si>
  <si>
    <t>Yi Qi Yi Biao Xue Bao/Chinese Journal of Scientific Instrument</t>
  </si>
  <si>
    <t>Yiyong Shengwu Lixue/Journal of Medical Biomechanics</t>
  </si>
  <si>
    <t>Ymer</t>
  </si>
  <si>
    <t>Yonago Acta Medica</t>
  </si>
  <si>
    <t>Yonsei Medical Journal</t>
  </si>
  <si>
    <t>Yosetsu Gakkai Ronbunshu/Quarterly Journal of the Japan Welding Society</t>
  </si>
  <si>
    <t>Yosetsu Gakkai Shi/Journal of the Japan Welding Society</t>
  </si>
  <si>
    <t>Young</t>
  </si>
  <si>
    <t>Young Exceptional Children</t>
  </si>
  <si>
    <t>Youth and Society</t>
  </si>
  <si>
    <t>Youth Justice</t>
  </si>
  <si>
    <t>Youth Studies Australia</t>
  </si>
  <si>
    <t>Youth Theatre Journal</t>
  </si>
  <si>
    <t>Youth Violence and Juvenile Justice</t>
  </si>
  <si>
    <t>Yuanzineng Kexue Jishu/Atomic Energy Science and Technology</t>
  </si>
  <si>
    <t>Yuhang Xuebao/Journal of Astronautics</t>
  </si>
  <si>
    <t>Yuki Gosei Kagaku Kyokaishi/Journal of Synthetic Organic Chemistry</t>
  </si>
  <si>
    <t>Zairyo/Journal of the Society of Materials Science, Japan</t>
  </si>
  <si>
    <t>Zairyo to Kankyo/ Corrosion Engineering</t>
  </si>
  <si>
    <t>ZAMM Zeitschrift fur Angewandte Mathematik und Mechanik</t>
  </si>
  <si>
    <t>Zbornik Instituta za Pedagoska Istrazivanja</t>
  </si>
  <si>
    <t>Zbornik Pravnog Fakulteta u Zagrebu</t>
  </si>
  <si>
    <t>Zbornik Radova Ekonomskog Fakultet au Rijeci</t>
  </si>
  <si>
    <t>ZDM - International Journal on Mathematics Education</t>
  </si>
  <si>
    <t>Zdravstveni Vestnik</t>
  </si>
  <si>
    <t>Zdravstveno Varstvo</t>
  </si>
  <si>
    <t>Zebrafish</t>
  </si>
  <si>
    <t>Zeitgeschichte</t>
  </si>
  <si>
    <t>Zeitschfrift fur Kristallographie</t>
  </si>
  <si>
    <t>Zeitschrift der Deutschen Gesellschaft fur Geowissenschaften</t>
  </si>
  <si>
    <t>Zeitschrift der Deutschen Morgenlandischen Gesellschaft</t>
  </si>
  <si>
    <t>Zeitschrift der Savigny-Stiftung fur Rechtsgeschichte</t>
  </si>
  <si>
    <t>Zeitschrift des Deutschen Palastina-Vereins</t>
  </si>
  <si>
    <t>Zeitschrift fur Agyptische Sprache und Altertumskunde</t>
  </si>
  <si>
    <t>Zeitschrift fur Analysis und ihre Anwendung</t>
  </si>
  <si>
    <t>Zeitschrift fur Angewandte Mathematik und Physik</t>
  </si>
  <si>
    <t>Zeitschrift fur Anglistik und Amerikanistik</t>
  </si>
  <si>
    <t>Zeitschrift fur Anorganische und Allgemeine Chemie</t>
  </si>
  <si>
    <t>Zeitschrift fur Antikes Christentum</t>
  </si>
  <si>
    <t>Zeitschrift fur Arbeits- und Organisationspsychologie</t>
  </si>
  <si>
    <t>Zeitschrift fur Arznei- und Gewurzpflanzen</t>
  </si>
  <si>
    <t>Zeitschrift fur Assyriologie und Vorderasiastische Archaeologie</t>
  </si>
  <si>
    <t>Zeitschrift fur Bibliothekswesen und Bibliographie</t>
  </si>
  <si>
    <t>Zeitschrift fur Celtische Philologie</t>
  </si>
  <si>
    <t>Zeitschrift fur Deutsche Philologie</t>
  </si>
  <si>
    <t>Zeitschrift fur Deutsches Altertum und Deutsche Literatur</t>
  </si>
  <si>
    <t>Zeitschrift fur Dialektologie und Linguistik</t>
  </si>
  <si>
    <t>Zeitschrift fur die Alttestamentliche Wissenschaft</t>
  </si>
  <si>
    <t>Zeitschrift fuÌˆr die gesamte Versicherungswissenschaft</t>
  </si>
  <si>
    <t>Zeitschrift fur die Neutestamentliche Wissenschaft und die Kunde der Alteren Kirche</t>
  </si>
  <si>
    <t>Zeitschrift fur Entwicklungspsychologie und Padagogische Psychologie</t>
  </si>
  <si>
    <t>Zeitschrift fur Epileptologie</t>
  </si>
  <si>
    <t>Zeitschrift fur Erziehungswissenschaft</t>
  </si>
  <si>
    <t>Zeitschrift fur Ethnologie</t>
  </si>
  <si>
    <t>Zeitschrift fur Evaluation</t>
  </si>
  <si>
    <t>Zeitschrift fur Evangelische Ethik</t>
  </si>
  <si>
    <t>Zeitschrift fur Evidenz, Fortbildung und Qualitat im Gesundheitswesen</t>
  </si>
  <si>
    <t>Zeitschrift fur Familienforschung</t>
  </si>
  <si>
    <t>Zeitschrift fur Feldherpetologie</t>
  </si>
  <si>
    <t>Zeitschrift fur Franzosische Sprache und Literatur</t>
  </si>
  <si>
    <t>Zeitschrift fur Gastroenterologie</t>
  </si>
  <si>
    <t>Zeitschrift fur Geburtshilfe und Neonatologie</t>
  </si>
  <si>
    <t>Zeitschrift fur Gefassmedizin</t>
  </si>
  <si>
    <t>Zeitschrift fur Geomorphologie</t>
  </si>
  <si>
    <t>Zeitschrift fur Germanistik</t>
  </si>
  <si>
    <t>Zeitschrift fur Germanistische Linguistik</t>
  </si>
  <si>
    <t>Zeitschrift fur Gerontologie und Geriatrie</t>
  </si>
  <si>
    <t>Zeitschrift fur Geschichtswissenschaft</t>
  </si>
  <si>
    <t>Zeitschrift fur Gesundheitspsychologie</t>
  </si>
  <si>
    <t>Zeitschrift fur Gesundheitswissenschaften</t>
  </si>
  <si>
    <t>Zeitschrift fur Herz-, Thorax- und Gefasschirurgie</t>
  </si>
  <si>
    <t>Zeitschrift fur Historische Forschung</t>
  </si>
  <si>
    <t>Zeitschrift fur Katalanistik</t>
  </si>
  <si>
    <t>Zeitschrift fur Kinder- und Jugendpsychiatrie und Psychotherapie</t>
  </si>
  <si>
    <t>Zeitschrift fur Kirchengeschichte</t>
  </si>
  <si>
    <t>Zeitschrift fur Klinische Psychologie und Psychotherapie</t>
  </si>
  <si>
    <t>Zeitschrift fur Kristallographie - New Crystal Structures</t>
  </si>
  <si>
    <t>Zeitschrift fuÌˆr Kunstgeschichte</t>
  </si>
  <si>
    <t>Zeitschrift fur Medizinische Physik</t>
  </si>
  <si>
    <t>Zeitschrift fur Medizinische Psychologie</t>
  </si>
  <si>
    <t>Zeitschrift fur Naturforschung - Section A Journal of Physical Sciences</t>
  </si>
  <si>
    <t>Zeitschrift fur Naturforschung - Section B Journal of Chemical Sciences</t>
  </si>
  <si>
    <t>Zeitschrift fur Naturforschung - Section C Journal of Biosciences</t>
  </si>
  <si>
    <t>Zeitschrift fur Orthopadie und Unfallchirurgie</t>
  </si>
  <si>
    <t>Zeitschrift fur Padagogik</t>
  </si>
  <si>
    <t>Zeitschrift fur Padagogik (Beiheft)</t>
  </si>
  <si>
    <t>Zeitschrift fur Padagogische Psychologie</t>
  </si>
  <si>
    <t>Zeitschrift fur Personalforschung</t>
  </si>
  <si>
    <t>Zeitschrift fur Philosophische Forschung</t>
  </si>
  <si>
    <t>Zeitschrift fur Physikalische Chemie</t>
  </si>
  <si>
    <t>Zeitschrift fur Phytotherapie : offizielles Organ der Ges. f. Phytotherapie e.V</t>
  </si>
  <si>
    <t>Zeitschrift fur Psychiatrie, Psychologie und Psychotherapie</t>
  </si>
  <si>
    <t>Zeitschrift fur Psychosomatische Medizin und Psychotherapie</t>
  </si>
  <si>
    <t>Zeitschrift fur Religions- und Geistesgeschichte</t>
  </si>
  <si>
    <t>Zeitschrift fur Rheumatologie</t>
  </si>
  <si>
    <t>Zeitschrift fur Romanische Philologie</t>
  </si>
  <si>
    <t>Zeitschrift fur Semiotik</t>
  </si>
  <si>
    <t>Zeitschrift fur Sexualforschung</t>
  </si>
  <si>
    <t>Zeitschrift fur Slavische Philologie</t>
  </si>
  <si>
    <t>Zeitschrift fur Slawistik</t>
  </si>
  <si>
    <t>Zeitschrift fur Soziologie</t>
  </si>
  <si>
    <t>Zeitschrift fur Soziologie der Erziehung und Socialisation/Journal for Sociology of Education and Socialization</t>
  </si>
  <si>
    <t>Zeitschrift fur Sportpsychologie</t>
  </si>
  <si>
    <t>Zeitschrift fur Sprachwissenschaft</t>
  </si>
  <si>
    <t>Zeitschrift fur Theologie und Kirche</t>
  </si>
  <si>
    <t>Zeitschrift fur Volkskunde</t>
  </si>
  <si>
    <t>Zeitschrift fur Wirtschaftsgeographie</t>
  </si>
  <si>
    <t>Zeitschrift fur Wundheilung</t>
  </si>
  <si>
    <t>Zeitschrift fur Zahnarztliche Implantologie</t>
  </si>
  <si>
    <t>Zeitschrift Kunststofftechnik</t>
  </si>
  <si>
    <t>Zemdirbyste</t>
  </si>
  <si>
    <t>Zentralblatt fur Arbeitsmedizin, Arbeitsschutz und Ergonomie</t>
  </si>
  <si>
    <t>Zentralblatt fur Chirurgie</t>
  </si>
  <si>
    <t>Zentralblatt fur Chirurgie, Supplement</t>
  </si>
  <si>
    <t>Zentralsterilisation - Central Service</t>
  </si>
  <si>
    <t>Zephyrus</t>
  </si>
  <si>
    <t>Zeventiende Eeuw</t>
  </si>
  <si>
    <t>ZFA. Zeitschrift fur Allgemeinmedizin</t>
  </si>
  <si>
    <t>ZFV - Zeitschrift fur Geodasie, Geoinformation und Landmanagement</t>
  </si>
  <si>
    <t>Zhejiang Daxue Xuebao (Gongxue Ban)/Journal of Zhejiang University (Engineering Science Edition</t>
  </si>
  <si>
    <t>Zhejiang da xue xue bao. Yi xue ban = Journal of Zhejiang University. Medical sciences</t>
  </si>
  <si>
    <t>Zhen ci yan jiu = Acupuncture research / [Zhongguo yi xue ke xue yuan Yi xue qing bao yan jiu suo bian ji]</t>
  </si>
  <si>
    <t>Zhendong Ceshi Yu Zhenduan/Journal of Vibration, Measurement and Diagnosis</t>
  </si>
  <si>
    <t>Zhendong Gongcheng Xuebao/Journal of Vibration Engineering</t>
  </si>
  <si>
    <t>Zhendong yu Chongji/Journal of Vibration and Shock</t>
  </si>
  <si>
    <t>Zhenkong Kexue yu Jishu Xuebao/Journal of Vacuum Science and Technology</t>
  </si>
  <si>
    <t>Zhiwu Shengli Xuebao/Plant Physiology Journal</t>
  </si>
  <si>
    <t>Zhongbei Daxue Xuebao (Ziran Kexue Ban)/Journal of North University of China (Natural Science Edition)</t>
  </si>
  <si>
    <t>Zhonggua Xitu Xuabao / Journal of the Chinese Rare Earth Society</t>
  </si>
  <si>
    <t>Zhongguo Dianji Gongcheng Xuebao/Proceedings of the Chinese Society of Electrical Engineering</t>
  </si>
  <si>
    <t>Zhongguo Gonglu Xuebao/China Journal of Highway and Transport</t>
  </si>
  <si>
    <t>Zhongguo Guanxing Jishu Xuebao/Journal of Chinese Inertial Technology</t>
  </si>
  <si>
    <t>Zhongguo gu shang = China journal of orthopaedics and traumatology</t>
  </si>
  <si>
    <t>Zhongguo Huanjing Kexue/China Environmental Science</t>
  </si>
  <si>
    <t>Zhongguo Jiguang/Chinese Journal of Lasers</t>
  </si>
  <si>
    <t>Zhongguo ji sheng chong xue yu ji sheng chong bing za zhi = Chinese journal of parasitology &amp; parasitic diseases</t>
  </si>
  <si>
    <t>Zhongguo Jixie Gongcheng/China Mechanical Engineering</t>
  </si>
  <si>
    <t>Zhongguo Kuangye Daxue Xuebao/Journal of China University of Mining and Technology</t>
  </si>
  <si>
    <t>Zhongguo Shengwu Yixue Gongcheng Xuebao/Chinese Journal of Biomedical Engineering</t>
  </si>
  <si>
    <t>Zhongguo shi yan xue ye xue za zhi / Zhongguo bing li sheng li xue hui = Journal of experimental hematology / Chinese Association of Pathophysiology</t>
  </si>
  <si>
    <t>Zhongguo Shiyou Daxue Xuebao (Ziran Kexue Ban)/Journal of China University of Petroleum (Edition of Natural Science)</t>
  </si>
  <si>
    <t>Zhongguo Tiedao Kexue/China Railway Science</t>
  </si>
  <si>
    <t>Zhongguo Wei Zhong Bing Ji Jiu Yi Xue</t>
  </si>
  <si>
    <t>Zhongguo xiu fu chong jian wai ke za zhi = Zhongguo xiufu chongjian waike zazhi = Chinese journal of reparative and reconstructive surgery</t>
  </si>
  <si>
    <t>Zhongguo yi liao qi xie za zhi = Chinese journal of medical instrumentation</t>
  </si>
  <si>
    <t>Zhongguo ying yong sheng li xue za zhi = Zhongguo yingyong shenglixue zazhi = Chinese journal of applied physiology</t>
  </si>
  <si>
    <t>Zhongguo yi xue ke xue yuan xue bao. Acta Academiae Medicinae Sinicae</t>
  </si>
  <si>
    <t>Zhongguo Youse Jinshu Xuebao/Chinese Journal of Nonferrous Metals</t>
  </si>
  <si>
    <t>Zhongguo Zaozhi Xuebao/Transactions of China Pulp and Paper</t>
  </si>
  <si>
    <t>Zhongguo zhen jiu = Chinese acupuncture &amp; moxibustion</t>
  </si>
  <si>
    <t>Zhongguo zhong xi yi jie he za zhi Zhongguo Zhongxiyi jiehe zazhi = Chinese journal of integrated traditional and Western medicine / Zhongguo Zhong xi yi jie he xue hui, Zhongguo Zhong yi yan jiu yuan zhu ban</t>
  </si>
  <si>
    <t>Zhongguo Zhongyao Zazhi</t>
  </si>
  <si>
    <t>Zhonghua er bi yan hou tou jing wai ke za zhi = Chinese journal of otorhinolaryngology head and neck surgery</t>
  </si>
  <si>
    <t>Zhonghua er ke za zhi. Chinese journal of pediatrics</t>
  </si>
  <si>
    <t>Zhonghua fang she xue za zhi Chinese journal of radiology</t>
  </si>
  <si>
    <t>Zhonghua fu chan ke za zhi</t>
  </si>
  <si>
    <t>Zhonghua gan zang bing za zhi = Zhonghua ganzangbing zazhi = Chinese journal of hepatology</t>
  </si>
  <si>
    <t>Zhonghua jie he he hu xi za zhi = Zhonghua jiehe he huxi zazhi = Chinese journal of tuberculosis and respiratory diseases</t>
  </si>
  <si>
    <t>Zhonghua lao dong wei sheng zhi ye bing za zhi = Zhonghua laodong weisheng zhiyebing zazhi = Chinese journal of industrial hygiene and occupational diseases</t>
  </si>
  <si>
    <t>Zhonghua nei ke za zhi [Chinese journal of internal medicine]</t>
  </si>
  <si>
    <t>Zhonghua shao shang za zhi = Zhonghua shaoshang zazhi = Chinese journal of burns</t>
  </si>
  <si>
    <t>Zhonghua shi yan he lin chuang bing du xue za zhi = Zhonghua shiyan he linchuang bingduxue zazhi = Chinese journal of experimental and clinical virology</t>
  </si>
  <si>
    <t>Zhonghua Shiyan Yanke Zazhi/Chinese Journal of Experimental Ophthalmology</t>
  </si>
  <si>
    <t>Zhonghua wai ke za zhi [Chinese journal of surgery]</t>
  </si>
  <si>
    <t>Zhonghua wei chang wai ke za zhi = Chinese journal of gastrointestinal surgery</t>
  </si>
  <si>
    <t>Zhonghua xue ye xue za zhi = Zhonghua xueyexue zazhi</t>
  </si>
  <si>
    <t>Zhonghua yi xue za zhi</t>
  </si>
  <si>
    <t>Zhonghua yu fang yi xue za zhi [Chinese journal of preventive medicine]</t>
  </si>
  <si>
    <t>Zhonghua zheng xing wai ke za zhi = Zhonghua zhengxing waike zazhi = Chinese journal of plastic surgery</t>
  </si>
  <si>
    <t>Zhongnan Daxue Xuebao (Ziran Kexue Ban)/Journal of Central South University (Science and Technology)</t>
  </si>
  <si>
    <t>Zhongshan Daxue Xuebao/Acta Scientiarum Natralium Universitatis Sunyatseni</t>
  </si>
  <si>
    <t>Zhong xi yi jie he xue bao = Journal of Chinese integrative medicine</t>
  </si>
  <si>
    <t>Zhong yao cai = Zhongyaocai = Journal of Chinese medicinal materials</t>
  </si>
  <si>
    <t>Zhurnal Evolyutsionnoi Biokhimii i Fiziologii</t>
  </si>
  <si>
    <t>Zhurnal Mikrobiologii Epidemiologii i Immunobiologii</t>
  </si>
  <si>
    <t>Zhurnal Nevrologii i Psikhiatrii imeni S.S. Korsakova</t>
  </si>
  <si>
    <t>Zhurnal Obshchei Biologii</t>
  </si>
  <si>
    <t>Zhurnal Voprosy Neirokhirurgii Imeni N.N. Burdenko</t>
  </si>
  <si>
    <t>Zhurnal Vysshei Nervnoi Deyatelnosti Imeni I.P. Pavlova</t>
  </si>
  <si>
    <t>Zhuzao/Foundry</t>
  </si>
  <si>
    <t>Zidonghua Xuebao/Acta Automatica Sinica</t>
  </si>
  <si>
    <t>Zitteliana Reihe A: Mitteilungen der Bayerischen Staatssammlung fur Palaontologie und Geologie</t>
  </si>
  <si>
    <t>Zivot Umjetnosti</t>
  </si>
  <si>
    <t>Zoo Biology</t>
  </si>
  <si>
    <t>ZooKeys</t>
  </si>
  <si>
    <t>Zoologia</t>
  </si>
  <si>
    <t>Zoological Journal of the Linnean Society</t>
  </si>
  <si>
    <t>Zoological Science</t>
  </si>
  <si>
    <t>Zoological Studies</t>
  </si>
  <si>
    <t>Zoologica Scripta</t>
  </si>
  <si>
    <t>Zoologicheskii Zhurnal</t>
  </si>
  <si>
    <t>Zoologische Garten</t>
  </si>
  <si>
    <t>Zoologische Mededelingen</t>
  </si>
  <si>
    <t>Zoologischer Anzeiger</t>
  </si>
  <si>
    <t>Zoology</t>
  </si>
  <si>
    <t>Zoology in the Middle East</t>
  </si>
  <si>
    <t>Zoomorphology</t>
  </si>
  <si>
    <t>Zoonoses and Public Health</t>
  </si>
  <si>
    <t>Zoosystema</t>
  </si>
  <si>
    <t>Zoosystematics and Evolution</t>
  </si>
  <si>
    <t>Zootaxa</t>
  </si>
  <si>
    <t>Zootecnia Tropical</t>
  </si>
  <si>
    <t>Zpravy Lesnickeho Vyzkumu</t>
  </si>
  <si>
    <t>Zuchtungskunde</t>
  </si>
  <si>
    <t>Zuckerindustrie</t>
  </si>
  <si>
    <t>ZWF Zeitschrift fuer Wirtschaftlichen Fabrikbetrieb</t>
  </si>
  <si>
    <t>Zygon</t>
  </si>
  <si>
    <t>Zygote</t>
  </si>
  <si>
    <t>Z Zagadnien Nauk Sadowych</t>
  </si>
  <si>
    <t>Retrieved from: http://www.scimagojr.com.</t>
  </si>
  <si>
    <t>توجه بسيار مهم : هنگام استفاده از اين فهرست به آخرين سياهه نشريات نامعتبر نيز توجه گردد.</t>
  </si>
  <si>
    <t>فهرست نشريات SCOPUS 2012</t>
  </si>
</sst>
</file>

<file path=xl/styles.xml><?xml version="1.0" encoding="utf-8"?>
<styleSheet xmlns="http://schemas.openxmlformats.org/spreadsheetml/2006/main">
  <fonts count="22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0"/>
      <color theme="1"/>
      <name val="Arial"/>
      <family val="2"/>
      <charset val="178"/>
      <scheme val="minor"/>
    </font>
    <font>
      <sz val="10"/>
      <color theme="1"/>
      <name val="Arial"/>
      <family val="2"/>
      <charset val="178"/>
      <scheme val="minor"/>
    </font>
    <font>
      <sz val="26"/>
      <color rgb="FFFF0000"/>
      <name val="2  Titr"/>
      <charset val="178"/>
    </font>
    <font>
      <sz val="20"/>
      <name val="2  Titr"/>
      <charset val="17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10" xfId="0" applyFont="1" applyBorder="1" applyAlignment="1">
      <alignment horizontal="center" vertical="center" wrapText="1" readingOrder="1"/>
    </xf>
    <xf numFmtId="0" fontId="19" fillId="0" borderId="10" xfId="0" applyFont="1" applyBorder="1" applyAlignment="1">
      <alignment wrapText="1" readingOrder="1"/>
    </xf>
    <xf numFmtId="0" fontId="19" fillId="0" borderId="10" xfId="0" applyFont="1" applyBorder="1" applyAlignment="1">
      <alignment readingOrder="1"/>
    </xf>
    <xf numFmtId="0" fontId="19" fillId="0" borderId="10" xfId="0" applyFont="1" applyBorder="1"/>
    <xf numFmtId="0" fontId="20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21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558"/>
  <sheetViews>
    <sheetView showGridLines="0" tabSelected="1" workbookViewId="0">
      <selection activeCell="A2" sqref="A2:F2"/>
    </sheetView>
  </sheetViews>
  <sheetFormatPr defaultRowHeight="14.25"/>
  <cols>
    <col min="1" max="1" width="5.875" style="4" customWidth="1"/>
    <col min="2" max="2" width="53.25" style="4" customWidth="1"/>
    <col min="3" max="3" width="5.25" style="4" customWidth="1"/>
    <col min="4" max="4" width="6.875" style="4" customWidth="1"/>
    <col min="5" max="5" width="7.625" style="4" customWidth="1"/>
    <col min="6" max="6" width="20.875" style="4" bestFit="1" customWidth="1"/>
  </cols>
  <sheetData>
    <row r="1" spans="1:6" ht="126" customHeight="1">
      <c r="A1" s="5" t="s">
        <v>20626</v>
      </c>
      <c r="B1" s="6"/>
      <c r="C1" s="6"/>
      <c r="D1" s="6"/>
      <c r="E1" s="6"/>
      <c r="F1" s="7"/>
    </row>
    <row r="2" spans="1:6" ht="36" customHeight="1">
      <c r="A2" s="8" t="s">
        <v>20627</v>
      </c>
      <c r="B2" s="9"/>
      <c r="C2" s="9"/>
      <c r="D2" s="9"/>
      <c r="E2" s="9"/>
      <c r="F2" s="10"/>
    </row>
    <row r="3" spans="1:6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ht="25.5">
      <c r="A4" s="2">
        <v>1</v>
      </c>
      <c r="B4" s="2" t="s">
        <v>5</v>
      </c>
      <c r="C4" s="2" t="str">
        <f>"0"</f>
        <v>0</v>
      </c>
      <c r="D4" s="2">
        <v>0</v>
      </c>
      <c r="E4" s="2">
        <v>0</v>
      </c>
      <c r="F4" s="2" t="s">
        <v>6</v>
      </c>
    </row>
    <row r="5" spans="1:6">
      <c r="A5" s="2">
        <v>2</v>
      </c>
      <c r="B5" s="2" t="s">
        <v>7</v>
      </c>
      <c r="C5" s="2" t="str">
        <f>"0"</f>
        <v>0</v>
      </c>
      <c r="D5" s="2">
        <v>0.107</v>
      </c>
      <c r="E5" s="2">
        <v>2</v>
      </c>
      <c r="F5" s="2" t="s">
        <v>6</v>
      </c>
    </row>
    <row r="6" spans="1:6" ht="25.5">
      <c r="A6" s="2">
        <v>3</v>
      </c>
      <c r="B6" s="2" t="s">
        <v>8</v>
      </c>
      <c r="C6" s="2" t="str">
        <f>"15343219"</f>
        <v>15343219</v>
      </c>
      <c r="D6" s="2">
        <v>0.10199999999999999</v>
      </c>
      <c r="E6" s="2">
        <v>0</v>
      </c>
      <c r="F6" s="2" t="s">
        <v>6</v>
      </c>
    </row>
    <row r="7" spans="1:6" ht="25.5">
      <c r="A7" s="2">
        <v>4</v>
      </c>
      <c r="B7" s="2" t="s">
        <v>9</v>
      </c>
      <c r="C7" s="2" t="str">
        <f>"0"</f>
        <v>0</v>
      </c>
      <c r="D7" s="2">
        <v>0</v>
      </c>
      <c r="E7" s="2">
        <v>0</v>
      </c>
      <c r="F7" s="2" t="s">
        <v>6</v>
      </c>
    </row>
    <row r="8" spans="1:6" ht="25.5">
      <c r="A8" s="2">
        <v>5</v>
      </c>
      <c r="B8" s="2" t="s">
        <v>10</v>
      </c>
      <c r="C8" s="2" t="str">
        <f>"0"</f>
        <v>0</v>
      </c>
      <c r="D8" s="2">
        <v>0</v>
      </c>
      <c r="E8" s="2">
        <v>0</v>
      </c>
      <c r="F8" s="2" t="s">
        <v>6</v>
      </c>
    </row>
    <row r="9" spans="1:6" ht="25.5">
      <c r="A9" s="2">
        <v>6</v>
      </c>
      <c r="B9" s="2" t="s">
        <v>11</v>
      </c>
      <c r="C9" s="2" t="str">
        <f>"16194500"</f>
        <v>16194500</v>
      </c>
      <c r="D9" s="2">
        <v>0.78800000000000003</v>
      </c>
      <c r="E9" s="2">
        <v>14</v>
      </c>
      <c r="F9" s="2" t="s">
        <v>12</v>
      </c>
    </row>
    <row r="10" spans="1:6" ht="25.5">
      <c r="A10" s="2">
        <v>7</v>
      </c>
      <c r="B10" s="2" t="s">
        <v>13</v>
      </c>
      <c r="C10" s="2" t="str">
        <f>"0"</f>
        <v>0</v>
      </c>
      <c r="D10" s="2">
        <v>0</v>
      </c>
      <c r="E10" s="2">
        <v>1</v>
      </c>
      <c r="F10" s="2" t="s">
        <v>6</v>
      </c>
    </row>
    <row r="11" spans="1:6" ht="25.5">
      <c r="A11" s="2">
        <v>8</v>
      </c>
      <c r="B11" s="2" t="s">
        <v>14</v>
      </c>
      <c r="C11" s="2" t="str">
        <f>"01715410"</f>
        <v>01715410</v>
      </c>
      <c r="D11" s="2">
        <v>0.10100000000000001</v>
      </c>
      <c r="E11" s="2">
        <v>4</v>
      </c>
      <c r="F11" s="2" t="s">
        <v>12</v>
      </c>
    </row>
    <row r="12" spans="1:6" ht="25.5">
      <c r="A12" s="2">
        <v>9</v>
      </c>
      <c r="B12" s="2" t="s">
        <v>15</v>
      </c>
      <c r="C12" s="2" t="str">
        <f>"14773848"</f>
        <v>14773848</v>
      </c>
      <c r="D12" s="2">
        <v>0.42799999999999999</v>
      </c>
      <c r="E12" s="2">
        <v>26</v>
      </c>
      <c r="F12" s="2" t="s">
        <v>16</v>
      </c>
    </row>
    <row r="13" spans="1:6" ht="25.5">
      <c r="A13" s="2">
        <v>10</v>
      </c>
      <c r="B13" s="2" t="s">
        <v>17</v>
      </c>
      <c r="C13" s="2" t="str">
        <f>"15287106"</f>
        <v>15287106</v>
      </c>
      <c r="D13" s="2">
        <v>0.10100000000000001</v>
      </c>
      <c r="E13" s="2">
        <v>4</v>
      </c>
      <c r="F13" s="2" t="s">
        <v>6</v>
      </c>
    </row>
    <row r="14" spans="1:6" ht="25.5">
      <c r="A14" s="2">
        <v>11</v>
      </c>
      <c r="B14" s="2" t="s">
        <v>18</v>
      </c>
      <c r="C14" s="2" t="str">
        <f>"18449166"</f>
        <v>18449166</v>
      </c>
      <c r="D14" s="2">
        <v>0.29699999999999999</v>
      </c>
      <c r="E14" s="2">
        <v>6</v>
      </c>
      <c r="F14" s="2" t="s">
        <v>19</v>
      </c>
    </row>
    <row r="15" spans="1:6" ht="25.5">
      <c r="A15" s="2">
        <v>12</v>
      </c>
      <c r="B15" s="2" t="s">
        <v>20</v>
      </c>
      <c r="C15" s="2" t="str">
        <f>"15597768"</f>
        <v>15597768</v>
      </c>
      <c r="D15" s="2">
        <v>0.222</v>
      </c>
      <c r="E15" s="2">
        <v>28</v>
      </c>
      <c r="F15" s="2" t="s">
        <v>6</v>
      </c>
    </row>
    <row r="16" spans="1:6" ht="25.5">
      <c r="A16" s="2">
        <v>13</v>
      </c>
      <c r="B16" s="2" t="s">
        <v>21</v>
      </c>
      <c r="C16" s="2" t="str">
        <f>"00946354"</f>
        <v>00946354</v>
      </c>
      <c r="D16" s="2">
        <v>0.249</v>
      </c>
      <c r="E16" s="2">
        <v>17</v>
      </c>
      <c r="F16" s="2" t="s">
        <v>6</v>
      </c>
    </row>
    <row r="17" spans="1:6">
      <c r="A17" s="2">
        <v>14</v>
      </c>
      <c r="B17" s="2" t="s">
        <v>22</v>
      </c>
      <c r="C17" s="2" t="str">
        <f>"0"</f>
        <v>0</v>
      </c>
      <c r="D17" s="2">
        <v>0.111</v>
      </c>
      <c r="E17" s="2">
        <v>2</v>
      </c>
      <c r="F17" s="2" t="s">
        <v>6</v>
      </c>
    </row>
    <row r="18" spans="1:6" ht="25.5">
      <c r="A18" s="2">
        <v>15</v>
      </c>
      <c r="B18" s="2" t="s">
        <v>23</v>
      </c>
      <c r="C18" s="2" t="str">
        <f>"01491423"</f>
        <v>01491423</v>
      </c>
      <c r="D18" s="2">
        <v>1.629</v>
      </c>
      <c r="E18" s="2">
        <v>63</v>
      </c>
      <c r="F18" s="2" t="s">
        <v>6</v>
      </c>
    </row>
    <row r="19" spans="1:6" ht="25.5">
      <c r="A19" s="2">
        <v>16</v>
      </c>
      <c r="B19" s="2" t="s">
        <v>24</v>
      </c>
      <c r="C19" s="2" t="str">
        <f>"0"</f>
        <v>0</v>
      </c>
      <c r="D19" s="2">
        <v>0</v>
      </c>
      <c r="E19" s="2">
        <v>0</v>
      </c>
      <c r="F19" s="2" t="s">
        <v>6</v>
      </c>
    </row>
    <row r="20" spans="1:6" ht="25.5">
      <c r="A20" s="2">
        <v>17</v>
      </c>
      <c r="B20" s="2" t="s">
        <v>25</v>
      </c>
      <c r="C20" s="2" t="str">
        <f>"02718529"</f>
        <v>02718529</v>
      </c>
      <c r="D20" s="2">
        <v>0.20499999999999999</v>
      </c>
      <c r="E20" s="2">
        <v>20</v>
      </c>
      <c r="F20" s="2" t="s">
        <v>6</v>
      </c>
    </row>
    <row r="21" spans="1:6" ht="25.5">
      <c r="A21" s="2">
        <v>18</v>
      </c>
      <c r="B21" s="2" t="s">
        <v>26</v>
      </c>
      <c r="C21" s="2" t="str">
        <f>"15507416"</f>
        <v>15507416</v>
      </c>
      <c r="D21" s="2">
        <v>1.575</v>
      </c>
      <c r="E21" s="2">
        <v>49</v>
      </c>
      <c r="F21" s="2" t="s">
        <v>6</v>
      </c>
    </row>
    <row r="22" spans="1:6" ht="25.5">
      <c r="A22" s="2">
        <v>19</v>
      </c>
      <c r="B22" s="2" t="s">
        <v>27</v>
      </c>
      <c r="C22" s="2" t="str">
        <f>"15309932"</f>
        <v>15309932</v>
      </c>
      <c r="D22" s="2">
        <v>0.66100000000000003</v>
      </c>
      <c r="E22" s="2">
        <v>34</v>
      </c>
      <c r="F22" s="2" t="s">
        <v>6</v>
      </c>
    </row>
    <row r="23" spans="1:6" ht="25.5">
      <c r="A23" s="2">
        <v>20</v>
      </c>
      <c r="B23" s="2" t="s">
        <v>28</v>
      </c>
      <c r="C23" s="2" t="str">
        <f>"00013072"</f>
        <v>00013072</v>
      </c>
      <c r="D23" s="2">
        <v>0.47899999999999998</v>
      </c>
      <c r="E23" s="2">
        <v>14</v>
      </c>
      <c r="F23" s="2" t="s">
        <v>16</v>
      </c>
    </row>
    <row r="24" spans="1:6" ht="25.5">
      <c r="A24" s="2">
        <v>21</v>
      </c>
      <c r="B24" s="2" t="s">
        <v>29</v>
      </c>
      <c r="C24" s="2" t="str">
        <f>"07470088"</f>
        <v>07470088</v>
      </c>
      <c r="D24" s="2">
        <v>0.10199999999999999</v>
      </c>
      <c r="E24" s="2">
        <v>3</v>
      </c>
      <c r="F24" s="2" t="s">
        <v>6</v>
      </c>
    </row>
    <row r="25" spans="1:6" ht="25.5">
      <c r="A25" s="2">
        <v>22</v>
      </c>
      <c r="B25" s="2" t="s">
        <v>30</v>
      </c>
      <c r="C25" s="2" t="str">
        <f>"10133119"</f>
        <v>10133119</v>
      </c>
      <c r="D25" s="2">
        <v>0.10199999999999999</v>
      </c>
      <c r="E25" s="2">
        <v>12</v>
      </c>
      <c r="F25" s="2" t="s">
        <v>31</v>
      </c>
    </row>
    <row r="26" spans="1:6" ht="25.5">
      <c r="A26" s="2">
        <v>23</v>
      </c>
      <c r="B26" s="2" t="s">
        <v>32</v>
      </c>
      <c r="C26" s="2" t="str">
        <f>"14320509"</f>
        <v>14320509</v>
      </c>
      <c r="D26" s="2">
        <v>0.80200000000000005</v>
      </c>
      <c r="E26" s="2">
        <v>48</v>
      </c>
      <c r="F26" s="2" t="s">
        <v>6</v>
      </c>
    </row>
    <row r="27" spans="1:6" ht="25.5">
      <c r="A27" s="2">
        <v>24</v>
      </c>
      <c r="B27" s="2" t="s">
        <v>33</v>
      </c>
      <c r="C27" s="2" t="str">
        <f>"00255858"</f>
        <v>00255858</v>
      </c>
      <c r="D27" s="2">
        <v>0.35399999999999998</v>
      </c>
      <c r="E27" s="2">
        <v>10</v>
      </c>
      <c r="F27" s="2" t="s">
        <v>12</v>
      </c>
    </row>
    <row r="28" spans="1:6" ht="25.5">
      <c r="A28" s="2">
        <v>25</v>
      </c>
      <c r="B28" s="2" t="s">
        <v>34</v>
      </c>
      <c r="C28" s="2" t="str">
        <f>"10467041"</f>
        <v>10467041</v>
      </c>
      <c r="D28" s="2">
        <v>0.193</v>
      </c>
      <c r="E28" s="2">
        <v>11</v>
      </c>
      <c r="F28" s="2" t="s">
        <v>6</v>
      </c>
    </row>
    <row r="29" spans="1:6" ht="25.5">
      <c r="A29" s="2">
        <v>26</v>
      </c>
      <c r="B29" s="2" t="s">
        <v>35</v>
      </c>
      <c r="C29" s="2" t="str">
        <f>"16870409"</f>
        <v>16870409</v>
      </c>
      <c r="D29" s="2">
        <v>0.64700000000000002</v>
      </c>
      <c r="E29" s="2">
        <v>22</v>
      </c>
      <c r="F29" s="2" t="s">
        <v>6</v>
      </c>
    </row>
    <row r="30" spans="1:6" ht="25.5">
      <c r="A30" s="2">
        <v>27</v>
      </c>
      <c r="B30" s="2" t="s">
        <v>36</v>
      </c>
      <c r="C30" s="2" t="str">
        <f>"01266209"</f>
        <v>01266209</v>
      </c>
      <c r="D30" s="2">
        <v>0.1</v>
      </c>
      <c r="E30" s="2">
        <v>2</v>
      </c>
      <c r="F30" s="2" t="s">
        <v>37</v>
      </c>
    </row>
    <row r="31" spans="1:6" ht="25.5">
      <c r="A31" s="2">
        <v>28</v>
      </c>
      <c r="B31" s="2" t="s">
        <v>38</v>
      </c>
      <c r="C31" s="2" t="str">
        <f>"01902946"</f>
        <v>01902946</v>
      </c>
      <c r="D31" s="2">
        <v>0.122</v>
      </c>
      <c r="E31" s="2">
        <v>9</v>
      </c>
      <c r="F31" s="2" t="s">
        <v>6</v>
      </c>
    </row>
    <row r="32" spans="1:6" ht="25.5">
      <c r="A32" s="2">
        <v>29</v>
      </c>
      <c r="B32" s="2" t="s">
        <v>39</v>
      </c>
      <c r="C32" s="2" t="str">
        <f>"10128255"</f>
        <v>10128255</v>
      </c>
      <c r="D32" s="2">
        <v>0.161</v>
      </c>
      <c r="E32" s="2">
        <v>1</v>
      </c>
      <c r="F32" s="2" t="s">
        <v>40</v>
      </c>
    </row>
    <row r="33" spans="1:6" ht="25.5">
      <c r="A33" s="2">
        <v>30</v>
      </c>
      <c r="B33" s="2" t="s">
        <v>41</v>
      </c>
      <c r="C33" s="2" t="str">
        <f>"10696563"</f>
        <v>10696563</v>
      </c>
      <c r="D33" s="2">
        <v>1.153</v>
      </c>
      <c r="E33" s="2">
        <v>72</v>
      </c>
      <c r="F33" s="2" t="s">
        <v>16</v>
      </c>
    </row>
    <row r="34" spans="1:6" ht="25.5">
      <c r="A34" s="2">
        <v>31</v>
      </c>
      <c r="B34" s="2" t="s">
        <v>42</v>
      </c>
      <c r="C34" s="2" t="str">
        <f>"19958943"</f>
        <v>19958943</v>
      </c>
      <c r="D34" s="2">
        <v>0.122</v>
      </c>
      <c r="E34" s="2">
        <v>2</v>
      </c>
      <c r="F34" s="2" t="s">
        <v>43</v>
      </c>
    </row>
    <row r="35" spans="1:6" ht="25.5">
      <c r="A35" s="2">
        <v>32</v>
      </c>
      <c r="B35" s="2" t="s">
        <v>44</v>
      </c>
      <c r="C35" s="2" t="str">
        <f>"15837904"</f>
        <v>15837904</v>
      </c>
      <c r="D35" s="2">
        <v>0.10100000000000001</v>
      </c>
      <c r="E35" s="2">
        <v>2</v>
      </c>
      <c r="F35" s="2" t="s">
        <v>19</v>
      </c>
    </row>
    <row r="36" spans="1:6" ht="25.5">
      <c r="A36" s="2">
        <v>33</v>
      </c>
      <c r="B36" s="2" t="s">
        <v>45</v>
      </c>
      <c r="C36" s="2" t="str">
        <f>"0258879X"</f>
        <v>0258879X</v>
      </c>
      <c r="D36" s="2">
        <v>0.114</v>
      </c>
      <c r="E36" s="2">
        <v>6</v>
      </c>
      <c r="F36" s="2" t="s">
        <v>46</v>
      </c>
    </row>
    <row r="37" spans="1:6" ht="25.5">
      <c r="A37" s="2">
        <v>34</v>
      </c>
      <c r="B37" s="2" t="s">
        <v>47</v>
      </c>
      <c r="C37" s="2" t="str">
        <f>"15337812"</f>
        <v>15337812</v>
      </c>
      <c r="D37" s="2">
        <v>0.10199999999999999</v>
      </c>
      <c r="E37" s="2">
        <v>3</v>
      </c>
      <c r="F37" s="2" t="s">
        <v>6</v>
      </c>
    </row>
    <row r="38" spans="1:6" ht="25.5">
      <c r="A38" s="2">
        <v>35</v>
      </c>
      <c r="B38" s="2" t="s">
        <v>48</v>
      </c>
      <c r="C38" s="2" t="str">
        <f>"10402446"</f>
        <v>10402446</v>
      </c>
      <c r="D38" s="2">
        <v>1.6619999999999999</v>
      </c>
      <c r="E38" s="2">
        <v>83</v>
      </c>
      <c r="F38" s="2" t="s">
        <v>6</v>
      </c>
    </row>
    <row r="39" spans="1:6" ht="25.5">
      <c r="A39" s="2">
        <v>36</v>
      </c>
      <c r="B39" s="2" t="s">
        <v>49</v>
      </c>
      <c r="C39" s="2" t="str">
        <f>"18762867"</f>
        <v>18762867</v>
      </c>
      <c r="D39" s="2">
        <v>1.03</v>
      </c>
      <c r="E39" s="2">
        <v>38</v>
      </c>
      <c r="F39" s="2" t="s">
        <v>6</v>
      </c>
    </row>
    <row r="40" spans="1:6" ht="25.5">
      <c r="A40" s="2">
        <v>37</v>
      </c>
      <c r="B40" s="2" t="s">
        <v>50</v>
      </c>
      <c r="C40" s="2" t="str">
        <f>"15457230"</f>
        <v>15457230</v>
      </c>
      <c r="D40" s="2">
        <v>0.36199999999999999</v>
      </c>
      <c r="E40" s="2">
        <v>25</v>
      </c>
      <c r="F40" s="2" t="s">
        <v>6</v>
      </c>
    </row>
    <row r="41" spans="1:6" ht="25.5">
      <c r="A41" s="2">
        <v>38</v>
      </c>
      <c r="B41" s="2" t="s">
        <v>51</v>
      </c>
      <c r="C41" s="2" t="str">
        <f>"08954852"</f>
        <v>08954852</v>
      </c>
      <c r="D41" s="2">
        <v>0.123</v>
      </c>
      <c r="E41" s="2">
        <v>4</v>
      </c>
      <c r="F41" s="2" t="s">
        <v>6</v>
      </c>
    </row>
    <row r="42" spans="1:6" ht="25.5">
      <c r="A42" s="2">
        <v>39</v>
      </c>
      <c r="B42" s="2" t="s">
        <v>52</v>
      </c>
      <c r="C42" s="2" t="str">
        <f>"10766332"</f>
        <v>10766332</v>
      </c>
      <c r="D42" s="2">
        <v>0.73399999999999999</v>
      </c>
      <c r="E42" s="2">
        <v>62</v>
      </c>
      <c r="F42" s="2" t="s">
        <v>6</v>
      </c>
    </row>
    <row r="43" spans="1:6" ht="25.5">
      <c r="A43" s="2">
        <v>40</v>
      </c>
      <c r="B43" s="2" t="s">
        <v>53</v>
      </c>
      <c r="C43" s="2" t="str">
        <f>"10963685"</f>
        <v>10963685</v>
      </c>
      <c r="D43" s="2">
        <v>0.14000000000000001</v>
      </c>
      <c r="E43" s="2">
        <v>2</v>
      </c>
      <c r="F43" s="2" t="s">
        <v>6</v>
      </c>
    </row>
    <row r="44" spans="1:6" ht="25.5">
      <c r="A44" s="2">
        <v>41</v>
      </c>
      <c r="B44" s="2" t="s">
        <v>54</v>
      </c>
      <c r="C44" s="2" t="str">
        <f>"19392230"</f>
        <v>19392230</v>
      </c>
      <c r="D44" s="2">
        <v>0.111</v>
      </c>
      <c r="E44" s="2">
        <v>1</v>
      </c>
      <c r="F44" s="2" t="s">
        <v>6</v>
      </c>
    </row>
    <row r="45" spans="1:6" ht="25.5">
      <c r="A45" s="2">
        <v>42</v>
      </c>
      <c r="B45" s="2" t="s">
        <v>55</v>
      </c>
      <c r="C45" s="2" t="str">
        <f>"10879595"</f>
        <v>10879595</v>
      </c>
      <c r="D45" s="2">
        <v>0.16600000000000001</v>
      </c>
      <c r="E45" s="2">
        <v>1</v>
      </c>
      <c r="F45" s="2" t="s">
        <v>6</v>
      </c>
    </row>
    <row r="46" spans="1:6" ht="25.5">
      <c r="A46" s="2">
        <v>43</v>
      </c>
      <c r="B46" s="2" t="s">
        <v>56</v>
      </c>
      <c r="C46" s="2" t="str">
        <f>"19416520"</f>
        <v>19416520</v>
      </c>
      <c r="D46" s="2">
        <v>3.746</v>
      </c>
      <c r="E46" s="2">
        <v>9</v>
      </c>
      <c r="F46" s="2" t="s">
        <v>6</v>
      </c>
    </row>
    <row r="47" spans="1:6" ht="25.5">
      <c r="A47" s="2">
        <v>44</v>
      </c>
      <c r="B47" s="2" t="s">
        <v>57</v>
      </c>
      <c r="C47" s="2" t="str">
        <f>"00014273"</f>
        <v>00014273</v>
      </c>
      <c r="D47" s="2">
        <v>7.4969999999999999</v>
      </c>
      <c r="E47" s="2">
        <v>160</v>
      </c>
      <c r="F47" s="2" t="s">
        <v>6</v>
      </c>
    </row>
    <row r="48" spans="1:6" ht="25.5">
      <c r="A48" s="2">
        <v>45</v>
      </c>
      <c r="B48" s="2" t="s">
        <v>58</v>
      </c>
      <c r="C48" s="2" t="str">
        <f>"1537260X"</f>
        <v>1537260X</v>
      </c>
      <c r="D48" s="2">
        <v>1.724</v>
      </c>
      <c r="E48" s="2">
        <v>25</v>
      </c>
      <c r="F48" s="2" t="s">
        <v>6</v>
      </c>
    </row>
    <row r="49" spans="1:6" ht="25.5">
      <c r="A49" s="2">
        <v>46</v>
      </c>
      <c r="B49" s="2" t="s">
        <v>59</v>
      </c>
      <c r="C49" s="2" t="str">
        <f>"15589080"</f>
        <v>15589080</v>
      </c>
      <c r="D49" s="2">
        <v>1.8540000000000001</v>
      </c>
      <c r="E49" s="2">
        <v>62</v>
      </c>
      <c r="F49" s="2" t="s">
        <v>6</v>
      </c>
    </row>
    <row r="50" spans="1:6" ht="25.5">
      <c r="A50" s="2">
        <v>47</v>
      </c>
      <c r="B50" s="2" t="s">
        <v>60</v>
      </c>
      <c r="C50" s="2" t="str">
        <f>"03637425"</f>
        <v>03637425</v>
      </c>
      <c r="D50" s="2">
        <v>6.9020000000000001</v>
      </c>
      <c r="E50" s="2">
        <v>146</v>
      </c>
      <c r="F50" s="2" t="s">
        <v>6</v>
      </c>
    </row>
    <row r="51" spans="1:6" ht="25.5">
      <c r="A51" s="2">
        <v>48</v>
      </c>
      <c r="B51" s="2" t="s">
        <v>61</v>
      </c>
      <c r="C51" s="2" t="str">
        <f>"10956298"</f>
        <v>10956298</v>
      </c>
      <c r="D51" s="2">
        <v>0.14599999999999999</v>
      </c>
      <c r="E51" s="2">
        <v>3</v>
      </c>
      <c r="F51" s="2" t="s">
        <v>6</v>
      </c>
    </row>
    <row r="52" spans="1:6" ht="25.5">
      <c r="A52" s="2">
        <v>49</v>
      </c>
      <c r="B52" s="2" t="s">
        <v>62</v>
      </c>
      <c r="C52" s="2" t="str">
        <f>"15441458"</f>
        <v>15441458</v>
      </c>
      <c r="D52" s="2">
        <v>0.127</v>
      </c>
      <c r="E52" s="2">
        <v>3</v>
      </c>
      <c r="F52" s="2" t="s">
        <v>6</v>
      </c>
    </row>
    <row r="53" spans="1:6" ht="25.5">
      <c r="A53" s="2">
        <v>50</v>
      </c>
      <c r="B53" s="2" t="s">
        <v>63</v>
      </c>
      <c r="C53" s="2" t="str">
        <f>"00445851"</f>
        <v>00445851</v>
      </c>
      <c r="D53" s="2">
        <v>0.123</v>
      </c>
      <c r="E53" s="2">
        <v>2</v>
      </c>
      <c r="F53" s="2" t="s">
        <v>64</v>
      </c>
    </row>
    <row r="54" spans="1:6" ht="25.5">
      <c r="A54" s="2">
        <v>51</v>
      </c>
      <c r="B54" s="2" t="s">
        <v>65</v>
      </c>
      <c r="C54" s="2" t="str">
        <f>"0044586X"</f>
        <v>0044586X</v>
      </c>
      <c r="D54" s="2">
        <v>0.46700000000000003</v>
      </c>
      <c r="E54" s="2">
        <v>11</v>
      </c>
      <c r="F54" s="2" t="s">
        <v>66</v>
      </c>
    </row>
    <row r="55" spans="1:6" ht="25.5">
      <c r="A55" s="2">
        <v>52</v>
      </c>
      <c r="B55" s="2" t="s">
        <v>67</v>
      </c>
      <c r="C55" s="2" t="str">
        <f>"18792057"</f>
        <v>18792057</v>
      </c>
      <c r="D55" s="2">
        <v>1.228</v>
      </c>
      <c r="E55" s="2">
        <v>69</v>
      </c>
      <c r="F55" s="2" t="s">
        <v>16</v>
      </c>
    </row>
    <row r="56" spans="1:6" ht="25.5">
      <c r="A56" s="2">
        <v>53</v>
      </c>
      <c r="B56" s="2" t="s">
        <v>68</v>
      </c>
      <c r="C56" s="2" t="str">
        <f>"08989621"</f>
        <v>08989621</v>
      </c>
      <c r="D56" s="2">
        <v>0.34300000000000003</v>
      </c>
      <c r="E56" s="2">
        <v>13</v>
      </c>
      <c r="F56" s="2" t="s">
        <v>16</v>
      </c>
    </row>
    <row r="57" spans="1:6" ht="25.5">
      <c r="A57" s="2">
        <v>54</v>
      </c>
      <c r="B57" s="2" t="s">
        <v>69</v>
      </c>
      <c r="C57" s="2" t="str">
        <f>"00014788"</f>
        <v>00014788</v>
      </c>
      <c r="D57" s="2">
        <v>0.58799999999999997</v>
      </c>
      <c r="E57" s="2">
        <v>24</v>
      </c>
      <c r="F57" s="2" t="s">
        <v>6</v>
      </c>
    </row>
    <row r="58" spans="1:6" ht="25.5">
      <c r="A58" s="2">
        <v>55</v>
      </c>
      <c r="B58" s="2" t="s">
        <v>70</v>
      </c>
      <c r="C58" s="2" t="str">
        <f>"08105391"</f>
        <v>08105391</v>
      </c>
      <c r="D58" s="2">
        <v>0.35199999999999998</v>
      </c>
      <c r="E58" s="2">
        <v>19</v>
      </c>
      <c r="F58" s="2" t="s">
        <v>16</v>
      </c>
    </row>
    <row r="59" spans="1:6" ht="25.5">
      <c r="A59" s="2">
        <v>56</v>
      </c>
      <c r="B59" s="2" t="s">
        <v>71</v>
      </c>
      <c r="C59" s="2" t="str">
        <f>"15309320"</f>
        <v>15309320</v>
      </c>
      <c r="D59" s="2">
        <v>0.33200000000000002</v>
      </c>
      <c r="E59" s="2">
        <v>2</v>
      </c>
      <c r="F59" s="2" t="s">
        <v>6</v>
      </c>
    </row>
    <row r="60" spans="1:6" ht="25.5">
      <c r="A60" s="2">
        <v>57</v>
      </c>
      <c r="B60" s="2" t="s">
        <v>72</v>
      </c>
      <c r="C60" s="2" t="str">
        <f>"09513574"</f>
        <v>09513574</v>
      </c>
      <c r="D60" s="2">
        <v>0.60599999999999998</v>
      </c>
      <c r="E60" s="2">
        <v>22</v>
      </c>
      <c r="F60" s="2" t="s">
        <v>16</v>
      </c>
    </row>
    <row r="61" spans="1:6" ht="25.5">
      <c r="A61" s="2">
        <v>58</v>
      </c>
      <c r="B61" s="2" t="s">
        <v>73</v>
      </c>
      <c r="C61" s="2" t="str">
        <f>"14684489"</f>
        <v>14684489</v>
      </c>
      <c r="D61" s="2">
        <v>0.311</v>
      </c>
      <c r="E61" s="2">
        <v>5</v>
      </c>
      <c r="F61" s="2" t="s">
        <v>16</v>
      </c>
    </row>
    <row r="62" spans="1:6" ht="25.5">
      <c r="A62" s="2">
        <v>59</v>
      </c>
      <c r="B62" s="2" t="s">
        <v>74</v>
      </c>
      <c r="C62" s="2" t="str">
        <f>"14676303"</f>
        <v>14676303</v>
      </c>
      <c r="D62" s="2">
        <v>0.41699999999999998</v>
      </c>
      <c r="E62" s="2">
        <v>16</v>
      </c>
      <c r="F62" s="2" t="s">
        <v>75</v>
      </c>
    </row>
    <row r="63" spans="1:6" ht="25.5">
      <c r="A63" s="2">
        <v>60</v>
      </c>
      <c r="B63" s="2" t="s">
        <v>76</v>
      </c>
      <c r="C63" s="2" t="str">
        <f>"17493374"</f>
        <v>17493374</v>
      </c>
      <c r="D63" s="2">
        <v>0.61399999999999999</v>
      </c>
      <c r="E63" s="2">
        <v>12</v>
      </c>
      <c r="F63" s="2" t="s">
        <v>16</v>
      </c>
    </row>
    <row r="64" spans="1:6" ht="25.5">
      <c r="A64" s="2">
        <v>61</v>
      </c>
      <c r="B64" s="2" t="s">
        <v>77</v>
      </c>
      <c r="C64" s="2" t="str">
        <f>"2155286X"</f>
        <v>2155286X</v>
      </c>
      <c r="D64" s="2">
        <v>0.45400000000000001</v>
      </c>
      <c r="E64" s="2">
        <v>9</v>
      </c>
      <c r="F64" s="2" t="s">
        <v>6</v>
      </c>
    </row>
    <row r="65" spans="1:6" ht="25.5">
      <c r="A65" s="2">
        <v>62</v>
      </c>
      <c r="B65" s="2" t="s">
        <v>78</v>
      </c>
      <c r="C65" s="2" t="str">
        <f>"15587975"</f>
        <v>15587975</v>
      </c>
      <c r="D65" s="2">
        <v>1.107</v>
      </c>
      <c r="E65" s="2">
        <v>39</v>
      </c>
      <c r="F65" s="2" t="s">
        <v>6</v>
      </c>
    </row>
    <row r="66" spans="1:6" ht="25.5">
      <c r="A66" s="2">
        <v>63</v>
      </c>
      <c r="B66" s="2" t="s">
        <v>79</v>
      </c>
      <c r="C66" s="2" t="str">
        <f>"17449499"</f>
        <v>17449499</v>
      </c>
      <c r="D66" s="2">
        <v>0.44700000000000001</v>
      </c>
      <c r="E66" s="2">
        <v>6</v>
      </c>
      <c r="F66" s="2" t="s">
        <v>16</v>
      </c>
    </row>
    <row r="67" spans="1:6" ht="25.5">
      <c r="A67" s="2">
        <v>64</v>
      </c>
      <c r="B67" s="2" t="s">
        <v>80</v>
      </c>
      <c r="C67" s="2" t="str">
        <f>"03613682"</f>
        <v>03613682</v>
      </c>
      <c r="D67" s="2">
        <v>2.3069999999999999</v>
      </c>
      <c r="E67" s="2">
        <v>66</v>
      </c>
      <c r="F67" s="2" t="s">
        <v>16</v>
      </c>
    </row>
    <row r="68" spans="1:6" ht="25.5">
      <c r="A68" s="2">
        <v>65</v>
      </c>
      <c r="B68" s="2" t="s">
        <v>81</v>
      </c>
      <c r="C68" s="2" t="str">
        <f>"1911382X"</f>
        <v>1911382X</v>
      </c>
      <c r="D68" s="2">
        <v>0.186</v>
      </c>
      <c r="E68" s="2">
        <v>8</v>
      </c>
      <c r="F68" s="2" t="s">
        <v>64</v>
      </c>
    </row>
    <row r="69" spans="1:6" ht="25.5">
      <c r="A69" s="2">
        <v>66</v>
      </c>
      <c r="B69" s="2" t="s">
        <v>82</v>
      </c>
      <c r="C69" s="2" t="str">
        <f>"10309616"</f>
        <v>10309616</v>
      </c>
      <c r="D69" s="2">
        <v>0.155</v>
      </c>
      <c r="E69" s="2">
        <v>2</v>
      </c>
      <c r="F69" s="2" t="s">
        <v>16</v>
      </c>
    </row>
    <row r="70" spans="1:6" ht="25.5">
      <c r="A70" s="2">
        <v>67</v>
      </c>
      <c r="B70" s="2" t="s">
        <v>83</v>
      </c>
      <c r="C70" s="2" t="str">
        <f>"00014826"</f>
        <v>00014826</v>
      </c>
      <c r="D70" s="2">
        <v>2.7850000000000001</v>
      </c>
      <c r="E70" s="2">
        <v>73</v>
      </c>
      <c r="F70" s="2" t="s">
        <v>6</v>
      </c>
    </row>
    <row r="71" spans="1:6" ht="25.5">
      <c r="A71" s="2">
        <v>68</v>
      </c>
      <c r="B71" s="2" t="s">
        <v>84</v>
      </c>
      <c r="C71" s="2" t="str">
        <f>"15204898"</f>
        <v>15204898</v>
      </c>
      <c r="D71" s="2">
        <v>10.186</v>
      </c>
      <c r="E71" s="2">
        <v>228</v>
      </c>
      <c r="F71" s="2" t="s">
        <v>6</v>
      </c>
    </row>
    <row r="72" spans="1:6" ht="25.5">
      <c r="A72" s="2">
        <v>69</v>
      </c>
      <c r="B72" s="2" t="s">
        <v>85</v>
      </c>
      <c r="C72" s="2" t="str">
        <f>"14320517"</f>
        <v>14320517</v>
      </c>
      <c r="D72" s="2">
        <v>0.33800000000000002</v>
      </c>
      <c r="E72" s="2">
        <v>24</v>
      </c>
      <c r="F72" s="2" t="s">
        <v>6</v>
      </c>
    </row>
    <row r="73" spans="1:6" ht="25.5">
      <c r="A73" s="2">
        <v>70</v>
      </c>
      <c r="B73" s="2" t="s">
        <v>86</v>
      </c>
      <c r="C73" s="2" t="str">
        <f>"0889325X"</f>
        <v>0889325X</v>
      </c>
      <c r="D73" s="2">
        <v>0.94399999999999995</v>
      </c>
      <c r="E73" s="2">
        <v>46</v>
      </c>
      <c r="F73" s="2" t="s">
        <v>6</v>
      </c>
    </row>
    <row r="74" spans="1:6" ht="25.5">
      <c r="A74" s="2">
        <v>71</v>
      </c>
      <c r="B74" s="2" t="s">
        <v>87</v>
      </c>
      <c r="C74" s="2" t="str">
        <f>"15612880"</f>
        <v>15612880</v>
      </c>
      <c r="D74" s="2">
        <v>0.14000000000000001</v>
      </c>
      <c r="E74" s="2">
        <v>4</v>
      </c>
      <c r="F74" s="2" t="s">
        <v>88</v>
      </c>
    </row>
    <row r="75" spans="1:6" ht="25.5">
      <c r="A75" s="2">
        <v>72</v>
      </c>
      <c r="B75" s="2" t="s">
        <v>89</v>
      </c>
      <c r="C75" s="2" t="str">
        <f>"08893241"</f>
        <v>08893241</v>
      </c>
      <c r="D75" s="2">
        <v>1.546</v>
      </c>
      <c r="E75" s="2">
        <v>50</v>
      </c>
      <c r="F75" s="2" t="s">
        <v>6</v>
      </c>
    </row>
    <row r="76" spans="1:6" ht="25.5">
      <c r="A76" s="2">
        <v>73</v>
      </c>
      <c r="B76" s="2" t="s">
        <v>90</v>
      </c>
      <c r="C76" s="2" t="str">
        <f>"19322232"</f>
        <v>19322232</v>
      </c>
      <c r="D76" s="2">
        <v>0.14899999999999999</v>
      </c>
      <c r="E76" s="2">
        <v>1</v>
      </c>
      <c r="F76" s="2" t="s">
        <v>6</v>
      </c>
    </row>
    <row r="77" spans="1:6" ht="25.5">
      <c r="A77" s="2">
        <v>74</v>
      </c>
      <c r="B77" s="2" t="s">
        <v>91</v>
      </c>
      <c r="C77" s="2" t="str">
        <f>"03600300"</f>
        <v>03600300</v>
      </c>
      <c r="D77" s="2">
        <v>6.7510000000000003</v>
      </c>
      <c r="E77" s="2">
        <v>81</v>
      </c>
      <c r="F77" s="2" t="s">
        <v>6</v>
      </c>
    </row>
    <row r="78" spans="1:6" ht="25.5">
      <c r="A78" s="2">
        <v>75</v>
      </c>
      <c r="B78" s="2" t="s">
        <v>92</v>
      </c>
      <c r="C78" s="2" t="str">
        <f>"14929732"</f>
        <v>14929732</v>
      </c>
      <c r="D78" s="2">
        <v>0.51400000000000001</v>
      </c>
      <c r="E78" s="2">
        <v>14</v>
      </c>
      <c r="F78" s="2" t="s">
        <v>64</v>
      </c>
    </row>
    <row r="79" spans="1:6" ht="25.5">
      <c r="A79" s="2">
        <v>76</v>
      </c>
      <c r="B79" s="2" t="s">
        <v>93</v>
      </c>
      <c r="C79" s="2" t="str">
        <f>"15504832"</f>
        <v>15504832</v>
      </c>
      <c r="D79" s="2">
        <v>0.34399999999999997</v>
      </c>
      <c r="E79" s="2">
        <v>13</v>
      </c>
      <c r="F79" s="2" t="s">
        <v>6</v>
      </c>
    </row>
    <row r="80" spans="1:6" ht="25.5">
      <c r="A80" s="2">
        <v>77</v>
      </c>
      <c r="B80" s="2" t="s">
        <v>94</v>
      </c>
      <c r="C80" s="2" t="str">
        <f>"0"</f>
        <v>0</v>
      </c>
      <c r="D80" s="2">
        <v>0.78</v>
      </c>
      <c r="E80" s="2">
        <v>35</v>
      </c>
      <c r="F80" s="2" t="s">
        <v>6</v>
      </c>
    </row>
    <row r="81" spans="1:6" ht="25.5">
      <c r="A81" s="2">
        <v>78</v>
      </c>
      <c r="B81" s="2" t="s">
        <v>95</v>
      </c>
      <c r="C81" s="2" t="str">
        <f>"15232867"</f>
        <v>15232867</v>
      </c>
      <c r="D81" s="2">
        <v>0.94699999999999995</v>
      </c>
      <c r="E81" s="2">
        <v>41</v>
      </c>
      <c r="F81" s="2" t="s">
        <v>6</v>
      </c>
    </row>
    <row r="82" spans="1:6" ht="25.5">
      <c r="A82" s="2">
        <v>79</v>
      </c>
      <c r="B82" s="2" t="s">
        <v>96</v>
      </c>
      <c r="C82" s="2" t="str">
        <f>"0"</f>
        <v>0</v>
      </c>
      <c r="D82" s="2">
        <v>0.42499999999999999</v>
      </c>
      <c r="E82" s="2">
        <v>14</v>
      </c>
      <c r="F82" s="2" t="s">
        <v>6</v>
      </c>
    </row>
    <row r="83" spans="1:6" ht="25.5">
      <c r="A83" s="2">
        <v>80</v>
      </c>
      <c r="B83" s="2" t="s">
        <v>97</v>
      </c>
      <c r="C83" s="2" t="str">
        <f>"19367228"</f>
        <v>19367228</v>
      </c>
      <c r="D83" s="2">
        <v>0.72799999999999998</v>
      </c>
      <c r="E83" s="2">
        <v>9</v>
      </c>
      <c r="F83" s="2" t="s">
        <v>6</v>
      </c>
    </row>
    <row r="84" spans="1:6" ht="25.5">
      <c r="A84" s="2">
        <v>81</v>
      </c>
      <c r="B84" s="2" t="s">
        <v>98</v>
      </c>
      <c r="C84" s="2" t="str">
        <f>"15496325"</f>
        <v>15496325</v>
      </c>
      <c r="D84" s="2">
        <v>1.6639999999999999</v>
      </c>
      <c r="E84" s="2">
        <v>20</v>
      </c>
      <c r="F84" s="2" t="s">
        <v>6</v>
      </c>
    </row>
    <row r="85" spans="1:6" ht="25.5">
      <c r="A85" s="2">
        <v>82</v>
      </c>
      <c r="B85" s="2" t="s">
        <v>99</v>
      </c>
      <c r="C85" s="2" t="str">
        <f>"15443965"</f>
        <v>15443965</v>
      </c>
      <c r="D85" s="2">
        <v>0.97</v>
      </c>
      <c r="E85" s="2">
        <v>11</v>
      </c>
      <c r="F85" s="2" t="s">
        <v>6</v>
      </c>
    </row>
    <row r="86" spans="1:6" ht="25.5">
      <c r="A86" s="2">
        <v>83</v>
      </c>
      <c r="B86" s="2" t="s">
        <v>100</v>
      </c>
      <c r="C86" s="2" t="str">
        <f>"15300226"</f>
        <v>15300226</v>
      </c>
      <c r="D86" s="2">
        <v>0.36299999999999999</v>
      </c>
      <c r="E86" s="2">
        <v>13</v>
      </c>
      <c r="F86" s="2" t="s">
        <v>6</v>
      </c>
    </row>
    <row r="87" spans="1:6" ht="25.5">
      <c r="A87" s="2">
        <v>84</v>
      </c>
      <c r="B87" s="2" t="s">
        <v>101</v>
      </c>
      <c r="C87" s="2" t="str">
        <f>"15564665"</f>
        <v>15564665</v>
      </c>
      <c r="D87" s="2">
        <v>1.5229999999999999</v>
      </c>
      <c r="E87" s="2">
        <v>18</v>
      </c>
      <c r="F87" s="2" t="s">
        <v>6</v>
      </c>
    </row>
    <row r="88" spans="1:6" ht="25.5">
      <c r="A88" s="2">
        <v>85</v>
      </c>
      <c r="B88" s="2" t="s">
        <v>102</v>
      </c>
      <c r="C88" s="2" t="str">
        <f>"15293785"</f>
        <v>15293785</v>
      </c>
      <c r="D88" s="2">
        <v>1.6579999999999999</v>
      </c>
      <c r="E88" s="2">
        <v>23</v>
      </c>
      <c r="F88" s="2" t="s">
        <v>6</v>
      </c>
    </row>
    <row r="89" spans="1:6" ht="25.5">
      <c r="A89" s="2">
        <v>86</v>
      </c>
      <c r="B89" s="2" t="s">
        <v>103</v>
      </c>
      <c r="C89" s="2" t="str">
        <f>"19423454"</f>
        <v>19423454</v>
      </c>
      <c r="D89" s="2">
        <v>1.476</v>
      </c>
      <c r="E89" s="2">
        <v>4</v>
      </c>
      <c r="F89" s="2" t="s">
        <v>6</v>
      </c>
    </row>
    <row r="90" spans="1:6" ht="25.5">
      <c r="A90" s="2">
        <v>87</v>
      </c>
      <c r="B90" s="2" t="s">
        <v>104</v>
      </c>
      <c r="C90" s="2" t="str">
        <f>"10730516"</f>
        <v>10730516</v>
      </c>
      <c r="D90" s="2">
        <v>1.464</v>
      </c>
      <c r="E90" s="2">
        <v>35</v>
      </c>
      <c r="F90" s="2" t="s">
        <v>6</v>
      </c>
    </row>
    <row r="91" spans="1:6" ht="25.5">
      <c r="A91" s="2">
        <v>88</v>
      </c>
      <c r="B91" s="2" t="s">
        <v>105</v>
      </c>
      <c r="C91" s="2" t="str">
        <f>"07342071"</f>
        <v>07342071</v>
      </c>
      <c r="D91" s="2">
        <v>0.505</v>
      </c>
      <c r="E91" s="2">
        <v>48</v>
      </c>
      <c r="F91" s="2" t="s">
        <v>6</v>
      </c>
    </row>
    <row r="92" spans="1:6" ht="25.5">
      <c r="A92" s="2">
        <v>89</v>
      </c>
      <c r="B92" s="2" t="s">
        <v>106</v>
      </c>
      <c r="C92" s="2" t="str">
        <f>"03625915"</f>
        <v>03625915</v>
      </c>
      <c r="D92" s="2">
        <v>3.851</v>
      </c>
      <c r="E92" s="2">
        <v>52</v>
      </c>
      <c r="F92" s="2" t="s">
        <v>6</v>
      </c>
    </row>
    <row r="93" spans="1:6" ht="25.5">
      <c r="A93" s="2">
        <v>90</v>
      </c>
      <c r="B93" s="2" t="s">
        <v>107</v>
      </c>
      <c r="C93" s="2" t="str">
        <f>"15577309"</f>
        <v>15577309</v>
      </c>
      <c r="D93" s="2">
        <v>0.80300000000000005</v>
      </c>
      <c r="E93" s="2">
        <v>35</v>
      </c>
      <c r="F93" s="2" t="s">
        <v>6</v>
      </c>
    </row>
    <row r="94" spans="1:6" ht="25.5">
      <c r="A94" s="2">
        <v>91</v>
      </c>
      <c r="B94" s="2" t="s">
        <v>108</v>
      </c>
      <c r="C94" s="2" t="str">
        <f>"15577368"</f>
        <v>15577368</v>
      </c>
      <c r="D94" s="2">
        <v>3.3149999999999999</v>
      </c>
      <c r="E94" s="2">
        <v>104</v>
      </c>
      <c r="F94" s="2" t="s">
        <v>6</v>
      </c>
    </row>
    <row r="95" spans="1:6" ht="25.5">
      <c r="A95" s="2">
        <v>92</v>
      </c>
      <c r="B95" s="2" t="s">
        <v>109</v>
      </c>
      <c r="C95" s="2" t="str">
        <f>"15577406"</f>
        <v>15577406</v>
      </c>
      <c r="D95" s="2">
        <v>2.5870000000000002</v>
      </c>
      <c r="E95" s="2">
        <v>36</v>
      </c>
      <c r="F95" s="2" t="s">
        <v>6</v>
      </c>
    </row>
    <row r="96" spans="1:6" ht="25.5">
      <c r="A96" s="2">
        <v>93</v>
      </c>
      <c r="B96" s="2" t="s">
        <v>110</v>
      </c>
      <c r="C96" s="2" t="str">
        <f>"10468188"</f>
        <v>10468188</v>
      </c>
      <c r="D96" s="2">
        <v>1.4850000000000001</v>
      </c>
      <c r="E96" s="2">
        <v>54</v>
      </c>
      <c r="F96" s="2" t="s">
        <v>6</v>
      </c>
    </row>
    <row r="97" spans="1:6" ht="25.5">
      <c r="A97" s="2">
        <v>94</v>
      </c>
      <c r="B97" s="2" t="s">
        <v>111</v>
      </c>
      <c r="C97" s="2" t="str">
        <f>"21576912"</f>
        <v>21576912</v>
      </c>
      <c r="D97" s="2">
        <v>5.5759999999999996</v>
      </c>
      <c r="E97" s="2">
        <v>8</v>
      </c>
      <c r="F97" s="2" t="s">
        <v>6</v>
      </c>
    </row>
    <row r="98" spans="1:6" ht="25.5">
      <c r="A98" s="2">
        <v>95</v>
      </c>
      <c r="B98" s="2" t="s">
        <v>112</v>
      </c>
      <c r="C98" s="2" t="str">
        <f>"15335399"</f>
        <v>15335399</v>
      </c>
      <c r="D98" s="2">
        <v>1.0680000000000001</v>
      </c>
      <c r="E98" s="2">
        <v>28</v>
      </c>
      <c r="F98" s="2" t="s">
        <v>6</v>
      </c>
    </row>
    <row r="99" spans="1:6" ht="25.5">
      <c r="A99" s="2">
        <v>96</v>
      </c>
      <c r="B99" s="2" t="s">
        <v>113</v>
      </c>
      <c r="C99" s="2" t="str">
        <f>"15564681"</f>
        <v>15564681</v>
      </c>
      <c r="D99" s="2">
        <v>3.0329999999999999</v>
      </c>
      <c r="E99" s="2">
        <v>16</v>
      </c>
      <c r="F99" s="2" t="s">
        <v>6</v>
      </c>
    </row>
    <row r="100" spans="1:6" ht="25.5">
      <c r="A100" s="2">
        <v>97</v>
      </c>
      <c r="B100" s="2" t="s">
        <v>114</v>
      </c>
      <c r="C100" s="2" t="str">
        <f>"2158656X"</f>
        <v>2158656X</v>
      </c>
      <c r="D100" s="2">
        <v>0.54900000000000004</v>
      </c>
      <c r="E100" s="2">
        <v>3</v>
      </c>
      <c r="F100" s="2" t="s">
        <v>6</v>
      </c>
    </row>
    <row r="101" spans="1:6" ht="25.5">
      <c r="A101" s="2">
        <v>98</v>
      </c>
      <c r="B101" s="2" t="s">
        <v>115</v>
      </c>
      <c r="C101" s="2" t="str">
        <f>"15577295"</f>
        <v>15577295</v>
      </c>
      <c r="D101" s="2">
        <v>1.4019999999999999</v>
      </c>
      <c r="E101" s="2">
        <v>48</v>
      </c>
      <c r="F101" s="2" t="s">
        <v>6</v>
      </c>
    </row>
    <row r="102" spans="1:6" ht="25.5">
      <c r="A102" s="2">
        <v>99</v>
      </c>
      <c r="B102" s="2" t="s">
        <v>116</v>
      </c>
      <c r="C102" s="2" t="str">
        <f>"10493301"</f>
        <v>10493301</v>
      </c>
      <c r="D102" s="2">
        <v>0.48799999999999999</v>
      </c>
      <c r="E102" s="2">
        <v>29</v>
      </c>
      <c r="F102" s="2" t="s">
        <v>6</v>
      </c>
    </row>
    <row r="103" spans="1:6" ht="25.5">
      <c r="A103" s="2">
        <v>100</v>
      </c>
      <c r="B103" s="2" t="s">
        <v>117</v>
      </c>
      <c r="C103" s="2" t="str">
        <f>"15516865"</f>
        <v>15516865</v>
      </c>
      <c r="D103" s="2">
        <v>0.69399999999999995</v>
      </c>
      <c r="E103" s="2">
        <v>19</v>
      </c>
      <c r="F103" s="2" t="s">
        <v>6</v>
      </c>
    </row>
    <row r="104" spans="1:6" ht="25.5">
      <c r="A104" s="2">
        <v>101</v>
      </c>
      <c r="B104" s="2" t="s">
        <v>118</v>
      </c>
      <c r="C104" s="2" t="str">
        <f>"01640925"</f>
        <v>01640925</v>
      </c>
      <c r="D104" s="2">
        <v>2.6080000000000001</v>
      </c>
      <c r="E104" s="2">
        <v>48</v>
      </c>
      <c r="F104" s="2" t="s">
        <v>6</v>
      </c>
    </row>
    <row r="105" spans="1:6" ht="25.5">
      <c r="A105" s="2">
        <v>102</v>
      </c>
      <c r="B105" s="2" t="s">
        <v>119</v>
      </c>
      <c r="C105" s="2" t="str">
        <f>"19367414"</f>
        <v>19367414</v>
      </c>
      <c r="D105" s="2">
        <v>0.63500000000000001</v>
      </c>
      <c r="E105" s="2">
        <v>8</v>
      </c>
      <c r="F105" s="2" t="s">
        <v>6</v>
      </c>
    </row>
    <row r="106" spans="1:6" ht="25.5">
      <c r="A106" s="2">
        <v>103</v>
      </c>
      <c r="B106" s="2" t="s">
        <v>120</v>
      </c>
      <c r="C106" s="2" t="str">
        <f>"15504859"</f>
        <v>15504859</v>
      </c>
      <c r="D106" s="2">
        <v>2.778</v>
      </c>
      <c r="E106" s="2">
        <v>30</v>
      </c>
      <c r="F106" s="2" t="s">
        <v>6</v>
      </c>
    </row>
    <row r="107" spans="1:6" ht="25.5">
      <c r="A107" s="2">
        <v>104</v>
      </c>
      <c r="B107" s="2" t="s">
        <v>121</v>
      </c>
      <c r="C107" s="2" t="str">
        <f>"15577392"</f>
        <v>15577392</v>
      </c>
      <c r="D107" s="2">
        <v>1.8169999999999999</v>
      </c>
      <c r="E107" s="2">
        <v>49</v>
      </c>
      <c r="F107" s="2" t="s">
        <v>6</v>
      </c>
    </row>
    <row r="108" spans="1:6" ht="25.5">
      <c r="A108" s="2">
        <v>105</v>
      </c>
      <c r="B108" s="2" t="s">
        <v>122</v>
      </c>
      <c r="C108" s="2" t="str">
        <f>"15504875"</f>
        <v>15504875</v>
      </c>
      <c r="D108" s="2">
        <v>0.51800000000000002</v>
      </c>
      <c r="E108" s="2">
        <v>10</v>
      </c>
      <c r="F108" s="2" t="s">
        <v>6</v>
      </c>
    </row>
    <row r="109" spans="1:6" ht="25.5">
      <c r="A109" s="2">
        <v>106</v>
      </c>
      <c r="B109" s="2" t="s">
        <v>123</v>
      </c>
      <c r="C109" s="2" t="str">
        <f>"15533077"</f>
        <v>15533077</v>
      </c>
      <c r="D109" s="2">
        <v>1.5229999999999999</v>
      </c>
      <c r="E109" s="2">
        <v>16</v>
      </c>
      <c r="F109" s="2" t="s">
        <v>6</v>
      </c>
    </row>
    <row r="110" spans="1:6" ht="25.5">
      <c r="A110" s="2">
        <v>107</v>
      </c>
      <c r="B110" s="2" t="s">
        <v>124</v>
      </c>
      <c r="C110" s="2" t="str">
        <f>"15591131"</f>
        <v>15591131</v>
      </c>
      <c r="D110" s="2">
        <v>2.0219999999999998</v>
      </c>
      <c r="E110" s="2">
        <v>22</v>
      </c>
      <c r="F110" s="2" t="s">
        <v>6</v>
      </c>
    </row>
    <row r="111" spans="1:6" ht="25.5">
      <c r="A111" s="2">
        <v>108</v>
      </c>
      <c r="B111" s="2" t="s">
        <v>125</v>
      </c>
      <c r="C111" s="2" t="str">
        <f>"16607880"</f>
        <v>16607880</v>
      </c>
      <c r="D111" s="2">
        <v>0.1</v>
      </c>
      <c r="E111" s="2">
        <v>2</v>
      </c>
      <c r="F111" s="2" t="s">
        <v>31</v>
      </c>
    </row>
    <row r="112" spans="1:6" ht="25.5">
      <c r="A112" s="2">
        <v>109</v>
      </c>
      <c r="B112" s="2" t="s">
        <v>126</v>
      </c>
      <c r="C112" s="2" t="str">
        <f>"14487535"</f>
        <v>14487535</v>
      </c>
      <c r="D112" s="2">
        <v>0.125</v>
      </c>
      <c r="E112" s="2">
        <v>4</v>
      </c>
      <c r="F112" s="2" t="s">
        <v>127</v>
      </c>
    </row>
    <row r="113" spans="1:6" ht="25.5">
      <c r="A113" s="2">
        <v>110</v>
      </c>
      <c r="B113" s="2" t="s">
        <v>128</v>
      </c>
      <c r="C113" s="2" t="str">
        <f>"15626865"</f>
        <v>15626865</v>
      </c>
      <c r="D113" s="2">
        <v>0.28299999999999997</v>
      </c>
      <c r="E113" s="2">
        <v>14</v>
      </c>
      <c r="F113" s="2" t="s">
        <v>129</v>
      </c>
    </row>
    <row r="114" spans="1:6" ht="25.5">
      <c r="A114" s="2">
        <v>111</v>
      </c>
      <c r="B114" s="2" t="s">
        <v>130</v>
      </c>
      <c r="C114" s="2" t="str">
        <f>"13475177"</f>
        <v>13475177</v>
      </c>
      <c r="D114" s="2">
        <v>0.318</v>
      </c>
      <c r="E114" s="2">
        <v>18</v>
      </c>
      <c r="F114" s="2" t="s">
        <v>131</v>
      </c>
    </row>
    <row r="115" spans="1:6" ht="25.5">
      <c r="A115" s="2">
        <v>112</v>
      </c>
      <c r="B115" s="2" t="s">
        <v>132</v>
      </c>
      <c r="C115" s="2" t="str">
        <f>"08146039"</f>
        <v>08146039</v>
      </c>
      <c r="D115" s="2">
        <v>0.19600000000000001</v>
      </c>
      <c r="E115" s="2">
        <v>8</v>
      </c>
      <c r="F115" s="2" t="s">
        <v>127</v>
      </c>
    </row>
    <row r="116" spans="1:6" ht="25.5">
      <c r="A116" s="2">
        <v>113</v>
      </c>
      <c r="B116" s="2" t="s">
        <v>133</v>
      </c>
      <c r="C116" s="2" t="str">
        <f>"0308437X"</f>
        <v>0308437X</v>
      </c>
      <c r="D116" s="2">
        <v>0.13400000000000001</v>
      </c>
      <c r="E116" s="2">
        <v>6</v>
      </c>
      <c r="F116" s="2" t="s">
        <v>16</v>
      </c>
    </row>
    <row r="117" spans="1:6" ht="25.5">
      <c r="A117" s="2">
        <v>114</v>
      </c>
      <c r="B117" s="2" t="s">
        <v>134</v>
      </c>
      <c r="C117" s="2" t="str">
        <f>"15882519"</f>
        <v>15882519</v>
      </c>
      <c r="D117" s="2">
        <v>0.13200000000000001</v>
      </c>
      <c r="E117" s="2">
        <v>3</v>
      </c>
      <c r="F117" s="2" t="s">
        <v>135</v>
      </c>
    </row>
    <row r="118" spans="1:6" ht="25.5">
      <c r="A118" s="2">
        <v>115</v>
      </c>
      <c r="B118" s="2" t="s">
        <v>136</v>
      </c>
      <c r="C118" s="2" t="str">
        <f>"19448252"</f>
        <v>19448252</v>
      </c>
      <c r="D118" s="2">
        <v>1.8959999999999999</v>
      </c>
      <c r="E118" s="2">
        <v>33</v>
      </c>
      <c r="F118" s="2" t="s">
        <v>6</v>
      </c>
    </row>
    <row r="119" spans="1:6" ht="25.5">
      <c r="A119" s="2">
        <v>116</v>
      </c>
      <c r="B119" s="2" t="s">
        <v>137</v>
      </c>
      <c r="C119" s="2" t="str">
        <f>"21555435"</f>
        <v>21555435</v>
      </c>
      <c r="D119" s="2">
        <v>2.298</v>
      </c>
      <c r="E119" s="2">
        <v>15</v>
      </c>
      <c r="F119" s="2" t="s">
        <v>6</v>
      </c>
    </row>
    <row r="120" spans="1:6" ht="25.5">
      <c r="A120" s="2">
        <v>117</v>
      </c>
      <c r="B120" s="2" t="s">
        <v>138</v>
      </c>
      <c r="C120" s="2" t="str">
        <f>"15548937"</f>
        <v>15548937</v>
      </c>
      <c r="D120" s="2">
        <v>2.375</v>
      </c>
      <c r="E120" s="2">
        <v>45</v>
      </c>
      <c r="F120" s="2" t="s">
        <v>6</v>
      </c>
    </row>
    <row r="121" spans="1:6" ht="25.5">
      <c r="A121" s="2">
        <v>118</v>
      </c>
      <c r="B121" s="2" t="s">
        <v>139</v>
      </c>
      <c r="C121" s="2" t="str">
        <f>"19487193"</f>
        <v>19487193</v>
      </c>
      <c r="D121" s="2">
        <v>1.1739999999999999</v>
      </c>
      <c r="E121" s="2">
        <v>12</v>
      </c>
      <c r="F121" s="2" t="s">
        <v>6</v>
      </c>
    </row>
    <row r="122" spans="1:6" ht="25.5">
      <c r="A122" s="2">
        <v>119</v>
      </c>
      <c r="B122" s="2" t="s">
        <v>140</v>
      </c>
      <c r="C122" s="2" t="str">
        <f>"21568952"</f>
        <v>21568952</v>
      </c>
      <c r="D122" s="2">
        <v>1.49</v>
      </c>
      <c r="E122" s="2">
        <v>53</v>
      </c>
      <c r="F122" s="2" t="s">
        <v>6</v>
      </c>
    </row>
    <row r="123" spans="1:6" ht="25.5">
      <c r="A123" s="2">
        <v>120</v>
      </c>
      <c r="B123" s="2" t="s">
        <v>141</v>
      </c>
      <c r="C123" s="2" t="str">
        <f>"19485875"</f>
        <v>19485875</v>
      </c>
      <c r="D123" s="2">
        <v>1.2909999999999999</v>
      </c>
      <c r="E123" s="2">
        <v>15</v>
      </c>
      <c r="F123" s="2" t="s">
        <v>6</v>
      </c>
    </row>
    <row r="124" spans="1:6" ht="25.5">
      <c r="A124" s="2">
        <v>121</v>
      </c>
      <c r="B124" s="2" t="s">
        <v>142</v>
      </c>
      <c r="C124" s="2" t="str">
        <f>"10915397"</f>
        <v>10915397</v>
      </c>
      <c r="D124" s="2">
        <v>0.13200000000000001</v>
      </c>
      <c r="E124" s="2">
        <v>7</v>
      </c>
      <c r="F124" s="2" t="s">
        <v>6</v>
      </c>
    </row>
    <row r="125" spans="1:6" ht="25.5">
      <c r="A125" s="2">
        <v>122</v>
      </c>
      <c r="B125" s="2" t="s">
        <v>143</v>
      </c>
      <c r="C125" s="2" t="str">
        <f>"1936086X"</f>
        <v>1936086X</v>
      </c>
      <c r="D125" s="2">
        <v>6.0289999999999999</v>
      </c>
      <c r="E125" s="2">
        <v>99</v>
      </c>
      <c r="F125" s="2" t="s">
        <v>6</v>
      </c>
    </row>
    <row r="126" spans="1:6" ht="25.5">
      <c r="A126" s="2">
        <v>123</v>
      </c>
      <c r="B126" s="2" t="s">
        <v>144</v>
      </c>
      <c r="C126" s="2" t="str">
        <f>"00657727"</f>
        <v>00657727</v>
      </c>
      <c r="D126" s="2">
        <v>0.1</v>
      </c>
      <c r="E126" s="2">
        <v>3</v>
      </c>
      <c r="F126" s="2" t="s">
        <v>6</v>
      </c>
    </row>
    <row r="127" spans="1:6" ht="25.5">
      <c r="A127" s="2">
        <v>124</v>
      </c>
      <c r="B127" s="2" t="s">
        <v>145</v>
      </c>
      <c r="C127" s="2" t="str">
        <f>"21615063"</f>
        <v>21615063</v>
      </c>
      <c r="D127" s="2">
        <v>0</v>
      </c>
      <c r="E127" s="2">
        <v>3</v>
      </c>
      <c r="F127" s="2" t="s">
        <v>6</v>
      </c>
    </row>
    <row r="128" spans="1:6" ht="25.5">
      <c r="A128" s="2">
        <v>125</v>
      </c>
      <c r="B128" s="2" t="s">
        <v>146</v>
      </c>
      <c r="C128" s="2" t="str">
        <f>"05872405"</f>
        <v>05872405</v>
      </c>
      <c r="D128" s="2">
        <v>0.112</v>
      </c>
      <c r="E128" s="2">
        <v>2</v>
      </c>
      <c r="F128" s="2" t="s">
        <v>64</v>
      </c>
    </row>
    <row r="129" spans="1:6" ht="25.5">
      <c r="A129" s="2">
        <v>126</v>
      </c>
      <c r="B129" s="2" t="s">
        <v>147</v>
      </c>
      <c r="C129" s="2" t="str">
        <f>"18619959"</f>
        <v>18619959</v>
      </c>
      <c r="D129" s="2">
        <v>0.58599999999999997</v>
      </c>
      <c r="E129" s="2">
        <v>29</v>
      </c>
      <c r="F129" s="2" t="s">
        <v>12</v>
      </c>
    </row>
    <row r="130" spans="1:6" ht="25.5">
      <c r="A130" s="2">
        <v>127</v>
      </c>
      <c r="B130" s="2" t="s">
        <v>148</v>
      </c>
      <c r="C130" s="2" t="str">
        <f>"00015113"</f>
        <v>00015113</v>
      </c>
      <c r="D130" s="2">
        <v>0.222</v>
      </c>
      <c r="E130" s="2">
        <v>10</v>
      </c>
      <c r="F130" s="2" t="s">
        <v>149</v>
      </c>
    </row>
    <row r="131" spans="1:6" ht="25.5">
      <c r="A131" s="2">
        <v>128</v>
      </c>
      <c r="B131" s="2" t="s">
        <v>150</v>
      </c>
      <c r="C131" s="2" t="str">
        <f>"16511972"</f>
        <v>16511972</v>
      </c>
      <c r="D131" s="2">
        <v>0.35</v>
      </c>
      <c r="E131" s="2">
        <v>24</v>
      </c>
      <c r="F131" s="2" t="s">
        <v>151</v>
      </c>
    </row>
    <row r="132" spans="1:6" ht="25.5">
      <c r="A132" s="2">
        <v>129</v>
      </c>
      <c r="B132" s="2" t="s">
        <v>152</v>
      </c>
      <c r="C132" s="2" t="str">
        <f>"16511913"</f>
        <v>16511913</v>
      </c>
      <c r="D132" s="2">
        <v>0.29799999999999999</v>
      </c>
      <c r="E132" s="2">
        <v>19</v>
      </c>
      <c r="F132" s="2" t="s">
        <v>151</v>
      </c>
    </row>
    <row r="133" spans="1:6" ht="25.5">
      <c r="A133" s="2">
        <v>130</v>
      </c>
      <c r="B133" s="2" t="s">
        <v>153</v>
      </c>
      <c r="C133" s="2" t="str">
        <f>"15819175"</f>
        <v>15819175</v>
      </c>
      <c r="D133" s="2">
        <v>0.14000000000000001</v>
      </c>
      <c r="E133" s="2">
        <v>5</v>
      </c>
      <c r="F133" s="2" t="s">
        <v>154</v>
      </c>
    </row>
    <row r="134" spans="1:6" ht="25.5">
      <c r="A134" s="2">
        <v>131</v>
      </c>
      <c r="B134" s="2" t="s">
        <v>155</v>
      </c>
      <c r="C134" s="2" t="str">
        <f>"02380161"</f>
        <v>02380161</v>
      </c>
      <c r="D134" s="2">
        <v>0.20599999999999999</v>
      </c>
      <c r="E134" s="2">
        <v>13</v>
      </c>
      <c r="F134" s="2" t="s">
        <v>135</v>
      </c>
    </row>
    <row r="135" spans="1:6" ht="25.5">
      <c r="A135" s="2">
        <v>132</v>
      </c>
      <c r="B135" s="2" t="s">
        <v>156</v>
      </c>
      <c r="C135" s="2" t="str">
        <f>"18752780"</f>
        <v>18752780</v>
      </c>
      <c r="D135" s="2">
        <v>0.23499999999999999</v>
      </c>
      <c r="E135" s="2">
        <v>7</v>
      </c>
      <c r="F135" s="2" t="s">
        <v>75</v>
      </c>
    </row>
    <row r="136" spans="1:6" ht="25.5">
      <c r="A136" s="2">
        <v>133</v>
      </c>
      <c r="B136" s="2" t="s">
        <v>157</v>
      </c>
      <c r="C136" s="2" t="str">
        <f>"15882535"</f>
        <v>15882535</v>
      </c>
      <c r="D136" s="2">
        <v>0.25800000000000001</v>
      </c>
      <c r="E136" s="2">
        <v>16</v>
      </c>
      <c r="F136" s="2" t="s">
        <v>135</v>
      </c>
    </row>
    <row r="137" spans="1:6" ht="25.5">
      <c r="A137" s="2">
        <v>134</v>
      </c>
      <c r="B137" s="2" t="s">
        <v>158</v>
      </c>
      <c r="C137" s="2" t="str">
        <f>"00445967"</f>
        <v>00445967</v>
      </c>
      <c r="D137" s="2">
        <v>0.45200000000000001</v>
      </c>
      <c r="E137" s="2">
        <v>11</v>
      </c>
      <c r="F137" s="2" t="s">
        <v>159</v>
      </c>
    </row>
    <row r="138" spans="1:6" ht="25.5">
      <c r="A138" s="2">
        <v>135</v>
      </c>
      <c r="B138" s="2" t="s">
        <v>160</v>
      </c>
      <c r="C138" s="2" t="str">
        <f>"00015164"</f>
        <v>00015164</v>
      </c>
      <c r="D138" s="2">
        <v>0.16200000000000001</v>
      </c>
      <c r="E138" s="2">
        <v>17</v>
      </c>
      <c r="F138" s="2" t="s">
        <v>161</v>
      </c>
    </row>
    <row r="139" spans="1:6" ht="25.5">
      <c r="A139" s="2">
        <v>136</v>
      </c>
      <c r="B139" s="2" t="s">
        <v>162</v>
      </c>
      <c r="C139" s="2" t="str">
        <f>"13996576"</f>
        <v>13996576</v>
      </c>
      <c r="D139" s="2">
        <v>1.0740000000000001</v>
      </c>
      <c r="E139" s="2">
        <v>73</v>
      </c>
      <c r="F139" s="2" t="s">
        <v>163</v>
      </c>
    </row>
    <row r="140" spans="1:6" ht="25.5">
      <c r="A140" s="2">
        <v>137</v>
      </c>
      <c r="B140" s="2" t="s">
        <v>164</v>
      </c>
      <c r="C140" s="2" t="str">
        <f>"18754597"</f>
        <v>18754597</v>
      </c>
      <c r="D140" s="2">
        <v>0.17699999999999999</v>
      </c>
      <c r="E140" s="2">
        <v>16</v>
      </c>
      <c r="F140" s="2" t="s">
        <v>165</v>
      </c>
    </row>
    <row r="141" spans="1:6" ht="25.5">
      <c r="A141" s="2">
        <v>138</v>
      </c>
      <c r="B141" s="2" t="s">
        <v>166</v>
      </c>
      <c r="C141" s="2" t="str">
        <f>"03535150"</f>
        <v>03535150</v>
      </c>
      <c r="D141" s="2">
        <v>0.47199999999999998</v>
      </c>
      <c r="E141" s="2">
        <v>2</v>
      </c>
      <c r="F141" s="2" t="s">
        <v>75</v>
      </c>
    </row>
    <row r="142" spans="1:6" ht="25.5">
      <c r="A142" s="2">
        <v>139</v>
      </c>
      <c r="B142" s="2" t="s">
        <v>167</v>
      </c>
      <c r="C142" s="2" t="str">
        <f>"05291356"</f>
        <v>05291356</v>
      </c>
      <c r="D142" s="2">
        <v>0.126</v>
      </c>
      <c r="E142" s="2">
        <v>4</v>
      </c>
      <c r="F142" s="2" t="s">
        <v>46</v>
      </c>
    </row>
    <row r="143" spans="1:6" ht="25.5">
      <c r="A143" s="2">
        <v>140</v>
      </c>
      <c r="B143" s="2" t="s">
        <v>168</v>
      </c>
      <c r="C143" s="2" t="str">
        <f>"16443276"</f>
        <v>16443276</v>
      </c>
      <c r="D143" s="2">
        <v>0.13400000000000001</v>
      </c>
      <c r="E143" s="2">
        <v>3</v>
      </c>
      <c r="F143" s="2" t="s">
        <v>169</v>
      </c>
    </row>
    <row r="144" spans="1:6" ht="25.5">
      <c r="A144" s="2">
        <v>141</v>
      </c>
      <c r="B144" s="2" t="s">
        <v>170</v>
      </c>
      <c r="C144" s="2" t="str">
        <f>"15882543"</f>
        <v>15882543</v>
      </c>
      <c r="D144" s="2">
        <v>0.1</v>
      </c>
      <c r="E144" s="2">
        <v>2</v>
      </c>
      <c r="F144" s="2" t="s">
        <v>135</v>
      </c>
    </row>
    <row r="145" spans="1:6" ht="25.5">
      <c r="A145" s="2">
        <v>142</v>
      </c>
      <c r="B145" s="2" t="s">
        <v>171</v>
      </c>
      <c r="C145" s="2" t="str">
        <f>"15729036"</f>
        <v>15729036</v>
      </c>
      <c r="D145" s="2">
        <v>0.73299999999999998</v>
      </c>
      <c r="E145" s="2">
        <v>25</v>
      </c>
      <c r="F145" s="2" t="s">
        <v>75</v>
      </c>
    </row>
    <row r="146" spans="1:6" ht="25.5">
      <c r="A146" s="2">
        <v>143</v>
      </c>
      <c r="B146" s="2" t="s">
        <v>172</v>
      </c>
      <c r="C146" s="2" t="str">
        <f>"00015202"</f>
        <v>00015202</v>
      </c>
      <c r="D146" s="2">
        <v>0.29399999999999998</v>
      </c>
      <c r="E146" s="2">
        <v>10</v>
      </c>
      <c r="F146" s="2" t="s">
        <v>131</v>
      </c>
    </row>
    <row r="147" spans="1:6" ht="25.5">
      <c r="A147" s="2">
        <v>144</v>
      </c>
      <c r="B147" s="2" t="s">
        <v>173</v>
      </c>
      <c r="C147" s="2" t="str">
        <f>"16000390"</f>
        <v>16000390</v>
      </c>
      <c r="D147" s="2">
        <v>0.125</v>
      </c>
      <c r="E147" s="2">
        <v>5</v>
      </c>
      <c r="F147" s="2" t="s">
        <v>16</v>
      </c>
    </row>
    <row r="148" spans="1:6" ht="25.5">
      <c r="A148" s="2">
        <v>145</v>
      </c>
      <c r="B148" s="2" t="s">
        <v>174</v>
      </c>
      <c r="C148" s="2" t="str">
        <f>"15882551"</f>
        <v>15882551</v>
      </c>
      <c r="D148" s="2">
        <v>0.127</v>
      </c>
      <c r="E148" s="2">
        <v>2</v>
      </c>
      <c r="F148" s="2" t="s">
        <v>135</v>
      </c>
    </row>
    <row r="149" spans="1:6" ht="25.5">
      <c r="A149" s="2">
        <v>146</v>
      </c>
      <c r="B149" s="2" t="s">
        <v>175</v>
      </c>
      <c r="C149" s="2" t="str">
        <f>"17306264"</f>
        <v>17306264</v>
      </c>
      <c r="D149" s="2">
        <v>0.747</v>
      </c>
      <c r="E149" s="2">
        <v>26</v>
      </c>
      <c r="F149" s="2" t="s">
        <v>169</v>
      </c>
    </row>
    <row r="150" spans="1:6" ht="25.5">
      <c r="A150" s="2">
        <v>147</v>
      </c>
      <c r="B150" s="2" t="s">
        <v>176</v>
      </c>
      <c r="C150" s="2" t="str">
        <f>"00945765"</f>
        <v>00945765</v>
      </c>
      <c r="D150" s="2">
        <v>0.61199999999999999</v>
      </c>
      <c r="E150" s="2">
        <v>30</v>
      </c>
      <c r="F150" s="2" t="s">
        <v>16</v>
      </c>
    </row>
    <row r="151" spans="1:6" ht="25.5">
      <c r="A151" s="2">
        <v>148</v>
      </c>
      <c r="B151" s="2" t="s">
        <v>177</v>
      </c>
      <c r="C151" s="2" t="str">
        <f>"00015237"</f>
        <v>00015237</v>
      </c>
      <c r="D151" s="2">
        <v>1.4039999999999999</v>
      </c>
      <c r="E151" s="2">
        <v>38</v>
      </c>
      <c r="F151" s="2" t="s">
        <v>169</v>
      </c>
    </row>
    <row r="152" spans="1:6" ht="25.5">
      <c r="A152" s="2">
        <v>149</v>
      </c>
      <c r="B152" s="2" t="s">
        <v>178</v>
      </c>
      <c r="C152" s="2" t="str">
        <f>"00651044"</f>
        <v>00651044</v>
      </c>
      <c r="D152" s="2">
        <v>0.10199999999999999</v>
      </c>
      <c r="E152" s="2">
        <v>1</v>
      </c>
      <c r="F152" s="2" t="s">
        <v>169</v>
      </c>
    </row>
    <row r="153" spans="1:6" ht="25.5">
      <c r="A153" s="2">
        <v>150</v>
      </c>
      <c r="B153" s="2" t="s">
        <v>179</v>
      </c>
      <c r="C153" s="2" t="str">
        <f>"17457270"</f>
        <v>17457270</v>
      </c>
      <c r="D153" s="2">
        <v>0.621</v>
      </c>
      <c r="E153" s="2">
        <v>25</v>
      </c>
      <c r="F153" s="2" t="s">
        <v>16</v>
      </c>
    </row>
    <row r="154" spans="1:6" ht="25.5">
      <c r="A154" s="2">
        <v>151</v>
      </c>
      <c r="B154" s="2" t="s">
        <v>180</v>
      </c>
      <c r="C154" s="2" t="str">
        <f>"0001527X"</f>
        <v>0001527X</v>
      </c>
      <c r="D154" s="2">
        <v>0.41099999999999998</v>
      </c>
      <c r="E154" s="2">
        <v>49</v>
      </c>
      <c r="F154" s="2" t="s">
        <v>169</v>
      </c>
    </row>
    <row r="155" spans="1:6" ht="25.5">
      <c r="A155" s="2">
        <v>152</v>
      </c>
      <c r="B155" s="2" t="s">
        <v>181</v>
      </c>
      <c r="C155" s="2" t="str">
        <f>"1726569X"</f>
        <v>1726569X</v>
      </c>
      <c r="D155" s="2">
        <v>0.20599999999999999</v>
      </c>
      <c r="E155" s="2">
        <v>3</v>
      </c>
      <c r="F155" s="2" t="s">
        <v>182</v>
      </c>
    </row>
    <row r="156" spans="1:6" ht="25.5">
      <c r="A156" s="2">
        <v>153</v>
      </c>
      <c r="B156" s="2" t="s">
        <v>183</v>
      </c>
      <c r="C156" s="2" t="str">
        <f>"0120548X"</f>
        <v>0120548X</v>
      </c>
      <c r="D156" s="2">
        <v>0.11600000000000001</v>
      </c>
      <c r="E156" s="2">
        <v>3</v>
      </c>
      <c r="F156" s="2" t="s">
        <v>184</v>
      </c>
    </row>
    <row r="157" spans="1:6" ht="25.5">
      <c r="A157" s="2">
        <v>154</v>
      </c>
      <c r="B157" s="2" t="s">
        <v>185</v>
      </c>
      <c r="C157" s="2" t="str">
        <f>"00015296"</f>
        <v>00015296</v>
      </c>
      <c r="D157" s="2">
        <v>0.27600000000000002</v>
      </c>
      <c r="E157" s="2">
        <v>12</v>
      </c>
      <c r="F157" s="2" t="s">
        <v>169</v>
      </c>
    </row>
    <row r="158" spans="1:6" ht="25.5">
      <c r="A158" s="2">
        <v>155</v>
      </c>
      <c r="B158" s="2" t="s">
        <v>186</v>
      </c>
      <c r="C158" s="2" t="str">
        <f>"02365383"</f>
        <v>02365383</v>
      </c>
      <c r="D158" s="2">
        <v>0.19600000000000001</v>
      </c>
      <c r="E158" s="2">
        <v>17</v>
      </c>
      <c r="F158" s="2" t="s">
        <v>135</v>
      </c>
    </row>
    <row r="159" spans="1:6" ht="25.5">
      <c r="A159" s="2">
        <v>156</v>
      </c>
      <c r="B159" s="2" t="s">
        <v>187</v>
      </c>
      <c r="C159" s="2" t="str">
        <f>"15884082"</f>
        <v>15884082</v>
      </c>
      <c r="D159" s="2">
        <v>0.17</v>
      </c>
      <c r="E159" s="2">
        <v>14</v>
      </c>
      <c r="F159" s="2" t="s">
        <v>135</v>
      </c>
    </row>
    <row r="160" spans="1:6" ht="25.5">
      <c r="A160" s="2">
        <v>157</v>
      </c>
      <c r="B160" s="2" t="s">
        <v>188</v>
      </c>
      <c r="C160" s="2" t="str">
        <f>"17427061"</f>
        <v>17427061</v>
      </c>
      <c r="D160" s="2">
        <v>1.6140000000000001</v>
      </c>
      <c r="E160" s="2">
        <v>56</v>
      </c>
      <c r="F160" s="2" t="s">
        <v>75</v>
      </c>
    </row>
    <row r="161" spans="1:6" ht="25.5">
      <c r="A161" s="2">
        <v>158</v>
      </c>
      <c r="B161" s="2" t="s">
        <v>189</v>
      </c>
      <c r="C161" s="2" t="str">
        <f>"03924203"</f>
        <v>03924203</v>
      </c>
      <c r="D161" s="2">
        <v>0.218</v>
      </c>
      <c r="E161" s="2">
        <v>22</v>
      </c>
      <c r="F161" s="2" t="s">
        <v>190</v>
      </c>
    </row>
    <row r="162" spans="1:6" ht="25.5">
      <c r="A162" s="2">
        <v>159</v>
      </c>
      <c r="B162" s="2" t="s">
        <v>191</v>
      </c>
      <c r="C162" s="2" t="str">
        <f>"03252957"</f>
        <v>03252957</v>
      </c>
      <c r="D162" s="2">
        <v>0.183</v>
      </c>
      <c r="E162" s="2">
        <v>6</v>
      </c>
      <c r="F162" s="2" t="s">
        <v>192</v>
      </c>
    </row>
    <row r="163" spans="1:6" ht="25.5">
      <c r="A163" s="2">
        <v>160</v>
      </c>
      <c r="B163" s="2" t="s">
        <v>193</v>
      </c>
      <c r="C163" s="2" t="str">
        <f>"15728358"</f>
        <v>15728358</v>
      </c>
      <c r="D163" s="2">
        <v>0.30499999999999999</v>
      </c>
      <c r="E163" s="2">
        <v>20</v>
      </c>
      <c r="F163" s="2" t="s">
        <v>75</v>
      </c>
    </row>
    <row r="164" spans="1:6" ht="25.5">
      <c r="A164" s="2">
        <v>161</v>
      </c>
      <c r="B164" s="2" t="s">
        <v>194</v>
      </c>
      <c r="C164" s="2" t="str">
        <f>"1503111X"</f>
        <v>1503111X</v>
      </c>
      <c r="D164" s="2">
        <v>0.13600000000000001</v>
      </c>
      <c r="E164" s="2">
        <v>3</v>
      </c>
      <c r="F164" s="2" t="s">
        <v>6</v>
      </c>
    </row>
    <row r="165" spans="1:6" ht="25.5">
      <c r="A165" s="2">
        <v>162</v>
      </c>
      <c r="B165" s="2" t="s">
        <v>195</v>
      </c>
      <c r="C165" s="2" t="str">
        <f>"01023306"</f>
        <v>01023306</v>
      </c>
      <c r="D165" s="2">
        <v>0.33700000000000002</v>
      </c>
      <c r="E165" s="2">
        <v>14</v>
      </c>
      <c r="F165" s="2" t="s">
        <v>159</v>
      </c>
    </row>
    <row r="166" spans="1:6" ht="25.5">
      <c r="A166" s="2">
        <v>163</v>
      </c>
      <c r="B166" s="2" t="s">
        <v>196</v>
      </c>
      <c r="C166" s="2" t="str">
        <f>"03650588"</f>
        <v>03650588</v>
      </c>
      <c r="D166" s="2">
        <v>0.27500000000000002</v>
      </c>
      <c r="E166" s="2">
        <v>12</v>
      </c>
      <c r="F166" s="2" t="s">
        <v>149</v>
      </c>
    </row>
    <row r="167" spans="1:6" ht="25.5">
      <c r="A167" s="2">
        <v>164</v>
      </c>
      <c r="B167" s="2" t="s">
        <v>197</v>
      </c>
      <c r="C167" s="2" t="str">
        <f>"12538078"</f>
        <v>12538078</v>
      </c>
      <c r="D167" s="2">
        <v>0.20899999999999999</v>
      </c>
      <c r="E167" s="2">
        <v>11</v>
      </c>
      <c r="F167" s="2" t="s">
        <v>66</v>
      </c>
    </row>
    <row r="168" spans="1:6" ht="25.5">
      <c r="A168" s="2">
        <v>165</v>
      </c>
      <c r="B168" s="2" t="s">
        <v>198</v>
      </c>
      <c r="C168" s="2" t="str">
        <f>"15882578"</f>
        <v>15882578</v>
      </c>
      <c r="D168" s="2">
        <v>0.251</v>
      </c>
      <c r="E168" s="2">
        <v>8</v>
      </c>
      <c r="F168" s="2" t="s">
        <v>135</v>
      </c>
    </row>
    <row r="169" spans="1:6" ht="25.5">
      <c r="A169" s="2">
        <v>166</v>
      </c>
      <c r="B169" s="2" t="s">
        <v>199</v>
      </c>
      <c r="C169" s="2" t="str">
        <f>"01877151"</f>
        <v>01877151</v>
      </c>
      <c r="D169" s="2">
        <v>0.17199999999999999</v>
      </c>
      <c r="E169" s="2">
        <v>3</v>
      </c>
      <c r="F169" s="2" t="s">
        <v>200</v>
      </c>
    </row>
    <row r="170" spans="1:6" ht="25.5">
      <c r="A170" s="2">
        <v>167</v>
      </c>
      <c r="B170" s="2" t="s">
        <v>201</v>
      </c>
      <c r="C170" s="2" t="str">
        <f>"00845906"</f>
        <v>00845906</v>
      </c>
      <c r="D170" s="2">
        <v>0.104</v>
      </c>
      <c r="E170" s="2">
        <v>2</v>
      </c>
      <c r="F170" s="2" t="s">
        <v>40</v>
      </c>
    </row>
    <row r="171" spans="1:6" ht="25.5">
      <c r="A171" s="2">
        <v>168</v>
      </c>
      <c r="B171" s="2" t="s">
        <v>202</v>
      </c>
      <c r="C171" s="2" t="str">
        <f>"00015385"</f>
        <v>00015385</v>
      </c>
      <c r="D171" s="2">
        <v>0.23699999999999999</v>
      </c>
      <c r="E171" s="2">
        <v>30</v>
      </c>
      <c r="F171" s="2" t="s">
        <v>161</v>
      </c>
    </row>
    <row r="172" spans="1:6" ht="25.5">
      <c r="A172" s="2">
        <v>169</v>
      </c>
      <c r="B172" s="2" t="s">
        <v>203</v>
      </c>
      <c r="C172" s="2" t="str">
        <f>"10116842"</f>
        <v>10116842</v>
      </c>
      <c r="D172" s="2">
        <v>0.17299999999999999</v>
      </c>
      <c r="E172" s="2">
        <v>6</v>
      </c>
      <c r="F172" s="2" t="s">
        <v>165</v>
      </c>
    </row>
    <row r="173" spans="1:6" ht="25.5">
      <c r="A173" s="2">
        <v>170</v>
      </c>
      <c r="B173" s="2" t="s">
        <v>204</v>
      </c>
      <c r="C173" s="2" t="str">
        <f>"15802612"</f>
        <v>15802612</v>
      </c>
      <c r="D173" s="2">
        <v>0.34399999999999997</v>
      </c>
      <c r="E173" s="2">
        <v>8</v>
      </c>
      <c r="F173" s="2" t="s">
        <v>154</v>
      </c>
    </row>
    <row r="174" spans="1:6" ht="25.5">
      <c r="A174" s="2">
        <v>171</v>
      </c>
      <c r="B174" s="2" t="s">
        <v>205</v>
      </c>
      <c r="C174" s="2" t="str">
        <f>"13180207"</f>
        <v>13180207</v>
      </c>
      <c r="D174" s="2">
        <v>0.30099999999999999</v>
      </c>
      <c r="E174" s="2">
        <v>29</v>
      </c>
      <c r="F174" s="2" t="s">
        <v>154</v>
      </c>
    </row>
    <row r="175" spans="1:6" ht="25.5">
      <c r="A175" s="2">
        <v>172</v>
      </c>
      <c r="B175" s="2" t="s">
        <v>206</v>
      </c>
      <c r="C175" s="2" t="str">
        <f>"15081109"</f>
        <v>15081109</v>
      </c>
      <c r="D175" s="2">
        <v>0.45700000000000002</v>
      </c>
      <c r="E175" s="2">
        <v>20</v>
      </c>
      <c r="F175" s="2" t="s">
        <v>169</v>
      </c>
    </row>
    <row r="176" spans="1:6" ht="25.5">
      <c r="A176" s="2">
        <v>173</v>
      </c>
      <c r="B176" s="2" t="s">
        <v>207</v>
      </c>
      <c r="C176" s="2" t="str">
        <f>"00015415"</f>
        <v>00015415</v>
      </c>
      <c r="D176" s="2">
        <v>0.312</v>
      </c>
      <c r="E176" s="2">
        <v>15</v>
      </c>
      <c r="F176" s="2" t="s">
        <v>208</v>
      </c>
    </row>
    <row r="177" spans="1:6" ht="25.5">
      <c r="A177" s="2">
        <v>174</v>
      </c>
      <c r="B177" s="2" t="s">
        <v>209</v>
      </c>
      <c r="C177" s="2" t="str">
        <f>"00015423"</f>
        <v>00015423</v>
      </c>
      <c r="D177" s="2">
        <v>0.13300000000000001</v>
      </c>
      <c r="E177" s="2">
        <v>11</v>
      </c>
      <c r="F177" s="2" t="s">
        <v>208</v>
      </c>
    </row>
    <row r="178" spans="1:6" ht="25.5">
      <c r="A178" s="2">
        <v>175</v>
      </c>
      <c r="B178" s="2" t="s">
        <v>210</v>
      </c>
      <c r="C178" s="2" t="str">
        <f>"00015458"</f>
        <v>00015458</v>
      </c>
      <c r="D178" s="2">
        <v>0.247</v>
      </c>
      <c r="E178" s="2">
        <v>24</v>
      </c>
      <c r="F178" s="2" t="s">
        <v>161</v>
      </c>
    </row>
    <row r="179" spans="1:6" ht="25.5">
      <c r="A179" s="2">
        <v>176</v>
      </c>
      <c r="B179" s="2" t="s">
        <v>211</v>
      </c>
      <c r="C179" s="2" t="str">
        <f>"0354950X"</f>
        <v>0354950X</v>
      </c>
      <c r="D179" s="2">
        <v>0.123</v>
      </c>
      <c r="E179" s="2">
        <v>8</v>
      </c>
      <c r="F179" s="2" t="s">
        <v>212</v>
      </c>
    </row>
    <row r="180" spans="1:6" ht="25.5">
      <c r="A180" s="2">
        <v>177</v>
      </c>
      <c r="B180" s="2" t="s">
        <v>213</v>
      </c>
      <c r="C180" s="2" t="str">
        <f>"12332356"</f>
        <v>12332356</v>
      </c>
      <c r="D180" s="2">
        <v>0.29499999999999998</v>
      </c>
      <c r="E180" s="2">
        <v>14</v>
      </c>
      <c r="F180" s="2" t="s">
        <v>135</v>
      </c>
    </row>
    <row r="181" spans="1:6" ht="25.5">
      <c r="A181" s="2">
        <v>178</v>
      </c>
      <c r="B181" s="2" t="s">
        <v>214</v>
      </c>
      <c r="C181" s="2" t="str">
        <f>"00015504"</f>
        <v>00015504</v>
      </c>
      <c r="D181" s="2">
        <v>0.10100000000000001</v>
      </c>
      <c r="E181" s="2">
        <v>9</v>
      </c>
      <c r="F181" s="2" t="s">
        <v>40</v>
      </c>
    </row>
    <row r="182" spans="1:6" ht="25.5">
      <c r="A182" s="2">
        <v>179</v>
      </c>
      <c r="B182" s="2" t="s">
        <v>215</v>
      </c>
      <c r="C182" s="2" t="str">
        <f>"01028650"</f>
        <v>01028650</v>
      </c>
      <c r="D182" s="2">
        <v>0.22800000000000001</v>
      </c>
      <c r="E182" s="2">
        <v>13</v>
      </c>
      <c r="F182" s="2" t="s">
        <v>159</v>
      </c>
    </row>
    <row r="183" spans="1:6" ht="25.5">
      <c r="A183" s="2">
        <v>180</v>
      </c>
      <c r="B183" s="2" t="s">
        <v>216</v>
      </c>
      <c r="C183" s="2" t="str">
        <f>"00015512"</f>
        <v>00015512</v>
      </c>
      <c r="D183" s="2">
        <v>0.215</v>
      </c>
      <c r="E183" s="2">
        <v>23</v>
      </c>
      <c r="F183" s="2" t="s">
        <v>161</v>
      </c>
    </row>
    <row r="184" spans="1:6" ht="25.5">
      <c r="A184" s="2">
        <v>181</v>
      </c>
      <c r="B184" s="2" t="s">
        <v>217</v>
      </c>
      <c r="C184" s="2" t="str">
        <f>"13339451"</f>
        <v>13339451</v>
      </c>
      <c r="D184" s="2">
        <v>0.193</v>
      </c>
      <c r="E184" s="2">
        <v>11</v>
      </c>
      <c r="F184" s="2" t="s">
        <v>149</v>
      </c>
    </row>
    <row r="185" spans="1:6" ht="25.5">
      <c r="A185" s="2">
        <v>182</v>
      </c>
      <c r="B185" s="2" t="s">
        <v>218</v>
      </c>
      <c r="C185" s="2" t="str">
        <f>"03539474"</f>
        <v>03539474</v>
      </c>
      <c r="D185" s="2">
        <v>0.14599999999999999</v>
      </c>
      <c r="E185" s="2">
        <v>5</v>
      </c>
      <c r="F185" s="2" t="s">
        <v>149</v>
      </c>
    </row>
    <row r="186" spans="1:6" ht="25.5">
      <c r="A186" s="2">
        <v>183</v>
      </c>
      <c r="B186" s="2" t="s">
        <v>219</v>
      </c>
      <c r="C186" s="2" t="str">
        <f>"01239155"</f>
        <v>01239155</v>
      </c>
      <c r="D186" s="2">
        <v>0.125</v>
      </c>
      <c r="E186" s="2">
        <v>4</v>
      </c>
      <c r="F186" s="2" t="s">
        <v>184</v>
      </c>
    </row>
    <row r="187" spans="1:6" ht="25.5">
      <c r="A187" s="2">
        <v>184</v>
      </c>
      <c r="B187" s="2" t="s">
        <v>220</v>
      </c>
      <c r="C187" s="2" t="str">
        <f>"02315955"</f>
        <v>02315955</v>
      </c>
      <c r="D187" s="2">
        <v>0.10100000000000001</v>
      </c>
      <c r="E187" s="2">
        <v>1</v>
      </c>
      <c r="F187" s="2" t="s">
        <v>208</v>
      </c>
    </row>
    <row r="188" spans="1:6" ht="25.5">
      <c r="A188" s="2">
        <v>185</v>
      </c>
      <c r="B188" s="2" t="s">
        <v>221</v>
      </c>
      <c r="C188" s="2" t="str">
        <f>"01087673"</f>
        <v>01087673</v>
      </c>
      <c r="D188" s="2">
        <v>1.216</v>
      </c>
      <c r="E188" s="2">
        <v>49</v>
      </c>
      <c r="F188" s="2" t="s">
        <v>16</v>
      </c>
    </row>
    <row r="189" spans="1:6" ht="25.5">
      <c r="A189" s="2">
        <v>186</v>
      </c>
      <c r="B189" s="2" t="s">
        <v>222</v>
      </c>
      <c r="C189" s="2" t="str">
        <f>"16005740"</f>
        <v>16005740</v>
      </c>
      <c r="D189" s="2">
        <v>0.79900000000000004</v>
      </c>
      <c r="E189" s="2">
        <v>63</v>
      </c>
      <c r="F189" s="2" t="s">
        <v>16</v>
      </c>
    </row>
    <row r="190" spans="1:6" ht="25.5">
      <c r="A190" s="2">
        <v>187</v>
      </c>
      <c r="B190" s="2" t="s">
        <v>223</v>
      </c>
      <c r="C190" s="2" t="str">
        <f>"16005759"</f>
        <v>16005759</v>
      </c>
      <c r="D190" s="2">
        <v>0.24199999999999999</v>
      </c>
      <c r="E190" s="2">
        <v>38</v>
      </c>
      <c r="F190" s="2" t="s">
        <v>16</v>
      </c>
    </row>
    <row r="191" spans="1:6" ht="25.5">
      <c r="A191" s="2">
        <v>188</v>
      </c>
      <c r="B191" s="2" t="s">
        <v>224</v>
      </c>
      <c r="C191" s="2" t="str">
        <f>"13990047"</f>
        <v>13990047</v>
      </c>
      <c r="D191" s="2">
        <v>12.003</v>
      </c>
      <c r="E191" s="2">
        <v>100</v>
      </c>
      <c r="F191" s="2" t="s">
        <v>16</v>
      </c>
    </row>
    <row r="192" spans="1:6" ht="25.5">
      <c r="A192" s="2">
        <v>189</v>
      </c>
      <c r="B192" s="2" t="s">
        <v>225</v>
      </c>
      <c r="C192" s="2" t="str">
        <f>"16005368"</f>
        <v>16005368</v>
      </c>
      <c r="D192" s="2">
        <v>0.22900000000000001</v>
      </c>
      <c r="E192" s="2">
        <v>27</v>
      </c>
      <c r="F192" s="2" t="s">
        <v>16</v>
      </c>
    </row>
    <row r="193" spans="1:6" ht="25.5">
      <c r="A193" s="2">
        <v>190</v>
      </c>
      <c r="B193" s="2" t="s">
        <v>226</v>
      </c>
      <c r="C193" s="2" t="str">
        <f>"17443091"</f>
        <v>17443091</v>
      </c>
      <c r="D193" s="2">
        <v>0.46300000000000002</v>
      </c>
      <c r="E193" s="2">
        <v>15</v>
      </c>
      <c r="F193" s="2" t="s">
        <v>16</v>
      </c>
    </row>
    <row r="194" spans="1:6" ht="25.5">
      <c r="A194" s="2">
        <v>191</v>
      </c>
      <c r="B194" s="2" t="s">
        <v>227</v>
      </c>
      <c r="C194" s="2" t="str">
        <f>"0324721X"</f>
        <v>0324721X</v>
      </c>
      <c r="D194" s="2">
        <v>0.29099999999999998</v>
      </c>
      <c r="E194" s="2">
        <v>12</v>
      </c>
      <c r="F194" s="2" t="s">
        <v>135</v>
      </c>
    </row>
    <row r="195" spans="1:6" ht="25.5">
      <c r="A195" s="2">
        <v>192</v>
      </c>
      <c r="B195" s="2" t="s">
        <v>228</v>
      </c>
      <c r="C195" s="2" t="str">
        <f>"00015547"</f>
        <v>00015547</v>
      </c>
      <c r="D195" s="2">
        <v>0.27300000000000002</v>
      </c>
      <c r="E195" s="2">
        <v>44</v>
      </c>
      <c r="F195" s="2" t="s">
        <v>6</v>
      </c>
    </row>
    <row r="196" spans="1:6" ht="25.5">
      <c r="A196" s="2">
        <v>193</v>
      </c>
      <c r="B196" s="2" t="s">
        <v>229</v>
      </c>
      <c r="C196" s="2" t="str">
        <f>"16512057"</f>
        <v>16512057</v>
      </c>
      <c r="D196" s="2">
        <v>0.97</v>
      </c>
      <c r="E196" s="2">
        <v>50</v>
      </c>
      <c r="F196" s="2" t="s">
        <v>151</v>
      </c>
    </row>
    <row r="197" spans="1:6" ht="25.5">
      <c r="A197" s="2">
        <v>194</v>
      </c>
      <c r="B197" s="2" t="s">
        <v>230</v>
      </c>
      <c r="C197" s="2" t="str">
        <f>"15812979"</f>
        <v>15812979</v>
      </c>
      <c r="D197" s="2">
        <v>0.39800000000000002</v>
      </c>
      <c r="E197" s="2">
        <v>14</v>
      </c>
      <c r="F197" s="2" t="s">
        <v>154</v>
      </c>
    </row>
    <row r="198" spans="1:6" ht="25.5">
      <c r="A198" s="2">
        <v>195</v>
      </c>
      <c r="B198" s="2" t="s">
        <v>231</v>
      </c>
      <c r="C198" s="2" t="str">
        <f>"1330027X"</f>
        <v>1330027X</v>
      </c>
      <c r="D198" s="2">
        <v>0.223</v>
      </c>
      <c r="E198" s="2">
        <v>12</v>
      </c>
      <c r="F198" s="2" t="s">
        <v>149</v>
      </c>
    </row>
    <row r="199" spans="1:6" ht="25.5">
      <c r="A199" s="2">
        <v>196</v>
      </c>
      <c r="B199" s="2" t="s">
        <v>232</v>
      </c>
      <c r="C199" s="2" t="str">
        <f>"09405429"</f>
        <v>09405429</v>
      </c>
      <c r="D199" s="2">
        <v>1.3859999999999999</v>
      </c>
      <c r="E199" s="2">
        <v>35</v>
      </c>
      <c r="F199" s="2" t="s">
        <v>190</v>
      </c>
    </row>
    <row r="200" spans="1:6" ht="25.5">
      <c r="A200" s="2">
        <v>197</v>
      </c>
      <c r="B200" s="2" t="s">
        <v>233</v>
      </c>
      <c r="C200" s="2" t="str">
        <f>"10000933"</f>
        <v>10000933</v>
      </c>
      <c r="D200" s="2">
        <v>0.26700000000000002</v>
      </c>
      <c r="E200" s="2">
        <v>20</v>
      </c>
      <c r="F200" s="2" t="s">
        <v>46</v>
      </c>
    </row>
    <row r="201" spans="1:6" ht="25.5">
      <c r="A201" s="2">
        <v>198</v>
      </c>
      <c r="B201" s="2" t="s">
        <v>234</v>
      </c>
      <c r="C201" s="2" t="str">
        <f>"18410987"</f>
        <v>18410987</v>
      </c>
      <c r="D201" s="2">
        <v>0.17199999999999999</v>
      </c>
      <c r="E201" s="2">
        <v>4</v>
      </c>
      <c r="F201" s="2" t="s">
        <v>19</v>
      </c>
    </row>
    <row r="202" spans="1:6" ht="25.5">
      <c r="A202" s="2">
        <v>199</v>
      </c>
      <c r="B202" s="2" t="s">
        <v>235</v>
      </c>
      <c r="C202" s="2" t="str">
        <f>"12421383"</f>
        <v>12421383</v>
      </c>
      <c r="D202" s="2">
        <v>0.108</v>
      </c>
      <c r="E202" s="2">
        <v>7</v>
      </c>
      <c r="F202" s="2" t="s">
        <v>66</v>
      </c>
    </row>
    <row r="203" spans="1:6" ht="25.5">
      <c r="A203" s="2">
        <v>200</v>
      </c>
      <c r="B203" s="2" t="s">
        <v>236</v>
      </c>
      <c r="C203" s="2" t="str">
        <f>"03741036"</f>
        <v>03741036</v>
      </c>
      <c r="D203" s="2">
        <v>0.49</v>
      </c>
      <c r="E203" s="2">
        <v>8</v>
      </c>
      <c r="F203" s="2" t="s">
        <v>208</v>
      </c>
    </row>
    <row r="204" spans="1:6" ht="25.5">
      <c r="A204" s="2">
        <v>201</v>
      </c>
      <c r="B204" s="2" t="s">
        <v>237</v>
      </c>
      <c r="C204" s="2" t="str">
        <f>"15882586"</f>
        <v>15882586</v>
      </c>
      <c r="D204" s="2">
        <v>0.104</v>
      </c>
      <c r="E204" s="2">
        <v>3</v>
      </c>
      <c r="F204" s="2" t="s">
        <v>135</v>
      </c>
    </row>
    <row r="205" spans="1:6" ht="25.5">
      <c r="A205" s="2">
        <v>202</v>
      </c>
      <c r="B205" s="2" t="s">
        <v>238</v>
      </c>
      <c r="C205" s="2" t="str">
        <f>"14379546"</f>
        <v>14379546</v>
      </c>
      <c r="D205" s="2">
        <v>0.39100000000000001</v>
      </c>
      <c r="E205" s="2">
        <v>18</v>
      </c>
      <c r="F205" s="2" t="s">
        <v>12</v>
      </c>
    </row>
    <row r="206" spans="1:6" ht="25.5">
      <c r="A206" s="2">
        <v>203</v>
      </c>
      <c r="B206" s="2" t="s">
        <v>239</v>
      </c>
      <c r="C206" s="2" t="str">
        <f>"03516083"</f>
        <v>03516083</v>
      </c>
      <c r="D206" s="2">
        <v>0.125</v>
      </c>
      <c r="E206" s="2">
        <v>2</v>
      </c>
      <c r="F206" s="2" t="s">
        <v>212</v>
      </c>
    </row>
    <row r="207" spans="1:6" ht="25.5">
      <c r="A207" s="2">
        <v>204</v>
      </c>
      <c r="B207" s="2" t="s">
        <v>240</v>
      </c>
      <c r="C207" s="2" t="str">
        <f>"03012298"</f>
        <v>03012298</v>
      </c>
      <c r="D207" s="2">
        <v>0.13900000000000001</v>
      </c>
      <c r="E207" s="2">
        <v>1</v>
      </c>
      <c r="F207" s="2" t="s">
        <v>241</v>
      </c>
    </row>
    <row r="208" spans="1:6" ht="25.5">
      <c r="A208" s="2">
        <v>205</v>
      </c>
      <c r="B208" s="2" t="s">
        <v>242</v>
      </c>
      <c r="C208" s="2" t="str">
        <f>"13363824"</f>
        <v>13363824</v>
      </c>
      <c r="D208" s="2">
        <v>0.23300000000000001</v>
      </c>
      <c r="E208" s="2">
        <v>3</v>
      </c>
      <c r="F208" s="2" t="s">
        <v>241</v>
      </c>
    </row>
    <row r="209" spans="1:6" ht="25.5">
      <c r="A209" s="2">
        <v>206</v>
      </c>
      <c r="B209" s="2" t="s">
        <v>243</v>
      </c>
      <c r="C209" s="2" t="str">
        <f>"03262383"</f>
        <v>03262383</v>
      </c>
      <c r="D209" s="2">
        <v>0.16900000000000001</v>
      </c>
      <c r="E209" s="2">
        <v>14</v>
      </c>
      <c r="F209" s="2" t="s">
        <v>192</v>
      </c>
    </row>
    <row r="210" spans="1:6" ht="25.5">
      <c r="A210" s="2">
        <v>207</v>
      </c>
      <c r="B210" s="2" t="s">
        <v>244</v>
      </c>
      <c r="C210" s="2" t="str">
        <f>"00015644"</f>
        <v>00015644</v>
      </c>
      <c r="D210" s="2">
        <v>0.27</v>
      </c>
      <c r="E210" s="2">
        <v>25</v>
      </c>
      <c r="F210" s="2" t="s">
        <v>161</v>
      </c>
    </row>
    <row r="211" spans="1:6" ht="25.5">
      <c r="A211" s="2">
        <v>208</v>
      </c>
      <c r="B211" s="2" t="s">
        <v>245</v>
      </c>
      <c r="C211" s="2" t="str">
        <f>"03009033"</f>
        <v>03009033</v>
      </c>
      <c r="D211" s="2">
        <v>0.122</v>
      </c>
      <c r="E211" s="2">
        <v>11</v>
      </c>
      <c r="F211" s="2" t="s">
        <v>192</v>
      </c>
    </row>
    <row r="212" spans="1:6" ht="25.5">
      <c r="A212" s="2">
        <v>209</v>
      </c>
      <c r="B212" s="2" t="s">
        <v>246</v>
      </c>
      <c r="C212" s="2" t="str">
        <f>"10011595"</f>
        <v>10011595</v>
      </c>
      <c r="D212" s="2">
        <v>0.23</v>
      </c>
      <c r="E212" s="2">
        <v>9</v>
      </c>
      <c r="F212" s="2" t="s">
        <v>46</v>
      </c>
    </row>
    <row r="213" spans="1:6" ht="25.5">
      <c r="A213" s="2">
        <v>210</v>
      </c>
      <c r="B213" s="2" t="s">
        <v>247</v>
      </c>
      <c r="C213" s="2" t="str">
        <f>"15871037"</f>
        <v>15871037</v>
      </c>
      <c r="D213" s="2">
        <v>0.224</v>
      </c>
      <c r="E213" s="2">
        <v>10</v>
      </c>
      <c r="F213" s="2" t="s">
        <v>135</v>
      </c>
    </row>
    <row r="214" spans="1:6" ht="25.5">
      <c r="A214" s="2">
        <v>211</v>
      </c>
      <c r="B214" s="2" t="s">
        <v>248</v>
      </c>
      <c r="C214" s="2" t="str">
        <f>"12149705"</f>
        <v>12149705</v>
      </c>
      <c r="D214" s="2">
        <v>0.30599999999999999</v>
      </c>
      <c r="E214" s="2">
        <v>6</v>
      </c>
      <c r="F214" s="2" t="s">
        <v>208</v>
      </c>
    </row>
    <row r="215" spans="1:6" ht="25.5">
      <c r="A215" s="2">
        <v>212</v>
      </c>
      <c r="B215" s="2" t="s">
        <v>249</v>
      </c>
      <c r="C215" s="2" t="str">
        <f>"03755444"</f>
        <v>03755444</v>
      </c>
      <c r="D215" s="2">
        <v>0.379</v>
      </c>
      <c r="E215" s="2">
        <v>31</v>
      </c>
      <c r="F215" s="2" t="s">
        <v>46</v>
      </c>
    </row>
    <row r="216" spans="1:6" ht="25.5">
      <c r="A216" s="2">
        <v>213</v>
      </c>
      <c r="B216" s="2" t="s">
        <v>250</v>
      </c>
      <c r="C216" s="2" t="str">
        <f>"15818314"</f>
        <v>15818314</v>
      </c>
      <c r="D216" s="2">
        <v>0.29699999999999999</v>
      </c>
      <c r="E216" s="2">
        <v>6</v>
      </c>
      <c r="F216" s="2" t="s">
        <v>154</v>
      </c>
    </row>
    <row r="217" spans="1:6" ht="25.5">
      <c r="A217" s="2">
        <v>214</v>
      </c>
      <c r="B217" s="2" t="s">
        <v>251</v>
      </c>
      <c r="C217" s="2" t="str">
        <f>"00015709"</f>
        <v>00015709</v>
      </c>
      <c r="D217" s="2">
        <v>0.622</v>
      </c>
      <c r="E217" s="2">
        <v>23</v>
      </c>
      <c r="F217" s="2" t="s">
        <v>169</v>
      </c>
    </row>
    <row r="218" spans="1:6" ht="25.5">
      <c r="A218" s="2">
        <v>215</v>
      </c>
      <c r="B218" s="2" t="s">
        <v>252</v>
      </c>
      <c r="C218" s="2" t="str">
        <f>"00015717"</f>
        <v>00015717</v>
      </c>
      <c r="D218" s="2">
        <v>0.51900000000000002</v>
      </c>
      <c r="E218" s="2">
        <v>29</v>
      </c>
      <c r="F218" s="2" t="s">
        <v>46</v>
      </c>
    </row>
    <row r="219" spans="1:6" ht="25.5">
      <c r="A219" s="2">
        <v>216</v>
      </c>
      <c r="B219" s="2" t="s">
        <v>253</v>
      </c>
      <c r="C219" s="2" t="str">
        <f>"18957455"</f>
        <v>18957455</v>
      </c>
      <c r="D219" s="2">
        <v>0.41599999999999998</v>
      </c>
      <c r="E219" s="2">
        <v>16</v>
      </c>
      <c r="F219" s="2" t="s">
        <v>16</v>
      </c>
    </row>
    <row r="220" spans="1:6" ht="25.5">
      <c r="A220" s="2">
        <v>217</v>
      </c>
      <c r="B220" s="2" t="s">
        <v>254</v>
      </c>
      <c r="C220" s="2" t="str">
        <f>"00015733"</f>
        <v>00015733</v>
      </c>
      <c r="D220" s="2">
        <v>0.41699999999999998</v>
      </c>
      <c r="E220" s="2">
        <v>26</v>
      </c>
      <c r="F220" s="2" t="s">
        <v>46</v>
      </c>
    </row>
    <row r="221" spans="1:6" ht="25.5">
      <c r="A221" s="2">
        <v>218</v>
      </c>
      <c r="B221" s="2" t="s">
        <v>255</v>
      </c>
      <c r="C221" s="2" t="str">
        <f>"18611133"</f>
        <v>18611133</v>
      </c>
      <c r="D221" s="2">
        <v>0.66800000000000004</v>
      </c>
      <c r="E221" s="2">
        <v>15</v>
      </c>
      <c r="F221" s="2" t="s">
        <v>12</v>
      </c>
    </row>
    <row r="222" spans="1:6" ht="25.5">
      <c r="A222" s="2">
        <v>219</v>
      </c>
      <c r="B222" s="2" t="s">
        <v>256</v>
      </c>
      <c r="C222" s="2" t="str">
        <f>"14219662"</f>
        <v>14219662</v>
      </c>
      <c r="D222" s="2">
        <v>0.41599999999999998</v>
      </c>
      <c r="E222" s="2">
        <v>44</v>
      </c>
      <c r="F222" s="2" t="s">
        <v>31</v>
      </c>
    </row>
    <row r="223" spans="1:6" ht="25.5">
      <c r="A223" s="2">
        <v>220</v>
      </c>
      <c r="B223" s="2" t="s">
        <v>257</v>
      </c>
      <c r="C223" s="2" t="str">
        <f>"00015814"</f>
        <v>00015814</v>
      </c>
      <c r="D223" s="2">
        <v>0.114</v>
      </c>
      <c r="E223" s="2">
        <v>6</v>
      </c>
      <c r="F223" s="2" t="s">
        <v>169</v>
      </c>
    </row>
    <row r="224" spans="1:6" ht="25.5">
      <c r="A224" s="2">
        <v>221</v>
      </c>
      <c r="B224" s="2" t="s">
        <v>258</v>
      </c>
      <c r="C224" s="2" t="str">
        <f>"04514203"</f>
        <v>04514203</v>
      </c>
      <c r="D224" s="2">
        <v>0.112</v>
      </c>
      <c r="E224" s="2">
        <v>8</v>
      </c>
      <c r="F224" s="2" t="s">
        <v>131</v>
      </c>
    </row>
    <row r="225" spans="1:6" ht="25.5">
      <c r="A225" s="2">
        <v>222</v>
      </c>
      <c r="B225" s="2" t="s">
        <v>259</v>
      </c>
      <c r="C225" s="2" t="str">
        <f>"18279643"</f>
        <v>18279643</v>
      </c>
      <c r="D225" s="2">
        <v>0.26500000000000001</v>
      </c>
      <c r="E225" s="2">
        <v>5</v>
      </c>
      <c r="F225" s="2" t="s">
        <v>190</v>
      </c>
    </row>
    <row r="226" spans="1:6" ht="25.5">
      <c r="A226" s="2">
        <v>223</v>
      </c>
      <c r="B226" s="2" t="s">
        <v>260</v>
      </c>
      <c r="C226" s="2" t="str">
        <f>"00651281"</f>
        <v>00651281</v>
      </c>
      <c r="D226" s="2">
        <v>0.44700000000000001</v>
      </c>
      <c r="E226" s="2">
        <v>29</v>
      </c>
      <c r="F226" s="2" t="s">
        <v>12</v>
      </c>
    </row>
    <row r="227" spans="1:6" ht="25.5">
      <c r="A227" s="2">
        <v>224</v>
      </c>
      <c r="B227" s="2" t="s">
        <v>261</v>
      </c>
      <c r="C227" s="2" t="str">
        <f>"13475800"</f>
        <v>13475800</v>
      </c>
      <c r="D227" s="2">
        <v>0.52800000000000002</v>
      </c>
      <c r="E227" s="2">
        <v>16</v>
      </c>
      <c r="F227" s="2" t="s">
        <v>131</v>
      </c>
    </row>
    <row r="228" spans="1:6" ht="25.5">
      <c r="A228" s="2">
        <v>225</v>
      </c>
      <c r="B228" s="2" t="s">
        <v>262</v>
      </c>
      <c r="C228" s="2" t="str">
        <f>"15882608"</f>
        <v>15882608</v>
      </c>
      <c r="D228" s="2">
        <v>0.10100000000000001</v>
      </c>
      <c r="E228" s="2">
        <v>2</v>
      </c>
      <c r="F228" s="2" t="s">
        <v>135</v>
      </c>
    </row>
    <row r="229" spans="1:6" ht="25.5">
      <c r="A229" s="2">
        <v>226</v>
      </c>
      <c r="B229" s="2" t="s">
        <v>263</v>
      </c>
      <c r="C229" s="2" t="str">
        <f>"00015857"</f>
        <v>00015857</v>
      </c>
      <c r="D229" s="2">
        <v>0.10299999999999999</v>
      </c>
      <c r="E229" s="2">
        <v>1</v>
      </c>
      <c r="F229" s="2" t="s">
        <v>12</v>
      </c>
    </row>
    <row r="230" spans="1:6" ht="25.5">
      <c r="A230" s="2">
        <v>227</v>
      </c>
      <c r="B230" s="2" t="s">
        <v>264</v>
      </c>
      <c r="C230" s="2" t="str">
        <f>"17367476"</f>
        <v>17367476</v>
      </c>
      <c r="D230" s="2">
        <v>0.10100000000000001</v>
      </c>
      <c r="E230" s="2">
        <v>1</v>
      </c>
      <c r="F230" s="2" t="s">
        <v>265</v>
      </c>
    </row>
    <row r="231" spans="1:6" ht="25.5">
      <c r="A231" s="2">
        <v>228</v>
      </c>
      <c r="B231" s="2" t="s">
        <v>266</v>
      </c>
      <c r="C231" s="2" t="str">
        <f>"13180185"</f>
        <v>13180185</v>
      </c>
      <c r="D231" s="2">
        <v>0.185</v>
      </c>
      <c r="E231" s="2">
        <v>3</v>
      </c>
      <c r="F231" s="2" t="s">
        <v>154</v>
      </c>
    </row>
    <row r="232" spans="1:6" ht="25.5">
      <c r="A232" s="2">
        <v>229</v>
      </c>
      <c r="B232" s="2" t="s">
        <v>267</v>
      </c>
      <c r="C232" s="2" t="str">
        <f>"05677572"</f>
        <v>05677572</v>
      </c>
      <c r="D232" s="2">
        <v>0.20200000000000001</v>
      </c>
      <c r="E232" s="2">
        <v>17</v>
      </c>
      <c r="F232" s="2" t="s">
        <v>161</v>
      </c>
    </row>
    <row r="233" spans="1:6" ht="25.5">
      <c r="A233" s="2">
        <v>230</v>
      </c>
      <c r="B233" s="2" t="s">
        <v>268</v>
      </c>
      <c r="C233" s="2" t="str">
        <f>"17341515"</f>
        <v>17341515</v>
      </c>
      <c r="D233" s="2">
        <v>0.27800000000000002</v>
      </c>
      <c r="E233" s="2">
        <v>11</v>
      </c>
      <c r="F233" s="2" t="s">
        <v>169</v>
      </c>
    </row>
    <row r="234" spans="1:6" ht="25.5">
      <c r="A234" s="2">
        <v>231</v>
      </c>
      <c r="B234" s="2" t="s">
        <v>269</v>
      </c>
      <c r="C234" s="2" t="str">
        <f>"14320525"</f>
        <v>14320525</v>
      </c>
      <c r="D234" s="2">
        <v>0.63</v>
      </c>
      <c r="E234" s="2">
        <v>26</v>
      </c>
      <c r="F234" s="2" t="s">
        <v>6</v>
      </c>
    </row>
    <row r="235" spans="1:6" ht="25.5">
      <c r="A235" s="2">
        <v>232</v>
      </c>
      <c r="B235" s="2" t="s">
        <v>270</v>
      </c>
      <c r="C235" s="2" t="str">
        <f>"03538109"</f>
        <v>03538109</v>
      </c>
      <c r="D235" s="2">
        <v>0</v>
      </c>
      <c r="E235" s="2">
        <v>2</v>
      </c>
      <c r="F235" s="2" t="s">
        <v>271</v>
      </c>
    </row>
    <row r="236" spans="1:6" ht="25.5">
      <c r="A236" s="2">
        <v>233</v>
      </c>
      <c r="B236" s="2" t="s">
        <v>272</v>
      </c>
      <c r="C236" s="2" t="str">
        <f>"15882616"</f>
        <v>15882616</v>
      </c>
      <c r="D236" s="2">
        <v>0.108</v>
      </c>
      <c r="E236" s="2">
        <v>2</v>
      </c>
      <c r="F236" s="2" t="s">
        <v>135</v>
      </c>
    </row>
    <row r="237" spans="1:6" ht="25.5">
      <c r="A237" s="2">
        <v>234</v>
      </c>
      <c r="B237" s="2" t="s">
        <v>273</v>
      </c>
      <c r="C237" s="2" t="str">
        <f>"15207412"</f>
        <v>15207412</v>
      </c>
      <c r="D237" s="2">
        <v>0.10100000000000001</v>
      </c>
      <c r="E237" s="2">
        <v>1</v>
      </c>
      <c r="F237" s="2" t="s">
        <v>274</v>
      </c>
    </row>
    <row r="238" spans="1:6" ht="25.5">
      <c r="A238" s="2">
        <v>235</v>
      </c>
      <c r="B238" s="2" t="s">
        <v>275</v>
      </c>
      <c r="C238" s="2" t="str">
        <f>"03740463"</f>
        <v>03740463</v>
      </c>
      <c r="D238" s="2">
        <v>0.109</v>
      </c>
      <c r="E238" s="2">
        <v>1</v>
      </c>
      <c r="F238" s="2" t="s">
        <v>163</v>
      </c>
    </row>
    <row r="239" spans="1:6" ht="25.5">
      <c r="A239" s="2">
        <v>236</v>
      </c>
      <c r="B239" s="2" t="s">
        <v>276</v>
      </c>
      <c r="C239" s="2" t="str">
        <f>"15882624"</f>
        <v>15882624</v>
      </c>
      <c r="D239" s="2">
        <v>0.20599999999999999</v>
      </c>
      <c r="E239" s="2">
        <v>4</v>
      </c>
      <c r="F239" s="2" t="s">
        <v>135</v>
      </c>
    </row>
    <row r="240" spans="1:6" ht="25.5">
      <c r="A240" s="2">
        <v>237</v>
      </c>
      <c r="B240" s="2" t="s">
        <v>277</v>
      </c>
      <c r="C240" s="2" t="str">
        <f>"07176848"</f>
        <v>07176848</v>
      </c>
      <c r="D240" s="2">
        <v>0.1</v>
      </c>
      <c r="E240" s="2">
        <v>1</v>
      </c>
      <c r="F240" s="2" t="s">
        <v>182</v>
      </c>
    </row>
    <row r="241" spans="1:6" ht="25.5">
      <c r="A241" s="2">
        <v>238</v>
      </c>
      <c r="B241" s="2" t="s">
        <v>278</v>
      </c>
      <c r="C241" s="2" t="str">
        <f>"13596454"</f>
        <v>13596454</v>
      </c>
      <c r="D241" s="2">
        <v>3.1230000000000002</v>
      </c>
      <c r="E241" s="2">
        <v>156</v>
      </c>
      <c r="F241" s="2" t="s">
        <v>16</v>
      </c>
    </row>
    <row r="242" spans="1:6" ht="25.5">
      <c r="A242" s="2">
        <v>239</v>
      </c>
      <c r="B242" s="2" t="s">
        <v>279</v>
      </c>
      <c r="C242" s="2" t="str">
        <f>"00015962"</f>
        <v>00015962</v>
      </c>
      <c r="D242" s="2">
        <v>6.4370000000000003</v>
      </c>
      <c r="E242" s="2">
        <v>38</v>
      </c>
      <c r="F242" s="2" t="s">
        <v>75</v>
      </c>
    </row>
    <row r="243" spans="1:6" ht="25.5">
      <c r="A243" s="2">
        <v>240</v>
      </c>
      <c r="B243" s="2" t="s">
        <v>280</v>
      </c>
      <c r="C243" s="2" t="str">
        <f>"08660182"</f>
        <v>08660182</v>
      </c>
      <c r="D243" s="2">
        <v>0.14699999999999999</v>
      </c>
      <c r="E243" s="2">
        <v>8</v>
      </c>
      <c r="F243" s="2" t="s">
        <v>135</v>
      </c>
    </row>
    <row r="244" spans="1:6" ht="25.5">
      <c r="A244" s="2">
        <v>241</v>
      </c>
      <c r="B244" s="2" t="s">
        <v>281</v>
      </c>
      <c r="C244" s="2" t="str">
        <f>"01689673"</f>
        <v>01689673</v>
      </c>
      <c r="D244" s="2">
        <v>0.27400000000000002</v>
      </c>
      <c r="E244" s="2">
        <v>18</v>
      </c>
      <c r="F244" s="2" t="s">
        <v>12</v>
      </c>
    </row>
    <row r="245" spans="1:6" ht="25.5">
      <c r="A245" s="2">
        <v>242</v>
      </c>
      <c r="B245" s="2" t="s">
        <v>282</v>
      </c>
      <c r="C245" s="2" t="str">
        <f>"15882632"</f>
        <v>15882632</v>
      </c>
      <c r="D245" s="2">
        <v>0.58799999999999997</v>
      </c>
      <c r="E245" s="2">
        <v>22</v>
      </c>
      <c r="F245" s="2" t="s">
        <v>75</v>
      </c>
    </row>
    <row r="246" spans="1:6" ht="25.5">
      <c r="A246" s="2">
        <v>243</v>
      </c>
      <c r="B246" s="2" t="s">
        <v>283</v>
      </c>
      <c r="C246" s="2" t="str">
        <f>"02529602"</f>
        <v>02529602</v>
      </c>
      <c r="D246" s="2">
        <v>0.47</v>
      </c>
      <c r="E246" s="2">
        <v>13</v>
      </c>
      <c r="F246" s="2" t="s">
        <v>75</v>
      </c>
    </row>
    <row r="247" spans="1:6" ht="25.5">
      <c r="A247" s="2">
        <v>244</v>
      </c>
      <c r="B247" s="2" t="s">
        <v>284</v>
      </c>
      <c r="C247" s="2" t="str">
        <f>"14398516"</f>
        <v>14398516</v>
      </c>
      <c r="D247" s="2">
        <v>0.46600000000000003</v>
      </c>
      <c r="E247" s="2">
        <v>23</v>
      </c>
      <c r="F247" s="2" t="s">
        <v>12</v>
      </c>
    </row>
    <row r="248" spans="1:6" ht="25.5">
      <c r="A248" s="2">
        <v>245</v>
      </c>
      <c r="B248" s="2" t="s">
        <v>285</v>
      </c>
      <c r="C248" s="2" t="str">
        <f>"13360310"</f>
        <v>13360310</v>
      </c>
      <c r="D248" s="2">
        <v>0.22700000000000001</v>
      </c>
      <c r="E248" s="2">
        <v>8</v>
      </c>
      <c r="F248" s="2" t="s">
        <v>241</v>
      </c>
    </row>
    <row r="249" spans="1:6" ht="25.5">
      <c r="A249" s="2">
        <v>246</v>
      </c>
      <c r="B249" s="2" t="s">
        <v>286</v>
      </c>
      <c r="C249" s="2" t="str">
        <f>"02514184"</f>
        <v>02514184</v>
      </c>
      <c r="D249" s="2">
        <v>0.127</v>
      </c>
      <c r="E249" s="2">
        <v>1</v>
      </c>
      <c r="F249" s="2" t="s">
        <v>12</v>
      </c>
    </row>
    <row r="250" spans="1:6" ht="25.5">
      <c r="A250" s="2">
        <v>247</v>
      </c>
      <c r="B250" s="2" t="s">
        <v>287</v>
      </c>
      <c r="C250" s="2" t="str">
        <f>"16196937"</f>
        <v>16196937</v>
      </c>
      <c r="D250" s="2">
        <v>0.68600000000000005</v>
      </c>
      <c r="E250" s="2">
        <v>40</v>
      </c>
      <c r="F250" s="2" t="s">
        <v>288</v>
      </c>
    </row>
    <row r="251" spans="1:6" ht="25.5">
      <c r="A251" s="2">
        <v>248</v>
      </c>
      <c r="B251" s="2" t="s">
        <v>289</v>
      </c>
      <c r="C251" s="2" t="str">
        <f>"18984088"</f>
        <v>18984088</v>
      </c>
      <c r="D251" s="2">
        <v>0</v>
      </c>
      <c r="E251" s="2">
        <v>1</v>
      </c>
      <c r="F251" s="2" t="s">
        <v>169</v>
      </c>
    </row>
    <row r="252" spans="1:6" ht="25.5">
      <c r="A252" s="2">
        <v>249</v>
      </c>
      <c r="B252" s="2" t="s">
        <v>290</v>
      </c>
      <c r="C252" s="2" t="str">
        <f>"05677718"</f>
        <v>05677718</v>
      </c>
      <c r="D252" s="2">
        <v>0.42399999999999999</v>
      </c>
      <c r="E252" s="2">
        <v>20</v>
      </c>
      <c r="F252" s="2" t="s">
        <v>12</v>
      </c>
    </row>
    <row r="253" spans="1:6" ht="25.5">
      <c r="A253" s="2">
        <v>250</v>
      </c>
      <c r="B253" s="2" t="s">
        <v>291</v>
      </c>
      <c r="C253" s="2" t="str">
        <f>"18602134"</f>
        <v>18602134</v>
      </c>
      <c r="D253" s="2">
        <v>0.68799999999999994</v>
      </c>
      <c r="E253" s="2">
        <v>14</v>
      </c>
      <c r="F253" s="2" t="s">
        <v>46</v>
      </c>
    </row>
    <row r="254" spans="1:6" ht="25.5">
      <c r="A254" s="2">
        <v>251</v>
      </c>
      <c r="B254" s="2" t="s">
        <v>292</v>
      </c>
      <c r="C254" s="2" t="str">
        <f>"03241750"</f>
        <v>03241750</v>
      </c>
      <c r="D254" s="2">
        <v>0.14599999999999999</v>
      </c>
      <c r="E254" s="2">
        <v>2</v>
      </c>
      <c r="F254" s="2" t="s">
        <v>293</v>
      </c>
    </row>
    <row r="255" spans="1:6" ht="25.5">
      <c r="A255" s="2">
        <v>252</v>
      </c>
      <c r="B255" s="2" t="s">
        <v>294</v>
      </c>
      <c r="C255" s="2" t="str">
        <f>"13300164"</f>
        <v>13300164</v>
      </c>
      <c r="D255" s="2">
        <v>0.111</v>
      </c>
      <c r="E255" s="2">
        <v>13</v>
      </c>
      <c r="F255" s="2" t="s">
        <v>149</v>
      </c>
    </row>
    <row r="256" spans="1:6" ht="25.5">
      <c r="A256" s="2">
        <v>253</v>
      </c>
      <c r="B256" s="2" t="s">
        <v>295</v>
      </c>
      <c r="C256" s="2" t="str">
        <f>"12114286"</f>
        <v>12114286</v>
      </c>
      <c r="D256" s="2">
        <v>0.16300000000000001</v>
      </c>
      <c r="E256" s="2">
        <v>14</v>
      </c>
      <c r="F256" s="2" t="s">
        <v>208</v>
      </c>
    </row>
    <row r="257" spans="1:6" ht="25.5">
      <c r="A257" s="2">
        <v>254</v>
      </c>
      <c r="B257" s="2" t="s">
        <v>296</v>
      </c>
      <c r="C257" s="2" t="str">
        <f>"01259326"</f>
        <v>01259326</v>
      </c>
      <c r="D257" s="2">
        <v>0.189</v>
      </c>
      <c r="E257" s="2">
        <v>9</v>
      </c>
      <c r="F257" s="2" t="s">
        <v>297</v>
      </c>
    </row>
    <row r="258" spans="1:6" ht="25.5">
      <c r="A258" s="2">
        <v>255</v>
      </c>
      <c r="B258" s="2" t="s">
        <v>298</v>
      </c>
      <c r="C258" s="2" t="str">
        <f>"00446025"</f>
        <v>00446025</v>
      </c>
      <c r="D258" s="2">
        <v>0.159</v>
      </c>
      <c r="E258" s="2">
        <v>7</v>
      </c>
      <c r="F258" s="2" t="s">
        <v>299</v>
      </c>
    </row>
    <row r="259" spans="1:6" ht="25.5">
      <c r="A259" s="2">
        <v>256</v>
      </c>
      <c r="B259" s="2" t="s">
        <v>300</v>
      </c>
      <c r="C259" s="2" t="str">
        <f>"03936384"</f>
        <v>03936384</v>
      </c>
      <c r="D259" s="2">
        <v>0.14199999999999999</v>
      </c>
      <c r="E259" s="2">
        <v>3</v>
      </c>
      <c r="F259" s="2" t="s">
        <v>190</v>
      </c>
    </row>
    <row r="260" spans="1:6" ht="25.5">
      <c r="A260" s="2">
        <v>257</v>
      </c>
      <c r="B260" s="2" t="s">
        <v>301</v>
      </c>
      <c r="C260" s="2" t="str">
        <f>"00016055"</f>
        <v>00016055</v>
      </c>
      <c r="D260" s="2">
        <v>0.104</v>
      </c>
      <c r="E260" s="2">
        <v>3</v>
      </c>
      <c r="F260" s="2" t="s">
        <v>131</v>
      </c>
    </row>
    <row r="261" spans="1:6" ht="25.5">
      <c r="A261" s="2">
        <v>258</v>
      </c>
      <c r="B261" s="2" t="s">
        <v>302</v>
      </c>
      <c r="C261" s="2" t="str">
        <f>"0386300X"</f>
        <v>0386300X</v>
      </c>
      <c r="D261" s="2">
        <v>0.26300000000000001</v>
      </c>
      <c r="E261" s="2">
        <v>22</v>
      </c>
      <c r="F261" s="2" t="s">
        <v>131</v>
      </c>
    </row>
    <row r="262" spans="1:6" ht="25.5">
      <c r="A262" s="2">
        <v>259</v>
      </c>
      <c r="B262" s="2" t="s">
        <v>303</v>
      </c>
      <c r="C262" s="2" t="str">
        <f>"00016071"</f>
        <v>00016071</v>
      </c>
      <c r="D262" s="2">
        <v>0.1</v>
      </c>
      <c r="E262" s="2">
        <v>1</v>
      </c>
      <c r="F262" s="2" t="s">
        <v>304</v>
      </c>
    </row>
    <row r="263" spans="1:6" ht="25.5">
      <c r="A263" s="2">
        <v>260</v>
      </c>
      <c r="B263" s="2" t="s">
        <v>305</v>
      </c>
      <c r="C263" s="2" t="str">
        <f>"0870399X"</f>
        <v>0870399X</v>
      </c>
      <c r="D263" s="2">
        <v>0.11799999999999999</v>
      </c>
      <c r="E263" s="2">
        <v>11</v>
      </c>
      <c r="F263" s="2" t="s">
        <v>306</v>
      </c>
    </row>
    <row r="264" spans="1:6" ht="25.5">
      <c r="A264" s="2">
        <v>261</v>
      </c>
      <c r="B264" s="2" t="s">
        <v>307</v>
      </c>
      <c r="C264" s="2" t="str">
        <f>"18403956"</f>
        <v>18403956</v>
      </c>
      <c r="D264" s="2">
        <v>0.10199999999999999</v>
      </c>
      <c r="E264" s="2">
        <v>1</v>
      </c>
      <c r="F264" s="2" t="s">
        <v>271</v>
      </c>
    </row>
    <row r="265" spans="1:6" ht="25.5">
      <c r="A265" s="2">
        <v>262</v>
      </c>
      <c r="B265" s="2" t="s">
        <v>308</v>
      </c>
      <c r="C265" s="2" t="str">
        <f>"10067191"</f>
        <v>10067191</v>
      </c>
      <c r="D265" s="2">
        <v>0.30499999999999999</v>
      </c>
      <c r="E265" s="2">
        <v>13</v>
      </c>
      <c r="F265" s="2" t="s">
        <v>46</v>
      </c>
    </row>
    <row r="266" spans="1:6" ht="25.5">
      <c r="A266" s="2">
        <v>263</v>
      </c>
      <c r="B266" s="2" t="s">
        <v>309</v>
      </c>
      <c r="C266" s="2" t="str">
        <f>"13351532"</f>
        <v>13351532</v>
      </c>
      <c r="D266" s="2">
        <v>0.32500000000000001</v>
      </c>
      <c r="E266" s="2">
        <v>7</v>
      </c>
      <c r="F266" s="2" t="s">
        <v>241</v>
      </c>
    </row>
    <row r="267" spans="1:6" ht="25.5">
      <c r="A267" s="2">
        <v>264</v>
      </c>
      <c r="B267" s="2" t="s">
        <v>310</v>
      </c>
      <c r="C267" s="2" t="str">
        <f>"08940525"</f>
        <v>08940525</v>
      </c>
      <c r="D267" s="2">
        <v>0.26300000000000001</v>
      </c>
      <c r="E267" s="2">
        <v>10</v>
      </c>
      <c r="F267" s="2" t="s">
        <v>46</v>
      </c>
    </row>
    <row r="268" spans="1:6" ht="25.5">
      <c r="A268" s="2">
        <v>265</v>
      </c>
      <c r="B268" s="2" t="s">
        <v>311</v>
      </c>
      <c r="C268" s="2" t="str">
        <f>"15882640"</f>
        <v>15882640</v>
      </c>
      <c r="D268" s="2">
        <v>0.23499999999999999</v>
      </c>
      <c r="E268" s="2">
        <v>15</v>
      </c>
      <c r="F268" s="2" t="s">
        <v>135</v>
      </c>
    </row>
    <row r="269" spans="1:6" ht="25.5">
      <c r="A269" s="2">
        <v>266</v>
      </c>
      <c r="B269" s="2" t="s">
        <v>312</v>
      </c>
      <c r="C269" s="2" t="str">
        <f>"04389573"</f>
        <v>04389573</v>
      </c>
      <c r="D269" s="2">
        <v>0.1</v>
      </c>
      <c r="E269" s="2">
        <v>2</v>
      </c>
      <c r="F269" s="2" t="s">
        <v>313</v>
      </c>
    </row>
    <row r="270" spans="1:6" ht="25.5">
      <c r="A270" s="2">
        <v>267</v>
      </c>
      <c r="B270" s="2" t="s">
        <v>314</v>
      </c>
      <c r="C270" s="2" t="str">
        <f>"07984545"</f>
        <v>07984545</v>
      </c>
      <c r="D270" s="2">
        <v>0.13300000000000001</v>
      </c>
      <c r="E270" s="2">
        <v>3</v>
      </c>
      <c r="F270" s="2" t="s">
        <v>40</v>
      </c>
    </row>
    <row r="271" spans="1:6" ht="25.5">
      <c r="A271" s="2">
        <v>268</v>
      </c>
      <c r="B271" s="2" t="s">
        <v>315</v>
      </c>
      <c r="C271" s="2" t="str">
        <f>"13351788"</f>
        <v>13351788</v>
      </c>
      <c r="D271" s="2">
        <v>0.182</v>
      </c>
      <c r="E271" s="2">
        <v>6</v>
      </c>
      <c r="F271" s="2" t="s">
        <v>241</v>
      </c>
    </row>
    <row r="272" spans="1:6" ht="25.5">
      <c r="A272" s="2">
        <v>269</v>
      </c>
      <c r="B272" s="2" t="s">
        <v>316</v>
      </c>
      <c r="C272" s="2" t="str">
        <f>"00016233"</f>
        <v>00016233</v>
      </c>
      <c r="D272" s="2">
        <v>0.10100000000000001</v>
      </c>
      <c r="E272" s="2">
        <v>1</v>
      </c>
      <c r="F272" s="2" t="s">
        <v>12</v>
      </c>
    </row>
    <row r="273" spans="1:6" ht="25.5">
      <c r="A273" s="2">
        <v>270</v>
      </c>
      <c r="B273" s="2" t="s">
        <v>317</v>
      </c>
      <c r="C273" s="2" t="str">
        <f>"18046479"</f>
        <v>18046479</v>
      </c>
      <c r="D273" s="2">
        <v>0.13400000000000001</v>
      </c>
      <c r="E273" s="2">
        <v>1</v>
      </c>
      <c r="F273" s="2" t="s">
        <v>208</v>
      </c>
    </row>
    <row r="274" spans="1:6" ht="25.5">
      <c r="A274" s="2">
        <v>271</v>
      </c>
      <c r="B274" s="2" t="s">
        <v>318</v>
      </c>
      <c r="C274" s="2" t="str">
        <f>"00016241"</f>
        <v>00016241</v>
      </c>
      <c r="D274" s="2">
        <v>0.17699999999999999</v>
      </c>
      <c r="E274" s="2">
        <v>3</v>
      </c>
      <c r="F274" s="2" t="s">
        <v>31</v>
      </c>
    </row>
    <row r="275" spans="1:6" ht="25.5">
      <c r="A275" s="2">
        <v>272</v>
      </c>
      <c r="B275" s="2" t="s">
        <v>319</v>
      </c>
      <c r="C275" s="2" t="str">
        <f>"11282460"</f>
        <v>11282460</v>
      </c>
      <c r="D275" s="2">
        <v>0.499</v>
      </c>
      <c r="E275" s="2">
        <v>16</v>
      </c>
      <c r="F275" s="2" t="s">
        <v>190</v>
      </c>
    </row>
    <row r="276" spans="1:6" ht="25.5">
      <c r="A276" s="2">
        <v>273</v>
      </c>
      <c r="B276" s="2" t="s">
        <v>320</v>
      </c>
      <c r="C276" s="2" t="str">
        <f>"00651400"</f>
        <v>00651400</v>
      </c>
      <c r="D276" s="2">
        <v>0.61199999999999999</v>
      </c>
      <c r="E276" s="2">
        <v>32</v>
      </c>
      <c r="F276" s="2" t="s">
        <v>169</v>
      </c>
    </row>
    <row r="277" spans="1:6" ht="25.5">
      <c r="A277" s="2">
        <v>274</v>
      </c>
      <c r="B277" s="2" t="s">
        <v>321</v>
      </c>
      <c r="C277" s="2" t="str">
        <f>"09420940"</f>
        <v>09420940</v>
      </c>
      <c r="D277" s="2">
        <v>0.66300000000000003</v>
      </c>
      <c r="E277" s="2">
        <v>59</v>
      </c>
      <c r="F277" s="2" t="s">
        <v>288</v>
      </c>
    </row>
    <row r="278" spans="1:6" ht="25.5">
      <c r="A278" s="2">
        <v>275</v>
      </c>
      <c r="B278" s="2" t="s">
        <v>322</v>
      </c>
      <c r="C278" s="2" t="str">
        <f>"00651419"</f>
        <v>00651419</v>
      </c>
      <c r="D278" s="2">
        <v>0.32200000000000001</v>
      </c>
      <c r="E278" s="2">
        <v>45</v>
      </c>
      <c r="F278" s="2" t="s">
        <v>288</v>
      </c>
    </row>
    <row r="279" spans="1:6" ht="25.5">
      <c r="A279" s="2">
        <v>276</v>
      </c>
      <c r="B279" s="2" t="s">
        <v>323</v>
      </c>
      <c r="C279" s="2" t="str">
        <f>"03009009"</f>
        <v>03009009</v>
      </c>
      <c r="D279" s="2">
        <v>0.20499999999999999</v>
      </c>
      <c r="E279" s="2">
        <v>23</v>
      </c>
      <c r="F279" s="2" t="s">
        <v>161</v>
      </c>
    </row>
    <row r="280" spans="1:6" ht="25.5">
      <c r="A280" s="2">
        <v>277</v>
      </c>
      <c r="B280" s="2" t="s">
        <v>324</v>
      </c>
      <c r="C280" s="2" t="str">
        <f>"16000404"</f>
        <v>16000404</v>
      </c>
      <c r="D280" s="2">
        <v>0.73299999999999998</v>
      </c>
      <c r="E280" s="2">
        <v>63</v>
      </c>
      <c r="F280" s="2" t="s">
        <v>16</v>
      </c>
    </row>
    <row r="281" spans="1:6" ht="25.5">
      <c r="A281" s="2">
        <v>278</v>
      </c>
      <c r="B281" s="2" t="s">
        <v>325</v>
      </c>
      <c r="C281" s="2" t="str">
        <f>"16005449"</f>
        <v>16005449</v>
      </c>
      <c r="D281" s="2">
        <v>0.33500000000000002</v>
      </c>
      <c r="E281" s="2">
        <v>31</v>
      </c>
      <c r="F281" s="2" t="s">
        <v>16</v>
      </c>
    </row>
    <row r="282" spans="1:6" ht="25.5">
      <c r="A282" s="2">
        <v>279</v>
      </c>
      <c r="B282" s="2" t="s">
        <v>326</v>
      </c>
      <c r="C282" s="2" t="str">
        <f>"1028768X"</f>
        <v>1028768X</v>
      </c>
      <c r="D282" s="2">
        <v>0.216</v>
      </c>
      <c r="E282" s="2">
        <v>11</v>
      </c>
      <c r="F282" s="2" t="s">
        <v>165</v>
      </c>
    </row>
    <row r="283" spans="1:6" ht="25.5">
      <c r="A283" s="2">
        <v>280</v>
      </c>
      <c r="B283" s="2" t="s">
        <v>327</v>
      </c>
      <c r="C283" s="2" t="str">
        <f>"14320533"</f>
        <v>14320533</v>
      </c>
      <c r="D283" s="2">
        <v>3.7090000000000001</v>
      </c>
      <c r="E283" s="2">
        <v>88</v>
      </c>
      <c r="F283" s="2" t="s">
        <v>12</v>
      </c>
    </row>
    <row r="284" spans="1:6" ht="25.5">
      <c r="A284" s="2">
        <v>281</v>
      </c>
      <c r="B284" s="2" t="s">
        <v>328</v>
      </c>
      <c r="C284" s="2" t="str">
        <f>"16015215"</f>
        <v>16015215</v>
      </c>
      <c r="D284" s="2">
        <v>0.27700000000000002</v>
      </c>
      <c r="E284" s="2">
        <v>19</v>
      </c>
      <c r="F284" s="2" t="s">
        <v>16</v>
      </c>
    </row>
    <row r="285" spans="1:6" ht="25.5">
      <c r="A285" s="2">
        <v>282</v>
      </c>
      <c r="B285" s="2" t="s">
        <v>329</v>
      </c>
      <c r="C285" s="2" t="str">
        <f>"17307503"</f>
        <v>17307503</v>
      </c>
      <c r="D285" s="2">
        <v>0.19400000000000001</v>
      </c>
      <c r="E285" s="2">
        <v>6</v>
      </c>
      <c r="F285" s="2" t="s">
        <v>169</v>
      </c>
    </row>
    <row r="286" spans="1:6" ht="25.5">
      <c r="A286" s="2">
        <v>283</v>
      </c>
      <c r="B286" s="2" t="s">
        <v>330</v>
      </c>
      <c r="C286" s="2" t="str">
        <f>"14740508"</f>
        <v>14740508</v>
      </c>
      <c r="D286" s="2">
        <v>3.6269999999999998</v>
      </c>
      <c r="E286" s="2">
        <v>21</v>
      </c>
      <c r="F286" s="2" t="s">
        <v>16</v>
      </c>
    </row>
    <row r="287" spans="1:6" ht="25.5">
      <c r="A287" s="2">
        <v>284</v>
      </c>
      <c r="B287" s="2" t="s">
        <v>331</v>
      </c>
      <c r="C287" s="2" t="str">
        <f>"16000412"</f>
        <v>16000412</v>
      </c>
      <c r="D287" s="2">
        <v>0.76700000000000002</v>
      </c>
      <c r="E287" s="2">
        <v>65</v>
      </c>
      <c r="F287" s="2" t="s">
        <v>6</v>
      </c>
    </row>
    <row r="288" spans="1:6" ht="25.5">
      <c r="A288" s="2">
        <v>285</v>
      </c>
      <c r="B288" s="2" t="s">
        <v>332</v>
      </c>
      <c r="C288" s="2" t="str">
        <f>"0253505X"</f>
        <v>0253505X</v>
      </c>
      <c r="D288" s="2">
        <v>0.20399999999999999</v>
      </c>
      <c r="E288" s="2">
        <v>13</v>
      </c>
      <c r="F288" s="2" t="s">
        <v>12</v>
      </c>
    </row>
    <row r="289" spans="1:6" ht="25.5">
      <c r="A289" s="2">
        <v>286</v>
      </c>
      <c r="B289" s="2" t="s">
        <v>333</v>
      </c>
      <c r="C289" s="2" t="str">
        <f>"03264815"</f>
        <v>03264815</v>
      </c>
      <c r="D289" s="2">
        <v>0.14399999999999999</v>
      </c>
      <c r="E289" s="2">
        <v>7</v>
      </c>
      <c r="F289" s="2" t="s">
        <v>192</v>
      </c>
    </row>
    <row r="290" spans="1:6" ht="25.5">
      <c r="A290" s="2">
        <v>287</v>
      </c>
      <c r="B290" s="2" t="s">
        <v>334</v>
      </c>
      <c r="C290" s="2" t="str">
        <f>"15023850"</f>
        <v>15023850</v>
      </c>
      <c r="D290" s="2">
        <v>0.52200000000000002</v>
      </c>
      <c r="E290" s="2">
        <v>40</v>
      </c>
      <c r="F290" s="2" t="s">
        <v>16</v>
      </c>
    </row>
    <row r="291" spans="1:6" ht="25.5">
      <c r="A291" s="2">
        <v>288</v>
      </c>
      <c r="B291" s="2" t="s">
        <v>335</v>
      </c>
      <c r="C291" s="2" t="str">
        <f>"1146609X"</f>
        <v>1146609X</v>
      </c>
      <c r="D291" s="2">
        <v>0.755</v>
      </c>
      <c r="E291" s="2">
        <v>42</v>
      </c>
      <c r="F291" s="2" t="s">
        <v>75</v>
      </c>
    </row>
    <row r="292" spans="1:6" ht="25.5">
      <c r="A292" s="2">
        <v>289</v>
      </c>
      <c r="B292" s="2" t="s">
        <v>336</v>
      </c>
      <c r="C292" s="2" t="str">
        <f>"15882659"</f>
        <v>15882659</v>
      </c>
      <c r="D292" s="2">
        <v>0.14399999999999999</v>
      </c>
      <c r="E292" s="2">
        <v>6</v>
      </c>
      <c r="F292" s="2" t="s">
        <v>135</v>
      </c>
    </row>
    <row r="293" spans="1:6" ht="25.5">
      <c r="A293" s="2">
        <v>290</v>
      </c>
      <c r="B293" s="2" t="s">
        <v>337</v>
      </c>
      <c r="C293" s="2" t="str">
        <f>"1509409X"</f>
        <v>1509409X</v>
      </c>
      <c r="D293" s="2">
        <v>0.3</v>
      </c>
      <c r="E293" s="2">
        <v>6</v>
      </c>
      <c r="F293" s="2" t="s">
        <v>169</v>
      </c>
    </row>
    <row r="294" spans="1:6" ht="25.5">
      <c r="A294" s="2">
        <v>291</v>
      </c>
      <c r="B294" s="2" t="s">
        <v>338</v>
      </c>
      <c r="C294" s="2" t="str">
        <f>"1651226X"</f>
        <v>1651226X</v>
      </c>
      <c r="D294" s="2">
        <v>1.1759999999999999</v>
      </c>
      <c r="E294" s="2">
        <v>61</v>
      </c>
      <c r="F294" s="2" t="s">
        <v>16</v>
      </c>
    </row>
    <row r="295" spans="1:6" ht="25.5">
      <c r="A295" s="2">
        <v>292</v>
      </c>
      <c r="B295" s="2" t="s">
        <v>339</v>
      </c>
      <c r="C295" s="2" t="str">
        <f>"17553768"</f>
        <v>17553768</v>
      </c>
      <c r="D295" s="2">
        <v>1.222</v>
      </c>
      <c r="E295" s="2">
        <v>24</v>
      </c>
      <c r="F295" s="2" t="s">
        <v>16</v>
      </c>
    </row>
    <row r="296" spans="1:6" ht="25.5">
      <c r="A296" s="2">
        <v>293</v>
      </c>
      <c r="B296" s="2" t="s">
        <v>340</v>
      </c>
      <c r="C296" s="2" t="str">
        <f>"15882667"</f>
        <v>15882667</v>
      </c>
      <c r="D296" s="2">
        <v>0.1</v>
      </c>
      <c r="E296" s="2">
        <v>2</v>
      </c>
      <c r="F296" s="2" t="s">
        <v>135</v>
      </c>
    </row>
    <row r="297" spans="1:6" ht="25.5">
      <c r="A297" s="2">
        <v>294</v>
      </c>
      <c r="B297" s="2" t="s">
        <v>341</v>
      </c>
      <c r="C297" s="2" t="str">
        <f>"00016454"</f>
        <v>00016454</v>
      </c>
      <c r="D297" s="2">
        <v>0.621</v>
      </c>
      <c r="E297" s="2">
        <v>17</v>
      </c>
      <c r="F297" s="2" t="s">
        <v>169</v>
      </c>
    </row>
    <row r="298" spans="1:6" ht="25.5">
      <c r="A298" s="2">
        <v>295</v>
      </c>
      <c r="B298" s="2" t="s">
        <v>342</v>
      </c>
      <c r="C298" s="2" t="str">
        <f>"17453682"</f>
        <v>17453682</v>
      </c>
      <c r="D298" s="2">
        <v>1.5940000000000001</v>
      </c>
      <c r="E298" s="2">
        <v>66</v>
      </c>
      <c r="F298" s="2" t="s">
        <v>16</v>
      </c>
    </row>
    <row r="299" spans="1:6" ht="25.5">
      <c r="A299" s="2">
        <v>296</v>
      </c>
      <c r="B299" s="2" t="s">
        <v>343</v>
      </c>
      <c r="C299" s="2" t="str">
        <f>"00016462"</f>
        <v>00016462</v>
      </c>
      <c r="D299" s="2">
        <v>0.45100000000000001</v>
      </c>
      <c r="E299" s="2">
        <v>29</v>
      </c>
      <c r="F299" s="2" t="s">
        <v>161</v>
      </c>
    </row>
    <row r="300" spans="1:6" ht="25.5">
      <c r="A300" s="2">
        <v>297</v>
      </c>
      <c r="B300" s="2" t="s">
        <v>344</v>
      </c>
      <c r="C300" s="2" t="str">
        <f>"1017995X"</f>
        <v>1017995X</v>
      </c>
      <c r="D300" s="2">
        <v>0.312</v>
      </c>
      <c r="E300" s="2">
        <v>10</v>
      </c>
      <c r="F300" s="2" t="s">
        <v>345</v>
      </c>
    </row>
    <row r="301" spans="1:6" ht="25.5">
      <c r="A301" s="2">
        <v>298</v>
      </c>
      <c r="B301" s="2" t="s">
        <v>346</v>
      </c>
      <c r="C301" s="2" t="str">
        <f>"14137852"</f>
        <v>14137852</v>
      </c>
      <c r="D301" s="2">
        <v>0.14499999999999999</v>
      </c>
      <c r="E301" s="2">
        <v>8</v>
      </c>
      <c r="F301" s="2" t="s">
        <v>159</v>
      </c>
    </row>
    <row r="302" spans="1:6">
      <c r="A302" s="2">
        <v>299</v>
      </c>
      <c r="B302" s="2" t="s">
        <v>347</v>
      </c>
      <c r="C302" s="2" t="str">
        <f>"0"</f>
        <v>0</v>
      </c>
      <c r="D302" s="2">
        <v>0.113</v>
      </c>
      <c r="E302" s="2">
        <v>3</v>
      </c>
      <c r="F302" s="2" t="s">
        <v>200</v>
      </c>
    </row>
    <row r="303" spans="1:6" ht="25.5">
      <c r="A303" s="2">
        <v>300</v>
      </c>
      <c r="B303" s="2" t="s">
        <v>348</v>
      </c>
      <c r="C303" s="2" t="str">
        <f>"00016489"</f>
        <v>00016489</v>
      </c>
      <c r="D303" s="2">
        <v>0.69699999999999995</v>
      </c>
      <c r="E303" s="2">
        <v>53</v>
      </c>
      <c r="F303" s="2" t="s">
        <v>16</v>
      </c>
    </row>
    <row r="304" spans="1:6" ht="25.5">
      <c r="A304" s="2">
        <v>301</v>
      </c>
      <c r="B304" s="2" t="s">
        <v>349</v>
      </c>
      <c r="C304" s="2" t="str">
        <f>"0392100X"</f>
        <v>0392100X</v>
      </c>
      <c r="D304" s="2">
        <v>0.41699999999999998</v>
      </c>
      <c r="E304" s="2">
        <v>15</v>
      </c>
      <c r="F304" s="2" t="s">
        <v>190</v>
      </c>
    </row>
    <row r="305" spans="1:6" ht="25.5">
      <c r="A305" s="2">
        <v>302</v>
      </c>
      <c r="B305" s="2" t="s">
        <v>350</v>
      </c>
      <c r="C305" s="2" t="str">
        <f>"00016519"</f>
        <v>00016519</v>
      </c>
      <c r="D305" s="2">
        <v>0.24399999999999999</v>
      </c>
      <c r="E305" s="2">
        <v>12</v>
      </c>
      <c r="F305" s="2" t="s">
        <v>351</v>
      </c>
    </row>
    <row r="306" spans="1:6" ht="25.5">
      <c r="A306" s="2">
        <v>303</v>
      </c>
      <c r="B306" s="2" t="s">
        <v>352</v>
      </c>
      <c r="C306" s="2" t="str">
        <f>"16512227"</f>
        <v>16512227</v>
      </c>
      <c r="D306" s="2">
        <v>0.76500000000000001</v>
      </c>
      <c r="E306" s="2">
        <v>72</v>
      </c>
      <c r="F306" s="2" t="s">
        <v>16</v>
      </c>
    </row>
    <row r="307" spans="1:6" ht="25.5">
      <c r="A307" s="2">
        <v>304</v>
      </c>
      <c r="B307" s="2" t="s">
        <v>353</v>
      </c>
      <c r="C307" s="2" t="str">
        <f>"08035326"</f>
        <v>08035326</v>
      </c>
      <c r="D307" s="2">
        <v>0.113</v>
      </c>
      <c r="E307" s="2">
        <v>50</v>
      </c>
      <c r="F307" s="2" t="s">
        <v>16</v>
      </c>
    </row>
    <row r="308" spans="1:6" ht="25.5">
      <c r="A308" s="2">
        <v>305</v>
      </c>
      <c r="B308" s="2" t="s">
        <v>354</v>
      </c>
      <c r="C308" s="2" t="str">
        <f>"00016594"</f>
        <v>00016594</v>
      </c>
      <c r="D308" s="2">
        <v>0.22800000000000001</v>
      </c>
      <c r="E308" s="2">
        <v>10</v>
      </c>
      <c r="F308" s="2" t="s">
        <v>169</v>
      </c>
    </row>
    <row r="309" spans="1:6" ht="25.5">
      <c r="A309" s="2">
        <v>306</v>
      </c>
      <c r="B309" s="2" t="s">
        <v>355</v>
      </c>
      <c r="C309" s="2" t="str">
        <f>"05677920"</f>
        <v>05677920</v>
      </c>
      <c r="D309" s="2">
        <v>0.76200000000000001</v>
      </c>
      <c r="E309" s="2">
        <v>30</v>
      </c>
      <c r="F309" s="2" t="s">
        <v>169</v>
      </c>
    </row>
    <row r="310" spans="1:6" ht="25.5">
      <c r="A310" s="2">
        <v>307</v>
      </c>
      <c r="B310" s="2" t="s">
        <v>356</v>
      </c>
      <c r="C310" s="2" t="str">
        <f>"12302821"</f>
        <v>12302821</v>
      </c>
      <c r="D310" s="2">
        <v>0.45500000000000002</v>
      </c>
      <c r="E310" s="2">
        <v>21</v>
      </c>
      <c r="F310" s="2" t="s">
        <v>16</v>
      </c>
    </row>
    <row r="311" spans="1:6" ht="25.5">
      <c r="A311" s="2">
        <v>308</v>
      </c>
      <c r="B311" s="2" t="s">
        <v>357</v>
      </c>
      <c r="C311" s="2" t="str">
        <f>"16005503"</f>
        <v>16005503</v>
      </c>
      <c r="D311" s="2">
        <v>0.14099999999999999</v>
      </c>
      <c r="E311" s="2">
        <v>23</v>
      </c>
      <c r="F311" s="2" t="s">
        <v>16</v>
      </c>
    </row>
    <row r="312" spans="1:6" ht="25.5">
      <c r="A312" s="2">
        <v>309</v>
      </c>
      <c r="B312" s="2" t="s">
        <v>358</v>
      </c>
      <c r="C312" s="2" t="str">
        <f>"01032100"</f>
        <v>01032100</v>
      </c>
      <c r="D312" s="2">
        <v>0.35</v>
      </c>
      <c r="E312" s="2">
        <v>9</v>
      </c>
      <c r="F312" s="2" t="s">
        <v>159</v>
      </c>
    </row>
    <row r="313" spans="1:6" ht="25.5">
      <c r="A313" s="2">
        <v>310</v>
      </c>
      <c r="B313" s="2" t="s">
        <v>359</v>
      </c>
      <c r="C313" s="2" t="str">
        <f>"00016640"</f>
        <v>00016640</v>
      </c>
      <c r="D313" s="2">
        <v>0.13900000000000001</v>
      </c>
      <c r="E313" s="2">
        <v>6</v>
      </c>
      <c r="F313" s="2" t="s">
        <v>351</v>
      </c>
    </row>
    <row r="314" spans="1:6" ht="25.5">
      <c r="A314" s="2">
        <v>311</v>
      </c>
      <c r="B314" s="2" t="s">
        <v>360</v>
      </c>
      <c r="C314" s="2" t="str">
        <f>"14507188"</f>
        <v>14507188</v>
      </c>
      <c r="D314" s="2">
        <v>0.16700000000000001</v>
      </c>
      <c r="E314" s="2">
        <v>4</v>
      </c>
      <c r="F314" s="2" t="s">
        <v>212</v>
      </c>
    </row>
    <row r="315" spans="1:6" ht="25.5">
      <c r="A315" s="2">
        <v>312</v>
      </c>
      <c r="B315" s="2" t="s">
        <v>361</v>
      </c>
      <c r="C315" s="2" t="str">
        <f>"10000569"</f>
        <v>10000569</v>
      </c>
      <c r="D315" s="2">
        <v>0.74299999999999999</v>
      </c>
      <c r="E315" s="2">
        <v>44</v>
      </c>
      <c r="F315" s="2" t="s">
        <v>46</v>
      </c>
    </row>
    <row r="316" spans="1:6" ht="25.5">
      <c r="A316" s="2">
        <v>313</v>
      </c>
      <c r="B316" s="2" t="s">
        <v>362</v>
      </c>
      <c r="C316" s="2" t="str">
        <f>"13300075"</f>
        <v>13300075</v>
      </c>
      <c r="D316" s="2">
        <v>0.48099999999999998</v>
      </c>
      <c r="E316" s="2">
        <v>28</v>
      </c>
      <c r="F316" s="2" t="s">
        <v>149</v>
      </c>
    </row>
    <row r="317" spans="1:6" ht="25.5">
      <c r="A317" s="2">
        <v>314</v>
      </c>
      <c r="B317" s="2" t="s">
        <v>363</v>
      </c>
      <c r="C317" s="2" t="str">
        <f>"00016659"</f>
        <v>00016659</v>
      </c>
      <c r="D317" s="2">
        <v>0.13100000000000001</v>
      </c>
      <c r="E317" s="2">
        <v>9</v>
      </c>
      <c r="F317" s="2" t="s">
        <v>135</v>
      </c>
    </row>
    <row r="318" spans="1:6" ht="25.5">
      <c r="A318" s="2">
        <v>315</v>
      </c>
      <c r="B318" s="2" t="s">
        <v>364</v>
      </c>
      <c r="C318" s="2" t="str">
        <f>"13072080"</f>
        <v>13072080</v>
      </c>
      <c r="D318" s="2">
        <v>0.23</v>
      </c>
      <c r="E318" s="2">
        <v>9</v>
      </c>
      <c r="F318" s="2" t="s">
        <v>345</v>
      </c>
    </row>
    <row r="319" spans="1:6" ht="25.5">
      <c r="A319" s="2">
        <v>316</v>
      </c>
      <c r="B319" s="2" t="s">
        <v>365</v>
      </c>
      <c r="C319" s="2" t="str">
        <f>"17457254"</f>
        <v>17457254</v>
      </c>
      <c r="D319" s="2">
        <v>0.69699999999999995</v>
      </c>
      <c r="E319" s="2">
        <v>46</v>
      </c>
      <c r="F319" s="2" t="s">
        <v>16</v>
      </c>
    </row>
    <row r="320" spans="1:6" ht="25.5">
      <c r="A320" s="2">
        <v>317</v>
      </c>
      <c r="B320" s="2" t="s">
        <v>366</v>
      </c>
      <c r="C320" s="2" t="str">
        <f>"18256562"</f>
        <v>18256562</v>
      </c>
      <c r="D320" s="2">
        <v>0.10199999999999999</v>
      </c>
      <c r="E320" s="2">
        <v>0</v>
      </c>
      <c r="F320" s="2" t="s">
        <v>190</v>
      </c>
    </row>
    <row r="321" spans="1:6" ht="25.5">
      <c r="A321" s="2">
        <v>318</v>
      </c>
      <c r="B321" s="2" t="s">
        <v>367</v>
      </c>
      <c r="C321" s="2" t="str">
        <f>"05874246"</f>
        <v>05874246</v>
      </c>
      <c r="D321" s="2">
        <v>0.26100000000000001</v>
      </c>
      <c r="E321" s="2">
        <v>21</v>
      </c>
      <c r="F321" s="2" t="s">
        <v>169</v>
      </c>
    </row>
    <row r="322" spans="1:6" ht="25.5">
      <c r="A322" s="2">
        <v>319</v>
      </c>
      <c r="B322" s="2" t="s">
        <v>368</v>
      </c>
      <c r="C322" s="2" t="str">
        <f>"18992358"</f>
        <v>18992358</v>
      </c>
      <c r="D322" s="2">
        <v>0.29199999999999998</v>
      </c>
      <c r="E322" s="2">
        <v>7</v>
      </c>
      <c r="F322" s="2" t="s">
        <v>169</v>
      </c>
    </row>
    <row r="323" spans="1:6" ht="25.5">
      <c r="A323" s="2">
        <v>320</v>
      </c>
      <c r="B323" s="2" t="s">
        <v>369</v>
      </c>
      <c r="C323" s="2" t="str">
        <f>"05874254"</f>
        <v>05874254</v>
      </c>
      <c r="D323" s="2">
        <v>0.621</v>
      </c>
      <c r="E323" s="2">
        <v>40</v>
      </c>
      <c r="F323" s="2" t="s">
        <v>169</v>
      </c>
    </row>
    <row r="324" spans="1:6" ht="25.5">
      <c r="A324" s="2">
        <v>321</v>
      </c>
      <c r="B324" s="2" t="s">
        <v>370</v>
      </c>
      <c r="C324" s="2" t="str">
        <f>"03230465"</f>
        <v>03230465</v>
      </c>
      <c r="D324" s="2">
        <v>1.036</v>
      </c>
      <c r="E324" s="2">
        <v>20</v>
      </c>
      <c r="F324" s="2" t="s">
        <v>241</v>
      </c>
    </row>
    <row r="325" spans="1:6" ht="25.5">
      <c r="A325" s="2">
        <v>322</v>
      </c>
      <c r="B325" s="2" t="s">
        <v>371</v>
      </c>
      <c r="C325" s="2" t="str">
        <f>"18721508"</f>
        <v>18721508</v>
      </c>
      <c r="D325" s="2">
        <v>0.248</v>
      </c>
      <c r="E325" s="2">
        <v>19</v>
      </c>
      <c r="F325" s="2" t="s">
        <v>46</v>
      </c>
    </row>
    <row r="326" spans="1:6" ht="25.5">
      <c r="A326" s="2">
        <v>323</v>
      </c>
      <c r="B326" s="2" t="s">
        <v>372</v>
      </c>
      <c r="C326" s="2" t="str">
        <f>"01375881"</f>
        <v>01375881</v>
      </c>
      <c r="D326" s="2">
        <v>0.497</v>
      </c>
      <c r="E326" s="2">
        <v>24</v>
      </c>
      <c r="F326" s="2" t="s">
        <v>169</v>
      </c>
    </row>
    <row r="327" spans="1:6" ht="25.5">
      <c r="A327" s="2">
        <v>324</v>
      </c>
      <c r="B327" s="2" t="s">
        <v>373</v>
      </c>
      <c r="C327" s="2" t="str">
        <f>"17481716"</f>
        <v>17481716</v>
      </c>
      <c r="D327" s="2">
        <v>1.2549999999999999</v>
      </c>
      <c r="E327" s="2">
        <v>73</v>
      </c>
      <c r="F327" s="2" t="s">
        <v>16</v>
      </c>
    </row>
    <row r="328" spans="1:6" ht="25.5">
      <c r="A328" s="2">
        <v>325</v>
      </c>
      <c r="B328" s="2" t="s">
        <v>374</v>
      </c>
      <c r="C328" s="2" t="str">
        <f>"15882683"</f>
        <v>15882683</v>
      </c>
      <c r="D328" s="2">
        <v>0.26100000000000001</v>
      </c>
      <c r="E328" s="2">
        <v>15</v>
      </c>
      <c r="F328" s="2" t="s">
        <v>135</v>
      </c>
    </row>
    <row r="329" spans="1:6" ht="25.5">
      <c r="A329" s="2">
        <v>326</v>
      </c>
      <c r="B329" s="2" t="s">
        <v>375</v>
      </c>
      <c r="C329" s="2" t="str">
        <f>"03710874"</f>
        <v>03710874</v>
      </c>
      <c r="D329" s="2">
        <v>0.14699999999999999</v>
      </c>
      <c r="E329" s="2">
        <v>16</v>
      </c>
      <c r="F329" s="2" t="s">
        <v>46</v>
      </c>
    </row>
    <row r="330" spans="1:6" ht="25.5">
      <c r="A330" s="2">
        <v>327</v>
      </c>
      <c r="B330" s="2" t="s">
        <v>376</v>
      </c>
      <c r="C330" s="2" t="str">
        <f>"15882691"</f>
        <v>15882691</v>
      </c>
      <c r="D330" s="2">
        <v>0.219</v>
      </c>
      <c r="E330" s="2">
        <v>12</v>
      </c>
      <c r="F330" s="2" t="s">
        <v>135</v>
      </c>
    </row>
    <row r="331" spans="1:6" ht="25.5">
      <c r="A331" s="2">
        <v>328</v>
      </c>
      <c r="B331" s="2" t="s">
        <v>377</v>
      </c>
      <c r="C331" s="2" t="str">
        <f>"00016810"</f>
        <v>00016810</v>
      </c>
      <c r="D331" s="2">
        <v>0.40500000000000003</v>
      </c>
      <c r="E331" s="2">
        <v>12</v>
      </c>
      <c r="F331" s="2" t="s">
        <v>16</v>
      </c>
    </row>
    <row r="332" spans="1:6" ht="25.5">
      <c r="A332" s="2">
        <v>329</v>
      </c>
      <c r="B332" s="2" t="s">
        <v>378</v>
      </c>
      <c r="C332" s="2" t="str">
        <f>"00016829"</f>
        <v>00016829</v>
      </c>
      <c r="D332" s="2">
        <v>0.1</v>
      </c>
      <c r="E332" s="2">
        <v>1</v>
      </c>
      <c r="F332" s="2" t="s">
        <v>169</v>
      </c>
    </row>
    <row r="333" spans="1:6" ht="25.5">
      <c r="A333" s="2">
        <v>330</v>
      </c>
      <c r="B333" s="2" t="s">
        <v>379</v>
      </c>
      <c r="C333" s="2" t="str">
        <f>"00016837"</f>
        <v>00016837</v>
      </c>
      <c r="D333" s="2">
        <v>0.311</v>
      </c>
      <c r="E333" s="2">
        <v>21</v>
      </c>
      <c r="F333" s="2" t="s">
        <v>169</v>
      </c>
    </row>
    <row r="334" spans="1:6" ht="25.5">
      <c r="A334" s="2">
        <v>331</v>
      </c>
      <c r="B334" s="2" t="s">
        <v>380</v>
      </c>
      <c r="C334" s="2" t="str">
        <f>"10003304"</f>
        <v>10003304</v>
      </c>
      <c r="D334" s="2">
        <v>0.17599999999999999</v>
      </c>
      <c r="E334" s="2">
        <v>13</v>
      </c>
      <c r="F334" s="2" t="s">
        <v>46</v>
      </c>
    </row>
    <row r="335" spans="1:6" ht="25.5">
      <c r="A335" s="2">
        <v>332</v>
      </c>
      <c r="B335" s="2" t="s">
        <v>381</v>
      </c>
      <c r="C335" s="2" t="str">
        <f>"12102709"</f>
        <v>12102709</v>
      </c>
      <c r="D335" s="2">
        <v>0.19400000000000001</v>
      </c>
      <c r="E335" s="2">
        <v>2</v>
      </c>
      <c r="F335" s="2" t="s">
        <v>208</v>
      </c>
    </row>
    <row r="336" spans="1:6" ht="25.5">
      <c r="A336" s="2">
        <v>333</v>
      </c>
      <c r="B336" s="2" t="s">
        <v>382</v>
      </c>
      <c r="C336" s="2" t="str">
        <f>"17858860"</f>
        <v>17858860</v>
      </c>
      <c r="D336" s="2">
        <v>0.32</v>
      </c>
      <c r="E336" s="2">
        <v>10</v>
      </c>
      <c r="F336" s="2" t="s">
        <v>135</v>
      </c>
    </row>
    <row r="337" spans="1:6" ht="25.5">
      <c r="A337" s="2">
        <v>334</v>
      </c>
      <c r="B337" s="2" t="s">
        <v>383</v>
      </c>
      <c r="C337" s="2" t="str">
        <f>"16890027"</f>
        <v>16890027</v>
      </c>
      <c r="D337" s="2">
        <v>0.25800000000000001</v>
      </c>
      <c r="E337" s="2">
        <v>25</v>
      </c>
      <c r="F337" s="2" t="s">
        <v>169</v>
      </c>
    </row>
    <row r="338" spans="1:6" ht="25.5">
      <c r="A338" s="2">
        <v>335</v>
      </c>
      <c r="B338" s="2" t="s">
        <v>384</v>
      </c>
      <c r="C338" s="2" t="str">
        <f>"16000447"</f>
        <v>16000447</v>
      </c>
      <c r="D338" s="2">
        <v>2.0739999999999998</v>
      </c>
      <c r="E338" s="2">
        <v>94</v>
      </c>
      <c r="F338" s="2" t="s">
        <v>16</v>
      </c>
    </row>
    <row r="339" spans="1:6" ht="25.5">
      <c r="A339" s="2">
        <v>336</v>
      </c>
      <c r="B339" s="2" t="s">
        <v>385</v>
      </c>
      <c r="C339" s="2" t="str">
        <f>"16005473"</f>
        <v>16005473</v>
      </c>
      <c r="D339" s="2">
        <v>0.65600000000000003</v>
      </c>
      <c r="E339" s="2">
        <v>46</v>
      </c>
      <c r="F339" s="2" t="s">
        <v>16</v>
      </c>
    </row>
    <row r="340" spans="1:6" ht="25.5">
      <c r="A340" s="2">
        <v>337</v>
      </c>
      <c r="B340" s="2" t="s">
        <v>386</v>
      </c>
      <c r="C340" s="2" t="str">
        <f>"00016918"</f>
        <v>00016918</v>
      </c>
      <c r="D340" s="2">
        <v>1.21</v>
      </c>
      <c r="E340" s="2">
        <v>53</v>
      </c>
      <c r="F340" s="2" t="s">
        <v>75</v>
      </c>
    </row>
    <row r="341" spans="1:6" ht="25.5">
      <c r="A341" s="2">
        <v>338</v>
      </c>
      <c r="B341" s="2" t="s">
        <v>387</v>
      </c>
      <c r="C341" s="2" t="str">
        <f>"16000455"</f>
        <v>16000455</v>
      </c>
      <c r="D341" s="2">
        <v>0.59099999999999997</v>
      </c>
      <c r="E341" s="2">
        <v>47</v>
      </c>
      <c r="F341" s="2" t="s">
        <v>16</v>
      </c>
    </row>
    <row r="342" spans="1:6" ht="25.5">
      <c r="A342" s="2">
        <v>339</v>
      </c>
      <c r="B342" s="2" t="s">
        <v>388</v>
      </c>
      <c r="C342" s="2" t="str">
        <f>"0303464X"</f>
        <v>0303464X</v>
      </c>
      <c r="D342" s="2">
        <v>0.20499999999999999</v>
      </c>
      <c r="E342" s="2">
        <v>10</v>
      </c>
      <c r="F342" s="2" t="s">
        <v>306</v>
      </c>
    </row>
    <row r="343" spans="1:6" ht="25.5">
      <c r="A343" s="2">
        <v>340</v>
      </c>
      <c r="B343" s="2" t="s">
        <v>389</v>
      </c>
      <c r="C343" s="2" t="str">
        <f>"16799216"</f>
        <v>16799216</v>
      </c>
      <c r="D343" s="2">
        <v>0.13100000000000001</v>
      </c>
      <c r="E343" s="2">
        <v>3</v>
      </c>
      <c r="F343" s="2" t="s">
        <v>159</v>
      </c>
    </row>
    <row r="344" spans="1:6" ht="25.5">
      <c r="A344" s="2">
        <v>341</v>
      </c>
      <c r="B344" s="2" t="s">
        <v>390</v>
      </c>
      <c r="C344" s="2" t="str">
        <f>"16799275"</f>
        <v>16799275</v>
      </c>
      <c r="D344" s="2">
        <v>0.50800000000000001</v>
      </c>
      <c r="E344" s="2">
        <v>10</v>
      </c>
      <c r="F344" s="2" t="s">
        <v>159</v>
      </c>
    </row>
    <row r="345" spans="1:6" ht="25.5">
      <c r="A345" s="2">
        <v>342</v>
      </c>
      <c r="B345" s="2" t="s">
        <v>391</v>
      </c>
      <c r="C345" s="2" t="str">
        <f>"18062636"</f>
        <v>18062636</v>
      </c>
      <c r="D345" s="2">
        <v>0.32100000000000001</v>
      </c>
      <c r="E345" s="2">
        <v>4</v>
      </c>
      <c r="F345" s="2" t="s">
        <v>159</v>
      </c>
    </row>
    <row r="346" spans="1:6" ht="25.5">
      <c r="A346" s="2">
        <v>343</v>
      </c>
      <c r="B346" s="2" t="s">
        <v>392</v>
      </c>
      <c r="C346" s="2" t="str">
        <f>"16799283"</f>
        <v>16799283</v>
      </c>
      <c r="D346" s="2">
        <v>0.27200000000000002</v>
      </c>
      <c r="E346" s="2">
        <v>11</v>
      </c>
      <c r="F346" s="2" t="s">
        <v>159</v>
      </c>
    </row>
    <row r="347" spans="1:6" ht="25.5">
      <c r="A347" s="2">
        <v>344</v>
      </c>
      <c r="B347" s="2" t="s">
        <v>393</v>
      </c>
      <c r="C347" s="2" t="str">
        <f>"16799291"</f>
        <v>16799291</v>
      </c>
      <c r="D347" s="2">
        <v>0.11799999999999999</v>
      </c>
      <c r="E347" s="2">
        <v>6</v>
      </c>
      <c r="F347" s="2" t="s">
        <v>159</v>
      </c>
    </row>
    <row r="348" spans="1:6" ht="25.5">
      <c r="A348" s="2">
        <v>345</v>
      </c>
      <c r="B348" s="2" t="s">
        <v>394</v>
      </c>
      <c r="C348" s="2" t="str">
        <f>"19834683"</f>
        <v>19834683</v>
      </c>
      <c r="D348" s="2">
        <v>0.104</v>
      </c>
      <c r="E348" s="2">
        <v>1</v>
      </c>
      <c r="F348" s="2" t="s">
        <v>159</v>
      </c>
    </row>
    <row r="349" spans="1:6" ht="25.5">
      <c r="A349" s="2">
        <v>346</v>
      </c>
      <c r="B349" s="2" t="s">
        <v>395</v>
      </c>
      <c r="C349" s="2" t="str">
        <f>"00016969"</f>
        <v>00016969</v>
      </c>
      <c r="D349" s="2">
        <v>0.23599999999999999</v>
      </c>
      <c r="E349" s="2">
        <v>4</v>
      </c>
      <c r="F349" s="2" t="s">
        <v>135</v>
      </c>
    </row>
    <row r="350" spans="1:6" ht="25.5">
      <c r="A350" s="2">
        <v>347</v>
      </c>
      <c r="B350" s="2" t="s">
        <v>396</v>
      </c>
      <c r="C350" s="2" t="str">
        <f>"16440692"</f>
        <v>16440692</v>
      </c>
      <c r="D350" s="2">
        <v>0.313</v>
      </c>
      <c r="E350" s="2">
        <v>7</v>
      </c>
      <c r="F350" s="2" t="s">
        <v>169</v>
      </c>
    </row>
    <row r="351" spans="1:6" ht="25.5">
      <c r="A351" s="2">
        <v>348</v>
      </c>
      <c r="B351" s="2" t="s">
        <v>397</v>
      </c>
      <c r="C351" s="2" t="str">
        <f>"16440730"</f>
        <v>16440730</v>
      </c>
      <c r="D351" s="2">
        <v>0.36</v>
      </c>
      <c r="E351" s="2">
        <v>5</v>
      </c>
      <c r="F351" s="2" t="s">
        <v>169</v>
      </c>
    </row>
    <row r="352" spans="1:6" ht="25.5">
      <c r="A352" s="2">
        <v>349</v>
      </c>
      <c r="B352" s="2" t="s">
        <v>398</v>
      </c>
      <c r="C352" s="2" t="str">
        <f>"18078664"</f>
        <v>18078664</v>
      </c>
      <c r="D352" s="2">
        <v>0.23400000000000001</v>
      </c>
      <c r="E352" s="2">
        <v>4</v>
      </c>
      <c r="F352" s="2" t="s">
        <v>159</v>
      </c>
    </row>
    <row r="353" spans="1:6" ht="25.5">
      <c r="A353" s="2">
        <v>350</v>
      </c>
      <c r="B353" s="2" t="s">
        <v>399</v>
      </c>
      <c r="C353" s="2" t="str">
        <f>"15782190"</f>
        <v>15782190</v>
      </c>
      <c r="D353" s="2">
        <v>0.34699999999999998</v>
      </c>
      <c r="E353" s="2">
        <v>15</v>
      </c>
      <c r="F353" s="2" t="s">
        <v>351</v>
      </c>
    </row>
    <row r="354" spans="1:6" ht="25.5">
      <c r="A354" s="2">
        <v>351</v>
      </c>
      <c r="B354" s="2" t="s">
        <v>400</v>
      </c>
      <c r="C354" s="2" t="str">
        <f>"02533782"</f>
        <v>02533782</v>
      </c>
      <c r="D354" s="2">
        <v>0.185</v>
      </c>
      <c r="E354" s="2">
        <v>11</v>
      </c>
      <c r="F354" s="2" t="s">
        <v>46</v>
      </c>
    </row>
    <row r="355" spans="1:6" ht="25.5">
      <c r="A355" s="2">
        <v>352</v>
      </c>
      <c r="B355" s="2" t="s">
        <v>401</v>
      </c>
      <c r="C355" s="2" t="str">
        <f>"15782735"</f>
        <v>15782735</v>
      </c>
      <c r="D355" s="2">
        <v>0.251</v>
      </c>
      <c r="E355" s="2">
        <v>17</v>
      </c>
      <c r="F355" s="2" t="s">
        <v>351</v>
      </c>
    </row>
    <row r="356" spans="1:6" ht="25.5">
      <c r="A356" s="2">
        <v>353</v>
      </c>
      <c r="B356" s="2" t="s">
        <v>402</v>
      </c>
      <c r="C356" s="2" t="str">
        <f>"1787064X"</f>
        <v>1787064X</v>
      </c>
      <c r="D356" s="2">
        <v>0.20899999999999999</v>
      </c>
      <c r="E356" s="2">
        <v>3</v>
      </c>
      <c r="F356" s="2" t="s">
        <v>135</v>
      </c>
    </row>
    <row r="357" spans="1:6" ht="25.5">
      <c r="A357" s="2">
        <v>354</v>
      </c>
      <c r="B357" s="2" t="s">
        <v>403</v>
      </c>
      <c r="C357" s="2" t="str">
        <f>"00016977"</f>
        <v>00016977</v>
      </c>
      <c r="D357" s="2">
        <v>0.19400000000000001</v>
      </c>
      <c r="E357" s="2">
        <v>14</v>
      </c>
      <c r="F357" s="2" t="s">
        <v>169</v>
      </c>
    </row>
    <row r="358" spans="1:6" ht="25.5">
      <c r="A358" s="2">
        <v>355</v>
      </c>
      <c r="B358" s="2" t="s">
        <v>404</v>
      </c>
      <c r="C358" s="2" t="str">
        <f>"15023869"</f>
        <v>15023869</v>
      </c>
      <c r="D358" s="2">
        <v>0.36499999999999999</v>
      </c>
      <c r="E358" s="2">
        <v>24</v>
      </c>
      <c r="F358" s="2" t="s">
        <v>16</v>
      </c>
    </row>
    <row r="359" spans="1:6" ht="25.5">
      <c r="A359" s="2">
        <v>356</v>
      </c>
      <c r="B359" s="2" t="s">
        <v>405</v>
      </c>
      <c r="C359" s="2" t="str">
        <f>"00017019"</f>
        <v>00017019</v>
      </c>
      <c r="D359" s="2">
        <v>0.11899999999999999</v>
      </c>
      <c r="E359" s="2">
        <v>2</v>
      </c>
      <c r="F359" s="2" t="s">
        <v>149</v>
      </c>
    </row>
    <row r="360" spans="1:6" ht="25.5">
      <c r="A360" s="2">
        <v>357</v>
      </c>
      <c r="B360" s="2" t="s">
        <v>406</v>
      </c>
      <c r="C360" s="2" t="str">
        <f>"18201202"</f>
        <v>18201202</v>
      </c>
      <c r="D360" s="2">
        <v>0.125</v>
      </c>
      <c r="E360" s="2">
        <v>1</v>
      </c>
      <c r="F360" s="2" t="s">
        <v>212</v>
      </c>
    </row>
    <row r="361" spans="1:6" ht="25.5">
      <c r="A361" s="2">
        <v>358</v>
      </c>
      <c r="B361" s="2" t="s">
        <v>407</v>
      </c>
      <c r="C361" s="2" t="str">
        <f>"02104806"</f>
        <v>02104806</v>
      </c>
      <c r="D361" s="2">
        <v>0.30499999999999999</v>
      </c>
      <c r="E361" s="2">
        <v>14</v>
      </c>
      <c r="F361" s="2" t="s">
        <v>16</v>
      </c>
    </row>
    <row r="362" spans="1:6" ht="25.5">
      <c r="A362" s="2">
        <v>359</v>
      </c>
      <c r="B362" s="2" t="s">
        <v>408</v>
      </c>
      <c r="C362" s="2" t="str">
        <f>"00017043"</f>
        <v>00017043</v>
      </c>
      <c r="D362" s="2">
        <v>0.113</v>
      </c>
      <c r="E362" s="2">
        <v>7</v>
      </c>
      <c r="F362" s="2" t="s">
        <v>208</v>
      </c>
    </row>
    <row r="363" spans="1:6" ht="25.5">
      <c r="A363" s="2">
        <v>360</v>
      </c>
      <c r="B363" s="2" t="s">
        <v>409</v>
      </c>
      <c r="C363" s="2" t="str">
        <f>"10158758"</f>
        <v>10158758</v>
      </c>
      <c r="D363" s="2">
        <v>0.16200000000000001</v>
      </c>
      <c r="E363" s="2">
        <v>2</v>
      </c>
      <c r="F363" s="2" t="s">
        <v>410</v>
      </c>
    </row>
    <row r="364" spans="1:6" ht="25.5">
      <c r="A364" s="2">
        <v>361</v>
      </c>
      <c r="B364" s="2" t="s">
        <v>411</v>
      </c>
      <c r="C364" s="2" t="str">
        <f>"00017051"</f>
        <v>00017051</v>
      </c>
      <c r="D364" s="2">
        <v>0.38600000000000001</v>
      </c>
      <c r="E364" s="2">
        <v>28</v>
      </c>
      <c r="F364" s="2" t="s">
        <v>12</v>
      </c>
    </row>
    <row r="365" spans="1:6" ht="25.5">
      <c r="A365" s="2">
        <v>362</v>
      </c>
      <c r="B365" s="2" t="s">
        <v>412</v>
      </c>
      <c r="C365" s="2" t="str">
        <f>"10001050"</f>
        <v>10001050</v>
      </c>
      <c r="D365" s="2">
        <v>0.2</v>
      </c>
      <c r="E365" s="2">
        <v>14</v>
      </c>
      <c r="F365" s="2" t="s">
        <v>46</v>
      </c>
    </row>
    <row r="366" spans="1:6" ht="25.5">
      <c r="A366" s="2">
        <v>363</v>
      </c>
      <c r="B366" s="2" t="s">
        <v>413</v>
      </c>
      <c r="C366" s="2" t="str">
        <f>"0001706X"</f>
        <v>0001706X</v>
      </c>
      <c r="D366" s="2">
        <v>0.86199999999999999</v>
      </c>
      <c r="E366" s="2">
        <v>62</v>
      </c>
      <c r="F366" s="2" t="s">
        <v>75</v>
      </c>
    </row>
    <row r="367" spans="1:6" ht="25.5">
      <c r="A367" s="2">
        <v>364</v>
      </c>
      <c r="B367" s="2" t="s">
        <v>414</v>
      </c>
      <c r="C367" s="2" t="str">
        <f>"12118516"</f>
        <v>12118516</v>
      </c>
      <c r="D367" s="2">
        <v>0.19800000000000001</v>
      </c>
      <c r="E367" s="2">
        <v>5</v>
      </c>
      <c r="F367" s="2" t="s">
        <v>208</v>
      </c>
    </row>
    <row r="368" spans="1:6" ht="25.5">
      <c r="A368" s="2">
        <v>365</v>
      </c>
      <c r="B368" s="2" t="s">
        <v>415</v>
      </c>
      <c r="C368" s="2" t="str">
        <f>"03005402"</f>
        <v>03005402</v>
      </c>
      <c r="D368" s="2">
        <v>0.115</v>
      </c>
      <c r="E368" s="2">
        <v>7</v>
      </c>
      <c r="F368" s="2" t="s">
        <v>208</v>
      </c>
    </row>
    <row r="369" spans="1:6" ht="25.5">
      <c r="A369" s="2">
        <v>366</v>
      </c>
      <c r="B369" s="2" t="s">
        <v>416</v>
      </c>
      <c r="C369" s="2" t="str">
        <f>"00181994"</f>
        <v>00181994</v>
      </c>
      <c r="D369" s="2">
        <v>0.121</v>
      </c>
      <c r="E369" s="2">
        <v>9</v>
      </c>
      <c r="F369" s="2" t="s">
        <v>131</v>
      </c>
    </row>
    <row r="370" spans="1:6" ht="25.5">
      <c r="A370" s="2">
        <v>367</v>
      </c>
      <c r="B370" s="2" t="s">
        <v>417</v>
      </c>
      <c r="C370" s="2" t="str">
        <f>"05678315"</f>
        <v>05678315</v>
      </c>
      <c r="D370" s="2">
        <v>0.193</v>
      </c>
      <c r="E370" s="2">
        <v>9</v>
      </c>
      <c r="F370" s="2" t="s">
        <v>212</v>
      </c>
    </row>
    <row r="371" spans="1:6" ht="25.5">
      <c r="A371" s="2">
        <v>368</v>
      </c>
      <c r="B371" s="2" t="s">
        <v>418</v>
      </c>
      <c r="C371" s="2" t="str">
        <f>"19815484"</f>
        <v>19815484</v>
      </c>
      <c r="D371" s="2">
        <v>0.111</v>
      </c>
      <c r="E371" s="2">
        <v>1</v>
      </c>
      <c r="F371" s="2" t="s">
        <v>159</v>
      </c>
    </row>
    <row r="372" spans="1:6" ht="25.5">
      <c r="A372" s="2">
        <v>369</v>
      </c>
      <c r="B372" s="2" t="s">
        <v>419</v>
      </c>
      <c r="C372" s="2" t="str">
        <f>"00017213"</f>
        <v>00017213</v>
      </c>
      <c r="D372" s="2">
        <v>0.29799999999999999</v>
      </c>
      <c r="E372" s="2">
        <v>23</v>
      </c>
      <c r="F372" s="2" t="s">
        <v>208</v>
      </c>
    </row>
    <row r="373" spans="1:6" ht="25.5">
      <c r="A373" s="2">
        <v>370</v>
      </c>
      <c r="B373" s="2" t="s">
        <v>420</v>
      </c>
      <c r="C373" s="2" t="str">
        <f>"02366290"</f>
        <v>02366290</v>
      </c>
      <c r="D373" s="2">
        <v>0.38500000000000001</v>
      </c>
      <c r="E373" s="2">
        <v>21</v>
      </c>
      <c r="F373" s="2" t="s">
        <v>135</v>
      </c>
    </row>
    <row r="374" spans="1:6" ht="25.5">
      <c r="A374" s="2">
        <v>371</v>
      </c>
      <c r="B374" s="2" t="s">
        <v>421</v>
      </c>
      <c r="C374" s="2" t="str">
        <f>"0044605X"</f>
        <v>0044605X</v>
      </c>
      <c r="D374" s="2">
        <v>0.495</v>
      </c>
      <c r="E374" s="2">
        <v>28</v>
      </c>
      <c r="F374" s="2" t="s">
        <v>16</v>
      </c>
    </row>
    <row r="375" spans="1:6" ht="25.5">
      <c r="A375" s="2">
        <v>372</v>
      </c>
      <c r="B375" s="2" t="s">
        <v>422</v>
      </c>
      <c r="C375" s="2" t="str">
        <f>"0001723X"</f>
        <v>0001723X</v>
      </c>
      <c r="D375" s="2">
        <v>0.311</v>
      </c>
      <c r="E375" s="2">
        <v>22</v>
      </c>
      <c r="F375" s="2" t="s">
        <v>241</v>
      </c>
    </row>
    <row r="376" spans="1:6" ht="25.5">
      <c r="A376" s="2">
        <v>373</v>
      </c>
      <c r="B376" s="2" t="s">
        <v>423</v>
      </c>
      <c r="C376" s="2" t="str">
        <f>"14636395"</f>
        <v>14636395</v>
      </c>
      <c r="D376" s="2">
        <v>0.57299999999999995</v>
      </c>
      <c r="E376" s="2">
        <v>23</v>
      </c>
      <c r="F376" s="2" t="s">
        <v>16</v>
      </c>
    </row>
    <row r="377" spans="1:6" ht="25.5">
      <c r="A377" s="2">
        <v>374</v>
      </c>
      <c r="B377" s="2" t="s">
        <v>424</v>
      </c>
      <c r="C377" s="2" t="str">
        <f>"12178837"</f>
        <v>12178837</v>
      </c>
      <c r="D377" s="2">
        <v>0.30299999999999999</v>
      </c>
      <c r="E377" s="2">
        <v>15</v>
      </c>
      <c r="F377" s="2" t="s">
        <v>135</v>
      </c>
    </row>
    <row r="378" spans="1:6" ht="25.5">
      <c r="A378" s="2">
        <v>375</v>
      </c>
      <c r="B378" s="2" t="s">
        <v>425</v>
      </c>
      <c r="C378" s="2" t="str">
        <f>"13921657"</f>
        <v>13921657</v>
      </c>
      <c r="D378" s="2">
        <v>0.115</v>
      </c>
      <c r="E378" s="2">
        <v>6</v>
      </c>
      <c r="F378" s="2" t="s">
        <v>426</v>
      </c>
    </row>
    <row r="379" spans="1:6" ht="25.5">
      <c r="A379" s="2">
        <v>376</v>
      </c>
      <c r="B379" s="2" t="s">
        <v>427</v>
      </c>
      <c r="C379" s="2" t="str">
        <f>"03355322"</f>
        <v>03355322</v>
      </c>
      <c r="D379" s="2">
        <v>0.25800000000000001</v>
      </c>
      <c r="E379" s="2">
        <v>5</v>
      </c>
      <c r="F379" s="2" t="s">
        <v>66</v>
      </c>
    </row>
    <row r="380" spans="1:6" ht="25.5">
      <c r="A380" s="2">
        <v>377</v>
      </c>
      <c r="B380" s="2" t="s">
        <v>428</v>
      </c>
      <c r="C380" s="2" t="str">
        <f>"14767503"</f>
        <v>14767503</v>
      </c>
      <c r="D380" s="2">
        <v>0.39400000000000002</v>
      </c>
      <c r="E380" s="2">
        <v>7</v>
      </c>
      <c r="F380" s="2" t="s">
        <v>16</v>
      </c>
    </row>
    <row r="381" spans="1:6" ht="25.5">
      <c r="A381" s="2">
        <v>378</v>
      </c>
      <c r="B381" s="2" t="s">
        <v>429</v>
      </c>
      <c r="C381" s="2" t="str">
        <f>"15635031"</f>
        <v>15635031</v>
      </c>
      <c r="D381" s="2">
        <v>0.151</v>
      </c>
      <c r="E381" s="2">
        <v>12</v>
      </c>
      <c r="F381" s="2" t="s">
        <v>6</v>
      </c>
    </row>
    <row r="382" spans="1:6" ht="25.5">
      <c r="A382" s="2">
        <v>379</v>
      </c>
      <c r="B382" s="2" t="s">
        <v>430</v>
      </c>
      <c r="C382" s="2" t="str">
        <f>"17412625"</f>
        <v>17412625</v>
      </c>
      <c r="D382" s="2">
        <v>0.84699999999999998</v>
      </c>
      <c r="E382" s="2">
        <v>12</v>
      </c>
      <c r="F382" s="2" t="s">
        <v>16</v>
      </c>
    </row>
    <row r="383" spans="1:6" ht="25.5">
      <c r="A383" s="2">
        <v>380</v>
      </c>
      <c r="B383" s="2" t="s">
        <v>431</v>
      </c>
      <c r="C383" s="2" t="str">
        <f>"18029698"</f>
        <v>18029698</v>
      </c>
      <c r="D383" s="2">
        <v>0.154</v>
      </c>
      <c r="E383" s="2">
        <v>9</v>
      </c>
      <c r="F383" s="2" t="s">
        <v>208</v>
      </c>
    </row>
    <row r="384" spans="1:6" ht="25.5">
      <c r="A384" s="2">
        <v>381</v>
      </c>
      <c r="B384" s="2" t="s">
        <v>432</v>
      </c>
      <c r="C384" s="2" t="str">
        <f>"01924788"</f>
        <v>01924788</v>
      </c>
      <c r="D384" s="2">
        <v>0.217</v>
      </c>
      <c r="E384" s="2">
        <v>5</v>
      </c>
      <c r="F384" s="2" t="s">
        <v>6</v>
      </c>
    </row>
    <row r="385" spans="1:6" ht="25.5">
      <c r="A385" s="2">
        <v>382</v>
      </c>
      <c r="B385" s="2" t="s">
        <v>433</v>
      </c>
      <c r="C385" s="2" t="str">
        <f>"01519093"</f>
        <v>01519093</v>
      </c>
      <c r="D385" s="2">
        <v>0.121</v>
      </c>
      <c r="E385" s="2">
        <v>7</v>
      </c>
      <c r="F385" s="2" t="s">
        <v>66</v>
      </c>
    </row>
    <row r="386" spans="1:6" ht="25.5">
      <c r="A386" s="2">
        <v>383</v>
      </c>
      <c r="B386" s="2" t="s">
        <v>434</v>
      </c>
      <c r="C386" s="2" t="str">
        <f>"05153700"</f>
        <v>05153700</v>
      </c>
      <c r="D386" s="2">
        <v>0.13900000000000001</v>
      </c>
      <c r="E386" s="2">
        <v>3</v>
      </c>
      <c r="F386" s="2" t="s">
        <v>75</v>
      </c>
    </row>
    <row r="387" spans="1:6" ht="25.5">
      <c r="A387" s="2">
        <v>384</v>
      </c>
      <c r="B387" s="2" t="s">
        <v>435</v>
      </c>
      <c r="C387" s="2" t="str">
        <f>"17697344"</f>
        <v>17697344</v>
      </c>
      <c r="D387" s="2">
        <v>0.1</v>
      </c>
      <c r="E387" s="2">
        <v>2</v>
      </c>
      <c r="F387" s="2" t="s">
        <v>190</v>
      </c>
    </row>
    <row r="388" spans="1:6" ht="25.5">
      <c r="A388" s="2">
        <v>385</v>
      </c>
      <c r="B388" s="2" t="s">
        <v>436</v>
      </c>
      <c r="C388" s="2" t="str">
        <f>"16698983"</f>
        <v>16698983</v>
      </c>
      <c r="D388" s="2">
        <v>0.10100000000000001</v>
      </c>
      <c r="E388" s="2">
        <v>2</v>
      </c>
      <c r="F388" s="2" t="s">
        <v>192</v>
      </c>
    </row>
    <row r="389" spans="1:6" ht="25.5">
      <c r="A389" s="2">
        <v>386</v>
      </c>
      <c r="B389" s="2" t="s">
        <v>437</v>
      </c>
      <c r="C389" s="2" t="str">
        <f>"19936788"</f>
        <v>19936788</v>
      </c>
      <c r="D389" s="2">
        <v>0.187</v>
      </c>
      <c r="E389" s="2">
        <v>2</v>
      </c>
      <c r="F389" s="2" t="s">
        <v>438</v>
      </c>
    </row>
    <row r="390" spans="1:6" ht="25.5">
      <c r="A390" s="2">
        <v>387</v>
      </c>
      <c r="B390" s="2" t="s">
        <v>439</v>
      </c>
      <c r="C390" s="2" t="str">
        <f>"09944524"</f>
        <v>09944524</v>
      </c>
      <c r="D390" s="2">
        <v>0.105</v>
      </c>
      <c r="E390" s="2">
        <v>1</v>
      </c>
      <c r="F390" s="2" t="s">
        <v>66</v>
      </c>
    </row>
    <row r="391" spans="1:6" ht="25.5">
      <c r="A391" s="2">
        <v>388</v>
      </c>
      <c r="B391" s="2" t="s">
        <v>440</v>
      </c>
      <c r="C391" s="2" t="str">
        <f>"03601293"</f>
        <v>03601293</v>
      </c>
      <c r="D391" s="2">
        <v>0.33800000000000002</v>
      </c>
      <c r="E391" s="2">
        <v>17</v>
      </c>
      <c r="F391" s="2" t="s">
        <v>6</v>
      </c>
    </row>
    <row r="392" spans="1:6" ht="25.5">
      <c r="A392" s="2">
        <v>389</v>
      </c>
      <c r="B392" s="2" t="s">
        <v>441</v>
      </c>
      <c r="C392" s="2" t="str">
        <f>"09645284"</f>
        <v>09645284</v>
      </c>
      <c r="D392" s="2">
        <v>0.26100000000000001</v>
      </c>
      <c r="E392" s="2">
        <v>26</v>
      </c>
      <c r="F392" s="2" t="s">
        <v>16</v>
      </c>
    </row>
    <row r="393" spans="1:6" ht="25.5">
      <c r="A393" s="2">
        <v>390</v>
      </c>
      <c r="B393" s="2" t="s">
        <v>442</v>
      </c>
      <c r="C393" s="2" t="str">
        <f>"1748295X"</f>
        <v>1748295X</v>
      </c>
      <c r="D393" s="2">
        <v>0.308</v>
      </c>
      <c r="E393" s="2">
        <v>18</v>
      </c>
      <c r="F393" s="2" t="s">
        <v>16</v>
      </c>
    </row>
    <row r="394" spans="1:6" ht="25.5">
      <c r="A394" s="2">
        <v>391</v>
      </c>
      <c r="B394" s="2" t="s">
        <v>443</v>
      </c>
      <c r="C394" s="2" t="str">
        <f>"17474892"</f>
        <v>17474892</v>
      </c>
      <c r="D394" s="2">
        <v>0.158</v>
      </c>
      <c r="E394" s="2">
        <v>2</v>
      </c>
      <c r="F394" s="2" t="s">
        <v>16</v>
      </c>
    </row>
    <row r="395" spans="1:6" ht="25.5">
      <c r="A395" s="2">
        <v>392</v>
      </c>
      <c r="B395" s="2" t="s">
        <v>444</v>
      </c>
      <c r="C395" s="2" t="str">
        <f>"13012746"</f>
        <v>13012746</v>
      </c>
      <c r="D395" s="2">
        <v>0.10100000000000001</v>
      </c>
      <c r="E395" s="2">
        <v>1</v>
      </c>
      <c r="F395" s="2" t="s">
        <v>345</v>
      </c>
    </row>
    <row r="396" spans="1:6" ht="25.5">
      <c r="A396" s="2">
        <v>393</v>
      </c>
      <c r="B396" s="2" t="s">
        <v>445</v>
      </c>
      <c r="C396" s="2" t="str">
        <f>"11266244"</f>
        <v>11266244</v>
      </c>
      <c r="D396" s="2">
        <v>0.112</v>
      </c>
      <c r="E396" s="2">
        <v>1</v>
      </c>
      <c r="F396" s="2" t="s">
        <v>190</v>
      </c>
    </row>
    <row r="397" spans="1:6" ht="25.5">
      <c r="A397" s="2">
        <v>394</v>
      </c>
      <c r="B397" s="2" t="s">
        <v>446</v>
      </c>
      <c r="C397" s="2" t="str">
        <f>"12808571"</f>
        <v>12808571</v>
      </c>
      <c r="D397" s="2">
        <v>0.46500000000000002</v>
      </c>
      <c r="E397" s="2">
        <v>7</v>
      </c>
      <c r="F397" s="2" t="s">
        <v>66</v>
      </c>
    </row>
    <row r="398" spans="1:6" ht="25.5">
      <c r="A398" s="2">
        <v>395</v>
      </c>
      <c r="B398" s="2" t="s">
        <v>447</v>
      </c>
      <c r="C398" s="2" t="str">
        <f>"17550645"</f>
        <v>17550645</v>
      </c>
      <c r="D398" s="2">
        <v>0.10100000000000001</v>
      </c>
      <c r="E398" s="2">
        <v>1</v>
      </c>
      <c r="F398" s="2" t="s">
        <v>16</v>
      </c>
    </row>
    <row r="399" spans="1:6" ht="25.5">
      <c r="A399" s="2">
        <v>396</v>
      </c>
      <c r="B399" s="2" t="s">
        <v>448</v>
      </c>
      <c r="C399" s="2" t="str">
        <f>"18674534"</f>
        <v>18674534</v>
      </c>
      <c r="D399" s="2">
        <v>0</v>
      </c>
      <c r="E399" s="2">
        <v>0</v>
      </c>
      <c r="F399" s="2" t="s">
        <v>6</v>
      </c>
    </row>
    <row r="400" spans="1:6" ht="25.5">
      <c r="A400" s="2">
        <v>397</v>
      </c>
      <c r="B400" s="2" t="s">
        <v>449</v>
      </c>
      <c r="C400" s="2" t="str">
        <f>"15432777"</f>
        <v>15432777</v>
      </c>
      <c r="D400" s="2">
        <v>0.747</v>
      </c>
      <c r="E400" s="2">
        <v>28</v>
      </c>
      <c r="F400" s="2" t="s">
        <v>6</v>
      </c>
    </row>
    <row r="401" spans="1:6" ht="25.5">
      <c r="A401" s="2">
        <v>398</v>
      </c>
      <c r="B401" s="2" t="s">
        <v>450</v>
      </c>
      <c r="C401" s="2" t="str">
        <f>"10597123"</f>
        <v>10597123</v>
      </c>
      <c r="D401" s="2">
        <v>0.53500000000000003</v>
      </c>
      <c r="E401" s="2">
        <v>34</v>
      </c>
      <c r="F401" s="2" t="s">
        <v>16</v>
      </c>
    </row>
    <row r="402" spans="1:6" ht="25.5">
      <c r="A402" s="2">
        <v>399</v>
      </c>
      <c r="B402" s="2" t="s">
        <v>451</v>
      </c>
      <c r="C402" s="2" t="str">
        <f>"13816551"</f>
        <v>13816551</v>
      </c>
      <c r="D402" s="2">
        <v>0.111</v>
      </c>
      <c r="E402" s="2">
        <v>3</v>
      </c>
      <c r="F402" s="2" t="s">
        <v>306</v>
      </c>
    </row>
    <row r="403" spans="1:6" ht="25.5">
      <c r="A403" s="2">
        <v>400</v>
      </c>
      <c r="B403" s="2" t="s">
        <v>452</v>
      </c>
      <c r="C403" s="2" t="str">
        <f>"16555252"</f>
        <v>16555252</v>
      </c>
      <c r="D403" s="2">
        <v>0.11</v>
      </c>
      <c r="E403" s="2">
        <v>3</v>
      </c>
      <c r="F403" s="2" t="s">
        <v>304</v>
      </c>
    </row>
    <row r="404" spans="1:6" ht="25.5">
      <c r="A404" s="2">
        <v>401</v>
      </c>
      <c r="B404" s="2" t="s">
        <v>453</v>
      </c>
      <c r="C404" s="2" t="str">
        <f>"09652140"</f>
        <v>09652140</v>
      </c>
      <c r="D404" s="2">
        <v>1.7549999999999999</v>
      </c>
      <c r="E404" s="2">
        <v>113</v>
      </c>
      <c r="F404" s="2" t="s">
        <v>16</v>
      </c>
    </row>
    <row r="405" spans="1:6" ht="25.5">
      <c r="A405" s="2">
        <v>402</v>
      </c>
      <c r="B405" s="2" t="s">
        <v>454</v>
      </c>
      <c r="C405" s="2" t="str">
        <f>"13691600"</f>
        <v>13691600</v>
      </c>
      <c r="D405" s="2">
        <v>1.891</v>
      </c>
      <c r="E405" s="2">
        <v>42</v>
      </c>
      <c r="F405" s="2" t="s">
        <v>16</v>
      </c>
    </row>
    <row r="406" spans="1:6" ht="25.5">
      <c r="A406" s="2">
        <v>403</v>
      </c>
      <c r="B406" s="2" t="s">
        <v>455</v>
      </c>
      <c r="C406" s="2" t="str">
        <f>"16066359"</f>
        <v>16066359</v>
      </c>
      <c r="D406" s="2">
        <v>0.375</v>
      </c>
      <c r="E406" s="2">
        <v>27</v>
      </c>
      <c r="F406" s="2" t="s">
        <v>16</v>
      </c>
    </row>
    <row r="407" spans="1:6" ht="25.5">
      <c r="A407" s="2">
        <v>404</v>
      </c>
      <c r="B407" s="2" t="s">
        <v>456</v>
      </c>
      <c r="C407" s="2" t="str">
        <f>"19400640"</f>
        <v>19400640</v>
      </c>
      <c r="D407" s="2">
        <v>0.59899999999999998</v>
      </c>
      <c r="E407" s="2">
        <v>14</v>
      </c>
      <c r="F407" s="2" t="s">
        <v>16</v>
      </c>
    </row>
    <row r="408" spans="1:6" ht="25.5">
      <c r="A408" s="2">
        <v>405</v>
      </c>
      <c r="B408" s="2" t="s">
        <v>457</v>
      </c>
      <c r="C408" s="2" t="str">
        <f>"03064603"</f>
        <v>03064603</v>
      </c>
      <c r="D408" s="2">
        <v>0.95099999999999996</v>
      </c>
      <c r="E408" s="2">
        <v>73</v>
      </c>
      <c r="F408" s="2" t="s">
        <v>16</v>
      </c>
    </row>
    <row r="409" spans="1:6" ht="25.5">
      <c r="A409" s="2">
        <v>406</v>
      </c>
      <c r="B409" s="2" t="s">
        <v>458</v>
      </c>
      <c r="C409" s="2" t="str">
        <f>"15315754"</f>
        <v>15315754</v>
      </c>
      <c r="D409" s="2">
        <v>0.22900000000000001</v>
      </c>
      <c r="E409" s="2">
        <v>10</v>
      </c>
      <c r="F409" s="2" t="s">
        <v>6</v>
      </c>
    </row>
    <row r="410" spans="1:6" ht="25.5">
      <c r="A410" s="2">
        <v>407</v>
      </c>
      <c r="B410" s="2" t="s">
        <v>459</v>
      </c>
      <c r="C410" s="2" t="str">
        <f>"18666647"</f>
        <v>18666647</v>
      </c>
      <c r="D410" s="2">
        <v>0.45700000000000002</v>
      </c>
      <c r="E410" s="2">
        <v>6</v>
      </c>
      <c r="F410" s="2" t="s">
        <v>288</v>
      </c>
    </row>
    <row r="411" spans="1:6" ht="25.5">
      <c r="A411" s="2">
        <v>408</v>
      </c>
      <c r="B411" s="2" t="s">
        <v>460</v>
      </c>
      <c r="C411" s="2" t="str">
        <f>"15520633"</f>
        <v>15520633</v>
      </c>
      <c r="D411" s="2">
        <v>0.317</v>
      </c>
      <c r="E411" s="2">
        <v>5</v>
      </c>
      <c r="F411" s="2" t="s">
        <v>6</v>
      </c>
    </row>
    <row r="412" spans="1:6" ht="25.5">
      <c r="A412" s="2">
        <v>409</v>
      </c>
      <c r="B412" s="2" t="s">
        <v>461</v>
      </c>
      <c r="C412" s="2" t="str">
        <f>"15708705"</f>
        <v>15708705</v>
      </c>
      <c r="D412" s="2">
        <v>2.1160000000000001</v>
      </c>
      <c r="E412" s="2">
        <v>43</v>
      </c>
      <c r="F412" s="2" t="s">
        <v>75</v>
      </c>
    </row>
    <row r="413" spans="1:6" ht="25.5">
      <c r="A413" s="2">
        <v>410</v>
      </c>
      <c r="B413" s="2" t="s">
        <v>462</v>
      </c>
      <c r="C413" s="2" t="str">
        <f>"02144840"</f>
        <v>02144840</v>
      </c>
      <c r="D413" s="2">
        <v>0.29299999999999998</v>
      </c>
      <c r="E413" s="2">
        <v>13</v>
      </c>
      <c r="F413" s="2" t="s">
        <v>351</v>
      </c>
    </row>
    <row r="414" spans="1:6" ht="25.5">
      <c r="A414" s="2">
        <v>411</v>
      </c>
      <c r="B414" s="2" t="s">
        <v>463</v>
      </c>
      <c r="C414" s="2" t="str">
        <f>"12133841"</f>
        <v>12133841</v>
      </c>
      <c r="D414" s="2">
        <v>0.23400000000000001</v>
      </c>
      <c r="E414" s="2">
        <v>2</v>
      </c>
      <c r="F414" s="2" t="s">
        <v>208</v>
      </c>
    </row>
    <row r="415" spans="1:6" ht="25.5">
      <c r="A415" s="2">
        <v>412</v>
      </c>
      <c r="B415" s="2" t="s">
        <v>464</v>
      </c>
      <c r="C415" s="2" t="str">
        <f>"03796531"</f>
        <v>03796531</v>
      </c>
      <c r="D415" s="2">
        <v>0.10299999999999999</v>
      </c>
      <c r="E415" s="2">
        <v>2</v>
      </c>
      <c r="F415" s="2" t="s">
        <v>410</v>
      </c>
    </row>
    <row r="416" spans="1:6" ht="25.5">
      <c r="A416" s="2">
        <v>413</v>
      </c>
      <c r="B416" s="2" t="s">
        <v>465</v>
      </c>
      <c r="C416" s="2" t="str">
        <f>"15733289"</f>
        <v>15733289</v>
      </c>
      <c r="D416" s="2">
        <v>1.071</v>
      </c>
      <c r="E416" s="2">
        <v>27</v>
      </c>
      <c r="F416" s="2" t="s">
        <v>6</v>
      </c>
    </row>
    <row r="417" spans="1:6" ht="25.5">
      <c r="A417" s="2">
        <v>414</v>
      </c>
      <c r="B417" s="2" t="s">
        <v>466</v>
      </c>
      <c r="C417" s="2" t="str">
        <f>"00953997"</f>
        <v>00953997</v>
      </c>
      <c r="D417" s="2">
        <v>0.53200000000000003</v>
      </c>
      <c r="E417" s="2">
        <v>27</v>
      </c>
      <c r="F417" s="2" t="s">
        <v>6</v>
      </c>
    </row>
    <row r="418" spans="1:6" ht="25.5">
      <c r="A418" s="2">
        <v>415</v>
      </c>
      <c r="B418" s="2" t="s">
        <v>467</v>
      </c>
      <c r="C418" s="2" t="str">
        <f>"03643107"</f>
        <v>03643107</v>
      </c>
      <c r="D418" s="2">
        <v>0.496</v>
      </c>
      <c r="E418" s="2">
        <v>18</v>
      </c>
      <c r="F418" s="2" t="s">
        <v>6</v>
      </c>
    </row>
    <row r="419" spans="1:6" ht="25.5">
      <c r="A419" s="2">
        <v>416</v>
      </c>
      <c r="B419" s="2" t="s">
        <v>468</v>
      </c>
      <c r="C419" s="2" t="str">
        <f>"00018368"</f>
        <v>00018368</v>
      </c>
      <c r="D419" s="2">
        <v>0.54400000000000004</v>
      </c>
      <c r="E419" s="2">
        <v>13</v>
      </c>
      <c r="F419" s="2" t="s">
        <v>6</v>
      </c>
    </row>
    <row r="420" spans="1:6" ht="25.5">
      <c r="A420" s="2">
        <v>417</v>
      </c>
      <c r="B420" s="2" t="s">
        <v>469</v>
      </c>
      <c r="C420" s="2" t="str">
        <f>"00018392"</f>
        <v>00018392</v>
      </c>
      <c r="D420" s="2">
        <v>6.7080000000000002</v>
      </c>
      <c r="E420" s="2">
        <v>106</v>
      </c>
      <c r="F420" s="2" t="s">
        <v>6</v>
      </c>
    </row>
    <row r="421" spans="1:6" ht="25.5">
      <c r="A421" s="2">
        <v>418</v>
      </c>
      <c r="B421" s="2" t="s">
        <v>470</v>
      </c>
      <c r="C421" s="2" t="str">
        <f>"21775281"</f>
        <v>21775281</v>
      </c>
      <c r="D421" s="2">
        <v>0</v>
      </c>
      <c r="E421" s="2">
        <v>0</v>
      </c>
      <c r="F421" s="2" t="s">
        <v>159</v>
      </c>
    </row>
    <row r="422" spans="1:6" ht="25.5">
      <c r="A422" s="2">
        <v>419</v>
      </c>
      <c r="B422" s="2" t="s">
        <v>471</v>
      </c>
      <c r="C422" s="2" t="str">
        <f>"19344287"</f>
        <v>19344287</v>
      </c>
      <c r="D422" s="2">
        <v>0.18099999999999999</v>
      </c>
      <c r="E422" s="2">
        <v>22</v>
      </c>
      <c r="F422" s="2" t="s">
        <v>6</v>
      </c>
    </row>
    <row r="423" spans="1:6" ht="25.5">
      <c r="A423" s="2">
        <v>420</v>
      </c>
      <c r="B423" s="2" t="s">
        <v>472</v>
      </c>
      <c r="C423" s="2" t="str">
        <f>"10926755"</f>
        <v>10926755</v>
      </c>
      <c r="D423" s="2">
        <v>0.60099999999999998</v>
      </c>
      <c r="E423" s="2">
        <v>7</v>
      </c>
      <c r="F423" s="2" t="s">
        <v>6</v>
      </c>
    </row>
    <row r="424" spans="1:6" ht="25.5">
      <c r="A424" s="2">
        <v>421</v>
      </c>
      <c r="B424" s="2" t="s">
        <v>473</v>
      </c>
      <c r="C424" s="2" t="str">
        <f>"15728757"</f>
        <v>15728757</v>
      </c>
      <c r="D424" s="2">
        <v>0.67500000000000004</v>
      </c>
      <c r="E424" s="2">
        <v>38</v>
      </c>
      <c r="F424" s="2" t="s">
        <v>75</v>
      </c>
    </row>
    <row r="425" spans="1:6" ht="25.5">
      <c r="A425" s="2">
        <v>422</v>
      </c>
      <c r="B425" s="2" t="s">
        <v>474</v>
      </c>
      <c r="C425" s="2" t="str">
        <f>"02636174"</f>
        <v>02636174</v>
      </c>
      <c r="D425" s="2">
        <v>0.25900000000000001</v>
      </c>
      <c r="E425" s="2">
        <v>23</v>
      </c>
      <c r="F425" s="2" t="s">
        <v>16</v>
      </c>
    </row>
    <row r="426" spans="1:6" ht="25.5">
      <c r="A426" s="2">
        <v>423</v>
      </c>
      <c r="B426" s="2" t="s">
        <v>475</v>
      </c>
      <c r="C426" s="2" t="str">
        <f>"07417136"</f>
        <v>07417136</v>
      </c>
      <c r="D426" s="2">
        <v>0.443</v>
      </c>
      <c r="E426" s="2">
        <v>22</v>
      </c>
      <c r="F426" s="2" t="s">
        <v>16</v>
      </c>
    </row>
    <row r="427" spans="1:6" ht="25.5">
      <c r="A427" s="2">
        <v>424</v>
      </c>
      <c r="B427" s="2" t="s">
        <v>476</v>
      </c>
      <c r="C427" s="2" t="str">
        <f>"15246817"</f>
        <v>15246817</v>
      </c>
      <c r="D427" s="2">
        <v>0.14699999999999999</v>
      </c>
      <c r="E427" s="2">
        <v>2</v>
      </c>
      <c r="F427" s="2" t="s">
        <v>6</v>
      </c>
    </row>
    <row r="428" spans="1:6" ht="25.5">
      <c r="A428" s="2">
        <v>425</v>
      </c>
      <c r="B428" s="2" t="s">
        <v>477</v>
      </c>
      <c r="C428" s="2" t="str">
        <f>"15685519"</f>
        <v>15685519</v>
      </c>
      <c r="D428" s="2">
        <v>0.26200000000000001</v>
      </c>
      <c r="E428" s="2">
        <v>15</v>
      </c>
      <c r="F428" s="2" t="s">
        <v>16</v>
      </c>
    </row>
    <row r="429" spans="1:6" ht="25.5">
      <c r="A429" s="2">
        <v>426</v>
      </c>
      <c r="B429" s="2" t="s">
        <v>478</v>
      </c>
      <c r="C429" s="2" t="str">
        <f>"09636935"</f>
        <v>09636935</v>
      </c>
      <c r="D429" s="2">
        <v>0.23499999999999999</v>
      </c>
      <c r="E429" s="2">
        <v>14</v>
      </c>
      <c r="F429" s="2" t="s">
        <v>16</v>
      </c>
    </row>
    <row r="430" spans="1:6" ht="25.5">
      <c r="A430" s="2">
        <v>427</v>
      </c>
      <c r="B430" s="2" t="s">
        <v>479</v>
      </c>
      <c r="C430" s="2" t="str">
        <f>"0169409X"</f>
        <v>0169409X</v>
      </c>
      <c r="D430" s="2">
        <v>3.7850000000000001</v>
      </c>
      <c r="E430" s="2">
        <v>165</v>
      </c>
      <c r="F430" s="2" t="s">
        <v>75</v>
      </c>
    </row>
    <row r="431" spans="1:6" ht="25.5">
      <c r="A431" s="2">
        <v>428</v>
      </c>
      <c r="B431" s="2" t="s">
        <v>480</v>
      </c>
      <c r="C431" s="2" t="str">
        <f>"19314485"</f>
        <v>19314485</v>
      </c>
      <c r="D431" s="2">
        <v>0.157</v>
      </c>
      <c r="E431" s="2">
        <v>5</v>
      </c>
      <c r="F431" s="2" t="s">
        <v>6</v>
      </c>
    </row>
    <row r="432" spans="1:6" ht="25.5">
      <c r="A432" s="2">
        <v>429</v>
      </c>
      <c r="B432" s="2" t="s">
        <v>481</v>
      </c>
      <c r="C432" s="2" t="str">
        <f>"16146840"</f>
        <v>16146840</v>
      </c>
      <c r="D432" s="2">
        <v>4.7699999999999996</v>
      </c>
      <c r="E432" s="2">
        <v>21</v>
      </c>
      <c r="F432" s="2" t="s">
        <v>12</v>
      </c>
    </row>
    <row r="433" spans="1:6" ht="25.5">
      <c r="A433" s="2">
        <v>430</v>
      </c>
      <c r="B433" s="2" t="s">
        <v>482</v>
      </c>
      <c r="C433" s="2" t="str">
        <f>"14740346"</f>
        <v>14740346</v>
      </c>
      <c r="D433" s="2">
        <v>0.85799999999999998</v>
      </c>
      <c r="E433" s="2">
        <v>38</v>
      </c>
      <c r="F433" s="2" t="s">
        <v>16</v>
      </c>
    </row>
    <row r="434" spans="1:6" ht="25.5">
      <c r="A434" s="2">
        <v>431</v>
      </c>
      <c r="B434" s="2" t="s">
        <v>483</v>
      </c>
      <c r="C434" s="2" t="str">
        <f>"15272648"</f>
        <v>15272648</v>
      </c>
      <c r="D434" s="2">
        <v>0.72499999999999998</v>
      </c>
      <c r="E434" s="2">
        <v>62</v>
      </c>
      <c r="F434" s="2" t="s">
        <v>12</v>
      </c>
    </row>
    <row r="435" spans="1:6" ht="25.5">
      <c r="A435" s="2">
        <v>432</v>
      </c>
      <c r="B435" s="2" t="s">
        <v>484</v>
      </c>
      <c r="C435" s="2" t="str">
        <f>"1616301X"</f>
        <v>1616301X</v>
      </c>
      <c r="D435" s="2">
        <v>4.8620000000000001</v>
      </c>
      <c r="E435" s="2">
        <v>136</v>
      </c>
      <c r="F435" s="2" t="s">
        <v>12</v>
      </c>
    </row>
    <row r="436" spans="1:6" ht="25.5">
      <c r="A436" s="2">
        <v>433</v>
      </c>
      <c r="B436" s="2" t="s">
        <v>485</v>
      </c>
      <c r="C436" s="2" t="str">
        <f>"21922659"</f>
        <v>21922659</v>
      </c>
      <c r="D436" s="2">
        <v>0</v>
      </c>
      <c r="E436" s="2">
        <v>0</v>
      </c>
      <c r="F436" s="2" t="s">
        <v>16</v>
      </c>
    </row>
    <row r="437" spans="1:6" ht="25.5">
      <c r="A437" s="2">
        <v>434</v>
      </c>
      <c r="B437" s="2" t="s">
        <v>486</v>
      </c>
      <c r="C437" s="2" t="str">
        <f>"09359648"</f>
        <v>09359648</v>
      </c>
      <c r="D437" s="2">
        <v>7.1779999999999999</v>
      </c>
      <c r="E437" s="2">
        <v>257</v>
      </c>
      <c r="F437" s="2" t="s">
        <v>12</v>
      </c>
    </row>
    <row r="438" spans="1:6" ht="25.5">
      <c r="A438" s="2">
        <v>435</v>
      </c>
      <c r="B438" s="2" t="s">
        <v>487</v>
      </c>
      <c r="C438" s="2" t="str">
        <f>"0976397X"</f>
        <v>0976397X</v>
      </c>
      <c r="D438" s="2">
        <v>0.36299999999999999</v>
      </c>
      <c r="E438" s="2">
        <v>9</v>
      </c>
      <c r="F438" s="2" t="s">
        <v>488</v>
      </c>
    </row>
    <row r="439" spans="1:6" ht="25.5">
      <c r="A439" s="2">
        <v>436</v>
      </c>
      <c r="B439" s="2" t="s">
        <v>489</v>
      </c>
      <c r="C439" s="2" t="str">
        <f>"10226680"</f>
        <v>10226680</v>
      </c>
      <c r="D439" s="2">
        <v>0.13400000000000001</v>
      </c>
      <c r="E439" s="2">
        <v>12</v>
      </c>
      <c r="F439" s="2" t="s">
        <v>12</v>
      </c>
    </row>
    <row r="440" spans="1:6" ht="25.5">
      <c r="A440" s="2">
        <v>437</v>
      </c>
      <c r="B440" s="2" t="s">
        <v>490</v>
      </c>
      <c r="C440" s="2" t="str">
        <f>"15361365"</f>
        <v>15361365</v>
      </c>
      <c r="D440" s="2">
        <v>0.71099999999999997</v>
      </c>
      <c r="E440" s="2">
        <v>14</v>
      </c>
      <c r="F440" s="2" t="s">
        <v>6</v>
      </c>
    </row>
    <row r="441" spans="1:6" ht="25.5">
      <c r="A441" s="2">
        <v>438</v>
      </c>
      <c r="B441" s="2" t="s">
        <v>491</v>
      </c>
      <c r="C441" s="2" t="str">
        <f>"15685527"</f>
        <v>15685527</v>
      </c>
      <c r="D441" s="2">
        <v>0.55700000000000005</v>
      </c>
      <c r="E441" s="2">
        <v>21</v>
      </c>
      <c r="F441" s="2" t="s">
        <v>75</v>
      </c>
    </row>
    <row r="442" spans="1:6" ht="25.5">
      <c r="A442" s="2">
        <v>439</v>
      </c>
      <c r="B442" s="2" t="s">
        <v>492</v>
      </c>
      <c r="C442" s="2" t="str">
        <f>"01691864"</f>
        <v>01691864</v>
      </c>
      <c r="D442" s="2">
        <v>0.55800000000000005</v>
      </c>
      <c r="E442" s="2">
        <v>35</v>
      </c>
      <c r="F442" s="2" t="s">
        <v>16</v>
      </c>
    </row>
    <row r="443" spans="1:6" ht="25.5">
      <c r="A443" s="2">
        <v>440</v>
      </c>
      <c r="B443" s="2" t="s">
        <v>493</v>
      </c>
      <c r="C443" s="2" t="str">
        <f>"19367317"</f>
        <v>19367317</v>
      </c>
      <c r="D443" s="2">
        <v>0.23499999999999999</v>
      </c>
      <c r="E443" s="2">
        <v>11</v>
      </c>
      <c r="F443" s="2" t="s">
        <v>6</v>
      </c>
    </row>
    <row r="444" spans="1:6" ht="25.5">
      <c r="A444" s="2">
        <v>441</v>
      </c>
      <c r="B444" s="2" t="s">
        <v>494</v>
      </c>
      <c r="C444" s="2" t="str">
        <f>"1816112X"</f>
        <v>1816112X</v>
      </c>
      <c r="D444" s="2">
        <v>0.86099999999999999</v>
      </c>
      <c r="E444" s="2">
        <v>8</v>
      </c>
      <c r="F444" s="2" t="s">
        <v>46</v>
      </c>
    </row>
    <row r="445" spans="1:6" ht="25.5">
      <c r="A445" s="2">
        <v>442</v>
      </c>
      <c r="B445" s="2" t="s">
        <v>495</v>
      </c>
      <c r="C445" s="2" t="str">
        <f>"18698441"</f>
        <v>18698441</v>
      </c>
      <c r="D445" s="2">
        <v>0.107</v>
      </c>
      <c r="E445" s="2">
        <v>2</v>
      </c>
      <c r="F445" s="2" t="s">
        <v>6</v>
      </c>
    </row>
    <row r="446" spans="1:6" ht="25.5">
      <c r="A446" s="2">
        <v>443</v>
      </c>
      <c r="B446" s="2" t="s">
        <v>496</v>
      </c>
      <c r="C446" s="2" t="str">
        <f>"12293067"</f>
        <v>12293067</v>
      </c>
      <c r="D446" s="2">
        <v>0.54500000000000004</v>
      </c>
      <c r="E446" s="2">
        <v>16</v>
      </c>
      <c r="F446" s="2" t="s">
        <v>274</v>
      </c>
    </row>
    <row r="447" spans="1:6" ht="25.5">
      <c r="A447" s="2">
        <v>444</v>
      </c>
      <c r="B447" s="2" t="s">
        <v>497</v>
      </c>
      <c r="C447" s="2" t="str">
        <f>"15303004"</f>
        <v>15303004</v>
      </c>
      <c r="D447" s="2">
        <v>0.10100000000000001</v>
      </c>
      <c r="E447" s="2">
        <v>5</v>
      </c>
      <c r="F447" s="2" t="s">
        <v>6</v>
      </c>
    </row>
    <row r="448" spans="1:6" ht="25.5">
      <c r="A448" s="2">
        <v>445</v>
      </c>
      <c r="B448" s="2" t="s">
        <v>498</v>
      </c>
      <c r="C448" s="2" t="str">
        <f>"13131311"</f>
        <v>13131311</v>
      </c>
      <c r="D448" s="2">
        <v>0.22800000000000001</v>
      </c>
      <c r="E448" s="2">
        <v>6</v>
      </c>
      <c r="F448" s="2" t="s">
        <v>293</v>
      </c>
    </row>
    <row r="449" spans="1:6" ht="25.5">
      <c r="A449" s="2">
        <v>446</v>
      </c>
      <c r="B449" s="2" t="s">
        <v>499</v>
      </c>
      <c r="C449" s="2" t="str">
        <f>"16154150"</f>
        <v>16154150</v>
      </c>
      <c r="D449" s="2">
        <v>2.3410000000000002</v>
      </c>
      <c r="E449" s="2">
        <v>95</v>
      </c>
      <c r="F449" s="2" t="s">
        <v>12</v>
      </c>
    </row>
    <row r="450" spans="1:6">
      <c r="A450" s="2">
        <v>447</v>
      </c>
      <c r="B450" s="2" t="s">
        <v>500</v>
      </c>
      <c r="C450" s="2" t="str">
        <f>"0"</f>
        <v>0</v>
      </c>
      <c r="D450" s="2">
        <v>0.106</v>
      </c>
      <c r="E450" s="2">
        <v>1</v>
      </c>
      <c r="F450" s="2" t="s">
        <v>6</v>
      </c>
    </row>
    <row r="451" spans="1:6" ht="25.5">
      <c r="A451" s="2">
        <v>448</v>
      </c>
      <c r="B451" s="2" t="s">
        <v>501</v>
      </c>
      <c r="C451" s="2" t="str">
        <f>"20424876"</f>
        <v>20424876</v>
      </c>
      <c r="D451" s="2">
        <v>0.27100000000000002</v>
      </c>
      <c r="E451" s="2">
        <v>5</v>
      </c>
      <c r="F451" s="2" t="s">
        <v>16</v>
      </c>
    </row>
    <row r="452" spans="1:6" ht="25.5">
      <c r="A452" s="2">
        <v>449</v>
      </c>
      <c r="B452" s="2" t="s">
        <v>502</v>
      </c>
      <c r="C452" s="2" t="str">
        <f>"11786949"</f>
        <v>11786949</v>
      </c>
      <c r="D452" s="2">
        <v>0.26100000000000001</v>
      </c>
      <c r="E452" s="2">
        <v>5</v>
      </c>
      <c r="F452" s="2" t="s">
        <v>503</v>
      </c>
    </row>
    <row r="453" spans="1:6" ht="25.5">
      <c r="A453" s="2">
        <v>450</v>
      </c>
      <c r="B453" s="2" t="s">
        <v>504</v>
      </c>
      <c r="C453" s="2" t="str">
        <f>"09734686"</f>
        <v>09734686</v>
      </c>
      <c r="D453" s="2">
        <v>0.151</v>
      </c>
      <c r="E453" s="2">
        <v>3</v>
      </c>
      <c r="F453" s="2" t="s">
        <v>488</v>
      </c>
    </row>
    <row r="454" spans="1:6" ht="25.5">
      <c r="A454" s="2">
        <v>451</v>
      </c>
      <c r="B454" s="2" t="s">
        <v>505</v>
      </c>
      <c r="C454" s="2" t="str">
        <f>"10465715"</f>
        <v>10465715</v>
      </c>
      <c r="D454" s="2">
        <v>0.20699999999999999</v>
      </c>
      <c r="E454" s="2">
        <v>8</v>
      </c>
      <c r="F454" s="2" t="s">
        <v>6</v>
      </c>
    </row>
    <row r="455" spans="1:6" ht="25.5">
      <c r="A455" s="2">
        <v>452</v>
      </c>
      <c r="B455" s="2" t="s">
        <v>506</v>
      </c>
      <c r="C455" s="2" t="str">
        <f>"1687627X"</f>
        <v>1687627X</v>
      </c>
      <c r="D455" s="2">
        <v>0.106</v>
      </c>
      <c r="E455" s="2">
        <v>2</v>
      </c>
      <c r="F455" s="2" t="s">
        <v>6</v>
      </c>
    </row>
    <row r="456" spans="1:6" ht="25.5">
      <c r="A456" s="2">
        <v>453</v>
      </c>
      <c r="B456" s="2" t="s">
        <v>507</v>
      </c>
      <c r="C456" s="2" t="str">
        <f>"00652113"</f>
        <v>00652113</v>
      </c>
      <c r="D456" s="2">
        <v>1.5249999999999999</v>
      </c>
      <c r="E456" s="2">
        <v>59</v>
      </c>
      <c r="F456" s="2" t="s">
        <v>6</v>
      </c>
    </row>
    <row r="457" spans="1:6" ht="25.5">
      <c r="A457" s="2">
        <v>454</v>
      </c>
      <c r="B457" s="2" t="s">
        <v>508</v>
      </c>
      <c r="C457" s="2" t="str">
        <f>"15334031"</f>
        <v>15334031</v>
      </c>
      <c r="D457" s="2">
        <v>1.3220000000000001</v>
      </c>
      <c r="E457" s="2">
        <v>46</v>
      </c>
      <c r="F457" s="2" t="s">
        <v>6</v>
      </c>
    </row>
    <row r="458" spans="1:6" ht="25.5">
      <c r="A458" s="2">
        <v>455</v>
      </c>
      <c r="B458" s="2" t="s">
        <v>509</v>
      </c>
      <c r="C458" s="2" t="str">
        <f>"03015556"</f>
        <v>03015556</v>
      </c>
      <c r="D458" s="2">
        <v>0.27500000000000002</v>
      </c>
      <c r="E458" s="2">
        <v>24</v>
      </c>
      <c r="F458" s="2" t="s">
        <v>12</v>
      </c>
    </row>
    <row r="459" spans="1:6" ht="25.5">
      <c r="A459" s="2">
        <v>456</v>
      </c>
      <c r="B459" s="2" t="s">
        <v>510</v>
      </c>
      <c r="C459" s="2" t="str">
        <f>"07376146"</f>
        <v>07376146</v>
      </c>
      <c r="D459" s="2">
        <v>0.19700000000000001</v>
      </c>
      <c r="E459" s="2">
        <v>4</v>
      </c>
      <c r="F459" s="2" t="s">
        <v>6</v>
      </c>
    </row>
    <row r="460" spans="1:6" ht="25.5">
      <c r="A460" s="2">
        <v>457</v>
      </c>
      <c r="B460" s="2" t="s">
        <v>511</v>
      </c>
      <c r="C460" s="2" t="str">
        <f>"17436761"</f>
        <v>17436761</v>
      </c>
      <c r="D460" s="2">
        <v>0.30099999999999999</v>
      </c>
      <c r="E460" s="2">
        <v>25</v>
      </c>
      <c r="F460" s="2" t="s">
        <v>6</v>
      </c>
    </row>
    <row r="461" spans="1:6" ht="25.5">
      <c r="A461" s="2">
        <v>458</v>
      </c>
      <c r="B461" s="2" t="s">
        <v>512</v>
      </c>
      <c r="C461" s="2" t="str">
        <f>"01887009"</f>
        <v>01887009</v>
      </c>
      <c r="D461" s="2">
        <v>0.50700000000000001</v>
      </c>
      <c r="E461" s="2">
        <v>10</v>
      </c>
      <c r="F461" s="2" t="s">
        <v>31</v>
      </c>
    </row>
    <row r="462" spans="1:6" ht="25.5">
      <c r="A462" s="2">
        <v>459</v>
      </c>
      <c r="B462" s="2" t="s">
        <v>513</v>
      </c>
      <c r="C462" s="2" t="str">
        <f>"10902074"</f>
        <v>10902074</v>
      </c>
      <c r="D462" s="2">
        <v>0.97799999999999998</v>
      </c>
      <c r="E462" s="2">
        <v>29</v>
      </c>
      <c r="F462" s="2" t="s">
        <v>6</v>
      </c>
    </row>
    <row r="463" spans="1:6" ht="25.5">
      <c r="A463" s="2">
        <v>460</v>
      </c>
      <c r="B463" s="2" t="s">
        <v>514</v>
      </c>
      <c r="C463" s="2" t="str">
        <f>"20751354"</f>
        <v>20751354</v>
      </c>
      <c r="D463" s="2">
        <v>0.44400000000000001</v>
      </c>
      <c r="E463" s="2">
        <v>7</v>
      </c>
      <c r="F463" s="2" t="s">
        <v>46</v>
      </c>
    </row>
    <row r="464" spans="1:6" ht="25.5">
      <c r="A464" s="2">
        <v>461</v>
      </c>
      <c r="B464" s="2" t="s">
        <v>515</v>
      </c>
      <c r="C464" s="2" t="str">
        <f>"00652156"</f>
        <v>00652156</v>
      </c>
      <c r="D464" s="2">
        <v>3.0249999999999999</v>
      </c>
      <c r="E464" s="2">
        <v>23</v>
      </c>
      <c r="F464" s="2" t="s">
        <v>6</v>
      </c>
    </row>
    <row r="465" spans="1:6" ht="25.5">
      <c r="A465" s="2">
        <v>462</v>
      </c>
      <c r="B465" s="2" t="s">
        <v>516</v>
      </c>
      <c r="C465" s="2" t="str">
        <f>"00652164"</f>
        <v>00652164</v>
      </c>
      <c r="D465" s="2">
        <v>1.746</v>
      </c>
      <c r="E465" s="2">
        <v>36</v>
      </c>
      <c r="F465" s="2" t="s">
        <v>6</v>
      </c>
    </row>
    <row r="466" spans="1:6" ht="25.5">
      <c r="A466" s="2">
        <v>463</v>
      </c>
      <c r="B466" s="2" t="s">
        <v>517</v>
      </c>
      <c r="C466" s="2" t="str">
        <f>"14756064"</f>
        <v>14756064</v>
      </c>
      <c r="D466" s="2">
        <v>0.76400000000000001</v>
      </c>
      <c r="E466" s="2">
        <v>35</v>
      </c>
      <c r="F466" s="2" t="s">
        <v>16</v>
      </c>
    </row>
    <row r="467" spans="1:6" ht="25.5">
      <c r="A467" s="2">
        <v>464</v>
      </c>
      <c r="B467" s="2" t="s">
        <v>518</v>
      </c>
      <c r="C467" s="2" t="str">
        <f>"16877977"</f>
        <v>16877977</v>
      </c>
      <c r="D467" s="2">
        <v>0.79700000000000004</v>
      </c>
      <c r="E467" s="2">
        <v>11</v>
      </c>
      <c r="F467" s="2" t="s">
        <v>6</v>
      </c>
    </row>
    <row r="468" spans="1:6" ht="25.5">
      <c r="A468" s="2">
        <v>465</v>
      </c>
      <c r="B468" s="2" t="s">
        <v>519</v>
      </c>
      <c r="C468" s="2" t="str">
        <f>"02561530"</f>
        <v>02561530</v>
      </c>
      <c r="D468" s="2">
        <v>0.70799999999999996</v>
      </c>
      <c r="E468" s="2">
        <v>33</v>
      </c>
      <c r="F468" s="2" t="s">
        <v>46</v>
      </c>
    </row>
    <row r="469" spans="1:6" ht="25.5">
      <c r="A469" s="2">
        <v>466</v>
      </c>
      <c r="B469" s="2" t="s">
        <v>520</v>
      </c>
      <c r="C469" s="2" t="str">
        <f>"1049250X"</f>
        <v>1049250X</v>
      </c>
      <c r="D469" s="2">
        <v>2.444</v>
      </c>
      <c r="E469" s="2">
        <v>34</v>
      </c>
      <c r="F469" s="2" t="s">
        <v>6</v>
      </c>
    </row>
    <row r="470" spans="1:6" ht="25.5">
      <c r="A470" s="2">
        <v>467</v>
      </c>
      <c r="B470" s="2" t="s">
        <v>521</v>
      </c>
      <c r="C470" s="2" t="str">
        <f>"16168542"</f>
        <v>16168542</v>
      </c>
      <c r="D470" s="2">
        <v>0.436</v>
      </c>
      <c r="E470" s="2">
        <v>55</v>
      </c>
      <c r="F470" s="2" t="s">
        <v>12</v>
      </c>
    </row>
    <row r="471" spans="1:6" ht="25.5">
      <c r="A471" s="2">
        <v>468</v>
      </c>
      <c r="B471" s="2" t="s">
        <v>522</v>
      </c>
      <c r="C471" s="2" t="str">
        <f>"16878035"</f>
        <v>16878035</v>
      </c>
      <c r="D471" s="2">
        <v>0.25900000000000001</v>
      </c>
      <c r="E471" s="2">
        <v>3</v>
      </c>
      <c r="F471" s="2" t="s">
        <v>523</v>
      </c>
    </row>
    <row r="472" spans="1:6" ht="25.5">
      <c r="A472" s="2">
        <v>469</v>
      </c>
      <c r="B472" s="2" t="s">
        <v>524</v>
      </c>
      <c r="C472" s="2" t="str">
        <f>"03787354"</f>
        <v>03787354</v>
      </c>
      <c r="D472" s="2">
        <v>0.157</v>
      </c>
      <c r="E472" s="2">
        <v>4</v>
      </c>
      <c r="F472" s="2" t="s">
        <v>31</v>
      </c>
    </row>
    <row r="473" spans="1:6" ht="25.5">
      <c r="A473" s="2">
        <v>470</v>
      </c>
      <c r="B473" s="2" t="s">
        <v>525</v>
      </c>
      <c r="C473" s="2" t="str">
        <f>"00652296"</f>
        <v>00652296</v>
      </c>
      <c r="D473" s="2">
        <v>0.84499999999999997</v>
      </c>
      <c r="E473" s="2">
        <v>38</v>
      </c>
      <c r="F473" s="2" t="s">
        <v>6</v>
      </c>
    </row>
    <row r="474" spans="1:6" ht="25.5">
      <c r="A474" s="2">
        <v>471</v>
      </c>
      <c r="B474" s="2" t="s">
        <v>526</v>
      </c>
      <c r="C474" s="2" t="str">
        <f>"17562201"</f>
        <v>17562201</v>
      </c>
      <c r="D474" s="2">
        <v>0.66400000000000003</v>
      </c>
      <c r="E474" s="2">
        <v>4</v>
      </c>
      <c r="F474" s="2" t="s">
        <v>16</v>
      </c>
    </row>
    <row r="475" spans="1:6" ht="25.5">
      <c r="A475" s="2">
        <v>472</v>
      </c>
      <c r="B475" s="2" t="s">
        <v>527</v>
      </c>
      <c r="C475" s="2" t="str">
        <f>"18648258"</f>
        <v>18648258</v>
      </c>
      <c r="D475" s="2">
        <v>0.88900000000000001</v>
      </c>
      <c r="E475" s="2">
        <v>6</v>
      </c>
      <c r="F475" s="2" t="s">
        <v>12</v>
      </c>
    </row>
    <row r="476" spans="1:6" ht="25.5">
      <c r="A476" s="2">
        <v>473</v>
      </c>
      <c r="B476" s="2" t="s">
        <v>528</v>
      </c>
      <c r="C476" s="2" t="str">
        <f>"0065230X"</f>
        <v>0065230X</v>
      </c>
      <c r="D476" s="2">
        <v>2.109</v>
      </c>
      <c r="E476" s="2">
        <v>67</v>
      </c>
      <c r="F476" s="2" t="s">
        <v>6</v>
      </c>
    </row>
    <row r="477" spans="1:6" ht="25.5">
      <c r="A477" s="2">
        <v>474</v>
      </c>
      <c r="B477" s="2" t="s">
        <v>529</v>
      </c>
      <c r="C477" s="2" t="str">
        <f>"00652318"</f>
        <v>00652318</v>
      </c>
      <c r="D477" s="2">
        <v>1.8939999999999999</v>
      </c>
      <c r="E477" s="2">
        <v>23</v>
      </c>
      <c r="F477" s="2" t="s">
        <v>6</v>
      </c>
    </row>
    <row r="478" spans="1:6" ht="25.5">
      <c r="A478" s="2">
        <v>475</v>
      </c>
      <c r="B478" s="2" t="s">
        <v>530</v>
      </c>
      <c r="C478" s="2" t="str">
        <f>"00652326"</f>
        <v>00652326</v>
      </c>
      <c r="D478" s="2">
        <v>0.41899999999999998</v>
      </c>
      <c r="E478" s="2">
        <v>18</v>
      </c>
      <c r="F478" s="2" t="s">
        <v>31</v>
      </c>
    </row>
    <row r="479" spans="1:6" ht="25.5">
      <c r="A479" s="2">
        <v>476</v>
      </c>
      <c r="B479" s="2" t="s">
        <v>531</v>
      </c>
      <c r="C479" s="2" t="str">
        <f>"03600564"</f>
        <v>03600564</v>
      </c>
      <c r="D479" s="2">
        <v>1.6779999999999999</v>
      </c>
      <c r="E479" s="2">
        <v>36</v>
      </c>
      <c r="F479" s="2" t="s">
        <v>6</v>
      </c>
    </row>
    <row r="480" spans="1:6" ht="25.5">
      <c r="A480" s="2">
        <v>477</v>
      </c>
      <c r="B480" s="2" t="s">
        <v>532</v>
      </c>
      <c r="C480" s="2" t="str">
        <f>"17517605"</f>
        <v>17517605</v>
      </c>
      <c r="D480" s="2">
        <v>0.58699999999999997</v>
      </c>
      <c r="E480" s="2">
        <v>20</v>
      </c>
      <c r="F480" s="2" t="s">
        <v>6</v>
      </c>
    </row>
    <row r="481" spans="1:6" ht="25.5">
      <c r="A481" s="2">
        <v>478</v>
      </c>
      <c r="B481" s="2" t="s">
        <v>533</v>
      </c>
      <c r="C481" s="2" t="str">
        <f>"00652377"</f>
        <v>00652377</v>
      </c>
      <c r="D481" s="2">
        <v>0.35599999999999998</v>
      </c>
      <c r="E481" s="2">
        <v>19</v>
      </c>
      <c r="F481" s="2" t="s">
        <v>6</v>
      </c>
    </row>
    <row r="482" spans="1:6" ht="25.5">
      <c r="A482" s="2">
        <v>479</v>
      </c>
      <c r="B482" s="2" t="s">
        <v>534</v>
      </c>
      <c r="C482" s="2" t="str">
        <f>"00652385"</f>
        <v>00652385</v>
      </c>
      <c r="D482" s="2">
        <v>1.179</v>
      </c>
      <c r="E482" s="2">
        <v>60</v>
      </c>
      <c r="F482" s="2" t="s">
        <v>6</v>
      </c>
    </row>
    <row r="483" spans="1:6" ht="25.5">
      <c r="A483" s="2">
        <v>480</v>
      </c>
      <c r="B483" s="2" t="s">
        <v>535</v>
      </c>
      <c r="C483" s="2" t="str">
        <f>"00652407"</f>
        <v>00652407</v>
      </c>
      <c r="D483" s="2">
        <v>0.40400000000000003</v>
      </c>
      <c r="E483" s="2">
        <v>21</v>
      </c>
      <c r="F483" s="2" t="s">
        <v>6</v>
      </c>
    </row>
    <row r="484" spans="1:6" ht="25.5">
      <c r="A484" s="2">
        <v>481</v>
      </c>
      <c r="B484" s="2" t="s">
        <v>536</v>
      </c>
      <c r="C484" s="2" t="str">
        <f>"15485609"</f>
        <v>15485609</v>
      </c>
      <c r="D484" s="2">
        <v>0.80700000000000005</v>
      </c>
      <c r="E484" s="2">
        <v>34</v>
      </c>
      <c r="F484" s="2" t="s">
        <v>16</v>
      </c>
    </row>
    <row r="485" spans="1:6" ht="25.5">
      <c r="A485" s="2">
        <v>482</v>
      </c>
      <c r="B485" s="2" t="s">
        <v>537</v>
      </c>
      <c r="C485" s="2" t="str">
        <f>"16878094"</f>
        <v>16878094</v>
      </c>
      <c r="D485" s="2">
        <v>0.158</v>
      </c>
      <c r="E485" s="2">
        <v>4</v>
      </c>
      <c r="F485" s="2" t="s">
        <v>6</v>
      </c>
    </row>
    <row r="486" spans="1:6" ht="25.5">
      <c r="A486" s="2">
        <v>483</v>
      </c>
      <c r="B486" s="2" t="s">
        <v>538</v>
      </c>
      <c r="C486" s="2" t="str">
        <f>"1230025X"</f>
        <v>1230025X</v>
      </c>
      <c r="D486" s="2">
        <v>0.193</v>
      </c>
      <c r="E486" s="2">
        <v>6</v>
      </c>
      <c r="F486" s="2" t="s">
        <v>169</v>
      </c>
    </row>
    <row r="487" spans="1:6" ht="25.5">
      <c r="A487" s="2">
        <v>484</v>
      </c>
      <c r="B487" s="2" t="s">
        <v>539</v>
      </c>
      <c r="C487" s="2" t="str">
        <f>"00652423"</f>
        <v>00652423</v>
      </c>
      <c r="D487" s="2">
        <v>0.80500000000000005</v>
      </c>
      <c r="E487" s="2">
        <v>24</v>
      </c>
      <c r="F487" s="2" t="s">
        <v>6</v>
      </c>
    </row>
    <row r="488" spans="1:6" ht="25.5">
      <c r="A488" s="2">
        <v>485</v>
      </c>
      <c r="B488" s="2" t="s">
        <v>540</v>
      </c>
      <c r="C488" s="2" t="str">
        <f>"18951171"</f>
        <v>18951171</v>
      </c>
      <c r="D488" s="2">
        <v>0.35599999999999998</v>
      </c>
      <c r="E488" s="2">
        <v>12</v>
      </c>
      <c r="F488" s="2" t="s">
        <v>169</v>
      </c>
    </row>
    <row r="489" spans="1:6" ht="25.5">
      <c r="A489" s="2">
        <v>486</v>
      </c>
      <c r="B489" s="2" t="s">
        <v>541</v>
      </c>
      <c r="C489" s="2" t="str">
        <f>"00018686"</f>
        <v>00018686</v>
      </c>
      <c r="D489" s="2">
        <v>2.3959999999999999</v>
      </c>
      <c r="E489" s="2">
        <v>98</v>
      </c>
      <c r="F489" s="2" t="s">
        <v>75</v>
      </c>
    </row>
    <row r="490" spans="1:6" ht="25.5">
      <c r="A490" s="2">
        <v>487</v>
      </c>
      <c r="B490" s="2" t="s">
        <v>542</v>
      </c>
      <c r="C490" s="2" t="str">
        <f>"02195259"</f>
        <v>02195259</v>
      </c>
      <c r="D490" s="2">
        <v>0.33200000000000002</v>
      </c>
      <c r="E490" s="2">
        <v>14</v>
      </c>
      <c r="F490" s="2" t="s">
        <v>543</v>
      </c>
    </row>
    <row r="491" spans="1:6" ht="25.5">
      <c r="A491" s="2">
        <v>488</v>
      </c>
      <c r="B491" s="2" t="s">
        <v>544</v>
      </c>
      <c r="C491" s="2" t="str">
        <f>"15729044"</f>
        <v>15729044</v>
      </c>
      <c r="D491" s="2">
        <v>1.0589999999999999</v>
      </c>
      <c r="E491" s="2">
        <v>37</v>
      </c>
      <c r="F491" s="2" t="s">
        <v>75</v>
      </c>
    </row>
    <row r="492" spans="1:6" ht="25.5">
      <c r="A492" s="2">
        <v>489</v>
      </c>
      <c r="B492" s="2" t="s">
        <v>545</v>
      </c>
      <c r="C492" s="2" t="str">
        <f>"00652458"</f>
        <v>00652458</v>
      </c>
      <c r="D492" s="2">
        <v>0.32600000000000001</v>
      </c>
      <c r="E492" s="2">
        <v>16</v>
      </c>
      <c r="F492" s="2" t="s">
        <v>6</v>
      </c>
    </row>
    <row r="493" spans="1:6" ht="25.5">
      <c r="A493" s="2">
        <v>490</v>
      </c>
      <c r="B493" s="2" t="s">
        <v>546</v>
      </c>
      <c r="C493" s="2" t="str">
        <f>"16878124"</f>
        <v>16878124</v>
      </c>
      <c r="D493" s="2">
        <v>0.6</v>
      </c>
      <c r="E493" s="2">
        <v>7</v>
      </c>
      <c r="F493" s="2" t="s">
        <v>6</v>
      </c>
    </row>
    <row r="494" spans="1:6" ht="25.5">
      <c r="A494" s="2">
        <v>491</v>
      </c>
      <c r="B494" s="2" t="s">
        <v>547</v>
      </c>
      <c r="C494" s="2" t="str">
        <f>"18625355"</f>
        <v>18625355</v>
      </c>
      <c r="D494" s="2">
        <v>1.1779999999999999</v>
      </c>
      <c r="E494" s="2">
        <v>7</v>
      </c>
      <c r="F494" s="2" t="s">
        <v>12</v>
      </c>
    </row>
    <row r="495" spans="1:6" ht="25.5">
      <c r="A495" s="2">
        <v>492</v>
      </c>
      <c r="B495" s="2" t="s">
        <v>548</v>
      </c>
      <c r="C495" s="2" t="str">
        <f>"15440737"</f>
        <v>15440737</v>
      </c>
      <c r="D495" s="2">
        <v>0.68700000000000006</v>
      </c>
      <c r="E495" s="2">
        <v>39</v>
      </c>
      <c r="F495" s="2" t="s">
        <v>6</v>
      </c>
    </row>
    <row r="496" spans="1:6" ht="25.5">
      <c r="A496" s="2">
        <v>493</v>
      </c>
      <c r="B496" s="2" t="s">
        <v>549</v>
      </c>
      <c r="C496" s="2" t="str">
        <f>"15234223"</f>
        <v>15234223</v>
      </c>
      <c r="D496" s="2">
        <v>0.51700000000000002</v>
      </c>
      <c r="E496" s="2">
        <v>7</v>
      </c>
      <c r="F496" s="2" t="s">
        <v>6</v>
      </c>
    </row>
    <row r="497" spans="1:6" ht="25.5">
      <c r="A497" s="2">
        <v>494</v>
      </c>
      <c r="B497" s="2" t="s">
        <v>550</v>
      </c>
      <c r="C497" s="2" t="str">
        <f>"16871847"</f>
        <v>16871847</v>
      </c>
      <c r="D497" s="2">
        <v>0.51400000000000001</v>
      </c>
      <c r="E497" s="2">
        <v>14</v>
      </c>
      <c r="F497" s="2" t="s">
        <v>6</v>
      </c>
    </row>
    <row r="498" spans="1:6" ht="25.5">
      <c r="A498" s="2">
        <v>495</v>
      </c>
      <c r="B498" s="2" t="s">
        <v>551</v>
      </c>
      <c r="C498" s="2" t="str">
        <f>"00652504"</f>
        <v>00652504</v>
      </c>
      <c r="D498" s="2">
        <v>3.3340000000000001</v>
      </c>
      <c r="E498" s="2">
        <v>35</v>
      </c>
      <c r="F498" s="2" t="s">
        <v>6</v>
      </c>
    </row>
    <row r="499" spans="1:6" ht="25.5">
      <c r="A499" s="2">
        <v>496</v>
      </c>
      <c r="B499" s="2" t="s">
        <v>552</v>
      </c>
      <c r="C499" s="2" t="str">
        <f>"18447600"</f>
        <v>18447600</v>
      </c>
      <c r="D499" s="2">
        <v>0.30099999999999999</v>
      </c>
      <c r="E499" s="2">
        <v>8</v>
      </c>
      <c r="F499" s="2" t="s">
        <v>19</v>
      </c>
    </row>
    <row r="500" spans="1:6" ht="25.5">
      <c r="A500" s="2">
        <v>497</v>
      </c>
      <c r="B500" s="2" t="s">
        <v>553</v>
      </c>
      <c r="C500" s="2" t="str">
        <f>"18043119"</f>
        <v>18043119</v>
      </c>
      <c r="D500" s="2">
        <v>0.16300000000000001</v>
      </c>
      <c r="E500" s="2">
        <v>3</v>
      </c>
      <c r="F500" s="2" t="s">
        <v>208</v>
      </c>
    </row>
    <row r="501" spans="1:6" ht="25.5">
      <c r="A501" s="2">
        <v>498</v>
      </c>
      <c r="B501" s="2" t="s">
        <v>554</v>
      </c>
      <c r="C501" s="2" t="str">
        <f>"19411766"</f>
        <v>19411766</v>
      </c>
      <c r="D501" s="2">
        <v>0.33400000000000002</v>
      </c>
      <c r="E501" s="2">
        <v>5</v>
      </c>
      <c r="F501" s="2" t="s">
        <v>6</v>
      </c>
    </row>
    <row r="502" spans="1:6" ht="25.5">
      <c r="A502" s="2">
        <v>499</v>
      </c>
      <c r="B502" s="2" t="s">
        <v>555</v>
      </c>
      <c r="C502" s="2" t="str">
        <f>"09659978"</f>
        <v>09659978</v>
      </c>
      <c r="D502" s="2">
        <v>0.91700000000000004</v>
      </c>
      <c r="E502" s="2">
        <v>34</v>
      </c>
      <c r="F502" s="2" t="s">
        <v>16</v>
      </c>
    </row>
    <row r="503" spans="1:6" ht="25.5">
      <c r="A503" s="2">
        <v>500</v>
      </c>
      <c r="B503" s="2" t="s">
        <v>556</v>
      </c>
      <c r="C503" s="2" t="str">
        <f>"19981066"</f>
        <v>19981066</v>
      </c>
      <c r="D503" s="2">
        <v>0.157</v>
      </c>
      <c r="E503" s="2">
        <v>8</v>
      </c>
      <c r="F503" s="2" t="s">
        <v>557</v>
      </c>
    </row>
    <row r="504" spans="1:6" ht="25.5">
      <c r="A504" s="2">
        <v>501</v>
      </c>
      <c r="B504" s="2" t="s">
        <v>558</v>
      </c>
      <c r="C504" s="2" t="str">
        <f>"00652571"</f>
        <v>00652571</v>
      </c>
      <c r="D504" s="2">
        <v>1.294</v>
      </c>
      <c r="E504" s="2">
        <v>39</v>
      </c>
      <c r="F504" s="2" t="s">
        <v>75</v>
      </c>
    </row>
    <row r="505" spans="1:6" ht="25.5">
      <c r="A505" s="2">
        <v>502</v>
      </c>
      <c r="B505" s="2" t="s">
        <v>559</v>
      </c>
      <c r="C505" s="2" t="str">
        <f>"0065258X"</f>
        <v>0065258X</v>
      </c>
      <c r="D505" s="2">
        <v>0.47399999999999998</v>
      </c>
      <c r="E505" s="2">
        <v>18</v>
      </c>
      <c r="F505" s="2" t="s">
        <v>6</v>
      </c>
    </row>
    <row r="506" spans="1:6" ht="25.5">
      <c r="A506" s="2">
        <v>503</v>
      </c>
      <c r="B506" s="2" t="s">
        <v>560</v>
      </c>
      <c r="C506" s="2" t="str">
        <f>"00652598"</f>
        <v>00652598</v>
      </c>
      <c r="D506" s="2">
        <v>0.63700000000000001</v>
      </c>
      <c r="E506" s="2">
        <v>71</v>
      </c>
      <c r="F506" s="2" t="s">
        <v>6</v>
      </c>
    </row>
    <row r="507" spans="1:6" ht="25.5">
      <c r="A507" s="2">
        <v>504</v>
      </c>
      <c r="B507" s="2" t="s">
        <v>561</v>
      </c>
      <c r="C507" s="2" t="str">
        <f>"00652601"</f>
        <v>00652601</v>
      </c>
      <c r="D507" s="2">
        <v>5.1040000000000001</v>
      </c>
      <c r="E507" s="2">
        <v>48</v>
      </c>
      <c r="F507" s="2" t="s">
        <v>6</v>
      </c>
    </row>
    <row r="508" spans="1:6" ht="25.5">
      <c r="A508" s="2">
        <v>505</v>
      </c>
      <c r="B508" s="2" t="s">
        <v>562</v>
      </c>
      <c r="C508" s="2" t="str">
        <f>"10434526"</f>
        <v>10434526</v>
      </c>
      <c r="D508" s="2">
        <v>0.42499999999999999</v>
      </c>
      <c r="E508" s="2">
        <v>26</v>
      </c>
      <c r="F508" s="2" t="s">
        <v>6</v>
      </c>
    </row>
    <row r="509" spans="1:6" ht="25.5">
      <c r="A509" s="2">
        <v>506</v>
      </c>
      <c r="B509" s="2" t="s">
        <v>563</v>
      </c>
      <c r="C509" s="2" t="str">
        <f>"1687711X"</f>
        <v>1687711X</v>
      </c>
      <c r="D509" s="2">
        <v>0.123</v>
      </c>
      <c r="E509" s="2">
        <v>2</v>
      </c>
      <c r="F509" s="2" t="s">
        <v>6</v>
      </c>
    </row>
    <row r="510" spans="1:6" ht="25.5">
      <c r="A510" s="2">
        <v>507</v>
      </c>
      <c r="B510" s="2" t="s">
        <v>564</v>
      </c>
      <c r="C510" s="2" t="str">
        <f>"15292126"</f>
        <v>15292126</v>
      </c>
      <c r="D510" s="2">
        <v>0.114</v>
      </c>
      <c r="E510" s="2">
        <v>4</v>
      </c>
      <c r="F510" s="2" t="s">
        <v>6</v>
      </c>
    </row>
    <row r="511" spans="1:6" ht="25.5">
      <c r="A511" s="2">
        <v>508</v>
      </c>
      <c r="B511" s="2" t="s">
        <v>565</v>
      </c>
      <c r="C511" s="2" t="str">
        <f>"00652660"</f>
        <v>00652660</v>
      </c>
      <c r="D511" s="2">
        <v>2.7570000000000001</v>
      </c>
      <c r="E511" s="2">
        <v>41</v>
      </c>
      <c r="F511" s="2" t="s">
        <v>6</v>
      </c>
    </row>
    <row r="512" spans="1:6" ht="25.5">
      <c r="A512" s="2">
        <v>509</v>
      </c>
      <c r="B512" s="2" t="s">
        <v>566</v>
      </c>
      <c r="C512" s="2" t="str">
        <f>"16157168"</f>
        <v>16157168</v>
      </c>
      <c r="D512" s="2">
        <v>0.51500000000000001</v>
      </c>
      <c r="E512" s="2">
        <v>12</v>
      </c>
      <c r="F512" s="2" t="s">
        <v>12</v>
      </c>
    </row>
    <row r="513" spans="1:6" ht="25.5">
      <c r="A513" s="2">
        <v>510</v>
      </c>
      <c r="B513" s="2" t="s">
        <v>567</v>
      </c>
      <c r="C513" s="2" t="str">
        <f>"00652687"</f>
        <v>00652687</v>
      </c>
      <c r="D513" s="2">
        <v>0.36499999999999999</v>
      </c>
      <c r="E513" s="2">
        <v>17</v>
      </c>
      <c r="F513" s="2" t="s">
        <v>6</v>
      </c>
    </row>
    <row r="514" spans="1:6" ht="25.5">
      <c r="A514" s="2">
        <v>511</v>
      </c>
      <c r="B514" s="2" t="s">
        <v>568</v>
      </c>
      <c r="C514" s="2" t="str">
        <f>"16807359"</f>
        <v>16807359</v>
      </c>
      <c r="D514" s="2">
        <v>0.53500000000000003</v>
      </c>
      <c r="E514" s="2">
        <v>16</v>
      </c>
      <c r="F514" s="2" t="s">
        <v>12</v>
      </c>
    </row>
    <row r="515" spans="1:6" ht="25.5">
      <c r="A515" s="2">
        <v>512</v>
      </c>
      <c r="B515" s="2" t="s">
        <v>569</v>
      </c>
      <c r="C515" s="2" t="str">
        <f>"15619125"</f>
        <v>15619125</v>
      </c>
      <c r="D515" s="2">
        <v>0.12</v>
      </c>
      <c r="E515" s="2">
        <v>8</v>
      </c>
      <c r="F515" s="2" t="s">
        <v>129</v>
      </c>
    </row>
    <row r="516" spans="1:6" ht="25.5">
      <c r="A516" s="2">
        <v>513</v>
      </c>
      <c r="B516" s="2" t="s">
        <v>570</v>
      </c>
      <c r="C516" s="2" t="str">
        <f>"15351203"</f>
        <v>15351203</v>
      </c>
      <c r="D516" s="2">
        <v>0.2</v>
      </c>
      <c r="E516" s="2">
        <v>5</v>
      </c>
      <c r="F516" s="2" t="s">
        <v>6</v>
      </c>
    </row>
    <row r="517" spans="1:6" ht="25.5">
      <c r="A517" s="2">
        <v>514</v>
      </c>
      <c r="B517" s="2" t="s">
        <v>571</v>
      </c>
      <c r="C517" s="2" t="str">
        <f>"14748231"</f>
        <v>14748231</v>
      </c>
      <c r="D517" s="2">
        <v>0.13</v>
      </c>
      <c r="E517" s="2">
        <v>7</v>
      </c>
      <c r="F517" s="2" t="s">
        <v>6</v>
      </c>
    </row>
    <row r="518" spans="1:6" ht="25.5">
      <c r="A518" s="2">
        <v>515</v>
      </c>
      <c r="B518" s="2" t="s">
        <v>572</v>
      </c>
      <c r="C518" s="2" t="str">
        <f>"07312199"</f>
        <v>07312199</v>
      </c>
      <c r="D518" s="2">
        <v>0.55100000000000005</v>
      </c>
      <c r="E518" s="2">
        <v>8</v>
      </c>
      <c r="F518" s="2" t="s">
        <v>75</v>
      </c>
    </row>
    <row r="519" spans="1:6" ht="25.5">
      <c r="A519" s="2">
        <v>516</v>
      </c>
      <c r="B519" s="2" t="s">
        <v>573</v>
      </c>
      <c r="C519" s="2" t="str">
        <f>"15731677"</f>
        <v>15731677</v>
      </c>
      <c r="D519" s="2">
        <v>1.843</v>
      </c>
      <c r="E519" s="2">
        <v>29</v>
      </c>
      <c r="F519" s="2" t="s">
        <v>75</v>
      </c>
    </row>
    <row r="520" spans="1:6" ht="25.5">
      <c r="A520" s="2">
        <v>517</v>
      </c>
      <c r="B520" s="2" t="s">
        <v>574</v>
      </c>
      <c r="C520" s="2" t="str">
        <f>"00652717"</f>
        <v>00652717</v>
      </c>
      <c r="D520" s="2">
        <v>0.312</v>
      </c>
      <c r="E520" s="2">
        <v>20</v>
      </c>
      <c r="F520" s="2" t="s">
        <v>6</v>
      </c>
    </row>
    <row r="521" spans="1:6" ht="25.5">
      <c r="A521" s="2">
        <v>518</v>
      </c>
      <c r="B521" s="2" t="s">
        <v>575</v>
      </c>
      <c r="C521" s="2" t="str">
        <f>"16879112"</f>
        <v>16879112</v>
      </c>
      <c r="D521" s="2">
        <v>0.57699999999999996</v>
      </c>
      <c r="E521" s="2">
        <v>8</v>
      </c>
      <c r="F521" s="2" t="s">
        <v>523</v>
      </c>
    </row>
    <row r="522" spans="1:6" ht="25.5">
      <c r="A522" s="2">
        <v>519</v>
      </c>
      <c r="B522" s="2" t="s">
        <v>576</v>
      </c>
      <c r="C522" s="2" t="str">
        <f>"00652725"</f>
        <v>00652725</v>
      </c>
      <c r="D522" s="2">
        <v>0.48099999999999998</v>
      </c>
      <c r="E522" s="2">
        <v>27</v>
      </c>
      <c r="F522" s="2" t="s">
        <v>6</v>
      </c>
    </row>
    <row r="523" spans="1:6" ht="25.5">
      <c r="A523" s="2">
        <v>520</v>
      </c>
      <c r="B523" s="2" t="s">
        <v>577</v>
      </c>
      <c r="C523" s="2" t="str">
        <f>"16877357"</f>
        <v>16877357</v>
      </c>
      <c r="D523" s="2">
        <v>1.2969999999999999</v>
      </c>
      <c r="E523" s="2">
        <v>7</v>
      </c>
      <c r="F523" s="2" t="s">
        <v>6</v>
      </c>
    </row>
    <row r="524" spans="1:6" ht="25.5">
      <c r="A524" s="2">
        <v>521</v>
      </c>
      <c r="B524" s="2" t="s">
        <v>578</v>
      </c>
      <c r="C524" s="2" t="str">
        <f>"15921573"</f>
        <v>15921573</v>
      </c>
      <c r="D524" s="2">
        <v>0.192</v>
      </c>
      <c r="E524" s="2">
        <v>13</v>
      </c>
      <c r="F524" s="2" t="s">
        <v>190</v>
      </c>
    </row>
    <row r="525" spans="1:6" ht="25.5">
      <c r="A525" s="2">
        <v>522</v>
      </c>
      <c r="B525" s="2" t="s">
        <v>579</v>
      </c>
      <c r="C525" s="2" t="str">
        <f>"16875907"</f>
        <v>16875907</v>
      </c>
      <c r="D525" s="2">
        <v>0.34300000000000003</v>
      </c>
      <c r="E525" s="2">
        <v>5</v>
      </c>
      <c r="F525" s="2" t="s">
        <v>523</v>
      </c>
    </row>
    <row r="526" spans="1:6" ht="25.5">
      <c r="A526" s="2">
        <v>523</v>
      </c>
      <c r="B526" s="2" t="s">
        <v>580</v>
      </c>
      <c r="C526" s="2" t="str">
        <f>"10765670"</f>
        <v>10765670</v>
      </c>
      <c r="D526" s="2">
        <v>0.30499999999999999</v>
      </c>
      <c r="E526" s="2">
        <v>21</v>
      </c>
      <c r="F526" s="2" t="s">
        <v>6</v>
      </c>
    </row>
    <row r="527" spans="1:6" ht="25.5">
      <c r="A527" s="2">
        <v>524</v>
      </c>
      <c r="B527" s="2" t="s">
        <v>581</v>
      </c>
      <c r="C527" s="2" t="str">
        <f>"00652776"</f>
        <v>00652776</v>
      </c>
      <c r="D527" s="2">
        <v>3.8319999999999999</v>
      </c>
      <c r="E527" s="2">
        <v>73</v>
      </c>
      <c r="F527" s="2" t="s">
        <v>6</v>
      </c>
    </row>
    <row r="528" spans="1:6" ht="25.5">
      <c r="A528" s="2">
        <v>525</v>
      </c>
      <c r="B528" s="2" t="s">
        <v>582</v>
      </c>
      <c r="C528" s="2" t="str">
        <f>"15578917"</f>
        <v>15578917</v>
      </c>
      <c r="D528" s="2">
        <v>1.357</v>
      </c>
      <c r="E528" s="2">
        <v>37</v>
      </c>
      <c r="F528" s="2" t="s">
        <v>6</v>
      </c>
    </row>
    <row r="529" spans="1:6" ht="25.5">
      <c r="A529" s="2">
        <v>526</v>
      </c>
      <c r="B529" s="2" t="s">
        <v>583</v>
      </c>
      <c r="C529" s="2" t="str">
        <f>"00652806"</f>
        <v>00652806</v>
      </c>
      <c r="D529" s="2">
        <v>1.796</v>
      </c>
      <c r="E529" s="2">
        <v>22</v>
      </c>
      <c r="F529" s="2" t="s">
        <v>6</v>
      </c>
    </row>
    <row r="530" spans="1:6" ht="25.5">
      <c r="A530" s="2">
        <v>527</v>
      </c>
      <c r="B530" s="2" t="s">
        <v>584</v>
      </c>
      <c r="C530" s="2" t="str">
        <f>"14747979"</f>
        <v>14747979</v>
      </c>
      <c r="D530" s="2">
        <v>0.60799999999999998</v>
      </c>
      <c r="E530" s="2">
        <v>7</v>
      </c>
      <c r="F530" s="2" t="s">
        <v>6</v>
      </c>
    </row>
    <row r="531" spans="1:6" ht="25.5">
      <c r="A531" s="2">
        <v>528</v>
      </c>
      <c r="B531" s="2" t="s">
        <v>585</v>
      </c>
      <c r="C531" s="2" t="str">
        <f>"0735004X"</f>
        <v>0735004X</v>
      </c>
      <c r="D531" s="2">
        <v>0.14799999999999999</v>
      </c>
      <c r="E531" s="2">
        <v>5</v>
      </c>
      <c r="F531" s="2" t="s">
        <v>6</v>
      </c>
    </row>
    <row r="532" spans="1:6" ht="25.5">
      <c r="A532" s="2">
        <v>529</v>
      </c>
      <c r="B532" s="2" t="s">
        <v>586</v>
      </c>
      <c r="C532" s="2" t="str">
        <f>"10402608"</f>
        <v>10402608</v>
      </c>
      <c r="D532" s="2">
        <v>0.46400000000000002</v>
      </c>
      <c r="E532" s="2">
        <v>8</v>
      </c>
      <c r="F532" s="2" t="s">
        <v>75</v>
      </c>
    </row>
    <row r="533" spans="1:6" ht="25.5">
      <c r="A533" s="2">
        <v>530</v>
      </c>
      <c r="B533" s="2" t="s">
        <v>587</v>
      </c>
      <c r="C533" s="2" t="str">
        <f>"14747871"</f>
        <v>14747871</v>
      </c>
      <c r="D533" s="2">
        <v>0.127</v>
      </c>
      <c r="E533" s="2">
        <v>5</v>
      </c>
      <c r="F533" s="2" t="s">
        <v>6</v>
      </c>
    </row>
    <row r="534" spans="1:6" ht="25.5">
      <c r="A534" s="2">
        <v>531</v>
      </c>
      <c r="B534" s="2" t="s">
        <v>588</v>
      </c>
      <c r="C534" s="2" t="str">
        <f>"00652881"</f>
        <v>00652881</v>
      </c>
      <c r="D534" s="2">
        <v>1.018</v>
      </c>
      <c r="E534" s="2">
        <v>36</v>
      </c>
      <c r="F534" s="2" t="s">
        <v>6</v>
      </c>
    </row>
    <row r="535" spans="1:6" ht="25.5">
      <c r="A535" s="2">
        <v>532</v>
      </c>
      <c r="B535" s="2" t="s">
        <v>589</v>
      </c>
      <c r="C535" s="2" t="str">
        <f>"16878442"</f>
        <v>16878442</v>
      </c>
      <c r="D535" s="2">
        <v>0.16200000000000001</v>
      </c>
      <c r="E535" s="2">
        <v>3</v>
      </c>
      <c r="F535" s="2" t="s">
        <v>6</v>
      </c>
    </row>
    <row r="536" spans="1:6" ht="25.5">
      <c r="A536" s="2">
        <v>533</v>
      </c>
      <c r="B536" s="2" t="s">
        <v>590</v>
      </c>
      <c r="C536" s="2" t="str">
        <f>"16879139"</f>
        <v>16879139</v>
      </c>
      <c r="D536" s="2">
        <v>0.14599999999999999</v>
      </c>
      <c r="E536" s="2">
        <v>1</v>
      </c>
      <c r="F536" s="2" t="s">
        <v>6</v>
      </c>
    </row>
    <row r="537" spans="1:6" ht="25.5">
      <c r="A537" s="2">
        <v>534</v>
      </c>
      <c r="B537" s="2" t="s">
        <v>591</v>
      </c>
      <c r="C537" s="2" t="str">
        <f>"10902082"</f>
        <v>10902082</v>
      </c>
      <c r="D537" s="2">
        <v>2.84</v>
      </c>
      <c r="E537" s="2">
        <v>51</v>
      </c>
      <c r="F537" s="2" t="s">
        <v>6</v>
      </c>
    </row>
    <row r="538" spans="1:6" ht="25.5">
      <c r="A538" s="2">
        <v>535</v>
      </c>
      <c r="B538" s="2" t="s">
        <v>592</v>
      </c>
      <c r="C538" s="2" t="str">
        <f>"19305346"</f>
        <v>19305346</v>
      </c>
      <c r="D538" s="2">
        <v>0.67700000000000005</v>
      </c>
      <c r="E538" s="2">
        <v>7</v>
      </c>
      <c r="F538" s="2" t="s">
        <v>6</v>
      </c>
    </row>
    <row r="539" spans="1:6" ht="25.5">
      <c r="A539" s="2">
        <v>536</v>
      </c>
      <c r="B539" s="2" t="s">
        <v>593</v>
      </c>
      <c r="C539" s="2" t="str">
        <f>"16878140"</f>
        <v>16878140</v>
      </c>
      <c r="D539" s="2">
        <v>0.34799999999999998</v>
      </c>
      <c r="E539" s="2">
        <v>6</v>
      </c>
      <c r="F539" s="2" t="s">
        <v>6</v>
      </c>
    </row>
    <row r="540" spans="1:6" ht="25.5">
      <c r="A540" s="2">
        <v>537</v>
      </c>
      <c r="B540" s="2" t="s">
        <v>594</v>
      </c>
      <c r="C540" s="2" t="str">
        <f>"18961126"</f>
        <v>18961126</v>
      </c>
      <c r="D540" s="2">
        <v>0.25700000000000001</v>
      </c>
      <c r="E540" s="2">
        <v>16</v>
      </c>
      <c r="F540" s="2" t="s">
        <v>169</v>
      </c>
    </row>
    <row r="541" spans="1:6" ht="25.5">
      <c r="A541" s="2">
        <v>538</v>
      </c>
      <c r="B541" s="2" t="s">
        <v>595</v>
      </c>
      <c r="C541" s="2" t="str">
        <f>"18387357"</f>
        <v>18387357</v>
      </c>
      <c r="D541" s="2">
        <v>0.191</v>
      </c>
      <c r="E541" s="2">
        <v>3</v>
      </c>
      <c r="F541" s="2" t="s">
        <v>127</v>
      </c>
    </row>
    <row r="542" spans="1:6" ht="25.5">
      <c r="A542" s="2">
        <v>539</v>
      </c>
      <c r="B542" s="2" t="s">
        <v>596</v>
      </c>
      <c r="C542" s="2" t="str">
        <f>"20441290"</f>
        <v>20441290</v>
      </c>
      <c r="D542" s="2">
        <v>0.13300000000000001</v>
      </c>
      <c r="E542" s="2">
        <v>2</v>
      </c>
      <c r="F542" s="2" t="s">
        <v>16</v>
      </c>
    </row>
    <row r="543" spans="1:6" ht="25.5">
      <c r="A543" s="2">
        <v>540</v>
      </c>
      <c r="B543" s="2" t="s">
        <v>597</v>
      </c>
      <c r="C543" s="2" t="str">
        <f>"16879317"</f>
        <v>16879317</v>
      </c>
      <c r="D543" s="2">
        <v>0</v>
      </c>
      <c r="E543" s="2">
        <v>1</v>
      </c>
      <c r="F543" s="2" t="s">
        <v>523</v>
      </c>
    </row>
    <row r="544" spans="1:6" ht="25.5">
      <c r="A544" s="2">
        <v>541</v>
      </c>
      <c r="B544" s="2" t="s">
        <v>598</v>
      </c>
      <c r="C544" s="2" t="str">
        <f>"00652911"</f>
        <v>00652911</v>
      </c>
      <c r="D544" s="2">
        <v>1.9970000000000001</v>
      </c>
      <c r="E544" s="2">
        <v>42</v>
      </c>
      <c r="F544" s="2" t="s">
        <v>6</v>
      </c>
    </row>
    <row r="545" spans="1:6" ht="25.5">
      <c r="A545" s="2">
        <v>542</v>
      </c>
      <c r="B545" s="2" t="s">
        <v>599</v>
      </c>
      <c r="C545" s="2" t="str">
        <f>"18022308"</f>
        <v>18022308</v>
      </c>
      <c r="D545" s="2">
        <v>0.13400000000000001</v>
      </c>
      <c r="E545" s="2">
        <v>3</v>
      </c>
      <c r="F545" s="2" t="s">
        <v>208</v>
      </c>
    </row>
    <row r="546" spans="1:6" ht="25.5">
      <c r="A546" s="2">
        <v>543</v>
      </c>
      <c r="B546" s="2" t="s">
        <v>600</v>
      </c>
      <c r="C546" s="2" t="str">
        <f>"14703556"</f>
        <v>14703556</v>
      </c>
      <c r="D546" s="2">
        <v>0.11899999999999999</v>
      </c>
      <c r="E546" s="2">
        <v>15</v>
      </c>
      <c r="F546" s="2" t="s">
        <v>6</v>
      </c>
    </row>
    <row r="547" spans="1:6" ht="25.5">
      <c r="A547" s="2">
        <v>544</v>
      </c>
      <c r="B547" s="2" t="s">
        <v>601</v>
      </c>
      <c r="C547" s="2" t="str">
        <f>"12404535"</f>
        <v>12404535</v>
      </c>
      <c r="D547" s="2">
        <v>0.10100000000000001</v>
      </c>
      <c r="E547" s="2">
        <v>3</v>
      </c>
      <c r="F547" s="2" t="s">
        <v>66</v>
      </c>
    </row>
    <row r="548" spans="1:6" ht="25.5">
      <c r="A548" s="2">
        <v>545</v>
      </c>
      <c r="B548" s="2" t="s">
        <v>602</v>
      </c>
      <c r="C548" s="2" t="str">
        <f>"12585769"</f>
        <v>12585769</v>
      </c>
      <c r="D548" s="2">
        <v>0.12</v>
      </c>
      <c r="E548" s="2">
        <v>5</v>
      </c>
      <c r="F548" s="2" t="s">
        <v>66</v>
      </c>
    </row>
    <row r="549" spans="1:6" ht="25.5">
      <c r="A549" s="2">
        <v>546</v>
      </c>
      <c r="B549" s="2" t="s">
        <v>603</v>
      </c>
      <c r="C549" s="2" t="str">
        <f>"12404543"</f>
        <v>12404543</v>
      </c>
      <c r="D549" s="2">
        <v>0.10100000000000001</v>
      </c>
      <c r="E549" s="2">
        <v>4</v>
      </c>
      <c r="F549" s="2" t="s">
        <v>66</v>
      </c>
    </row>
    <row r="550" spans="1:6" ht="25.5">
      <c r="A550" s="2">
        <v>547</v>
      </c>
      <c r="B550" s="2" t="s">
        <v>604</v>
      </c>
      <c r="C550" s="2" t="str">
        <f>"18720854"</f>
        <v>18720854</v>
      </c>
      <c r="D550" s="2">
        <v>0.33600000000000002</v>
      </c>
      <c r="E550" s="2">
        <v>4</v>
      </c>
      <c r="F550" s="2" t="s">
        <v>75</v>
      </c>
    </row>
    <row r="551" spans="1:6" ht="25.5">
      <c r="A551" s="2">
        <v>548</v>
      </c>
      <c r="B551" s="2" t="s">
        <v>605</v>
      </c>
      <c r="C551" s="2" t="str">
        <f>"16875699"</f>
        <v>16875699</v>
      </c>
      <c r="D551" s="2">
        <v>0.49</v>
      </c>
      <c r="E551" s="2">
        <v>7</v>
      </c>
      <c r="F551" s="2" t="s">
        <v>6</v>
      </c>
    </row>
    <row r="552" spans="1:6" ht="25.5">
      <c r="A552" s="2">
        <v>549</v>
      </c>
      <c r="B552" s="2" t="s">
        <v>606</v>
      </c>
      <c r="C552" s="2" t="str">
        <f>"19950772"</f>
        <v>19950772</v>
      </c>
      <c r="D552" s="2">
        <v>0.31</v>
      </c>
      <c r="E552" s="2">
        <v>9</v>
      </c>
      <c r="F552" s="2" t="s">
        <v>557</v>
      </c>
    </row>
    <row r="553" spans="1:6" ht="25.5">
      <c r="A553" s="2">
        <v>550</v>
      </c>
      <c r="B553" s="2" t="s">
        <v>607</v>
      </c>
      <c r="C553" s="2" t="str">
        <f>"15360911"</f>
        <v>15360911</v>
      </c>
      <c r="D553" s="2">
        <v>0.29099999999999998</v>
      </c>
      <c r="E553" s="2">
        <v>20</v>
      </c>
      <c r="F553" s="2" t="s">
        <v>6</v>
      </c>
    </row>
    <row r="554" spans="1:6" ht="25.5">
      <c r="A554" s="2">
        <v>551</v>
      </c>
      <c r="B554" s="2" t="s">
        <v>608</v>
      </c>
      <c r="C554" s="2" t="str">
        <f>"18789498"</f>
        <v>18789498</v>
      </c>
      <c r="D554" s="2">
        <v>0.105</v>
      </c>
      <c r="E554" s="2">
        <v>3</v>
      </c>
      <c r="F554" s="2" t="s">
        <v>75</v>
      </c>
    </row>
    <row r="555" spans="1:6" ht="25.5">
      <c r="A555" s="2">
        <v>552</v>
      </c>
      <c r="B555" s="2" t="s">
        <v>609</v>
      </c>
      <c r="C555" s="2" t="str">
        <f>"1092910X"</f>
        <v>1092910X</v>
      </c>
      <c r="D555" s="2">
        <v>0.16900000000000001</v>
      </c>
      <c r="E555" s="2">
        <v>4</v>
      </c>
      <c r="F555" s="2" t="s">
        <v>6</v>
      </c>
    </row>
    <row r="556" spans="1:6" ht="25.5">
      <c r="A556" s="2">
        <v>553</v>
      </c>
      <c r="B556" s="2" t="s">
        <v>610</v>
      </c>
      <c r="C556" s="2" t="str">
        <f>"15505014"</f>
        <v>15505014</v>
      </c>
      <c r="D556" s="2">
        <v>0.49399999999999999</v>
      </c>
      <c r="E556" s="2">
        <v>36</v>
      </c>
      <c r="F556" s="2" t="s">
        <v>6</v>
      </c>
    </row>
    <row r="557" spans="1:6" ht="25.5">
      <c r="A557" s="2">
        <v>554</v>
      </c>
      <c r="B557" s="2" t="s">
        <v>611</v>
      </c>
      <c r="C557" s="2" t="str">
        <f>"21565376"</f>
        <v>21565376</v>
      </c>
      <c r="D557" s="2">
        <v>0.67</v>
      </c>
      <c r="E557" s="2">
        <v>8</v>
      </c>
      <c r="F557" s="2" t="s">
        <v>6</v>
      </c>
    </row>
    <row r="558" spans="1:6" ht="25.5">
      <c r="A558" s="2">
        <v>555</v>
      </c>
      <c r="B558" s="2" t="s">
        <v>612</v>
      </c>
      <c r="C558" s="2" t="str">
        <f>"16879155"</f>
        <v>16879155</v>
      </c>
      <c r="D558" s="2">
        <v>0.17799999999999999</v>
      </c>
      <c r="E558" s="2">
        <v>3</v>
      </c>
      <c r="F558" s="2" t="s">
        <v>6</v>
      </c>
    </row>
    <row r="559" spans="1:6" ht="25.5">
      <c r="A559" s="2">
        <v>556</v>
      </c>
      <c r="B559" s="2" t="s">
        <v>613</v>
      </c>
      <c r="C559" s="2" t="str">
        <f>"19438206"</f>
        <v>19438206</v>
      </c>
      <c r="D559" s="2">
        <v>11.326000000000001</v>
      </c>
      <c r="E559" s="2">
        <v>19</v>
      </c>
      <c r="F559" s="2" t="s">
        <v>6</v>
      </c>
    </row>
    <row r="560" spans="1:6" ht="25.5">
      <c r="A560" s="2">
        <v>557</v>
      </c>
      <c r="B560" s="2" t="s">
        <v>614</v>
      </c>
      <c r="C560" s="2" t="str">
        <f>"16875648"</f>
        <v>16875648</v>
      </c>
      <c r="D560" s="2">
        <v>0.41499999999999998</v>
      </c>
      <c r="E560" s="2">
        <v>10</v>
      </c>
      <c r="F560" s="2" t="s">
        <v>6</v>
      </c>
    </row>
    <row r="561" spans="1:6" ht="25.5">
      <c r="A561" s="2">
        <v>558</v>
      </c>
      <c r="B561" s="2" t="s">
        <v>615</v>
      </c>
      <c r="C561" s="2" t="str">
        <f>"00653055"</f>
        <v>00653055</v>
      </c>
      <c r="D561" s="2">
        <v>1.6950000000000001</v>
      </c>
      <c r="E561" s="2">
        <v>42</v>
      </c>
      <c r="F561" s="2" t="s">
        <v>6</v>
      </c>
    </row>
    <row r="562" spans="1:6" ht="25.5">
      <c r="A562" s="2">
        <v>559</v>
      </c>
      <c r="B562" s="2" t="s">
        <v>616</v>
      </c>
      <c r="C562" s="2" t="str">
        <f>"16622847"</f>
        <v>16622847</v>
      </c>
      <c r="D562" s="2">
        <v>0.622</v>
      </c>
      <c r="E562" s="2">
        <v>22</v>
      </c>
      <c r="F562" s="2" t="s">
        <v>31</v>
      </c>
    </row>
    <row r="563" spans="1:6" ht="25.5">
      <c r="A563" s="2">
        <v>560</v>
      </c>
      <c r="B563" s="2" t="s">
        <v>617</v>
      </c>
      <c r="C563" s="2" t="str">
        <f>"0065308X"</f>
        <v>0065308X</v>
      </c>
      <c r="D563" s="2">
        <v>0.95599999999999996</v>
      </c>
      <c r="E563" s="2">
        <v>59</v>
      </c>
      <c r="F563" s="2" t="s">
        <v>6</v>
      </c>
    </row>
    <row r="564" spans="1:6" ht="25.5">
      <c r="A564" s="2">
        <v>561</v>
      </c>
      <c r="B564" s="2" t="s">
        <v>618</v>
      </c>
      <c r="C564" s="2" t="str">
        <f>"00653101"</f>
        <v>00653101</v>
      </c>
      <c r="D564" s="2">
        <v>0.40899999999999997</v>
      </c>
      <c r="E564" s="2">
        <v>24</v>
      </c>
      <c r="F564" s="2" t="s">
        <v>6</v>
      </c>
    </row>
    <row r="565" spans="1:6" ht="25.5">
      <c r="A565" s="2">
        <v>562</v>
      </c>
      <c r="B565" s="2" t="s">
        <v>619</v>
      </c>
      <c r="C565" s="2" t="str">
        <f>"11978554"</f>
        <v>11978554</v>
      </c>
      <c r="D565" s="2">
        <v>0.26300000000000001</v>
      </c>
      <c r="E565" s="2">
        <v>25</v>
      </c>
      <c r="F565" s="2" t="s">
        <v>64</v>
      </c>
    </row>
    <row r="566" spans="1:6" ht="25.5">
      <c r="A566" s="2">
        <v>563</v>
      </c>
      <c r="B566" s="2" t="s">
        <v>620</v>
      </c>
      <c r="C566" s="2" t="str">
        <f>"16876342"</f>
        <v>16876342</v>
      </c>
      <c r="D566" s="2">
        <v>0.36399999999999999</v>
      </c>
      <c r="E566" s="2">
        <v>5</v>
      </c>
      <c r="F566" s="2" t="s">
        <v>6</v>
      </c>
    </row>
    <row r="567" spans="1:6" ht="25.5">
      <c r="A567" s="2">
        <v>564</v>
      </c>
      <c r="B567" s="2" t="s">
        <v>621</v>
      </c>
      <c r="C567" s="2" t="str">
        <f>"10543589"</f>
        <v>10543589</v>
      </c>
      <c r="D567" s="2">
        <v>1.782</v>
      </c>
      <c r="E567" s="2">
        <v>53</v>
      </c>
      <c r="F567" s="2" t="s">
        <v>6</v>
      </c>
    </row>
    <row r="568" spans="1:6" ht="25.5">
      <c r="A568" s="2">
        <v>565</v>
      </c>
      <c r="B568" s="2" t="s">
        <v>622</v>
      </c>
      <c r="C568" s="2" t="str">
        <f>"16877985"</f>
        <v>16877985</v>
      </c>
      <c r="D568" s="2">
        <v>0.16300000000000001</v>
      </c>
      <c r="E568" s="2">
        <v>2</v>
      </c>
      <c r="F568" s="2" t="s">
        <v>6</v>
      </c>
    </row>
    <row r="569" spans="1:6" ht="25.5">
      <c r="A569" s="2">
        <v>566</v>
      </c>
      <c r="B569" s="2" t="s">
        <v>623</v>
      </c>
      <c r="C569" s="2" t="str">
        <f>"00653160"</f>
        <v>00653160</v>
      </c>
      <c r="D569" s="2">
        <v>0.77400000000000002</v>
      </c>
      <c r="E569" s="2">
        <v>23</v>
      </c>
      <c r="F569" s="2" t="s">
        <v>6</v>
      </c>
    </row>
    <row r="570" spans="1:6" ht="25.5">
      <c r="A570" s="2">
        <v>567</v>
      </c>
      <c r="B570" s="2" t="s">
        <v>624</v>
      </c>
      <c r="C570" s="2" t="str">
        <f>"14606976"</f>
        <v>14606976</v>
      </c>
      <c r="D570" s="2">
        <v>24.812999999999999</v>
      </c>
      <c r="E570" s="2">
        <v>74</v>
      </c>
      <c r="F570" s="2" t="s">
        <v>16</v>
      </c>
    </row>
    <row r="571" spans="1:6" ht="25.5">
      <c r="A571" s="2">
        <v>568</v>
      </c>
      <c r="B571" s="2" t="s">
        <v>625</v>
      </c>
      <c r="C571" s="2" t="str">
        <f>"16511948"</f>
        <v>16511948</v>
      </c>
      <c r="D571" s="2">
        <v>0.25700000000000001</v>
      </c>
      <c r="E571" s="2">
        <v>13</v>
      </c>
      <c r="F571" s="2" t="s">
        <v>16</v>
      </c>
    </row>
    <row r="572" spans="1:6" ht="25.5">
      <c r="A572" s="2">
        <v>569</v>
      </c>
      <c r="B572" s="2" t="s">
        <v>626</v>
      </c>
      <c r="C572" s="2" t="str">
        <f>"15544516"</f>
        <v>15544516</v>
      </c>
      <c r="D572" s="2">
        <v>0.154</v>
      </c>
      <c r="E572" s="2">
        <v>7</v>
      </c>
      <c r="F572" s="2" t="s">
        <v>75</v>
      </c>
    </row>
    <row r="573" spans="1:6" ht="25.5">
      <c r="A573" s="2">
        <v>570</v>
      </c>
      <c r="B573" s="2" t="s">
        <v>627</v>
      </c>
      <c r="C573" s="2" t="str">
        <f>"00653195"</f>
        <v>00653195</v>
      </c>
      <c r="D573" s="2">
        <v>1.3959999999999999</v>
      </c>
      <c r="E573" s="2">
        <v>71</v>
      </c>
      <c r="F573" s="2" t="s">
        <v>6</v>
      </c>
    </row>
    <row r="574" spans="1:6" ht="25.5">
      <c r="A574" s="2">
        <v>571</v>
      </c>
      <c r="B574" s="2" t="s">
        <v>628</v>
      </c>
      <c r="C574" s="2" t="str">
        <f>"10982329"</f>
        <v>10982329</v>
      </c>
      <c r="D574" s="2">
        <v>0.36199999999999999</v>
      </c>
      <c r="E574" s="2">
        <v>23</v>
      </c>
      <c r="F574" s="2" t="s">
        <v>6</v>
      </c>
    </row>
    <row r="575" spans="1:6" ht="25.5">
      <c r="A575" s="2">
        <v>572</v>
      </c>
      <c r="B575" s="2" t="s">
        <v>629</v>
      </c>
      <c r="C575" s="2" t="str">
        <f>"18761631"</f>
        <v>18761631</v>
      </c>
      <c r="D575" s="2">
        <v>1.335</v>
      </c>
      <c r="E575" s="2">
        <v>56</v>
      </c>
      <c r="F575" s="2" t="s">
        <v>6</v>
      </c>
    </row>
    <row r="576" spans="1:6" ht="25.5">
      <c r="A576" s="2">
        <v>573</v>
      </c>
      <c r="B576" s="2" t="s">
        <v>630</v>
      </c>
      <c r="C576" s="2" t="str">
        <f>"14721481"</f>
        <v>14721481</v>
      </c>
      <c r="D576" s="2">
        <v>0.23899999999999999</v>
      </c>
      <c r="E576" s="2">
        <v>25</v>
      </c>
      <c r="F576" s="2" t="s">
        <v>16</v>
      </c>
    </row>
    <row r="577" spans="1:6" ht="25.5">
      <c r="A577" s="2">
        <v>574</v>
      </c>
      <c r="B577" s="2" t="s">
        <v>631</v>
      </c>
      <c r="C577" s="2" t="str">
        <f>"16622855"</f>
        <v>16622855</v>
      </c>
      <c r="D577" s="2">
        <v>0.47199999999999998</v>
      </c>
      <c r="E577" s="2">
        <v>13</v>
      </c>
      <c r="F577" s="2" t="s">
        <v>31</v>
      </c>
    </row>
    <row r="578" spans="1:6" ht="25.5">
      <c r="A578" s="2">
        <v>575</v>
      </c>
      <c r="B578" s="2" t="s">
        <v>632</v>
      </c>
      <c r="C578" s="2" t="str">
        <f>"18671152"</f>
        <v>18671152</v>
      </c>
      <c r="D578" s="2">
        <v>0.25600000000000001</v>
      </c>
      <c r="E578" s="2">
        <v>3</v>
      </c>
      <c r="F578" s="2" t="s">
        <v>12</v>
      </c>
    </row>
    <row r="579" spans="1:6" ht="25.5">
      <c r="A579" s="2">
        <v>576</v>
      </c>
      <c r="B579" s="2" t="s">
        <v>633</v>
      </c>
      <c r="C579" s="2" t="str">
        <f>"00653276"</f>
        <v>00653276</v>
      </c>
      <c r="D579" s="2">
        <v>0.28999999999999998</v>
      </c>
      <c r="E579" s="2">
        <v>28</v>
      </c>
      <c r="F579" s="2" t="s">
        <v>6</v>
      </c>
    </row>
    <row r="580" spans="1:6" ht="25.5">
      <c r="A580" s="2">
        <v>577</v>
      </c>
      <c r="B580" s="2" t="s">
        <v>634</v>
      </c>
      <c r="C580" s="2" t="str">
        <f>"16849965"</f>
        <v>16849965</v>
      </c>
      <c r="D580" s="2">
        <v>0.14399999999999999</v>
      </c>
      <c r="E580" s="2">
        <v>8</v>
      </c>
      <c r="F580" s="2" t="s">
        <v>12</v>
      </c>
    </row>
    <row r="581" spans="1:6" ht="25.5">
      <c r="A581" s="2">
        <v>578</v>
      </c>
      <c r="B581" s="2" t="s">
        <v>635</v>
      </c>
      <c r="C581" s="2" t="str">
        <f>"15694895"</f>
        <v>15694895</v>
      </c>
      <c r="D581" s="2">
        <v>0.1</v>
      </c>
      <c r="E581" s="2">
        <v>3</v>
      </c>
      <c r="F581" s="2" t="s">
        <v>6</v>
      </c>
    </row>
    <row r="582" spans="1:6" ht="25.5">
      <c r="A582" s="2">
        <v>579</v>
      </c>
      <c r="B582" s="2" t="s">
        <v>636</v>
      </c>
      <c r="C582" s="2" t="str">
        <f>"15388654"</f>
        <v>15388654</v>
      </c>
      <c r="D582" s="2">
        <v>0.47</v>
      </c>
      <c r="E582" s="2">
        <v>33</v>
      </c>
      <c r="F582" s="2" t="s">
        <v>6</v>
      </c>
    </row>
    <row r="583" spans="1:6" ht="25.5">
      <c r="A583" s="2">
        <v>580</v>
      </c>
      <c r="B583" s="2" t="s">
        <v>637</v>
      </c>
      <c r="C583" s="2" t="str">
        <f>"10417826"</f>
        <v>10417826</v>
      </c>
      <c r="D583" s="2">
        <v>0.10100000000000001</v>
      </c>
      <c r="E583" s="2">
        <v>1</v>
      </c>
      <c r="F583" s="2" t="s">
        <v>16</v>
      </c>
    </row>
    <row r="584" spans="1:6" ht="25.5">
      <c r="A584" s="2">
        <v>581</v>
      </c>
      <c r="B584" s="2" t="s">
        <v>638</v>
      </c>
      <c r="C584" s="2" t="str">
        <f>"18600794"</f>
        <v>18600794</v>
      </c>
      <c r="D584" s="2">
        <v>0.13500000000000001</v>
      </c>
      <c r="E584" s="2">
        <v>9</v>
      </c>
      <c r="F584" s="2" t="s">
        <v>12</v>
      </c>
    </row>
    <row r="585" spans="1:6" ht="25.5">
      <c r="A585" s="2">
        <v>582</v>
      </c>
      <c r="B585" s="2" t="s">
        <v>639</v>
      </c>
      <c r="C585" s="2" t="str">
        <f>"02731177"</f>
        <v>02731177</v>
      </c>
      <c r="D585" s="2">
        <v>0.53300000000000003</v>
      </c>
      <c r="E585" s="2">
        <v>48</v>
      </c>
      <c r="F585" s="2" t="s">
        <v>16</v>
      </c>
    </row>
    <row r="586" spans="1:6" ht="25.5">
      <c r="A586" s="2">
        <v>583</v>
      </c>
      <c r="B586" s="2" t="s">
        <v>640</v>
      </c>
      <c r="C586" s="2" t="str">
        <f>"02704013"</f>
        <v>02704013</v>
      </c>
      <c r="D586" s="2">
        <v>0.10100000000000001</v>
      </c>
      <c r="E586" s="2">
        <v>2</v>
      </c>
      <c r="F586" s="2" t="s">
        <v>6</v>
      </c>
    </row>
    <row r="587" spans="1:6" ht="25.5">
      <c r="A587" s="2">
        <v>584</v>
      </c>
      <c r="B587" s="2" t="s">
        <v>641</v>
      </c>
      <c r="C587" s="2" t="str">
        <f>"13694332"</f>
        <v>13694332</v>
      </c>
      <c r="D587" s="2">
        <v>0.50800000000000001</v>
      </c>
      <c r="E587" s="2">
        <v>17</v>
      </c>
      <c r="F587" s="2" t="s">
        <v>16</v>
      </c>
    </row>
    <row r="588" spans="1:6" ht="25.5">
      <c r="A588" s="2">
        <v>585</v>
      </c>
      <c r="B588" s="2" t="s">
        <v>642</v>
      </c>
      <c r="C588" s="2" t="str">
        <f>"00653411"</f>
        <v>00653411</v>
      </c>
      <c r="D588" s="2">
        <v>0.82299999999999995</v>
      </c>
      <c r="E588" s="2">
        <v>21</v>
      </c>
      <c r="F588" s="2" t="s">
        <v>6</v>
      </c>
    </row>
    <row r="589" spans="1:6" ht="25.5">
      <c r="A589" s="2">
        <v>586</v>
      </c>
      <c r="B589" s="2" t="s">
        <v>643</v>
      </c>
      <c r="C589" s="2" t="str">
        <f>"00653438"</f>
        <v>00653438</v>
      </c>
      <c r="D589" s="2">
        <v>0.14399999999999999</v>
      </c>
      <c r="E589" s="2">
        <v>19</v>
      </c>
      <c r="F589" s="2" t="s">
        <v>6</v>
      </c>
    </row>
    <row r="590" spans="1:6" ht="25.5">
      <c r="A590" s="2">
        <v>587</v>
      </c>
      <c r="B590" s="2" t="s">
        <v>644</v>
      </c>
      <c r="C590" s="2" t="str">
        <f>"10950761"</f>
        <v>10950761</v>
      </c>
      <c r="D590" s="2">
        <v>0.624</v>
      </c>
      <c r="E590" s="2">
        <v>50</v>
      </c>
      <c r="F590" s="2" t="s">
        <v>6</v>
      </c>
    </row>
    <row r="591" spans="1:6" ht="25.5">
      <c r="A591" s="2">
        <v>588</v>
      </c>
      <c r="B591" s="2" t="s">
        <v>645</v>
      </c>
      <c r="C591" s="2" t="str">
        <f>"0741238X"</f>
        <v>0741238X</v>
      </c>
      <c r="D591" s="2">
        <v>0.55500000000000005</v>
      </c>
      <c r="E591" s="2">
        <v>33</v>
      </c>
      <c r="F591" s="2" t="s">
        <v>6</v>
      </c>
    </row>
    <row r="592" spans="1:6" ht="25.5">
      <c r="A592" s="2">
        <v>589</v>
      </c>
      <c r="B592" s="2" t="s">
        <v>646</v>
      </c>
      <c r="C592" s="2" t="str">
        <f>"00653454"</f>
        <v>00653454</v>
      </c>
      <c r="D592" s="2">
        <v>2.847</v>
      </c>
      <c r="E592" s="2">
        <v>46</v>
      </c>
      <c r="F592" s="2" t="s">
        <v>6</v>
      </c>
    </row>
    <row r="593" spans="1:6" ht="25.5">
      <c r="A593" s="2">
        <v>590</v>
      </c>
      <c r="B593" s="2" t="s">
        <v>647</v>
      </c>
      <c r="C593" s="2" t="str">
        <f>"18245463"</f>
        <v>18245463</v>
      </c>
      <c r="D593" s="2">
        <v>0.14399999999999999</v>
      </c>
      <c r="E593" s="2">
        <v>2</v>
      </c>
      <c r="F593" s="2" t="s">
        <v>190</v>
      </c>
    </row>
    <row r="594" spans="1:6" ht="25.5">
      <c r="A594" s="2">
        <v>591</v>
      </c>
      <c r="B594" s="2" t="s">
        <v>648</v>
      </c>
      <c r="C594" s="2" t="str">
        <f>"16875915"</f>
        <v>16875915</v>
      </c>
      <c r="D594" s="2">
        <v>0.14599999999999999</v>
      </c>
      <c r="E594" s="2">
        <v>3</v>
      </c>
      <c r="F594" s="2" t="s">
        <v>523</v>
      </c>
    </row>
    <row r="595" spans="1:6" ht="25.5">
      <c r="A595" s="2">
        <v>592</v>
      </c>
      <c r="B595" s="2" t="s">
        <v>649</v>
      </c>
      <c r="C595" s="2" t="str">
        <f>"16876377"</f>
        <v>16876377</v>
      </c>
      <c r="D595" s="2">
        <v>0.27600000000000002</v>
      </c>
      <c r="E595" s="2">
        <v>7</v>
      </c>
      <c r="F595" s="2" t="s">
        <v>6</v>
      </c>
    </row>
    <row r="596" spans="1:6" ht="25.5">
      <c r="A596" s="2">
        <v>593</v>
      </c>
      <c r="B596" s="2" t="s">
        <v>650</v>
      </c>
      <c r="C596" s="2" t="str">
        <f>"09725768"</f>
        <v>09725768</v>
      </c>
      <c r="D596" s="2">
        <v>0.38900000000000001</v>
      </c>
      <c r="E596" s="2">
        <v>3</v>
      </c>
      <c r="F596" s="2" t="s">
        <v>488</v>
      </c>
    </row>
    <row r="597" spans="1:6" ht="25.5">
      <c r="A597" s="2">
        <v>594</v>
      </c>
      <c r="B597" s="2" t="s">
        <v>651</v>
      </c>
      <c r="C597" s="2" t="str">
        <f>"16878647"</f>
        <v>16878647</v>
      </c>
      <c r="D597" s="2">
        <v>0.40200000000000002</v>
      </c>
      <c r="E597" s="2">
        <v>5</v>
      </c>
      <c r="F597" s="2" t="s">
        <v>6</v>
      </c>
    </row>
    <row r="598" spans="1:6" ht="25.5">
      <c r="A598" s="2">
        <v>595</v>
      </c>
      <c r="B598" s="2" t="s">
        <v>652</v>
      </c>
      <c r="C598" s="2" t="str">
        <f>"00653527"</f>
        <v>00653527</v>
      </c>
      <c r="D598" s="2">
        <v>1.806</v>
      </c>
      <c r="E598" s="2">
        <v>58</v>
      </c>
      <c r="F598" s="2" t="s">
        <v>6</v>
      </c>
    </row>
    <row r="599" spans="1:6" ht="25.5">
      <c r="A599" s="2">
        <v>596</v>
      </c>
      <c r="B599" s="2" t="s">
        <v>653</v>
      </c>
      <c r="C599" s="2" t="str">
        <f>"03091708"</f>
        <v>03091708</v>
      </c>
      <c r="D599" s="2">
        <v>1.35</v>
      </c>
      <c r="E599" s="2">
        <v>67</v>
      </c>
      <c r="F599" s="2" t="s">
        <v>16</v>
      </c>
    </row>
    <row r="600" spans="1:6">
      <c r="A600" s="2">
        <v>597</v>
      </c>
      <c r="B600" s="2" t="s">
        <v>654</v>
      </c>
      <c r="C600" s="2" t="str">
        <f>"0"</f>
        <v>0</v>
      </c>
      <c r="D600" s="2">
        <v>0.13700000000000001</v>
      </c>
      <c r="E600" s="2">
        <v>9</v>
      </c>
      <c r="F600" s="2" t="s">
        <v>6</v>
      </c>
    </row>
    <row r="601" spans="1:6" ht="25.5">
      <c r="A601" s="2">
        <v>598</v>
      </c>
      <c r="B601" s="2" t="s">
        <v>655</v>
      </c>
      <c r="C601" s="2" t="str">
        <f>"00446394"</f>
        <v>00446394</v>
      </c>
      <c r="D601" s="2">
        <v>0.10100000000000001</v>
      </c>
      <c r="E601" s="2">
        <v>6</v>
      </c>
      <c r="F601" s="2" t="s">
        <v>6</v>
      </c>
    </row>
    <row r="602" spans="1:6" ht="25.5">
      <c r="A602" s="2">
        <v>599</v>
      </c>
      <c r="B602" s="2" t="s">
        <v>656</v>
      </c>
      <c r="C602" s="2" t="str">
        <f>"11100168"</f>
        <v>11100168</v>
      </c>
      <c r="D602" s="2">
        <v>0.17499999999999999</v>
      </c>
      <c r="E602" s="2">
        <v>5</v>
      </c>
      <c r="F602" s="2" t="s">
        <v>523</v>
      </c>
    </row>
    <row r="603" spans="1:6" ht="25.5">
      <c r="A603" s="2">
        <v>600</v>
      </c>
      <c r="B603" s="2" t="s">
        <v>657</v>
      </c>
      <c r="C603" s="2" t="str">
        <f>"18759637"</f>
        <v>18759637</v>
      </c>
      <c r="D603" s="2">
        <v>1.0780000000000001</v>
      </c>
      <c r="E603" s="2">
        <v>9</v>
      </c>
      <c r="F603" s="2" t="s">
        <v>16</v>
      </c>
    </row>
    <row r="604" spans="1:6" ht="25.5">
      <c r="A604" s="2">
        <v>601</v>
      </c>
      <c r="B604" s="2" t="s">
        <v>658</v>
      </c>
      <c r="C604" s="2" t="str">
        <f>"14208903"</f>
        <v>14208903</v>
      </c>
      <c r="D604" s="2">
        <v>0.48499999999999999</v>
      </c>
      <c r="E604" s="2">
        <v>19</v>
      </c>
      <c r="F604" s="2" t="s">
        <v>31</v>
      </c>
    </row>
    <row r="605" spans="1:6" ht="25.5">
      <c r="A605" s="2">
        <v>602</v>
      </c>
      <c r="B605" s="2" t="s">
        <v>659</v>
      </c>
      <c r="C605" s="2" t="str">
        <f>"03935965"</f>
        <v>03935965</v>
      </c>
      <c r="D605" s="2">
        <v>0.56599999999999995</v>
      </c>
      <c r="E605" s="2">
        <v>27</v>
      </c>
      <c r="F605" s="2" t="s">
        <v>75</v>
      </c>
    </row>
    <row r="606" spans="1:6" ht="25.5">
      <c r="A606" s="2">
        <v>603</v>
      </c>
      <c r="B606" s="2" t="s">
        <v>660</v>
      </c>
      <c r="C606" s="2" t="str">
        <f>"00019240"</f>
        <v>00019240</v>
      </c>
      <c r="D606" s="2">
        <v>0.32100000000000001</v>
      </c>
      <c r="E606" s="2">
        <v>24</v>
      </c>
      <c r="F606" s="2" t="s">
        <v>16</v>
      </c>
    </row>
    <row r="607" spans="1:6" ht="25.5">
      <c r="A607" s="2">
        <v>604</v>
      </c>
      <c r="B607" s="2" t="s">
        <v>661</v>
      </c>
      <c r="C607" s="2" t="str">
        <f>"16808584"</f>
        <v>16808584</v>
      </c>
      <c r="D607" s="2">
        <v>0.90300000000000002</v>
      </c>
      <c r="E607" s="2">
        <v>15</v>
      </c>
      <c r="F607" s="2" t="s">
        <v>165</v>
      </c>
    </row>
    <row r="608" spans="1:6" ht="25.5">
      <c r="A608" s="2">
        <v>605</v>
      </c>
      <c r="B608" s="2" t="s">
        <v>662</v>
      </c>
      <c r="C608" s="2" t="str">
        <f>"15217388"</f>
        <v>15217388</v>
      </c>
      <c r="D608" s="2">
        <v>1.37</v>
      </c>
      <c r="E608" s="2">
        <v>64</v>
      </c>
      <c r="F608" s="2" t="s">
        <v>16</v>
      </c>
    </row>
    <row r="609" spans="1:6" ht="25.5">
      <c r="A609" s="2">
        <v>606</v>
      </c>
      <c r="B609" s="2" t="s">
        <v>663</v>
      </c>
      <c r="C609" s="2" t="str">
        <f>"12709638"</f>
        <v>12709638</v>
      </c>
      <c r="D609" s="2">
        <v>0.629</v>
      </c>
      <c r="E609" s="2">
        <v>33</v>
      </c>
      <c r="F609" s="2" t="s">
        <v>190</v>
      </c>
    </row>
    <row r="610" spans="1:6" ht="25.5">
      <c r="A610" s="2">
        <v>607</v>
      </c>
      <c r="B610" s="2" t="s">
        <v>664</v>
      </c>
      <c r="C610" s="2" t="str">
        <f>"15494950"</f>
        <v>15494950</v>
      </c>
      <c r="D610" s="2">
        <v>0.34300000000000003</v>
      </c>
      <c r="E610" s="2">
        <v>36</v>
      </c>
      <c r="F610" s="2" t="s">
        <v>6</v>
      </c>
    </row>
    <row r="611" spans="1:6" ht="25.5">
      <c r="A611" s="2">
        <v>608</v>
      </c>
      <c r="B611" s="2" t="s">
        <v>665</v>
      </c>
      <c r="C611" s="2" t="str">
        <f>"14325241"</f>
        <v>14325241</v>
      </c>
      <c r="D611" s="2">
        <v>0.96199999999999997</v>
      </c>
      <c r="E611" s="2">
        <v>38</v>
      </c>
      <c r="F611" s="2" t="s">
        <v>6</v>
      </c>
    </row>
    <row r="612" spans="1:6" ht="25.5">
      <c r="A612" s="2">
        <v>609</v>
      </c>
      <c r="B612" s="2" t="s">
        <v>666</v>
      </c>
      <c r="C612" s="2" t="str">
        <f>"1527330X"</f>
        <v>1527330X</v>
      </c>
      <c r="D612" s="2">
        <v>0.94799999999999995</v>
      </c>
      <c r="E612" s="2">
        <v>25</v>
      </c>
      <c r="F612" s="2" t="s">
        <v>6</v>
      </c>
    </row>
    <row r="613" spans="1:6" ht="25.5">
      <c r="A613" s="2">
        <v>610</v>
      </c>
      <c r="B613" s="2" t="s">
        <v>667</v>
      </c>
      <c r="C613" s="2" t="str">
        <f>"16180399"</f>
        <v>16180399</v>
      </c>
      <c r="D613" s="2">
        <v>0.36199999999999999</v>
      </c>
      <c r="E613" s="2">
        <v>26</v>
      </c>
      <c r="F613" s="2" t="s">
        <v>12</v>
      </c>
    </row>
    <row r="614" spans="1:6" ht="25.5">
      <c r="A614" s="2">
        <v>611</v>
      </c>
      <c r="B614" s="2" t="s">
        <v>668</v>
      </c>
      <c r="C614" s="2" t="str">
        <f>"1827787X"</f>
        <v>1827787X</v>
      </c>
      <c r="D614" s="2">
        <v>0.123</v>
      </c>
      <c r="E614" s="2">
        <v>4</v>
      </c>
      <c r="F614" s="2" t="s">
        <v>190</v>
      </c>
    </row>
    <row r="615" spans="1:6" ht="25.5">
      <c r="A615" s="2">
        <v>612</v>
      </c>
      <c r="B615" s="2" t="s">
        <v>669</v>
      </c>
      <c r="C615" s="2" t="str">
        <f>"08861099"</f>
        <v>08861099</v>
      </c>
      <c r="D615" s="2">
        <v>0.35199999999999998</v>
      </c>
      <c r="E615" s="2">
        <v>15</v>
      </c>
      <c r="F615" s="2" t="s">
        <v>6</v>
      </c>
    </row>
    <row r="616" spans="1:6" ht="25.5">
      <c r="A616" s="2">
        <v>613</v>
      </c>
      <c r="B616" s="2" t="s">
        <v>670</v>
      </c>
      <c r="C616" s="2" t="str">
        <f>"00019704"</f>
        <v>00019704</v>
      </c>
      <c r="D616" s="2">
        <v>0.14299999999999999</v>
      </c>
      <c r="E616" s="2">
        <v>12</v>
      </c>
      <c r="F616" s="2" t="s">
        <v>351</v>
      </c>
    </row>
    <row r="617" spans="1:6" ht="25.5">
      <c r="A617" s="2">
        <v>614</v>
      </c>
      <c r="B617" s="2" t="s">
        <v>671</v>
      </c>
      <c r="C617" s="2" t="str">
        <f>"00019720"</f>
        <v>00019720</v>
      </c>
      <c r="D617" s="2">
        <v>0.89200000000000002</v>
      </c>
      <c r="E617" s="2">
        <v>18</v>
      </c>
      <c r="F617" s="2" t="s">
        <v>16</v>
      </c>
    </row>
    <row r="618" spans="1:6" ht="25.5">
      <c r="A618" s="2">
        <v>615</v>
      </c>
      <c r="B618" s="2" t="s">
        <v>672</v>
      </c>
      <c r="C618" s="2" t="str">
        <f>"17446767"</f>
        <v>17446767</v>
      </c>
      <c r="D618" s="2">
        <v>0.1</v>
      </c>
      <c r="E618" s="2">
        <v>1</v>
      </c>
      <c r="F618" s="2" t="s">
        <v>16</v>
      </c>
    </row>
    <row r="619" spans="1:6" ht="25.5">
      <c r="A619" s="2">
        <v>616</v>
      </c>
      <c r="B619" s="2" t="s">
        <v>673</v>
      </c>
      <c r="C619" s="2" t="str">
        <f>"08503907"</f>
        <v>08503907</v>
      </c>
      <c r="D619" s="2">
        <v>0.129</v>
      </c>
      <c r="E619" s="2">
        <v>3</v>
      </c>
      <c r="F619" s="2" t="s">
        <v>674</v>
      </c>
    </row>
    <row r="620" spans="1:6" ht="25.5">
      <c r="A620" s="2">
        <v>617</v>
      </c>
      <c r="B620" s="2" t="s">
        <v>675</v>
      </c>
      <c r="C620" s="2" t="str">
        <f>"16825055"</f>
        <v>16825055</v>
      </c>
      <c r="D620" s="2">
        <v>0.115</v>
      </c>
      <c r="E620" s="2">
        <v>3</v>
      </c>
      <c r="F620" s="2" t="s">
        <v>410</v>
      </c>
    </row>
    <row r="621" spans="1:6" ht="25.5">
      <c r="A621" s="2">
        <v>618</v>
      </c>
      <c r="B621" s="2" t="s">
        <v>676</v>
      </c>
      <c r="C621" s="2" t="str">
        <f>"14682621"</f>
        <v>14682621</v>
      </c>
      <c r="D621" s="2">
        <v>1.825</v>
      </c>
      <c r="E621" s="2">
        <v>27</v>
      </c>
      <c r="F621" s="2" t="s">
        <v>16</v>
      </c>
    </row>
    <row r="622" spans="1:6" ht="25.5">
      <c r="A622" s="2">
        <v>619</v>
      </c>
      <c r="B622" s="2" t="s">
        <v>677</v>
      </c>
      <c r="C622" s="2" t="str">
        <f>"00654124"</f>
        <v>00654124</v>
      </c>
      <c r="D622" s="2">
        <v>0.32300000000000001</v>
      </c>
      <c r="E622" s="2">
        <v>2</v>
      </c>
      <c r="F622" s="2" t="s">
        <v>161</v>
      </c>
    </row>
    <row r="623" spans="1:6" ht="25.5">
      <c r="A623" s="2">
        <v>620</v>
      </c>
      <c r="B623" s="2" t="s">
        <v>678</v>
      </c>
      <c r="C623" s="2" t="str">
        <f>"15692094"</f>
        <v>15692094</v>
      </c>
      <c r="D623" s="2">
        <v>0.30499999999999999</v>
      </c>
      <c r="E623" s="2">
        <v>5</v>
      </c>
      <c r="F623" s="2" t="s">
        <v>75</v>
      </c>
    </row>
    <row r="624" spans="1:6" ht="25.5">
      <c r="A624" s="2">
        <v>621</v>
      </c>
      <c r="B624" s="2" t="s">
        <v>679</v>
      </c>
      <c r="C624" s="2" t="str">
        <f>"17528631"</f>
        <v>17528631</v>
      </c>
      <c r="D624" s="2">
        <v>0.23499999999999999</v>
      </c>
      <c r="E624" s="2">
        <v>2</v>
      </c>
      <c r="F624" s="2" t="s">
        <v>16</v>
      </c>
    </row>
    <row r="625" spans="1:6" ht="25.5">
      <c r="A625" s="2">
        <v>622</v>
      </c>
      <c r="B625" s="2" t="s">
        <v>680</v>
      </c>
      <c r="C625" s="2" t="str">
        <f>"02630338"</f>
        <v>02630338</v>
      </c>
      <c r="D625" s="2">
        <v>0.54100000000000004</v>
      </c>
      <c r="E625" s="2">
        <v>18</v>
      </c>
      <c r="F625" s="2" t="s">
        <v>6</v>
      </c>
    </row>
    <row r="626" spans="1:6" ht="25.5">
      <c r="A626" s="2">
        <v>623</v>
      </c>
      <c r="B626" s="2" t="s">
        <v>681</v>
      </c>
      <c r="C626" s="2" t="str">
        <f>"19372108"</f>
        <v>19372108</v>
      </c>
      <c r="D626" s="2">
        <v>0.159</v>
      </c>
      <c r="E626" s="2">
        <v>4</v>
      </c>
      <c r="F626" s="2" t="s">
        <v>6</v>
      </c>
    </row>
    <row r="627" spans="1:6" ht="25.5">
      <c r="A627" s="2">
        <v>624</v>
      </c>
      <c r="B627" s="2" t="s">
        <v>682</v>
      </c>
      <c r="C627" s="2" t="str">
        <f>"14678268"</f>
        <v>14678268</v>
      </c>
      <c r="D627" s="2">
        <v>0.48499999999999999</v>
      </c>
      <c r="E627" s="2">
        <v>11</v>
      </c>
      <c r="F627" s="2" t="s">
        <v>16</v>
      </c>
    </row>
    <row r="628" spans="1:6" ht="25.5">
      <c r="A628" s="2">
        <v>625</v>
      </c>
      <c r="B628" s="2" t="s">
        <v>683</v>
      </c>
      <c r="C628" s="2" t="str">
        <f>"18725457"</f>
        <v>18725457</v>
      </c>
      <c r="D628" s="2">
        <v>0.16400000000000001</v>
      </c>
      <c r="E628" s="2">
        <v>5</v>
      </c>
      <c r="F628" s="2" t="s">
        <v>75</v>
      </c>
    </row>
    <row r="629" spans="1:6" ht="25.5">
      <c r="A629" s="2">
        <v>626</v>
      </c>
      <c r="B629" s="2" t="s">
        <v>684</v>
      </c>
      <c r="C629" s="2" t="str">
        <f>"10213589"</f>
        <v>10213589</v>
      </c>
      <c r="D629" s="2">
        <v>0.42499999999999999</v>
      </c>
      <c r="E629" s="2">
        <v>17</v>
      </c>
      <c r="F629" s="2" t="s">
        <v>410</v>
      </c>
    </row>
    <row r="630" spans="1:6" ht="25.5">
      <c r="A630" s="2">
        <v>627</v>
      </c>
      <c r="B630" s="2" t="s">
        <v>685</v>
      </c>
      <c r="C630" s="2" t="str">
        <f>"19376812"</f>
        <v>19376812</v>
      </c>
      <c r="D630" s="2">
        <v>0.129</v>
      </c>
      <c r="E630" s="2">
        <v>1</v>
      </c>
      <c r="F630" s="2" t="s">
        <v>6</v>
      </c>
    </row>
    <row r="631" spans="1:6" ht="25.5">
      <c r="A631" s="2">
        <v>628</v>
      </c>
      <c r="B631" s="2" t="s">
        <v>686</v>
      </c>
      <c r="C631" s="2" t="str">
        <f>"16806905"</f>
        <v>16806905</v>
      </c>
      <c r="D631" s="2">
        <v>0.31</v>
      </c>
      <c r="E631" s="2">
        <v>16</v>
      </c>
      <c r="F631" s="2" t="s">
        <v>687</v>
      </c>
    </row>
    <row r="632" spans="1:6" ht="25.5">
      <c r="A632" s="2">
        <v>629</v>
      </c>
      <c r="B632" s="2" t="s">
        <v>688</v>
      </c>
      <c r="C632" s="2" t="str">
        <f>"17532531"</f>
        <v>17532531</v>
      </c>
      <c r="D632" s="2">
        <v>0.252</v>
      </c>
      <c r="E632" s="2">
        <v>1</v>
      </c>
      <c r="F632" s="2" t="s">
        <v>16</v>
      </c>
    </row>
    <row r="633" spans="1:6" ht="25.5">
      <c r="A633" s="2">
        <v>630</v>
      </c>
      <c r="B633" s="2" t="s">
        <v>689</v>
      </c>
      <c r="C633" s="2" t="str">
        <f>"14725851"</f>
        <v>14725851</v>
      </c>
      <c r="D633" s="2">
        <v>0.19700000000000001</v>
      </c>
      <c r="E633" s="2">
        <v>2</v>
      </c>
      <c r="F633" s="2" t="s">
        <v>6</v>
      </c>
    </row>
    <row r="634" spans="1:6" ht="25.5">
      <c r="A634" s="2">
        <v>631</v>
      </c>
      <c r="B634" s="2" t="s">
        <v>690</v>
      </c>
      <c r="C634" s="2" t="str">
        <f>"16815556"</f>
        <v>16815556</v>
      </c>
      <c r="D634" s="2">
        <v>0.38900000000000001</v>
      </c>
      <c r="E634" s="2">
        <v>4</v>
      </c>
      <c r="F634" s="2" t="s">
        <v>410</v>
      </c>
    </row>
    <row r="635" spans="1:6" ht="25.5">
      <c r="A635" s="2">
        <v>632</v>
      </c>
      <c r="B635" s="2" t="s">
        <v>691</v>
      </c>
      <c r="C635" s="2" t="str">
        <f>"11195096"</f>
        <v>11195096</v>
      </c>
      <c r="D635" s="2">
        <v>0.15</v>
      </c>
      <c r="E635" s="2">
        <v>7</v>
      </c>
      <c r="F635" s="2" t="s">
        <v>692</v>
      </c>
    </row>
    <row r="636" spans="1:6" ht="25.5">
      <c r="A636" s="2">
        <v>633</v>
      </c>
      <c r="B636" s="2" t="s">
        <v>693</v>
      </c>
      <c r="C636" s="2" t="str">
        <f>"2211419X"</f>
        <v>2211419X</v>
      </c>
      <c r="D636" s="2">
        <v>0.14499999999999999</v>
      </c>
      <c r="E636" s="2">
        <v>2</v>
      </c>
      <c r="F636" s="2" t="s">
        <v>410</v>
      </c>
    </row>
    <row r="637" spans="1:6" ht="25.5">
      <c r="A637" s="2">
        <v>634</v>
      </c>
      <c r="B637" s="2" t="s">
        <v>694</v>
      </c>
      <c r="C637" s="2" t="str">
        <f>"1991637X"</f>
        <v>1991637X</v>
      </c>
      <c r="D637" s="2">
        <v>0.2</v>
      </c>
      <c r="E637" s="2">
        <v>8</v>
      </c>
      <c r="F637" s="2" t="s">
        <v>6</v>
      </c>
    </row>
    <row r="638" spans="1:6" ht="25.5">
      <c r="A638" s="2">
        <v>635</v>
      </c>
      <c r="B638" s="2" t="s">
        <v>695</v>
      </c>
      <c r="C638" s="2" t="str">
        <f>"17279445"</f>
        <v>17279445</v>
      </c>
      <c r="D638" s="2">
        <v>0.184</v>
      </c>
      <c r="E638" s="2">
        <v>12</v>
      </c>
      <c r="F638" s="2" t="s">
        <v>16</v>
      </c>
    </row>
    <row r="639" spans="1:6" ht="25.5">
      <c r="A639" s="2">
        <v>636</v>
      </c>
      <c r="B639" s="2" t="s">
        <v>696</v>
      </c>
      <c r="C639" s="2" t="str">
        <f>"16085914"</f>
        <v>16085914</v>
      </c>
      <c r="D639" s="2">
        <v>0.27600000000000002</v>
      </c>
      <c r="E639" s="2">
        <v>10</v>
      </c>
      <c r="F639" s="2" t="s">
        <v>410</v>
      </c>
    </row>
    <row r="640" spans="1:6" ht="25.5">
      <c r="A640" s="2">
        <v>637</v>
      </c>
      <c r="B640" s="2" t="s">
        <v>697</v>
      </c>
      <c r="C640" s="2" t="str">
        <f>"16845315"</f>
        <v>16845315</v>
      </c>
      <c r="D640" s="2">
        <v>0.27</v>
      </c>
      <c r="E640" s="2">
        <v>35</v>
      </c>
      <c r="F640" s="2" t="s">
        <v>698</v>
      </c>
    </row>
    <row r="641" spans="1:6" ht="25.5">
      <c r="A641" s="2">
        <v>638</v>
      </c>
      <c r="B641" s="2" t="s">
        <v>699</v>
      </c>
      <c r="C641" s="2" t="str">
        <f>"15314065"</f>
        <v>15314065</v>
      </c>
      <c r="D641" s="2">
        <v>0.13200000000000001</v>
      </c>
      <c r="E641" s="2">
        <v>2</v>
      </c>
      <c r="F641" s="2" t="s">
        <v>692</v>
      </c>
    </row>
    <row r="642" spans="1:6" ht="25.5">
      <c r="A642" s="2">
        <v>639</v>
      </c>
      <c r="B642" s="2" t="s">
        <v>700</v>
      </c>
      <c r="C642" s="2" t="str">
        <f>"13652028"</f>
        <v>13652028</v>
      </c>
      <c r="D642" s="2">
        <v>0.41599999999999998</v>
      </c>
      <c r="E642" s="2">
        <v>31</v>
      </c>
      <c r="F642" s="2" t="s">
        <v>16</v>
      </c>
    </row>
    <row r="643" spans="1:6" ht="25.5">
      <c r="A643" s="2">
        <v>640</v>
      </c>
      <c r="B643" s="2" t="s">
        <v>701</v>
      </c>
      <c r="C643" s="2" t="str">
        <f>"14367890"</f>
        <v>14367890</v>
      </c>
      <c r="D643" s="2">
        <v>0.126</v>
      </c>
      <c r="E643" s="2">
        <v>5</v>
      </c>
      <c r="F643" s="2" t="s">
        <v>702</v>
      </c>
    </row>
    <row r="644" spans="1:6" ht="25.5">
      <c r="A644" s="2">
        <v>641</v>
      </c>
      <c r="B644" s="2" t="s">
        <v>703</v>
      </c>
      <c r="C644" s="2" t="str">
        <f>"04416651"</f>
        <v>04416651</v>
      </c>
      <c r="D644" s="2">
        <v>0.55200000000000005</v>
      </c>
      <c r="E644" s="2">
        <v>8</v>
      </c>
      <c r="F644" s="2" t="s">
        <v>16</v>
      </c>
    </row>
    <row r="645" spans="1:6" ht="25.5">
      <c r="A645" s="2">
        <v>642</v>
      </c>
      <c r="B645" s="2" t="s">
        <v>704</v>
      </c>
      <c r="C645" s="2" t="str">
        <f>"20060165"</f>
        <v>20060165</v>
      </c>
      <c r="D645" s="2">
        <v>0.10199999999999999</v>
      </c>
      <c r="E645" s="2">
        <v>1</v>
      </c>
      <c r="F645" s="2" t="s">
        <v>692</v>
      </c>
    </row>
    <row r="646" spans="1:6" ht="25.5">
      <c r="A646" s="2">
        <v>643</v>
      </c>
      <c r="B646" s="2" t="s">
        <v>705</v>
      </c>
      <c r="C646" s="2" t="str">
        <f>"07954778"</f>
        <v>07954778</v>
      </c>
      <c r="D646" s="2">
        <v>0.17499999999999999</v>
      </c>
      <c r="E646" s="2">
        <v>3</v>
      </c>
      <c r="F646" s="2" t="s">
        <v>692</v>
      </c>
    </row>
    <row r="647" spans="1:6" ht="25.5">
      <c r="A647" s="2">
        <v>644</v>
      </c>
      <c r="B647" s="2" t="s">
        <v>706</v>
      </c>
      <c r="C647" s="2" t="str">
        <f>"18142338"</f>
        <v>18142338</v>
      </c>
      <c r="D647" s="2">
        <v>0.46200000000000002</v>
      </c>
      <c r="E647" s="2">
        <v>33</v>
      </c>
      <c r="F647" s="2" t="s">
        <v>410</v>
      </c>
    </row>
    <row r="648" spans="1:6" ht="25.5">
      <c r="A648" s="2">
        <v>645</v>
      </c>
      <c r="B648" s="2" t="s">
        <v>707</v>
      </c>
      <c r="C648" s="2" t="str">
        <f>"11164077"</f>
        <v>11164077</v>
      </c>
      <c r="D648" s="2">
        <v>0.17100000000000001</v>
      </c>
      <c r="E648" s="2">
        <v>15</v>
      </c>
      <c r="F648" s="2" t="s">
        <v>692</v>
      </c>
    </row>
    <row r="649" spans="1:6" ht="25.5">
      <c r="A649" s="2">
        <v>646</v>
      </c>
      <c r="B649" s="2" t="s">
        <v>708</v>
      </c>
      <c r="C649" s="2" t="str">
        <f>"19960808"</f>
        <v>19960808</v>
      </c>
      <c r="D649" s="2">
        <v>0.20100000000000001</v>
      </c>
      <c r="E649" s="2">
        <v>7</v>
      </c>
      <c r="F649" s="2" t="s">
        <v>692</v>
      </c>
    </row>
    <row r="650" spans="1:6" ht="25.5">
      <c r="A650" s="2">
        <v>647</v>
      </c>
      <c r="B650" s="2" t="s">
        <v>709</v>
      </c>
      <c r="C650" s="2" t="str">
        <f>"10158618"</f>
        <v>10158618</v>
      </c>
      <c r="D650" s="2">
        <v>0.1</v>
      </c>
      <c r="E650" s="2">
        <v>5</v>
      </c>
      <c r="F650" s="2" t="s">
        <v>66</v>
      </c>
    </row>
    <row r="651" spans="1:6" ht="25.5">
      <c r="A651" s="2">
        <v>648</v>
      </c>
      <c r="B651" s="2" t="s">
        <v>710</v>
      </c>
      <c r="C651" s="2" t="str">
        <f>"09745998"</f>
        <v>09745998</v>
      </c>
      <c r="D651" s="2">
        <v>0.193</v>
      </c>
      <c r="E651" s="2">
        <v>4</v>
      </c>
      <c r="F651" s="2" t="s">
        <v>488</v>
      </c>
    </row>
    <row r="652" spans="1:6" ht="25.5">
      <c r="A652" s="2">
        <v>649</v>
      </c>
      <c r="B652" s="2" t="s">
        <v>711</v>
      </c>
      <c r="C652" s="2" t="str">
        <f>"19960816"</f>
        <v>19960816</v>
      </c>
      <c r="D652" s="2">
        <v>0.22800000000000001</v>
      </c>
      <c r="E652" s="2">
        <v>10</v>
      </c>
      <c r="F652" s="2" t="s">
        <v>692</v>
      </c>
    </row>
    <row r="653" spans="1:6" ht="25.5">
      <c r="A653" s="2">
        <v>650</v>
      </c>
      <c r="B653" s="2" t="s">
        <v>712</v>
      </c>
      <c r="C653" s="2" t="str">
        <f>"20712936"</f>
        <v>20712936</v>
      </c>
      <c r="D653" s="2">
        <v>0.14199999999999999</v>
      </c>
      <c r="E653" s="2">
        <v>2</v>
      </c>
      <c r="F653" s="2" t="s">
        <v>410</v>
      </c>
    </row>
    <row r="654" spans="1:6" ht="25.5">
      <c r="A654" s="2">
        <v>651</v>
      </c>
      <c r="B654" s="2" t="s">
        <v>713</v>
      </c>
      <c r="C654" s="2" t="str">
        <f>"19948220"</f>
        <v>19948220</v>
      </c>
      <c r="D654" s="2">
        <v>0.32</v>
      </c>
      <c r="E654" s="2">
        <v>8</v>
      </c>
      <c r="F654" s="2" t="s">
        <v>410</v>
      </c>
    </row>
    <row r="655" spans="1:6" ht="25.5">
      <c r="A655" s="2">
        <v>652</v>
      </c>
      <c r="B655" s="2" t="s">
        <v>713</v>
      </c>
      <c r="C655" s="2" t="str">
        <f>"03310175"</f>
        <v>03310175</v>
      </c>
      <c r="D655" s="2">
        <v>0.105</v>
      </c>
      <c r="E655" s="2">
        <v>0</v>
      </c>
      <c r="F655" s="2" t="s">
        <v>692</v>
      </c>
    </row>
    <row r="656" spans="1:6" ht="25.5">
      <c r="A656" s="2">
        <v>653</v>
      </c>
      <c r="B656" s="2" t="s">
        <v>714</v>
      </c>
      <c r="C656" s="2" t="str">
        <f>"10220119"</f>
        <v>10220119</v>
      </c>
      <c r="D656" s="2">
        <v>0.28799999999999998</v>
      </c>
      <c r="E656" s="2">
        <v>14</v>
      </c>
      <c r="F656" s="2" t="s">
        <v>16</v>
      </c>
    </row>
    <row r="657" spans="1:6" ht="25.5">
      <c r="A657" s="2">
        <v>654</v>
      </c>
      <c r="B657" s="2" t="s">
        <v>715</v>
      </c>
      <c r="C657" s="2" t="str">
        <f>"11184841"</f>
        <v>11184841</v>
      </c>
      <c r="D657" s="2">
        <v>0.24</v>
      </c>
      <c r="E657" s="2">
        <v>22</v>
      </c>
      <c r="F657" s="2" t="s">
        <v>692</v>
      </c>
    </row>
    <row r="658" spans="1:6" ht="25.5">
      <c r="A658" s="2">
        <v>655</v>
      </c>
      <c r="B658" s="2" t="s">
        <v>716</v>
      </c>
      <c r="C658" s="2" t="str">
        <f>"01896016"</f>
        <v>01896016</v>
      </c>
      <c r="D658" s="2">
        <v>0.23699999999999999</v>
      </c>
      <c r="E658" s="2">
        <v>15</v>
      </c>
      <c r="F658" s="2" t="s">
        <v>692</v>
      </c>
    </row>
    <row r="659" spans="1:6" ht="25.5">
      <c r="A659" s="2">
        <v>656</v>
      </c>
      <c r="B659" s="2" t="s">
        <v>717</v>
      </c>
      <c r="C659" s="2" t="str">
        <f>"14692872"</f>
        <v>14692872</v>
      </c>
      <c r="D659" s="2">
        <v>0.496</v>
      </c>
      <c r="E659" s="2">
        <v>4</v>
      </c>
      <c r="F659" s="2" t="s">
        <v>410</v>
      </c>
    </row>
    <row r="660" spans="1:6" ht="25.5">
      <c r="A660" s="2">
        <v>657</v>
      </c>
      <c r="B660" s="2" t="s">
        <v>718</v>
      </c>
      <c r="C660" s="2" t="str">
        <f>"10932658"</f>
        <v>10932658</v>
      </c>
      <c r="D660" s="2">
        <v>0.17799999999999999</v>
      </c>
      <c r="E660" s="2">
        <v>6</v>
      </c>
      <c r="F660" s="2" t="s">
        <v>6</v>
      </c>
    </row>
    <row r="661" spans="1:6" ht="25.5">
      <c r="A661" s="2">
        <v>658</v>
      </c>
      <c r="B661" s="2" t="s">
        <v>719</v>
      </c>
      <c r="C661" s="2" t="str">
        <f>"00020206"</f>
        <v>00020206</v>
      </c>
      <c r="D661" s="2">
        <v>0.5</v>
      </c>
      <c r="E661" s="2">
        <v>9</v>
      </c>
      <c r="F661" s="2" t="s">
        <v>6</v>
      </c>
    </row>
    <row r="662" spans="1:6" ht="25.5">
      <c r="A662" s="2">
        <v>659</v>
      </c>
      <c r="B662" s="2" t="s">
        <v>720</v>
      </c>
      <c r="C662" s="2" t="str">
        <f>"15627020"</f>
        <v>15627020</v>
      </c>
      <c r="D662" s="2">
        <v>0.33900000000000002</v>
      </c>
      <c r="E662" s="2">
        <v>17</v>
      </c>
      <c r="F662" s="2" t="s">
        <v>410</v>
      </c>
    </row>
    <row r="663" spans="1:6" ht="25.5">
      <c r="A663" s="2">
        <v>660</v>
      </c>
      <c r="B663" s="2" t="s">
        <v>721</v>
      </c>
      <c r="C663" s="2" t="str">
        <f>"00020397"</f>
        <v>00020397</v>
      </c>
      <c r="D663" s="2">
        <v>0.68100000000000005</v>
      </c>
      <c r="E663" s="2">
        <v>7</v>
      </c>
      <c r="F663" s="2" t="s">
        <v>12</v>
      </c>
    </row>
    <row r="664" spans="1:6" ht="25.5">
      <c r="A664" s="2">
        <v>661</v>
      </c>
      <c r="B664" s="2" t="s">
        <v>722</v>
      </c>
      <c r="C664" s="2" t="str">
        <f>"15271978"</f>
        <v>15271978</v>
      </c>
      <c r="D664" s="2">
        <v>0.219</v>
      </c>
      <c r="E664" s="2">
        <v>12</v>
      </c>
      <c r="F664" s="2" t="s">
        <v>6</v>
      </c>
    </row>
    <row r="665" spans="1:6" ht="25.5">
      <c r="A665" s="2">
        <v>662</v>
      </c>
      <c r="B665" s="2" t="s">
        <v>723</v>
      </c>
      <c r="C665" s="2" t="str">
        <f>"21907668"</f>
        <v>21907668</v>
      </c>
      <c r="D665" s="2">
        <v>0.115</v>
      </c>
      <c r="E665" s="2">
        <v>2</v>
      </c>
      <c r="F665" s="2" t="s">
        <v>6</v>
      </c>
    </row>
    <row r="666" spans="1:6" ht="25.5">
      <c r="A666" s="2">
        <v>663</v>
      </c>
      <c r="B666" s="2" t="s">
        <v>724</v>
      </c>
      <c r="C666" s="2" t="str">
        <f>"00020478"</f>
        <v>00020478</v>
      </c>
      <c r="D666" s="2">
        <v>0.112</v>
      </c>
      <c r="E666" s="2">
        <v>5</v>
      </c>
      <c r="F666" s="2" t="s">
        <v>161</v>
      </c>
    </row>
    <row r="667" spans="1:6" ht="25.5">
      <c r="A667" s="2">
        <v>664</v>
      </c>
      <c r="B667" s="2" t="s">
        <v>725</v>
      </c>
      <c r="C667" s="2" t="str">
        <f>"17516455"</f>
        <v>17516455</v>
      </c>
      <c r="D667" s="2">
        <v>0.111</v>
      </c>
      <c r="E667" s="2">
        <v>1</v>
      </c>
      <c r="F667" s="2" t="s">
        <v>16</v>
      </c>
    </row>
    <row r="668" spans="1:6" ht="25.5">
      <c r="A668" s="2">
        <v>665</v>
      </c>
      <c r="B668" s="2" t="s">
        <v>726</v>
      </c>
      <c r="C668" s="2" t="str">
        <f>"1522936X"</f>
        <v>1522936X</v>
      </c>
      <c r="D668" s="2">
        <v>0.63800000000000001</v>
      </c>
      <c r="E668" s="2">
        <v>24</v>
      </c>
      <c r="F668" s="2" t="s">
        <v>6</v>
      </c>
    </row>
    <row r="669" spans="1:6" ht="25.5">
      <c r="A669" s="2">
        <v>666</v>
      </c>
      <c r="B669" s="2" t="s">
        <v>727</v>
      </c>
      <c r="C669" s="2" t="str">
        <f>"15744647"</f>
        <v>15744647</v>
      </c>
      <c r="D669" s="2">
        <v>0.66100000000000003</v>
      </c>
      <c r="E669" s="2">
        <v>20</v>
      </c>
      <c r="F669" s="2" t="s">
        <v>75</v>
      </c>
    </row>
    <row r="670" spans="1:6" ht="25.5">
      <c r="A670" s="2">
        <v>667</v>
      </c>
      <c r="B670" s="2" t="s">
        <v>728</v>
      </c>
      <c r="C670" s="2" t="str">
        <f>"14682834"</f>
        <v>14682834</v>
      </c>
      <c r="D670" s="2">
        <v>1.333</v>
      </c>
      <c r="E670" s="2">
        <v>84</v>
      </c>
      <c r="F670" s="2" t="s">
        <v>16</v>
      </c>
    </row>
    <row r="671" spans="1:6" ht="25.5">
      <c r="A671" s="2">
        <v>668</v>
      </c>
      <c r="B671" s="2" t="s">
        <v>729</v>
      </c>
      <c r="C671" s="2" t="str">
        <f>"14691779"</f>
        <v>14691779</v>
      </c>
      <c r="D671" s="2">
        <v>0.77100000000000002</v>
      </c>
      <c r="E671" s="2">
        <v>36</v>
      </c>
      <c r="F671" s="2" t="s">
        <v>16</v>
      </c>
    </row>
    <row r="672" spans="1:6" ht="25.5">
      <c r="A672" s="2">
        <v>669</v>
      </c>
      <c r="B672" s="2" t="s">
        <v>730</v>
      </c>
      <c r="C672" s="2" t="str">
        <f>"01635158"</f>
        <v>01635158</v>
      </c>
      <c r="D672" s="2">
        <v>0.19500000000000001</v>
      </c>
      <c r="E672" s="2">
        <v>4</v>
      </c>
      <c r="F672" s="2" t="s">
        <v>6</v>
      </c>
    </row>
    <row r="673" spans="1:6" ht="25.5">
      <c r="A673" s="2">
        <v>670</v>
      </c>
      <c r="B673" s="2" t="s">
        <v>731</v>
      </c>
      <c r="C673" s="2" t="str">
        <f>"15681637"</f>
        <v>15681637</v>
      </c>
      <c r="D673" s="2">
        <v>2.2050000000000001</v>
      </c>
      <c r="E673" s="2">
        <v>55</v>
      </c>
      <c r="F673" s="2" t="s">
        <v>732</v>
      </c>
    </row>
    <row r="674" spans="1:6" ht="25.5">
      <c r="A674" s="2">
        <v>671</v>
      </c>
      <c r="B674" s="2" t="s">
        <v>733</v>
      </c>
      <c r="C674" s="2" t="str">
        <f>"10130950"</f>
        <v>10130950</v>
      </c>
      <c r="D674" s="2">
        <v>0.10100000000000001</v>
      </c>
      <c r="E674" s="2">
        <v>1</v>
      </c>
      <c r="F674" s="2" t="s">
        <v>410</v>
      </c>
    </row>
    <row r="675" spans="1:6" ht="25.5">
      <c r="A675" s="2">
        <v>672</v>
      </c>
      <c r="B675" s="2" t="s">
        <v>734</v>
      </c>
      <c r="C675" s="2" t="str">
        <f>"15787168"</f>
        <v>15787168</v>
      </c>
      <c r="D675" s="2">
        <v>0.113</v>
      </c>
      <c r="E675" s="2">
        <v>1</v>
      </c>
      <c r="F675" s="2" t="s">
        <v>351</v>
      </c>
    </row>
    <row r="676" spans="1:6" ht="25.5">
      <c r="A676" s="2">
        <v>673</v>
      </c>
      <c r="B676" s="2" t="s">
        <v>735</v>
      </c>
      <c r="C676" s="2" t="str">
        <f>"13591789"</f>
        <v>13591789</v>
      </c>
      <c r="D676" s="2">
        <v>0.89600000000000002</v>
      </c>
      <c r="E676" s="2">
        <v>51</v>
      </c>
      <c r="F676" s="2" t="s">
        <v>16</v>
      </c>
    </row>
    <row r="677" spans="1:6" ht="25.5">
      <c r="A677" s="2">
        <v>674</v>
      </c>
      <c r="B677" s="2" t="s">
        <v>736</v>
      </c>
      <c r="C677" s="2" t="str">
        <f>"10982337"</f>
        <v>10982337</v>
      </c>
      <c r="D677" s="2">
        <v>0.998</v>
      </c>
      <c r="E677" s="2">
        <v>49</v>
      </c>
      <c r="F677" s="2" t="s">
        <v>6</v>
      </c>
    </row>
    <row r="678" spans="1:6" ht="25.5">
      <c r="A678" s="2">
        <v>675</v>
      </c>
      <c r="B678" s="2" t="s">
        <v>737</v>
      </c>
      <c r="C678" s="2" t="str">
        <f>"00020966"</f>
        <v>00020966</v>
      </c>
      <c r="D678" s="2">
        <v>1.756</v>
      </c>
      <c r="E678" s="2">
        <v>28</v>
      </c>
      <c r="F678" s="2" t="s">
        <v>6</v>
      </c>
    </row>
    <row r="679" spans="1:6" ht="25.5">
      <c r="A679" s="2">
        <v>676</v>
      </c>
      <c r="B679" s="2" t="s">
        <v>738</v>
      </c>
      <c r="C679" s="2" t="str">
        <f>"13646915"</f>
        <v>13646915</v>
      </c>
      <c r="D679" s="2">
        <v>0.70599999999999996</v>
      </c>
      <c r="E679" s="2">
        <v>42</v>
      </c>
      <c r="F679" s="2" t="s">
        <v>16</v>
      </c>
    </row>
    <row r="680" spans="1:6" ht="25.5">
      <c r="A680" s="2">
        <v>677</v>
      </c>
      <c r="B680" s="2" t="s">
        <v>739</v>
      </c>
      <c r="C680" s="2" t="str">
        <f>"14749726"</f>
        <v>14749726</v>
      </c>
      <c r="D680" s="2">
        <v>2.6429999999999998</v>
      </c>
      <c r="E680" s="2">
        <v>68</v>
      </c>
      <c r="F680" s="2" t="s">
        <v>16</v>
      </c>
    </row>
    <row r="681" spans="1:6" ht="25.5">
      <c r="A681" s="2">
        <v>678</v>
      </c>
      <c r="B681" s="2" t="s">
        <v>740</v>
      </c>
      <c r="C681" s="2" t="str">
        <f>"17208319"</f>
        <v>17208319</v>
      </c>
      <c r="D681" s="2">
        <v>0.374</v>
      </c>
      <c r="E681" s="2">
        <v>45</v>
      </c>
      <c r="F681" s="2" t="s">
        <v>190</v>
      </c>
    </row>
    <row r="682" spans="1:6" ht="25.5">
      <c r="A682" s="2">
        <v>679</v>
      </c>
      <c r="B682" s="2" t="s">
        <v>741</v>
      </c>
      <c r="C682" s="2" t="str">
        <f>"1745509X"</f>
        <v>1745509X</v>
      </c>
      <c r="D682" s="2">
        <v>0.16600000000000001</v>
      </c>
      <c r="E682" s="2">
        <v>9</v>
      </c>
      <c r="F682" s="2" t="s">
        <v>16</v>
      </c>
    </row>
    <row r="683" spans="1:6" ht="25.5">
      <c r="A683" s="2">
        <v>680</v>
      </c>
      <c r="B683" s="2" t="s">
        <v>742</v>
      </c>
      <c r="C683" s="2" t="str">
        <f>"14730790"</f>
        <v>14730790</v>
      </c>
      <c r="D683" s="2">
        <v>0.45600000000000002</v>
      </c>
      <c r="E683" s="2">
        <v>30</v>
      </c>
      <c r="F683" s="2" t="s">
        <v>16</v>
      </c>
    </row>
    <row r="684" spans="1:6" ht="25.5">
      <c r="A684" s="2">
        <v>681</v>
      </c>
      <c r="B684" s="2" t="s">
        <v>743</v>
      </c>
      <c r="C684" s="2" t="str">
        <f>"13825585"</f>
        <v>13825585</v>
      </c>
      <c r="D684" s="2">
        <v>0.53900000000000003</v>
      </c>
      <c r="E684" s="2">
        <v>33</v>
      </c>
      <c r="F684" s="2" t="s">
        <v>16</v>
      </c>
    </row>
    <row r="685" spans="1:6" ht="25.5">
      <c r="A685" s="2">
        <v>682</v>
      </c>
      <c r="B685" s="2" t="s">
        <v>744</v>
      </c>
      <c r="C685" s="2" t="str">
        <f>"15161498"</f>
        <v>15161498</v>
      </c>
      <c r="D685" s="2">
        <v>0.1</v>
      </c>
      <c r="E685" s="2">
        <v>1</v>
      </c>
      <c r="F685" s="2" t="s">
        <v>159</v>
      </c>
    </row>
    <row r="686" spans="1:6" ht="25.5">
      <c r="A686" s="2">
        <v>683</v>
      </c>
      <c r="B686" s="2" t="s">
        <v>745</v>
      </c>
      <c r="C686" s="2" t="str">
        <f>"08745498"</f>
        <v>08745498</v>
      </c>
      <c r="D686" s="2">
        <v>0.10299999999999999</v>
      </c>
      <c r="E686" s="2">
        <v>0</v>
      </c>
      <c r="F686" s="2" t="s">
        <v>306</v>
      </c>
    </row>
    <row r="687" spans="1:6" ht="25.5">
      <c r="A687" s="2">
        <v>684</v>
      </c>
      <c r="B687" s="2" t="s">
        <v>746</v>
      </c>
      <c r="C687" s="2" t="str">
        <f>"16637852"</f>
        <v>16637852</v>
      </c>
      <c r="D687" s="2">
        <v>0</v>
      </c>
      <c r="E687" s="2">
        <v>2</v>
      </c>
      <c r="F687" s="2" t="s">
        <v>31</v>
      </c>
    </row>
    <row r="688" spans="1:6" ht="25.5">
      <c r="A688" s="2">
        <v>685</v>
      </c>
      <c r="B688" s="2" t="s">
        <v>747</v>
      </c>
      <c r="C688" s="2" t="str">
        <f>"20780400"</f>
        <v>20780400</v>
      </c>
      <c r="D688" s="2">
        <v>0.253</v>
      </c>
      <c r="E688" s="2">
        <v>5</v>
      </c>
      <c r="F688" s="2" t="s">
        <v>410</v>
      </c>
    </row>
    <row r="689" spans="1:6" ht="25.5">
      <c r="A689" s="2">
        <v>686</v>
      </c>
      <c r="B689" s="2" t="s">
        <v>748</v>
      </c>
      <c r="C689" s="2" t="str">
        <f>"15206297"</f>
        <v>15206297</v>
      </c>
      <c r="D689" s="2">
        <v>0.70499999999999996</v>
      </c>
      <c r="E689" s="2">
        <v>7</v>
      </c>
      <c r="F689" s="2" t="s">
        <v>12</v>
      </c>
    </row>
    <row r="690" spans="1:6" ht="25.5">
      <c r="A690" s="2">
        <v>687</v>
      </c>
      <c r="B690" s="2" t="s">
        <v>749</v>
      </c>
      <c r="C690" s="2" t="str">
        <f>"13317776"</f>
        <v>13317776</v>
      </c>
      <c r="D690" s="2">
        <v>0.13100000000000001</v>
      </c>
      <c r="E690" s="2">
        <v>8</v>
      </c>
      <c r="F690" s="2" t="s">
        <v>149</v>
      </c>
    </row>
    <row r="691" spans="1:6" ht="25.5">
      <c r="A691" s="2">
        <v>688</v>
      </c>
      <c r="B691" s="2" t="s">
        <v>750</v>
      </c>
      <c r="C691" s="2" t="str">
        <f>"14596067"</f>
        <v>14596067</v>
      </c>
      <c r="D691" s="2">
        <v>0.29299999999999998</v>
      </c>
      <c r="E691" s="2">
        <v>20</v>
      </c>
      <c r="F691" s="2" t="s">
        <v>751</v>
      </c>
    </row>
    <row r="692" spans="1:6" ht="25.5">
      <c r="A692" s="2">
        <v>689</v>
      </c>
      <c r="B692" s="2" t="s">
        <v>752</v>
      </c>
      <c r="C692" s="2" t="str">
        <f>"14619563"</f>
        <v>14619563</v>
      </c>
      <c r="D692" s="2">
        <v>0.77400000000000002</v>
      </c>
      <c r="E692" s="2">
        <v>32</v>
      </c>
      <c r="F692" s="2" t="s">
        <v>16</v>
      </c>
    </row>
    <row r="693" spans="1:6" ht="25.5">
      <c r="A693" s="2">
        <v>690</v>
      </c>
      <c r="B693" s="2" t="s">
        <v>753</v>
      </c>
      <c r="C693" s="2" t="str">
        <f>"01681923"</f>
        <v>01681923</v>
      </c>
      <c r="D693" s="2">
        <v>1.579</v>
      </c>
      <c r="E693" s="2">
        <v>92</v>
      </c>
      <c r="F693" s="2" t="s">
        <v>75</v>
      </c>
    </row>
    <row r="694" spans="1:6" ht="25.5">
      <c r="A694" s="2">
        <v>691</v>
      </c>
      <c r="B694" s="2" t="s">
        <v>754</v>
      </c>
      <c r="C694" s="2" t="str">
        <f>"10682805"</f>
        <v>10682805</v>
      </c>
      <c r="D694" s="2">
        <v>0.28799999999999998</v>
      </c>
      <c r="E694" s="2">
        <v>13</v>
      </c>
      <c r="F694" s="2" t="s">
        <v>6</v>
      </c>
    </row>
    <row r="695" spans="1:6" ht="25.5">
      <c r="A695" s="2">
        <v>692</v>
      </c>
      <c r="B695" s="2" t="s">
        <v>755</v>
      </c>
      <c r="C695" s="2" t="str">
        <f>"0139570X"</f>
        <v>0139570X</v>
      </c>
      <c r="D695" s="2">
        <v>0.29599999999999999</v>
      </c>
      <c r="E695" s="2">
        <v>9</v>
      </c>
      <c r="F695" s="2" t="s">
        <v>208</v>
      </c>
    </row>
    <row r="696" spans="1:6" ht="25.5">
      <c r="A696" s="2">
        <v>693</v>
      </c>
      <c r="B696" s="2" t="s">
        <v>755</v>
      </c>
      <c r="C696" s="2" t="str">
        <f>"15740862"</f>
        <v>15740862</v>
      </c>
      <c r="D696" s="2">
        <v>0.91300000000000003</v>
      </c>
      <c r="E696" s="2">
        <v>38</v>
      </c>
      <c r="F696" s="2" t="s">
        <v>16</v>
      </c>
    </row>
    <row r="697" spans="1:6" ht="25.5">
      <c r="A697" s="2">
        <v>694</v>
      </c>
      <c r="B697" s="2" t="s">
        <v>756</v>
      </c>
      <c r="C697" s="2" t="str">
        <f>"11092580"</f>
        <v>11092580</v>
      </c>
      <c r="D697" s="2">
        <v>0.10199999999999999</v>
      </c>
      <c r="E697" s="2">
        <v>1</v>
      </c>
      <c r="F697" s="2" t="s">
        <v>313</v>
      </c>
    </row>
    <row r="698" spans="1:6" ht="25.5">
      <c r="A698" s="2">
        <v>695</v>
      </c>
      <c r="B698" s="2" t="s">
        <v>757</v>
      </c>
      <c r="C698" s="2" t="str">
        <f>"16821130"</f>
        <v>16821130</v>
      </c>
      <c r="D698" s="2">
        <v>0.13600000000000001</v>
      </c>
      <c r="E698" s="2">
        <v>2</v>
      </c>
      <c r="F698" s="2" t="s">
        <v>131</v>
      </c>
    </row>
    <row r="699" spans="1:6" ht="25.5">
      <c r="A699" s="2">
        <v>696</v>
      </c>
      <c r="B699" s="2" t="s">
        <v>758</v>
      </c>
      <c r="C699" s="2" t="str">
        <f>"00021482"</f>
        <v>00021482</v>
      </c>
      <c r="D699" s="2">
        <v>0.13</v>
      </c>
      <c r="E699" s="2">
        <v>7</v>
      </c>
      <c r="F699" s="2" t="s">
        <v>6</v>
      </c>
    </row>
    <row r="700" spans="1:6" ht="25.5">
      <c r="A700" s="2">
        <v>697</v>
      </c>
      <c r="B700" s="2" t="s">
        <v>759</v>
      </c>
      <c r="C700" s="2" t="str">
        <f>"00021490"</f>
        <v>00021490</v>
      </c>
      <c r="D700" s="2">
        <v>0.189</v>
      </c>
      <c r="E700" s="2">
        <v>10</v>
      </c>
      <c r="F700" s="2" t="s">
        <v>16</v>
      </c>
    </row>
    <row r="701" spans="1:6" ht="25.5">
      <c r="A701" s="2">
        <v>698</v>
      </c>
      <c r="B701" s="2" t="s">
        <v>760</v>
      </c>
      <c r="C701" s="2" t="str">
        <f>"18732267"</f>
        <v>18732267</v>
      </c>
      <c r="D701" s="2">
        <v>1.095</v>
      </c>
      <c r="E701" s="2">
        <v>52</v>
      </c>
      <c r="F701" s="2" t="s">
        <v>75</v>
      </c>
    </row>
    <row r="702" spans="1:6" ht="25.5">
      <c r="A702" s="2">
        <v>699</v>
      </c>
      <c r="B702" s="2" t="s">
        <v>761</v>
      </c>
      <c r="C702" s="2" t="str">
        <f>"03783774"</f>
        <v>03783774</v>
      </c>
      <c r="D702" s="2">
        <v>1.216</v>
      </c>
      <c r="E702" s="2">
        <v>53</v>
      </c>
      <c r="F702" s="2" t="s">
        <v>75</v>
      </c>
    </row>
    <row r="703" spans="1:6" ht="25.5">
      <c r="A703" s="2">
        <v>700</v>
      </c>
      <c r="B703" s="2" t="s">
        <v>762</v>
      </c>
      <c r="C703" s="2" t="str">
        <f>"15728366"</f>
        <v>15728366</v>
      </c>
      <c r="D703" s="2">
        <v>0.82299999999999995</v>
      </c>
      <c r="E703" s="2">
        <v>32</v>
      </c>
      <c r="F703" s="2" t="s">
        <v>75</v>
      </c>
    </row>
    <row r="704" spans="1:6" ht="25.5">
      <c r="A704" s="2">
        <v>701</v>
      </c>
      <c r="B704" s="2" t="s">
        <v>763</v>
      </c>
      <c r="C704" s="2" t="str">
        <f>"01678809"</f>
        <v>01678809</v>
      </c>
      <c r="D704" s="2">
        <v>1.256</v>
      </c>
      <c r="E704" s="2">
        <v>88</v>
      </c>
      <c r="F704" s="2" t="s">
        <v>75</v>
      </c>
    </row>
    <row r="705" spans="1:6" ht="25.5">
      <c r="A705" s="2">
        <v>702</v>
      </c>
      <c r="B705" s="2" t="s">
        <v>764</v>
      </c>
      <c r="C705" s="2" t="str">
        <f>"13000012"</f>
        <v>13000012</v>
      </c>
      <c r="D705" s="2">
        <v>0.218</v>
      </c>
      <c r="E705" s="2">
        <v>9</v>
      </c>
      <c r="F705" s="2" t="s">
        <v>345</v>
      </c>
    </row>
    <row r="706" spans="1:6" ht="25.5">
      <c r="A706" s="2">
        <v>703</v>
      </c>
      <c r="B706" s="2" t="s">
        <v>765</v>
      </c>
      <c r="C706" s="2" t="str">
        <f>"03276244"</f>
        <v>03276244</v>
      </c>
      <c r="D706" s="2">
        <v>0.124</v>
      </c>
      <c r="E706" s="2">
        <v>3</v>
      </c>
      <c r="F706" s="2" t="s">
        <v>192</v>
      </c>
    </row>
    <row r="707" spans="1:6" ht="25.5">
      <c r="A707" s="2">
        <v>704</v>
      </c>
      <c r="B707" s="2" t="s">
        <v>766</v>
      </c>
      <c r="C707" s="2" t="str">
        <f>"18041930"</f>
        <v>18041930</v>
      </c>
      <c r="D707" s="2">
        <v>0.13900000000000001</v>
      </c>
      <c r="E707" s="2">
        <v>1</v>
      </c>
      <c r="F707" s="2" t="s">
        <v>208</v>
      </c>
    </row>
    <row r="708" spans="1:6" ht="25.5">
      <c r="A708" s="2">
        <v>705</v>
      </c>
      <c r="B708" s="2" t="s">
        <v>767</v>
      </c>
      <c r="C708" s="2" t="str">
        <f>"13160354"</f>
        <v>13160354</v>
      </c>
      <c r="D708" s="2">
        <v>0.123</v>
      </c>
      <c r="E708" s="2">
        <v>2</v>
      </c>
      <c r="F708" s="2" t="s">
        <v>40</v>
      </c>
    </row>
    <row r="709" spans="1:6" ht="25.5">
      <c r="A709" s="2">
        <v>706</v>
      </c>
      <c r="B709" s="2" t="s">
        <v>768</v>
      </c>
      <c r="C709" s="2" t="str">
        <f>"00021857"</f>
        <v>00021857</v>
      </c>
      <c r="D709" s="2">
        <v>0.189</v>
      </c>
      <c r="E709" s="2">
        <v>12</v>
      </c>
      <c r="F709" s="2" t="s">
        <v>190</v>
      </c>
    </row>
    <row r="710" spans="1:6" ht="25.5">
      <c r="A710" s="2">
        <v>707</v>
      </c>
      <c r="B710" s="2" t="s">
        <v>769</v>
      </c>
      <c r="C710" s="2" t="str">
        <f>"14053195"</f>
        <v>14053195</v>
      </c>
      <c r="D710" s="2">
        <v>0.19500000000000001</v>
      </c>
      <c r="E710" s="2">
        <v>11</v>
      </c>
      <c r="F710" s="2" t="s">
        <v>200</v>
      </c>
    </row>
    <row r="711" spans="1:6" ht="25.5">
      <c r="A711" s="2">
        <v>708</v>
      </c>
      <c r="B711" s="2" t="s">
        <v>770</v>
      </c>
      <c r="C711" s="2" t="str">
        <f>"17226996"</f>
        <v>17226996</v>
      </c>
      <c r="D711" s="2">
        <v>0.151</v>
      </c>
      <c r="E711" s="2">
        <v>11</v>
      </c>
      <c r="F711" s="2" t="s">
        <v>190</v>
      </c>
    </row>
    <row r="712" spans="1:6" ht="25.5">
      <c r="A712" s="2">
        <v>709</v>
      </c>
      <c r="B712" s="2" t="s">
        <v>771</v>
      </c>
      <c r="C712" s="2" t="str">
        <f>"15729680"</f>
        <v>15729680</v>
      </c>
      <c r="D712" s="2">
        <v>0.69899999999999995</v>
      </c>
      <c r="E712" s="2">
        <v>44</v>
      </c>
      <c r="F712" s="2" t="s">
        <v>75</v>
      </c>
    </row>
    <row r="713" spans="1:6" ht="25.5">
      <c r="A713" s="2">
        <v>710</v>
      </c>
      <c r="B713" s="2" t="s">
        <v>772</v>
      </c>
      <c r="C713" s="2" t="str">
        <f>"15882713"</f>
        <v>15882713</v>
      </c>
      <c r="D713" s="2">
        <v>0.20899999999999999</v>
      </c>
      <c r="E713" s="2">
        <v>4</v>
      </c>
      <c r="F713" s="2" t="s">
        <v>135</v>
      </c>
    </row>
    <row r="714" spans="1:6" ht="25.5">
      <c r="A714" s="2">
        <v>711</v>
      </c>
      <c r="B714" s="2" t="s">
        <v>773</v>
      </c>
      <c r="C714" s="2" t="str">
        <f>"01209965"</f>
        <v>01209965</v>
      </c>
      <c r="D714" s="2">
        <v>0</v>
      </c>
      <c r="E714" s="2">
        <v>1</v>
      </c>
      <c r="F714" s="2" t="s">
        <v>184</v>
      </c>
    </row>
    <row r="715" spans="1:6" ht="25.5">
      <c r="A715" s="2">
        <v>712</v>
      </c>
      <c r="B715" s="2" t="s">
        <v>774</v>
      </c>
      <c r="C715" s="2" t="str">
        <f>"17740746"</f>
        <v>17740746</v>
      </c>
      <c r="D715" s="2">
        <v>1.3380000000000001</v>
      </c>
      <c r="E715" s="2">
        <v>38</v>
      </c>
      <c r="F715" s="2" t="s">
        <v>66</v>
      </c>
    </row>
    <row r="716" spans="1:6" ht="25.5">
      <c r="A716" s="2">
        <v>713</v>
      </c>
      <c r="B716" s="2" t="s">
        <v>775</v>
      </c>
      <c r="C716" s="2" t="str">
        <f>"14350645"</f>
        <v>14350645</v>
      </c>
      <c r="D716" s="2">
        <v>0.92100000000000004</v>
      </c>
      <c r="E716" s="2">
        <v>70</v>
      </c>
      <c r="F716" s="2" t="s">
        <v>6</v>
      </c>
    </row>
    <row r="717" spans="1:6" ht="25.5">
      <c r="A717" s="2">
        <v>714</v>
      </c>
      <c r="B717" s="2" t="s">
        <v>776</v>
      </c>
      <c r="C717" s="2" t="str">
        <f>"1406894X"</f>
        <v>1406894X</v>
      </c>
      <c r="D717" s="2">
        <v>0.18099999999999999</v>
      </c>
      <c r="E717" s="2">
        <v>1</v>
      </c>
      <c r="F717" s="2" t="s">
        <v>265</v>
      </c>
    </row>
    <row r="718" spans="1:6">
      <c r="A718" s="2">
        <v>715</v>
      </c>
      <c r="B718" s="2" t="s">
        <v>777</v>
      </c>
      <c r="C718" s="2" t="str">
        <f>"0"</f>
        <v>0</v>
      </c>
      <c r="D718" s="2">
        <v>0.21299999999999999</v>
      </c>
      <c r="E718" s="2">
        <v>9</v>
      </c>
      <c r="F718" s="2" t="s">
        <v>6</v>
      </c>
    </row>
    <row r="719" spans="1:6" ht="25.5">
      <c r="A719" s="2">
        <v>716</v>
      </c>
      <c r="B719" s="2" t="s">
        <v>778</v>
      </c>
      <c r="C719" s="2" t="str">
        <f>"1533385X"</f>
        <v>1533385X</v>
      </c>
      <c r="D719" s="2">
        <v>0.91500000000000004</v>
      </c>
      <c r="E719" s="2">
        <v>82</v>
      </c>
      <c r="F719" s="2" t="s">
        <v>6</v>
      </c>
    </row>
    <row r="720" spans="1:6" ht="25.5">
      <c r="A720" s="2">
        <v>717</v>
      </c>
      <c r="B720" s="2" t="s">
        <v>779</v>
      </c>
      <c r="C720" s="2" t="str">
        <f>"14355655"</f>
        <v>14355655</v>
      </c>
      <c r="D720" s="2">
        <v>0.46200000000000002</v>
      </c>
      <c r="E720" s="2">
        <v>12</v>
      </c>
      <c r="F720" s="2" t="s">
        <v>16</v>
      </c>
    </row>
    <row r="721" spans="1:6" ht="25.5">
      <c r="A721" s="2">
        <v>718</v>
      </c>
      <c r="B721" s="2" t="s">
        <v>780</v>
      </c>
      <c r="C721" s="2" t="str">
        <f>"16959752"</f>
        <v>16959752</v>
      </c>
      <c r="D721" s="2">
        <v>0.11799999999999999</v>
      </c>
      <c r="E721" s="2">
        <v>3</v>
      </c>
      <c r="F721" s="2" t="s">
        <v>351</v>
      </c>
    </row>
    <row r="722" spans="1:6" ht="25.5">
      <c r="A722" s="2">
        <v>719</v>
      </c>
      <c r="B722" s="2" t="s">
        <v>781</v>
      </c>
      <c r="C722" s="2" t="str">
        <f>"03607011"</f>
        <v>03607011</v>
      </c>
      <c r="D722" s="2">
        <v>0.1</v>
      </c>
      <c r="E722" s="2">
        <v>3</v>
      </c>
      <c r="F722" s="2" t="s">
        <v>6</v>
      </c>
    </row>
    <row r="723" spans="1:6">
      <c r="A723" s="2">
        <v>720</v>
      </c>
      <c r="B723" s="2" t="s">
        <v>782</v>
      </c>
      <c r="C723" s="2" t="str">
        <f>"0"</f>
        <v>0</v>
      </c>
      <c r="D723" s="2">
        <v>0.1</v>
      </c>
      <c r="E723" s="2">
        <v>4</v>
      </c>
      <c r="F723" s="2" t="s">
        <v>6</v>
      </c>
    </row>
    <row r="724" spans="1:6" ht="25.5">
      <c r="A724" s="2">
        <v>721</v>
      </c>
      <c r="B724" s="2" t="s">
        <v>783</v>
      </c>
      <c r="C724" s="2" t="str">
        <f>"15475905"</f>
        <v>15475905</v>
      </c>
      <c r="D724" s="2">
        <v>0.88900000000000001</v>
      </c>
      <c r="E724" s="2">
        <v>94</v>
      </c>
      <c r="F724" s="2" t="s">
        <v>6</v>
      </c>
    </row>
    <row r="725" spans="1:6" ht="25.5">
      <c r="A725" s="2">
        <v>722</v>
      </c>
      <c r="B725" s="2" t="s">
        <v>784</v>
      </c>
      <c r="C725" s="2" t="str">
        <f>"09217126"</f>
        <v>09217126</v>
      </c>
      <c r="D725" s="2">
        <v>1.333</v>
      </c>
      <c r="E725" s="2">
        <v>23</v>
      </c>
      <c r="F725" s="2" t="s">
        <v>75</v>
      </c>
    </row>
    <row r="726" spans="1:6" ht="25.5">
      <c r="A726" s="2">
        <v>723</v>
      </c>
      <c r="B726" s="2" t="s">
        <v>785</v>
      </c>
      <c r="C726" s="2" t="str">
        <f>"11663413"</f>
        <v>11663413</v>
      </c>
      <c r="D726" s="2">
        <v>0.1</v>
      </c>
      <c r="E726" s="2">
        <v>2</v>
      </c>
      <c r="F726" s="2" t="s">
        <v>190</v>
      </c>
    </row>
    <row r="727" spans="1:6" ht="25.5">
      <c r="A727" s="2">
        <v>724</v>
      </c>
      <c r="B727" s="2" t="s">
        <v>786</v>
      </c>
      <c r="C727" s="2" t="str">
        <f>"02699370"</f>
        <v>02699370</v>
      </c>
      <c r="D727" s="2">
        <v>3.1589999999999998</v>
      </c>
      <c r="E727" s="2">
        <v>164</v>
      </c>
      <c r="F727" s="2" t="s">
        <v>6</v>
      </c>
    </row>
    <row r="728" spans="1:6" ht="25.5">
      <c r="A728" s="2">
        <v>725</v>
      </c>
      <c r="B728" s="2" t="s">
        <v>787</v>
      </c>
      <c r="C728" s="2" t="str">
        <f>"08870292"</f>
        <v>08870292</v>
      </c>
      <c r="D728" s="2">
        <v>0.113</v>
      </c>
      <c r="E728" s="2">
        <v>4</v>
      </c>
      <c r="F728" s="2" t="s">
        <v>6</v>
      </c>
    </row>
    <row r="729" spans="1:6" ht="25.5">
      <c r="A729" s="2">
        <v>726</v>
      </c>
      <c r="B729" s="2" t="s">
        <v>788</v>
      </c>
      <c r="C729" s="2" t="str">
        <f>"15733254"</f>
        <v>15733254</v>
      </c>
      <c r="D729" s="2">
        <v>1.573</v>
      </c>
      <c r="E729" s="2">
        <v>49</v>
      </c>
      <c r="F729" s="2" t="s">
        <v>6</v>
      </c>
    </row>
    <row r="730" spans="1:6" ht="25.5">
      <c r="A730" s="2">
        <v>727</v>
      </c>
      <c r="B730" s="2" t="s">
        <v>789</v>
      </c>
      <c r="C730" s="2" t="str">
        <f>"13600451"</f>
        <v>13600451</v>
      </c>
      <c r="D730" s="2">
        <v>0.92</v>
      </c>
      <c r="E730" s="2">
        <v>58</v>
      </c>
      <c r="F730" s="2" t="s">
        <v>16</v>
      </c>
    </row>
    <row r="731" spans="1:6" ht="25.5">
      <c r="A731" s="2">
        <v>728</v>
      </c>
      <c r="B731" s="2" t="s">
        <v>790</v>
      </c>
      <c r="C731" s="2" t="str">
        <f>"19432755"</f>
        <v>19432755</v>
      </c>
      <c r="D731" s="2">
        <v>1.052</v>
      </c>
      <c r="E731" s="2">
        <v>47</v>
      </c>
      <c r="F731" s="2" t="s">
        <v>6</v>
      </c>
    </row>
    <row r="732" spans="1:6" ht="25.5">
      <c r="A732" s="2">
        <v>729</v>
      </c>
      <c r="B732" s="2" t="s">
        <v>791</v>
      </c>
      <c r="C732" s="2" t="str">
        <f>"10872914"</f>
        <v>10872914</v>
      </c>
      <c r="D732" s="2">
        <v>1.5089999999999999</v>
      </c>
      <c r="E732" s="2">
        <v>45</v>
      </c>
      <c r="F732" s="2" t="s">
        <v>6</v>
      </c>
    </row>
    <row r="733" spans="1:6" ht="25.5">
      <c r="A733" s="2">
        <v>730</v>
      </c>
      <c r="B733" s="2" t="s">
        <v>792</v>
      </c>
      <c r="C733" s="2" t="str">
        <f>"08871493"</f>
        <v>08871493</v>
      </c>
      <c r="D733" s="2">
        <v>0.105</v>
      </c>
      <c r="E733" s="2">
        <v>4</v>
      </c>
      <c r="F733" s="2" t="s">
        <v>6</v>
      </c>
    </row>
    <row r="734" spans="1:6" ht="25.5">
      <c r="A734" s="2">
        <v>731</v>
      </c>
      <c r="B734" s="2" t="s">
        <v>793</v>
      </c>
      <c r="C734" s="2" t="str">
        <f>"10530894"</f>
        <v>10530894</v>
      </c>
      <c r="D734" s="2">
        <v>0.17699999999999999</v>
      </c>
      <c r="E734" s="2">
        <v>24</v>
      </c>
      <c r="F734" s="2" t="s">
        <v>6</v>
      </c>
    </row>
    <row r="735" spans="1:6" ht="25.5">
      <c r="A735" s="2">
        <v>732</v>
      </c>
      <c r="B735" s="2" t="s">
        <v>794</v>
      </c>
      <c r="C735" s="2" t="str">
        <f>"19318405"</f>
        <v>19318405</v>
      </c>
      <c r="D735" s="2">
        <v>0.95599999999999996</v>
      </c>
      <c r="E735" s="2">
        <v>71</v>
      </c>
      <c r="F735" s="2" t="s">
        <v>6</v>
      </c>
    </row>
    <row r="736" spans="1:6" ht="25.5">
      <c r="A736" s="2">
        <v>733</v>
      </c>
      <c r="B736" s="2" t="s">
        <v>795</v>
      </c>
      <c r="C736" s="2" t="str">
        <f>"17426405"</f>
        <v>17426405</v>
      </c>
      <c r="D736" s="2">
        <v>0.81100000000000005</v>
      </c>
      <c r="E736" s="2">
        <v>17</v>
      </c>
      <c r="F736" s="2" t="s">
        <v>16</v>
      </c>
    </row>
    <row r="737" spans="1:6" ht="25.5">
      <c r="A737" s="2">
        <v>734</v>
      </c>
      <c r="B737" s="2" t="s">
        <v>796</v>
      </c>
      <c r="C737" s="2" t="str">
        <f>"20901259"</f>
        <v>20901259</v>
      </c>
      <c r="D737" s="2">
        <v>0.72799999999999998</v>
      </c>
      <c r="E737" s="2">
        <v>5</v>
      </c>
      <c r="F737" s="2" t="s">
        <v>6</v>
      </c>
    </row>
    <row r="738" spans="1:6" ht="25.5">
      <c r="A738" s="2">
        <v>735</v>
      </c>
      <c r="B738" s="2" t="s">
        <v>797</v>
      </c>
      <c r="C738" s="2" t="str">
        <f>"11396121"</f>
        <v>11396121</v>
      </c>
      <c r="D738" s="2">
        <v>1.3660000000000001</v>
      </c>
      <c r="E738" s="2">
        <v>39</v>
      </c>
      <c r="F738" s="2" t="s">
        <v>351</v>
      </c>
    </row>
    <row r="739" spans="1:6" ht="25.5">
      <c r="A739" s="2">
        <v>736</v>
      </c>
      <c r="B739" s="2" t="s">
        <v>798</v>
      </c>
      <c r="C739" s="2" t="str">
        <f>"1863916X"</f>
        <v>1863916X</v>
      </c>
      <c r="D739" s="2">
        <v>0</v>
      </c>
      <c r="E739" s="2">
        <v>0</v>
      </c>
      <c r="F739" s="2" t="s">
        <v>12</v>
      </c>
    </row>
    <row r="740" spans="1:6" ht="25.5">
      <c r="A740" s="2">
        <v>737</v>
      </c>
      <c r="B740" s="2" t="s">
        <v>799</v>
      </c>
      <c r="C740" s="2" t="str">
        <f>"13419463"</f>
        <v>13419463</v>
      </c>
      <c r="D740" s="2">
        <v>0.1</v>
      </c>
      <c r="E740" s="2">
        <v>2</v>
      </c>
      <c r="F740" s="2" t="s">
        <v>131</v>
      </c>
    </row>
    <row r="741" spans="1:6" ht="25.5">
      <c r="A741" s="2">
        <v>738</v>
      </c>
      <c r="B741" s="2" t="s">
        <v>800</v>
      </c>
      <c r="C741" s="2" t="str">
        <f>"14610213"</f>
        <v>14610213</v>
      </c>
      <c r="D741" s="2">
        <v>0.39100000000000001</v>
      </c>
      <c r="E741" s="2">
        <v>8</v>
      </c>
      <c r="F741" s="2" t="s">
        <v>75</v>
      </c>
    </row>
    <row r="742" spans="1:6" ht="25.5">
      <c r="A742" s="2">
        <v>739</v>
      </c>
      <c r="B742" s="2" t="s">
        <v>801</v>
      </c>
      <c r="C742" s="2" t="str">
        <f>"07384602"</f>
        <v>07384602</v>
      </c>
      <c r="D742" s="2">
        <v>0.83599999999999997</v>
      </c>
      <c r="E742" s="2">
        <v>47</v>
      </c>
      <c r="F742" s="2" t="s">
        <v>6</v>
      </c>
    </row>
    <row r="743" spans="1:6" ht="25.5">
      <c r="A743" s="2">
        <v>740</v>
      </c>
      <c r="B743" s="2" t="s">
        <v>802</v>
      </c>
      <c r="C743" s="2" t="str">
        <f>"02655004"</f>
        <v>02655004</v>
      </c>
      <c r="D743" s="2">
        <v>0.11</v>
      </c>
      <c r="E743" s="2">
        <v>2</v>
      </c>
      <c r="F743" s="2" t="s">
        <v>6</v>
      </c>
    </row>
    <row r="744" spans="1:6" ht="25.5">
      <c r="A744" s="2">
        <v>741</v>
      </c>
      <c r="B744" s="2" t="s">
        <v>803</v>
      </c>
      <c r="C744" s="2" t="str">
        <f>"20904479"</f>
        <v>20904479</v>
      </c>
      <c r="D744" s="2">
        <v>0.17299999999999999</v>
      </c>
      <c r="E744" s="2">
        <v>3</v>
      </c>
      <c r="F744" s="2" t="s">
        <v>523</v>
      </c>
    </row>
    <row r="745" spans="1:6" ht="25.5">
      <c r="A745" s="2">
        <v>742</v>
      </c>
      <c r="B745" s="2" t="s">
        <v>804</v>
      </c>
      <c r="C745" s="2" t="str">
        <f>"15517616"</f>
        <v>15517616</v>
      </c>
      <c r="D745" s="2">
        <v>0.161</v>
      </c>
      <c r="E745" s="2">
        <v>25</v>
      </c>
      <c r="F745" s="2" t="s">
        <v>6</v>
      </c>
    </row>
    <row r="746" spans="1:6" ht="25.5">
      <c r="A746" s="2">
        <v>743</v>
      </c>
      <c r="B746" s="2" t="s">
        <v>805</v>
      </c>
      <c r="C746" s="2" t="str">
        <f>"08970823"</f>
        <v>08970823</v>
      </c>
      <c r="D746" s="2">
        <v>0.10299999999999999</v>
      </c>
      <c r="E746" s="2">
        <v>4</v>
      </c>
      <c r="F746" s="2" t="s">
        <v>6</v>
      </c>
    </row>
    <row r="747" spans="1:6" ht="25.5">
      <c r="A747" s="2">
        <v>744</v>
      </c>
      <c r="B747" s="2" t="s">
        <v>806</v>
      </c>
      <c r="C747" s="2" t="str">
        <f>"17488842"</f>
        <v>17488842</v>
      </c>
      <c r="D747" s="2">
        <v>0.28499999999999998</v>
      </c>
      <c r="E747" s="2">
        <v>13</v>
      </c>
      <c r="F747" s="2" t="s">
        <v>16</v>
      </c>
    </row>
    <row r="748" spans="1:6" ht="25.5">
      <c r="A748" s="2">
        <v>745</v>
      </c>
      <c r="B748" s="2" t="s">
        <v>807</v>
      </c>
      <c r="C748" s="2" t="str">
        <f>"02687615"</f>
        <v>02687615</v>
      </c>
      <c r="D748" s="2">
        <v>0.106</v>
      </c>
      <c r="E748" s="2">
        <v>3</v>
      </c>
      <c r="F748" s="2" t="s">
        <v>6</v>
      </c>
    </row>
    <row r="749" spans="1:6" ht="25.5">
      <c r="A749" s="2">
        <v>746</v>
      </c>
      <c r="B749" s="2" t="s">
        <v>808</v>
      </c>
      <c r="C749" s="2" t="str">
        <f>"15326497"</f>
        <v>15326497</v>
      </c>
      <c r="D749" s="2">
        <v>0.20799999999999999</v>
      </c>
      <c r="E749" s="2">
        <v>15</v>
      </c>
      <c r="F749" s="2" t="s">
        <v>6</v>
      </c>
    </row>
    <row r="750" spans="1:6" ht="25.5">
      <c r="A750" s="2">
        <v>747</v>
      </c>
      <c r="B750" s="2" t="s">
        <v>809</v>
      </c>
      <c r="C750" s="2" t="str">
        <f>"18739326"</f>
        <v>18739326</v>
      </c>
      <c r="D750" s="2">
        <v>0.42599999999999999</v>
      </c>
      <c r="E750" s="2">
        <v>9</v>
      </c>
      <c r="F750" s="2" t="s">
        <v>75</v>
      </c>
    </row>
    <row r="751" spans="1:6" ht="25.5">
      <c r="A751" s="2">
        <v>748</v>
      </c>
      <c r="B751" s="2" t="s">
        <v>810</v>
      </c>
      <c r="C751" s="2" t="str">
        <f>"11786221"</f>
        <v>11786221</v>
      </c>
      <c r="D751" s="2">
        <v>0.13800000000000001</v>
      </c>
      <c r="E751" s="2">
        <v>3</v>
      </c>
      <c r="F751" s="2" t="s">
        <v>503</v>
      </c>
    </row>
    <row r="752" spans="1:6" ht="25.5">
      <c r="A752" s="2">
        <v>749</v>
      </c>
      <c r="B752" s="2" t="s">
        <v>811</v>
      </c>
      <c r="C752" s="2" t="str">
        <f>"1346602X"</f>
        <v>1346602X</v>
      </c>
      <c r="D752" s="2">
        <v>0.10100000000000001</v>
      </c>
      <c r="E752" s="2">
        <v>2</v>
      </c>
      <c r="F752" s="2" t="s">
        <v>131</v>
      </c>
    </row>
    <row r="753" spans="1:6" ht="25.5">
      <c r="A753" s="2">
        <v>750</v>
      </c>
      <c r="B753" s="2" t="s">
        <v>812</v>
      </c>
      <c r="C753" s="2" t="str">
        <f>"21507759"</f>
        <v>21507759</v>
      </c>
      <c r="D753" s="2">
        <v>0.14299999999999999</v>
      </c>
      <c r="E753" s="2">
        <v>9</v>
      </c>
      <c r="F753" s="2" t="s">
        <v>6</v>
      </c>
    </row>
    <row r="754" spans="1:6" ht="25.5">
      <c r="A754" s="2">
        <v>751</v>
      </c>
      <c r="B754" s="2" t="s">
        <v>813</v>
      </c>
      <c r="C754" s="2" t="str">
        <f>"21507724"</f>
        <v>21507724</v>
      </c>
      <c r="D754" s="2">
        <v>0.21099999999999999</v>
      </c>
      <c r="E754" s="2">
        <v>3</v>
      </c>
      <c r="F754" s="2" t="s">
        <v>16</v>
      </c>
    </row>
    <row r="755" spans="1:6" ht="25.5">
      <c r="A755" s="2">
        <v>752</v>
      </c>
      <c r="B755" s="2" t="s">
        <v>814</v>
      </c>
      <c r="C755" s="2" t="str">
        <f>"01972510"</f>
        <v>01972510</v>
      </c>
      <c r="D755" s="2">
        <v>0.107</v>
      </c>
      <c r="E755" s="2">
        <v>11</v>
      </c>
      <c r="F755" s="2" t="s">
        <v>6</v>
      </c>
    </row>
    <row r="756" spans="1:6" ht="25.5">
      <c r="A756" s="2">
        <v>753</v>
      </c>
      <c r="B756" s="2" t="s">
        <v>815</v>
      </c>
      <c r="C756" s="2" t="str">
        <f>"14754541"</f>
        <v>14754541</v>
      </c>
      <c r="D756" s="2">
        <v>0.10100000000000001</v>
      </c>
      <c r="E756" s="2">
        <v>2</v>
      </c>
      <c r="F756" s="2" t="s">
        <v>6</v>
      </c>
    </row>
    <row r="757" spans="1:6" ht="25.5">
      <c r="A757" s="2">
        <v>754</v>
      </c>
      <c r="B757" s="2" t="s">
        <v>816</v>
      </c>
      <c r="C757" s="2" t="str">
        <f>"09728600"</f>
        <v>09728600</v>
      </c>
      <c r="D757" s="2">
        <v>0.11700000000000001</v>
      </c>
      <c r="E757" s="2">
        <v>1</v>
      </c>
      <c r="F757" s="2" t="s">
        <v>488</v>
      </c>
    </row>
    <row r="758" spans="1:6" ht="25.5">
      <c r="A758" s="2">
        <v>755</v>
      </c>
      <c r="B758" s="2" t="s">
        <v>817</v>
      </c>
      <c r="C758" s="2" t="str">
        <f>"1210955X"</f>
        <v>1210955X</v>
      </c>
      <c r="D758" s="2">
        <v>0.11700000000000001</v>
      </c>
      <c r="E758" s="2">
        <v>3</v>
      </c>
      <c r="F758" s="2" t="s">
        <v>208</v>
      </c>
    </row>
    <row r="759" spans="1:6" ht="25.5">
      <c r="A759" s="2">
        <v>756</v>
      </c>
      <c r="B759" s="2" t="s">
        <v>818</v>
      </c>
      <c r="C759" s="2" t="str">
        <f>"16419227"</f>
        <v>16419227</v>
      </c>
      <c r="D759" s="2">
        <v>0.11799999999999999</v>
      </c>
      <c r="E759" s="2">
        <v>1</v>
      </c>
      <c r="F759" s="2" t="s">
        <v>169</v>
      </c>
    </row>
    <row r="760" spans="1:6" ht="25.5">
      <c r="A760" s="2">
        <v>757</v>
      </c>
      <c r="B760" s="2" t="s">
        <v>819</v>
      </c>
      <c r="C760" s="2" t="str">
        <f>"03402541"</f>
        <v>03402541</v>
      </c>
      <c r="D760" s="2">
        <v>0.107</v>
      </c>
      <c r="E760" s="2">
        <v>9</v>
      </c>
      <c r="F760" s="2" t="s">
        <v>12</v>
      </c>
    </row>
    <row r="761" spans="1:6" ht="25.5">
      <c r="A761" s="2">
        <v>758</v>
      </c>
      <c r="B761" s="2" t="s">
        <v>820</v>
      </c>
      <c r="C761" s="2" t="str">
        <f>"14389916"</f>
        <v>14389916</v>
      </c>
      <c r="D761" s="2">
        <v>0.23300000000000001</v>
      </c>
      <c r="E761" s="2">
        <v>13</v>
      </c>
      <c r="F761" s="2" t="s">
        <v>12</v>
      </c>
    </row>
    <row r="762" spans="1:6" ht="25.5">
      <c r="A762" s="2">
        <v>759</v>
      </c>
      <c r="B762" s="2" t="s">
        <v>821</v>
      </c>
      <c r="C762" s="2" t="str">
        <f>"14389428"</f>
        <v>14389428</v>
      </c>
      <c r="D762" s="2">
        <v>0.13400000000000001</v>
      </c>
      <c r="E762" s="2">
        <v>12</v>
      </c>
      <c r="F762" s="2" t="s">
        <v>12</v>
      </c>
    </row>
    <row r="763" spans="1:6" ht="25.5">
      <c r="A763" s="2">
        <v>760</v>
      </c>
      <c r="B763" s="2" t="s">
        <v>822</v>
      </c>
      <c r="C763" s="2" t="str">
        <f>"14372754"</f>
        <v>14372754</v>
      </c>
      <c r="D763" s="2">
        <v>0.115</v>
      </c>
      <c r="E763" s="2">
        <v>7</v>
      </c>
      <c r="F763" s="2" t="s">
        <v>12</v>
      </c>
    </row>
    <row r="764" spans="1:6" ht="25.5">
      <c r="A764" s="2">
        <v>761</v>
      </c>
      <c r="B764" s="2" t="s">
        <v>823</v>
      </c>
      <c r="C764" s="2" t="str">
        <f>"14389940"</f>
        <v>14389940</v>
      </c>
      <c r="D764" s="2">
        <v>0.108</v>
      </c>
      <c r="E764" s="2">
        <v>9</v>
      </c>
      <c r="F764" s="2" t="s">
        <v>12</v>
      </c>
    </row>
    <row r="765" spans="1:6" ht="25.5">
      <c r="A765" s="2">
        <v>762</v>
      </c>
      <c r="B765" s="2" t="s">
        <v>824</v>
      </c>
      <c r="C765" s="2" t="str">
        <f>"00017868"</f>
        <v>00017868</v>
      </c>
      <c r="D765" s="2">
        <v>0.161</v>
      </c>
      <c r="E765" s="2">
        <v>10</v>
      </c>
      <c r="F765" s="2" t="s">
        <v>12</v>
      </c>
    </row>
    <row r="766" spans="1:6" ht="25.5">
      <c r="A766" s="2">
        <v>763</v>
      </c>
      <c r="B766" s="2" t="s">
        <v>825</v>
      </c>
      <c r="C766" s="2" t="str">
        <f>"03240959"</f>
        <v>03240959</v>
      </c>
      <c r="D766" s="2">
        <v>0.104</v>
      </c>
      <c r="E766" s="2">
        <v>6</v>
      </c>
      <c r="F766" s="2" t="s">
        <v>293</v>
      </c>
    </row>
    <row r="767" spans="1:6" ht="25.5">
      <c r="A767" s="2">
        <v>764</v>
      </c>
      <c r="B767" s="2" t="s">
        <v>826</v>
      </c>
      <c r="C767" s="2" t="str">
        <f>"18019064"</f>
        <v>18019064</v>
      </c>
      <c r="D767" s="2">
        <v>0</v>
      </c>
      <c r="E767" s="2">
        <v>0</v>
      </c>
      <c r="F767" s="2" t="s">
        <v>208</v>
      </c>
    </row>
    <row r="768" spans="1:6" ht="25.5">
      <c r="A768" s="2">
        <v>765</v>
      </c>
      <c r="B768" s="2" t="s">
        <v>827</v>
      </c>
      <c r="C768" s="2" t="str">
        <f>"00023957"</f>
        <v>00023957</v>
      </c>
      <c r="D768" s="2">
        <v>0.1</v>
      </c>
      <c r="E768" s="2">
        <v>2</v>
      </c>
      <c r="F768" s="2" t="s">
        <v>12</v>
      </c>
    </row>
    <row r="769" spans="1:6" ht="25.5">
      <c r="A769" s="2">
        <v>766</v>
      </c>
      <c r="B769" s="2" t="s">
        <v>828</v>
      </c>
      <c r="C769" s="2" t="str">
        <f>"00024317"</f>
        <v>00024317</v>
      </c>
      <c r="D769" s="2">
        <v>0.10100000000000001</v>
      </c>
      <c r="E769" s="2">
        <v>2</v>
      </c>
      <c r="F769" s="2" t="s">
        <v>6</v>
      </c>
    </row>
    <row r="770" spans="1:6" ht="25.5">
      <c r="A770" s="2">
        <v>767</v>
      </c>
      <c r="B770" s="2" t="s">
        <v>829</v>
      </c>
      <c r="C770" s="2" t="str">
        <f>"00024538"</f>
        <v>00024538</v>
      </c>
      <c r="D770" s="2">
        <v>0.113</v>
      </c>
      <c r="E770" s="2">
        <v>8</v>
      </c>
      <c r="F770" s="2" t="s">
        <v>6</v>
      </c>
    </row>
    <row r="771" spans="1:6" ht="25.5">
      <c r="A771" s="2">
        <v>768</v>
      </c>
      <c r="B771" s="2" t="s">
        <v>830</v>
      </c>
      <c r="C771" s="2" t="str">
        <f>"00024619"</f>
        <v>00024619</v>
      </c>
      <c r="D771" s="2">
        <v>0.182</v>
      </c>
      <c r="E771" s="2">
        <v>11</v>
      </c>
      <c r="F771" s="2" t="s">
        <v>66</v>
      </c>
    </row>
    <row r="772" spans="1:6" ht="25.5">
      <c r="A772" s="2">
        <v>769</v>
      </c>
      <c r="B772" s="2" t="s">
        <v>831</v>
      </c>
      <c r="C772" s="2" t="str">
        <f>"00024678"</f>
        <v>00024678</v>
      </c>
      <c r="D772" s="2">
        <v>0.105</v>
      </c>
      <c r="E772" s="2">
        <v>3</v>
      </c>
      <c r="F772" s="2" t="s">
        <v>6</v>
      </c>
    </row>
    <row r="773" spans="1:6" ht="25.5">
      <c r="A773" s="2">
        <v>770</v>
      </c>
      <c r="B773" s="2" t="s">
        <v>832</v>
      </c>
      <c r="C773" s="2" t="str">
        <f>"00024805"</f>
        <v>00024805</v>
      </c>
      <c r="D773" s="2">
        <v>0.127</v>
      </c>
      <c r="E773" s="2">
        <v>10</v>
      </c>
      <c r="F773" s="2" t="s">
        <v>64</v>
      </c>
    </row>
    <row r="774" spans="1:6" ht="25.5">
      <c r="A774" s="2">
        <v>771</v>
      </c>
      <c r="B774" s="2" t="s">
        <v>833</v>
      </c>
      <c r="C774" s="2" t="str">
        <f>"14819988"</f>
        <v>14819988</v>
      </c>
      <c r="D774" s="2">
        <v>0.1</v>
      </c>
      <c r="E774" s="2">
        <v>3</v>
      </c>
      <c r="F774" s="2" t="s">
        <v>64</v>
      </c>
    </row>
    <row r="775" spans="1:6" ht="25.5">
      <c r="A775" s="2">
        <v>772</v>
      </c>
      <c r="B775" s="2" t="s">
        <v>834</v>
      </c>
      <c r="C775" s="2" t="str">
        <f>"03115518"</f>
        <v>03115518</v>
      </c>
      <c r="D775" s="2">
        <v>0.46500000000000002</v>
      </c>
      <c r="E775" s="2">
        <v>19</v>
      </c>
      <c r="F775" s="2" t="s">
        <v>16</v>
      </c>
    </row>
    <row r="776" spans="1:6" ht="25.5">
      <c r="A776" s="2">
        <v>773</v>
      </c>
      <c r="B776" s="2" t="s">
        <v>835</v>
      </c>
      <c r="C776" s="2" t="str">
        <f>"07418329"</f>
        <v>07418329</v>
      </c>
      <c r="D776" s="2">
        <v>0.79</v>
      </c>
      <c r="E776" s="2">
        <v>53</v>
      </c>
      <c r="F776" s="2" t="s">
        <v>6</v>
      </c>
    </row>
    <row r="777" spans="1:6" ht="25.5">
      <c r="A777" s="2">
        <v>774</v>
      </c>
      <c r="B777" s="2" t="s">
        <v>836</v>
      </c>
      <c r="C777" s="2" t="str">
        <f>"14643502"</f>
        <v>14643502</v>
      </c>
      <c r="D777" s="2">
        <v>0.89600000000000002</v>
      </c>
      <c r="E777" s="2">
        <v>61</v>
      </c>
      <c r="F777" s="2" t="s">
        <v>16</v>
      </c>
    </row>
    <row r="778" spans="1:6" ht="25.5">
      <c r="A778" s="2">
        <v>775</v>
      </c>
      <c r="B778" s="2" t="s">
        <v>837</v>
      </c>
      <c r="C778" s="2" t="str">
        <f>"0002502X"</f>
        <v>0002502X</v>
      </c>
      <c r="D778" s="2">
        <v>0.14399999999999999</v>
      </c>
      <c r="E778" s="2">
        <v>5</v>
      </c>
      <c r="F778" s="2" t="s">
        <v>149</v>
      </c>
    </row>
    <row r="779" spans="1:6" ht="25.5">
      <c r="A779" s="2">
        <v>776</v>
      </c>
      <c r="B779" s="2" t="s">
        <v>838</v>
      </c>
      <c r="C779" s="2" t="str">
        <f>"15300277"</f>
        <v>15300277</v>
      </c>
      <c r="D779" s="2">
        <v>1.353</v>
      </c>
      <c r="E779" s="2">
        <v>101</v>
      </c>
      <c r="F779" s="2" t="s">
        <v>16</v>
      </c>
    </row>
    <row r="780" spans="1:6" ht="25.5">
      <c r="A780" s="2">
        <v>777</v>
      </c>
      <c r="B780" s="2" t="s">
        <v>839</v>
      </c>
      <c r="C780" s="2" t="str">
        <f>"15444538"</f>
        <v>15444538</v>
      </c>
      <c r="D780" s="2">
        <v>0.22800000000000001</v>
      </c>
      <c r="E780" s="2">
        <v>18</v>
      </c>
      <c r="F780" s="2" t="s">
        <v>16</v>
      </c>
    </row>
    <row r="781" spans="1:6" ht="25.5">
      <c r="A781" s="2">
        <v>778</v>
      </c>
      <c r="B781" s="2" t="s">
        <v>840</v>
      </c>
      <c r="C781" s="2" t="str">
        <f>"15357414"</f>
        <v>15357414</v>
      </c>
      <c r="D781" s="2">
        <v>0.39</v>
      </c>
      <c r="E781" s="2">
        <v>54</v>
      </c>
      <c r="F781" s="2" t="s">
        <v>6</v>
      </c>
    </row>
    <row r="782" spans="1:6" ht="25.5">
      <c r="A782" s="2">
        <v>779</v>
      </c>
      <c r="B782" s="2" t="s">
        <v>841</v>
      </c>
      <c r="C782" s="2" t="str">
        <f>"00025100"</f>
        <v>00025100</v>
      </c>
      <c r="D782" s="2">
        <v>6.048</v>
      </c>
      <c r="E782" s="2">
        <v>46</v>
      </c>
      <c r="F782" s="2" t="s">
        <v>6</v>
      </c>
    </row>
    <row r="783" spans="1:6" ht="25.5">
      <c r="A783" s="2">
        <v>780</v>
      </c>
      <c r="B783" s="2" t="s">
        <v>842</v>
      </c>
      <c r="C783" s="2" t="str">
        <f>"1517106X"</f>
        <v>1517106X</v>
      </c>
      <c r="D783" s="2">
        <v>0.129</v>
      </c>
      <c r="E783" s="2">
        <v>2</v>
      </c>
      <c r="F783" s="2" t="s">
        <v>159</v>
      </c>
    </row>
    <row r="784" spans="1:6" ht="25.5">
      <c r="A784" s="2">
        <v>781</v>
      </c>
      <c r="B784" s="2" t="s">
        <v>842</v>
      </c>
      <c r="C784" s="2" t="str">
        <f>"19800436"</f>
        <v>19800436</v>
      </c>
      <c r="D784" s="2">
        <v>0</v>
      </c>
      <c r="E784" s="2">
        <v>1</v>
      </c>
      <c r="F784" s="2" t="s">
        <v>159</v>
      </c>
    </row>
    <row r="785" spans="1:6" ht="25.5">
      <c r="A785" s="2">
        <v>782</v>
      </c>
      <c r="B785" s="2" t="s">
        <v>843</v>
      </c>
      <c r="C785" s="2" t="str">
        <f>"15651525"</f>
        <v>15651525</v>
      </c>
      <c r="D785" s="2">
        <v>0.129</v>
      </c>
      <c r="E785" s="2">
        <v>2</v>
      </c>
      <c r="F785" s="2" t="s">
        <v>6</v>
      </c>
    </row>
    <row r="786" spans="1:6" ht="25.5">
      <c r="A786" s="2">
        <v>783</v>
      </c>
      <c r="B786" s="2" t="s">
        <v>844</v>
      </c>
      <c r="C786" s="2" t="str">
        <f>"14273101"</f>
        <v>14273101</v>
      </c>
      <c r="D786" s="2">
        <v>0.114</v>
      </c>
      <c r="E786" s="2">
        <v>6</v>
      </c>
      <c r="F786" s="2" t="s">
        <v>169</v>
      </c>
    </row>
    <row r="787" spans="1:6" ht="25.5">
      <c r="A787" s="2">
        <v>784</v>
      </c>
      <c r="B787" s="2" t="s">
        <v>845</v>
      </c>
      <c r="C787" s="2" t="str">
        <f>"12123536"</f>
        <v>12123536</v>
      </c>
      <c r="D787" s="2">
        <v>0.11</v>
      </c>
      <c r="E787" s="2">
        <v>4</v>
      </c>
      <c r="F787" s="2" t="s">
        <v>208</v>
      </c>
    </row>
    <row r="788" spans="1:6" ht="25.5">
      <c r="A788" s="2">
        <v>785</v>
      </c>
      <c r="B788" s="2" t="s">
        <v>846</v>
      </c>
      <c r="C788" s="2" t="str">
        <f>"22119264"</f>
        <v>22119264</v>
      </c>
      <c r="D788" s="2">
        <v>0</v>
      </c>
      <c r="E788" s="2">
        <v>2</v>
      </c>
      <c r="F788" s="2" t="s">
        <v>75</v>
      </c>
    </row>
    <row r="789" spans="1:6" ht="25.5">
      <c r="A789" s="2">
        <v>786</v>
      </c>
      <c r="B789" s="2" t="s">
        <v>847</v>
      </c>
      <c r="C789" s="2" t="str">
        <f>"17263255"</f>
        <v>17263255</v>
      </c>
      <c r="D789" s="2">
        <v>0</v>
      </c>
      <c r="E789" s="2">
        <v>1</v>
      </c>
      <c r="F789" s="2" t="s">
        <v>438</v>
      </c>
    </row>
    <row r="790" spans="1:6" ht="25.5">
      <c r="A790" s="2">
        <v>787</v>
      </c>
      <c r="B790" s="2" t="s">
        <v>848</v>
      </c>
      <c r="C790" s="2" t="str">
        <f>"00025232"</f>
        <v>00025232</v>
      </c>
      <c r="D790" s="2">
        <v>0.64700000000000002</v>
      </c>
      <c r="E790" s="2">
        <v>14</v>
      </c>
      <c r="F790" s="2" t="s">
        <v>6</v>
      </c>
    </row>
    <row r="791" spans="1:6" ht="25.5">
      <c r="A791" s="2">
        <v>788</v>
      </c>
      <c r="B791" s="2" t="s">
        <v>849</v>
      </c>
      <c r="C791" s="2" t="str">
        <f>"19370652"</f>
        <v>19370652</v>
      </c>
      <c r="D791" s="2">
        <v>1.2849999999999999</v>
      </c>
      <c r="E791" s="2">
        <v>6</v>
      </c>
      <c r="F791" s="2" t="s">
        <v>6</v>
      </c>
    </row>
    <row r="792" spans="1:6" ht="25.5">
      <c r="A792" s="2">
        <v>789</v>
      </c>
      <c r="B792" s="2" t="s">
        <v>850</v>
      </c>
      <c r="C792" s="2" t="str">
        <f>"10053867"</f>
        <v>10053867</v>
      </c>
      <c r="D792" s="2">
        <v>0.39500000000000002</v>
      </c>
      <c r="E792" s="2">
        <v>15</v>
      </c>
      <c r="F792" s="2" t="s">
        <v>543</v>
      </c>
    </row>
    <row r="793" spans="1:6" ht="25.5">
      <c r="A793" s="2">
        <v>790</v>
      </c>
      <c r="B793" s="2" t="s">
        <v>851</v>
      </c>
      <c r="C793" s="2" t="str">
        <f>"14722747"</f>
        <v>14722747</v>
      </c>
      <c r="D793" s="2">
        <v>1.1040000000000001</v>
      </c>
      <c r="E793" s="2">
        <v>9</v>
      </c>
      <c r="F793" s="2" t="s">
        <v>313</v>
      </c>
    </row>
    <row r="794" spans="1:6" ht="25.5">
      <c r="A794" s="2">
        <v>791</v>
      </c>
      <c r="B794" s="2" t="s">
        <v>852</v>
      </c>
      <c r="C794" s="2" t="str">
        <f>"15729079"</f>
        <v>15729079</v>
      </c>
      <c r="D794" s="2">
        <v>0.65</v>
      </c>
      <c r="E794" s="2">
        <v>16</v>
      </c>
      <c r="F794" s="2" t="s">
        <v>75</v>
      </c>
    </row>
    <row r="795" spans="1:6" ht="25.5">
      <c r="A795" s="2">
        <v>792</v>
      </c>
      <c r="B795" s="2" t="s">
        <v>853</v>
      </c>
      <c r="C795" s="2" t="str">
        <f>"14208911"</f>
        <v>14208911</v>
      </c>
      <c r="D795" s="2">
        <v>0.67400000000000004</v>
      </c>
      <c r="E795" s="2">
        <v>18</v>
      </c>
      <c r="F795" s="2" t="s">
        <v>31</v>
      </c>
    </row>
    <row r="796" spans="1:6" ht="25.5">
      <c r="A796" s="2">
        <v>793</v>
      </c>
      <c r="B796" s="2" t="s">
        <v>854</v>
      </c>
      <c r="C796" s="2" t="str">
        <f>"14320541"</f>
        <v>14320541</v>
      </c>
      <c r="D796" s="2">
        <v>1.214</v>
      </c>
      <c r="E796" s="2">
        <v>45</v>
      </c>
      <c r="F796" s="2" t="s">
        <v>6</v>
      </c>
    </row>
    <row r="797" spans="1:6" ht="25.5">
      <c r="A797" s="2">
        <v>794</v>
      </c>
      <c r="B797" s="2" t="s">
        <v>855</v>
      </c>
      <c r="C797" s="2" t="str">
        <f>"19994893"</f>
        <v>19994893</v>
      </c>
      <c r="D797" s="2">
        <v>0.34100000000000003</v>
      </c>
      <c r="E797" s="2">
        <v>9</v>
      </c>
      <c r="F797" s="2" t="s">
        <v>31</v>
      </c>
    </row>
    <row r="798" spans="1:6" ht="25.5">
      <c r="A798" s="2">
        <v>795</v>
      </c>
      <c r="B798" s="2" t="s">
        <v>856</v>
      </c>
      <c r="C798" s="2" t="str">
        <f>"17487188"</f>
        <v>17487188</v>
      </c>
      <c r="D798" s="2">
        <v>0.85199999999999998</v>
      </c>
      <c r="E798" s="2">
        <v>15</v>
      </c>
      <c r="F798" s="2" t="s">
        <v>16</v>
      </c>
    </row>
    <row r="799" spans="1:6" ht="25.5">
      <c r="A799" s="2">
        <v>796</v>
      </c>
      <c r="B799" s="2" t="s">
        <v>857</v>
      </c>
      <c r="C799" s="2" t="str">
        <f>"02692813"</f>
        <v>02692813</v>
      </c>
      <c r="D799" s="2">
        <v>1.6890000000000001</v>
      </c>
      <c r="E799" s="2">
        <v>112</v>
      </c>
      <c r="F799" s="2" t="s">
        <v>16</v>
      </c>
    </row>
    <row r="800" spans="1:6" ht="25.5">
      <c r="A800" s="2">
        <v>797</v>
      </c>
      <c r="B800" s="2" t="s">
        <v>858</v>
      </c>
      <c r="C800" s="2" t="str">
        <f>"10994831"</f>
        <v>10994831</v>
      </c>
      <c r="D800" s="2">
        <v>1.02</v>
      </c>
      <c r="E800" s="2">
        <v>18</v>
      </c>
      <c r="F800" s="2" t="s">
        <v>6</v>
      </c>
    </row>
    <row r="801" spans="1:6" ht="25.5">
      <c r="A801" s="2">
        <v>798</v>
      </c>
      <c r="B801" s="2" t="s">
        <v>859</v>
      </c>
      <c r="C801" s="2" t="str">
        <f>"09714693"</f>
        <v>09714693</v>
      </c>
      <c r="D801" s="2">
        <v>0.28100000000000003</v>
      </c>
      <c r="E801" s="2">
        <v>16</v>
      </c>
      <c r="F801" s="2" t="s">
        <v>488</v>
      </c>
    </row>
    <row r="802" spans="1:6" ht="25.5">
      <c r="A802" s="2">
        <v>799</v>
      </c>
      <c r="B802" s="2" t="s">
        <v>860</v>
      </c>
      <c r="C802" s="2" t="str">
        <f>"09418849"</f>
        <v>09418849</v>
      </c>
      <c r="D802" s="2">
        <v>0.26200000000000001</v>
      </c>
      <c r="E802" s="2">
        <v>18</v>
      </c>
      <c r="F802" s="2" t="s">
        <v>12</v>
      </c>
    </row>
    <row r="803" spans="1:6" ht="25.5">
      <c r="A803" s="2">
        <v>800</v>
      </c>
      <c r="B803" s="2" t="s">
        <v>861</v>
      </c>
      <c r="C803" s="2" t="str">
        <f>"15781267"</f>
        <v>15781267</v>
      </c>
      <c r="D803" s="2">
        <v>0.313</v>
      </c>
      <c r="E803" s="2">
        <v>21</v>
      </c>
      <c r="F803" s="2" t="s">
        <v>351</v>
      </c>
    </row>
    <row r="804" spans="1:6" ht="25.5">
      <c r="A804" s="2">
        <v>801</v>
      </c>
      <c r="B804" s="2" t="s">
        <v>862</v>
      </c>
      <c r="C804" s="2" t="str">
        <f>"03445062"</f>
        <v>03445062</v>
      </c>
      <c r="D804" s="2">
        <v>0.13</v>
      </c>
      <c r="E804" s="2">
        <v>15</v>
      </c>
      <c r="F804" s="2" t="s">
        <v>12</v>
      </c>
    </row>
    <row r="805" spans="1:6" ht="25.5">
      <c r="A805" s="2">
        <v>802</v>
      </c>
      <c r="B805" s="2" t="s">
        <v>863</v>
      </c>
      <c r="C805" s="2" t="str">
        <f>"14401592"</f>
        <v>14401592</v>
      </c>
      <c r="D805" s="2">
        <v>0.69399999999999995</v>
      </c>
      <c r="E805" s="2">
        <v>25</v>
      </c>
      <c r="F805" s="2" t="s">
        <v>131</v>
      </c>
    </row>
    <row r="806" spans="1:6" ht="25.5">
      <c r="A806" s="2">
        <v>803</v>
      </c>
      <c r="B806" s="2" t="s">
        <v>864</v>
      </c>
      <c r="C806" s="2" t="str">
        <f>"15396304"</f>
        <v>15396304</v>
      </c>
      <c r="D806" s="2">
        <v>0.75800000000000001</v>
      </c>
      <c r="E806" s="2">
        <v>40</v>
      </c>
      <c r="F806" s="2" t="s">
        <v>6</v>
      </c>
    </row>
    <row r="807" spans="1:6" ht="25.5">
      <c r="A807" s="2">
        <v>804</v>
      </c>
      <c r="B807" s="2" t="s">
        <v>865</v>
      </c>
      <c r="C807" s="2" t="str">
        <f>"17101492"</f>
        <v>17101492</v>
      </c>
      <c r="D807" s="2">
        <v>0.53300000000000003</v>
      </c>
      <c r="E807" s="2">
        <v>9</v>
      </c>
      <c r="F807" s="2" t="s">
        <v>16</v>
      </c>
    </row>
    <row r="808" spans="1:6" ht="25.5">
      <c r="A808" s="2">
        <v>805</v>
      </c>
      <c r="B808" s="2" t="s">
        <v>866</v>
      </c>
      <c r="C808" s="2" t="str">
        <f>"20927363"</f>
        <v>20927363</v>
      </c>
      <c r="D808" s="2">
        <v>0.63600000000000001</v>
      </c>
      <c r="E808" s="2">
        <v>11</v>
      </c>
      <c r="F808" s="2" t="s">
        <v>274</v>
      </c>
    </row>
    <row r="809" spans="1:6" ht="25.5">
      <c r="A809" s="2">
        <v>806</v>
      </c>
      <c r="B809" s="2" t="s">
        <v>867</v>
      </c>
      <c r="C809" s="2" t="str">
        <f>"13989995"</f>
        <v>13989995</v>
      </c>
      <c r="D809" s="2">
        <v>1.7030000000000001</v>
      </c>
      <c r="E809" s="2">
        <v>107</v>
      </c>
      <c r="F809" s="2" t="s">
        <v>16</v>
      </c>
    </row>
    <row r="810" spans="1:6" ht="25.5">
      <c r="A810" s="2">
        <v>807</v>
      </c>
      <c r="B810" s="2" t="s">
        <v>868</v>
      </c>
      <c r="C810" s="2" t="str">
        <f>"00025852"</f>
        <v>00025852</v>
      </c>
      <c r="D810" s="2">
        <v>0.20100000000000001</v>
      </c>
      <c r="E810" s="2">
        <v>13</v>
      </c>
      <c r="F810" s="2" t="s">
        <v>12</v>
      </c>
    </row>
    <row r="811" spans="1:6" ht="25.5">
      <c r="A811" s="2">
        <v>808</v>
      </c>
      <c r="B811" s="2" t="s">
        <v>869</v>
      </c>
      <c r="C811" s="2" t="str">
        <f>"1473348X"</f>
        <v>1473348X</v>
      </c>
      <c r="D811" s="2">
        <v>0.10100000000000001</v>
      </c>
      <c r="E811" s="2">
        <v>1</v>
      </c>
      <c r="F811" s="2" t="s">
        <v>16</v>
      </c>
    </row>
    <row r="812" spans="1:6" ht="25.5">
      <c r="A812" s="2">
        <v>809</v>
      </c>
      <c r="B812" s="2" t="s">
        <v>870</v>
      </c>
      <c r="C812" s="2" t="str">
        <f>"07182201"</f>
        <v>07182201</v>
      </c>
      <c r="D812" s="2">
        <v>0.1</v>
      </c>
      <c r="E812" s="2">
        <v>1</v>
      </c>
      <c r="F812" s="2" t="s">
        <v>182</v>
      </c>
    </row>
    <row r="813" spans="1:6" ht="25.5">
      <c r="A813" s="2">
        <v>810</v>
      </c>
      <c r="B813" s="2" t="s">
        <v>871</v>
      </c>
      <c r="C813" s="2" t="str">
        <f>"00026417"</f>
        <v>00026417</v>
      </c>
      <c r="D813" s="2">
        <v>0.126</v>
      </c>
      <c r="E813" s="2">
        <v>8</v>
      </c>
      <c r="F813" s="2" t="s">
        <v>6</v>
      </c>
    </row>
    <row r="814" spans="1:6" ht="25.5">
      <c r="A814" s="2">
        <v>811</v>
      </c>
      <c r="B814" s="2" t="s">
        <v>872</v>
      </c>
      <c r="C814" s="2" t="str">
        <f>"16642201"</f>
        <v>16642201</v>
      </c>
      <c r="D814" s="2">
        <v>0.52100000000000002</v>
      </c>
      <c r="E814" s="2">
        <v>15</v>
      </c>
      <c r="F814" s="2" t="s">
        <v>31</v>
      </c>
    </row>
    <row r="815" spans="1:6" ht="25.5">
      <c r="A815" s="2">
        <v>812</v>
      </c>
      <c r="B815" s="2" t="s">
        <v>873</v>
      </c>
      <c r="C815" s="2" t="str">
        <f>"02113589"</f>
        <v>02113589</v>
      </c>
      <c r="D815" s="2">
        <v>0.1</v>
      </c>
      <c r="E815" s="2">
        <v>5</v>
      </c>
      <c r="F815" s="2" t="s">
        <v>351</v>
      </c>
    </row>
    <row r="816" spans="1:6" ht="25.5">
      <c r="A816" s="2">
        <v>813</v>
      </c>
      <c r="B816" s="2" t="s">
        <v>874</v>
      </c>
      <c r="C816" s="2" t="str">
        <f>"13946870"</f>
        <v>13946870</v>
      </c>
      <c r="D816" s="2">
        <v>0.10199999999999999</v>
      </c>
      <c r="E816" s="2">
        <v>0</v>
      </c>
      <c r="F816" s="2" t="s">
        <v>37</v>
      </c>
    </row>
    <row r="817" spans="1:6" ht="25.5">
      <c r="A817" s="2">
        <v>814</v>
      </c>
      <c r="B817" s="2" t="s">
        <v>875</v>
      </c>
      <c r="C817" s="2" t="str">
        <f>"18750672"</f>
        <v>18750672</v>
      </c>
      <c r="D817" s="2">
        <v>0.20300000000000001</v>
      </c>
      <c r="E817" s="2">
        <v>6</v>
      </c>
      <c r="F817" s="2" t="s">
        <v>66</v>
      </c>
    </row>
    <row r="818" spans="1:6" ht="25.5">
      <c r="A818" s="2">
        <v>815</v>
      </c>
      <c r="B818" s="2" t="s">
        <v>876</v>
      </c>
      <c r="C818" s="2" t="str">
        <f>"10762809"</f>
        <v>10762809</v>
      </c>
      <c r="D818" s="2">
        <v>0.129</v>
      </c>
      <c r="E818" s="2">
        <v>8</v>
      </c>
      <c r="F818" s="2" t="s">
        <v>6</v>
      </c>
    </row>
    <row r="819" spans="1:6" ht="25.5">
      <c r="A819" s="2">
        <v>816</v>
      </c>
      <c r="B819" s="2" t="s">
        <v>877</v>
      </c>
      <c r="C819" s="2" t="str">
        <f>"1037969X"</f>
        <v>1037969X</v>
      </c>
      <c r="D819" s="2">
        <v>0.17100000000000001</v>
      </c>
      <c r="E819" s="2">
        <v>3</v>
      </c>
      <c r="F819" s="2" t="s">
        <v>127</v>
      </c>
    </row>
    <row r="820" spans="1:6" ht="25.5">
      <c r="A820" s="2">
        <v>817</v>
      </c>
      <c r="B820" s="2" t="s">
        <v>878</v>
      </c>
      <c r="C820" s="2" t="str">
        <f>"10895159"</f>
        <v>10895159</v>
      </c>
      <c r="D820" s="2">
        <v>0.80400000000000005</v>
      </c>
      <c r="E820" s="2">
        <v>53</v>
      </c>
      <c r="F820" s="2" t="s">
        <v>6</v>
      </c>
    </row>
    <row r="821" spans="1:6" ht="25.5">
      <c r="A821" s="2">
        <v>818</v>
      </c>
      <c r="B821" s="2" t="s">
        <v>879</v>
      </c>
      <c r="C821" s="2" t="str">
        <f>"03043754"</f>
        <v>03043754</v>
      </c>
      <c r="D821" s="2">
        <v>0.19900000000000001</v>
      </c>
      <c r="E821" s="2">
        <v>17</v>
      </c>
      <c r="F821" s="2" t="s">
        <v>6</v>
      </c>
    </row>
    <row r="822" spans="1:6" ht="25.5">
      <c r="A822" s="2">
        <v>819</v>
      </c>
      <c r="B822" s="2" t="s">
        <v>880</v>
      </c>
      <c r="C822" s="2" t="str">
        <f>"10786791"</f>
        <v>10786791</v>
      </c>
      <c r="D822" s="2">
        <v>0.30199999999999999</v>
      </c>
      <c r="E822" s="2">
        <v>42</v>
      </c>
      <c r="F822" s="2" t="s">
        <v>6</v>
      </c>
    </row>
    <row r="823" spans="1:6" ht="25.5">
      <c r="A823" s="2">
        <v>820</v>
      </c>
      <c r="B823" s="2" t="s">
        <v>881</v>
      </c>
      <c r="C823" s="2" t="str">
        <f>"09467785"</f>
        <v>09467785</v>
      </c>
      <c r="D823" s="2">
        <v>0.68</v>
      </c>
      <c r="E823" s="2">
        <v>19</v>
      </c>
      <c r="F823" s="2" t="s">
        <v>12</v>
      </c>
    </row>
    <row r="824" spans="1:6" ht="25.5">
      <c r="A824" s="2">
        <v>821</v>
      </c>
      <c r="B824" s="2" t="s">
        <v>882</v>
      </c>
      <c r="C824" s="2" t="str">
        <f>"17411629"</f>
        <v>17411629</v>
      </c>
      <c r="D824" s="2">
        <v>0.41199999999999998</v>
      </c>
      <c r="E824" s="2">
        <v>4</v>
      </c>
      <c r="F824" s="2" t="s">
        <v>16</v>
      </c>
    </row>
    <row r="825" spans="1:6" ht="25.5">
      <c r="A825" s="2">
        <v>822</v>
      </c>
      <c r="B825" s="2" t="s">
        <v>883</v>
      </c>
      <c r="C825" s="2" t="str">
        <f>"02328461"</f>
        <v>02328461</v>
      </c>
      <c r="D825" s="2">
        <v>0.14199999999999999</v>
      </c>
      <c r="E825" s="2">
        <v>1</v>
      </c>
      <c r="F825" s="2" t="s">
        <v>12</v>
      </c>
    </row>
    <row r="826" spans="1:6" ht="25.5">
      <c r="A826" s="2">
        <v>823</v>
      </c>
      <c r="B826" s="2" t="s">
        <v>884</v>
      </c>
      <c r="C826" s="2" t="str">
        <f>"07534973"</f>
        <v>07534973</v>
      </c>
      <c r="D826" s="2">
        <v>0.189</v>
      </c>
      <c r="E826" s="2">
        <v>10</v>
      </c>
      <c r="F826" s="2" t="s">
        <v>66</v>
      </c>
    </row>
    <row r="827" spans="1:6" ht="25.5">
      <c r="A827" s="2">
        <v>824</v>
      </c>
      <c r="B827" s="2" t="s">
        <v>885</v>
      </c>
      <c r="C827" s="2" t="str">
        <f>"15464156"</f>
        <v>15464156</v>
      </c>
      <c r="D827" s="2">
        <v>1.014</v>
      </c>
      <c r="E827" s="2">
        <v>63</v>
      </c>
      <c r="F827" s="2" t="s">
        <v>6</v>
      </c>
    </row>
    <row r="828" spans="1:6" ht="25.5">
      <c r="A828" s="2">
        <v>825</v>
      </c>
      <c r="B828" s="2" t="s">
        <v>886</v>
      </c>
      <c r="C828" s="2" t="str">
        <f>"15525279"</f>
        <v>15525279</v>
      </c>
      <c r="D828" s="2">
        <v>3.246</v>
      </c>
      <c r="E828" s="2">
        <v>37</v>
      </c>
      <c r="F828" s="2" t="s">
        <v>6</v>
      </c>
    </row>
    <row r="829" spans="1:6" ht="25.5">
      <c r="A829" s="2">
        <v>826</v>
      </c>
      <c r="B829" s="2" t="s">
        <v>887</v>
      </c>
      <c r="C829" s="2" t="str">
        <f>"19352514"</f>
        <v>19352514</v>
      </c>
      <c r="D829" s="2">
        <v>0.13300000000000001</v>
      </c>
      <c r="E829" s="2">
        <v>1</v>
      </c>
      <c r="F829" s="2" t="s">
        <v>6</v>
      </c>
    </row>
    <row r="830" spans="1:6" ht="25.5">
      <c r="A830" s="2">
        <v>827</v>
      </c>
      <c r="B830" s="2" t="s">
        <v>888</v>
      </c>
      <c r="C830" s="2" t="str">
        <f>"17589193"</f>
        <v>17589193</v>
      </c>
      <c r="D830" s="2">
        <v>0.84199999999999997</v>
      </c>
      <c r="E830" s="2">
        <v>9</v>
      </c>
      <c r="F830" s="2" t="s">
        <v>16</v>
      </c>
    </row>
    <row r="831" spans="1:6" ht="25.5">
      <c r="A831" s="2">
        <v>828</v>
      </c>
      <c r="B831" s="2" t="s">
        <v>889</v>
      </c>
      <c r="C831" s="2" t="str">
        <f>"00845841"</f>
        <v>00845841</v>
      </c>
      <c r="D831" s="2">
        <v>0.17699999999999999</v>
      </c>
      <c r="E831" s="2">
        <v>6</v>
      </c>
      <c r="F831" s="2" t="s">
        <v>131</v>
      </c>
    </row>
    <row r="832" spans="1:6" ht="25.5">
      <c r="A832" s="2">
        <v>829</v>
      </c>
      <c r="B832" s="2" t="s">
        <v>890</v>
      </c>
      <c r="C832" s="2" t="str">
        <f>"21910855"</f>
        <v>21910855</v>
      </c>
      <c r="D832" s="2">
        <v>0.34599999999999997</v>
      </c>
      <c r="E832" s="2">
        <v>3</v>
      </c>
      <c r="F832" s="2" t="s">
        <v>12</v>
      </c>
    </row>
    <row r="833" spans="1:6" ht="25.5">
      <c r="A833" s="2">
        <v>830</v>
      </c>
      <c r="B833" s="2" t="s">
        <v>891</v>
      </c>
      <c r="C833" s="2" t="str">
        <f>"1414753X"</f>
        <v>1414753X</v>
      </c>
      <c r="D833" s="2">
        <v>0.14599999999999999</v>
      </c>
      <c r="E833" s="2">
        <v>4</v>
      </c>
      <c r="F833" s="2" t="s">
        <v>159</v>
      </c>
    </row>
    <row r="834" spans="1:6" ht="25.5">
      <c r="A834" s="2">
        <v>831</v>
      </c>
      <c r="B834" s="2" t="s">
        <v>892</v>
      </c>
      <c r="C834" s="2" t="str">
        <f>"00447447"</f>
        <v>00447447</v>
      </c>
      <c r="D834" s="2">
        <v>0.80900000000000005</v>
      </c>
      <c r="E834" s="2">
        <v>64</v>
      </c>
      <c r="F834" s="2" t="s">
        <v>6</v>
      </c>
    </row>
    <row r="835" spans="1:6" ht="25.5">
      <c r="A835" s="2">
        <v>832</v>
      </c>
      <c r="B835" s="2" t="s">
        <v>893</v>
      </c>
      <c r="C835" s="2" t="str">
        <f>"00026980"</f>
        <v>00026980</v>
      </c>
      <c r="D835" s="2">
        <v>0.13</v>
      </c>
      <c r="E835" s="2">
        <v>5</v>
      </c>
      <c r="F835" s="2" t="s">
        <v>16</v>
      </c>
    </row>
    <row r="836" spans="1:6" ht="25.5">
      <c r="A836" s="2">
        <v>833</v>
      </c>
      <c r="B836" s="2" t="s">
        <v>894</v>
      </c>
      <c r="C836" s="2" t="str">
        <f>"09666532"</f>
        <v>09666532</v>
      </c>
      <c r="D836" s="2">
        <v>0.17399999999999999</v>
      </c>
      <c r="E836" s="2">
        <v>12</v>
      </c>
      <c r="F836" s="2" t="s">
        <v>16</v>
      </c>
    </row>
    <row r="837" spans="1:6" ht="25.5">
      <c r="A837" s="2">
        <v>834</v>
      </c>
      <c r="B837" s="2" t="s">
        <v>895</v>
      </c>
      <c r="C837" s="2" t="str">
        <f>"00027014"</f>
        <v>00027014</v>
      </c>
      <c r="D837" s="2">
        <v>0.41399999999999998</v>
      </c>
      <c r="E837" s="2">
        <v>24</v>
      </c>
      <c r="F837" s="2" t="s">
        <v>192</v>
      </c>
    </row>
    <row r="838" spans="1:6" ht="25.5">
      <c r="A838" s="2">
        <v>835</v>
      </c>
      <c r="B838" s="2" t="s">
        <v>896</v>
      </c>
      <c r="C838" s="2" t="str">
        <f>"00447471"</f>
        <v>00447471</v>
      </c>
      <c r="D838" s="2">
        <v>0.1</v>
      </c>
      <c r="E838" s="2">
        <v>5</v>
      </c>
      <c r="F838" s="2" t="s">
        <v>6</v>
      </c>
    </row>
    <row r="839" spans="1:6" ht="25.5">
      <c r="A839" s="2">
        <v>836</v>
      </c>
      <c r="B839" s="2" t="s">
        <v>897</v>
      </c>
      <c r="C839" s="2" t="str">
        <f>"14052253"</f>
        <v>14052253</v>
      </c>
      <c r="D839" s="2">
        <v>0</v>
      </c>
      <c r="E839" s="2">
        <v>0</v>
      </c>
      <c r="F839" s="2" t="s">
        <v>200</v>
      </c>
    </row>
    <row r="840" spans="1:6" ht="25.5">
      <c r="A840" s="2">
        <v>837</v>
      </c>
      <c r="B840" s="2" t="s">
        <v>898</v>
      </c>
      <c r="C840" s="2" t="str">
        <f>"11302887"</f>
        <v>11302887</v>
      </c>
      <c r="D840" s="2">
        <v>0.10100000000000001</v>
      </c>
      <c r="E840" s="2">
        <v>1</v>
      </c>
      <c r="F840" s="2" t="s">
        <v>351</v>
      </c>
    </row>
    <row r="841" spans="1:6" ht="25.5">
      <c r="A841" s="2">
        <v>838</v>
      </c>
      <c r="B841" s="2" t="s">
        <v>899</v>
      </c>
      <c r="C841" s="2" t="str">
        <f>"18036058"</f>
        <v>18036058</v>
      </c>
      <c r="D841" s="2">
        <v>0</v>
      </c>
      <c r="E841" s="2">
        <v>0</v>
      </c>
      <c r="F841" s="2" t="s">
        <v>208</v>
      </c>
    </row>
    <row r="842" spans="1:6" ht="25.5">
      <c r="A842" s="2">
        <v>839</v>
      </c>
      <c r="B842" s="2" t="s">
        <v>900</v>
      </c>
      <c r="C842" s="2" t="str">
        <f>"15430375"</f>
        <v>15430375</v>
      </c>
      <c r="D842" s="2">
        <v>0.49099999999999999</v>
      </c>
      <c r="E842" s="2">
        <v>21</v>
      </c>
      <c r="F842" s="2" t="s">
        <v>6</v>
      </c>
    </row>
    <row r="843" spans="1:6" ht="25.5">
      <c r="A843" s="2">
        <v>840</v>
      </c>
      <c r="B843" s="2" t="s">
        <v>901</v>
      </c>
      <c r="C843" s="2" t="str">
        <f>"15481433"</f>
        <v>15481433</v>
      </c>
      <c r="D843" s="2">
        <v>1.1930000000000001</v>
      </c>
      <c r="E843" s="2">
        <v>38</v>
      </c>
      <c r="F843" s="2" t="s">
        <v>6</v>
      </c>
    </row>
    <row r="844" spans="1:6" ht="25.5">
      <c r="A844" s="2">
        <v>841</v>
      </c>
      <c r="B844" s="2" t="s">
        <v>902</v>
      </c>
      <c r="C844" s="2" t="str">
        <f>"00027316"</f>
        <v>00027316</v>
      </c>
      <c r="D844" s="2">
        <v>0.65500000000000003</v>
      </c>
      <c r="E844" s="2">
        <v>37</v>
      </c>
      <c r="F844" s="2" t="s">
        <v>6</v>
      </c>
    </row>
    <row r="845" spans="1:6" ht="25.5">
      <c r="A845" s="2">
        <v>842</v>
      </c>
      <c r="B845" s="2" t="s">
        <v>903</v>
      </c>
      <c r="C845" s="2" t="str">
        <f>"03609081"</f>
        <v>03609081</v>
      </c>
      <c r="D845" s="2">
        <v>0.81799999999999995</v>
      </c>
      <c r="E845" s="2">
        <v>16</v>
      </c>
      <c r="F845" s="2" t="s">
        <v>6</v>
      </c>
    </row>
    <row r="846" spans="1:6" ht="25.5">
      <c r="A846" s="2">
        <v>843</v>
      </c>
      <c r="B846" s="2" t="s">
        <v>904</v>
      </c>
      <c r="C846" s="2" t="str">
        <f>"15496503"</f>
        <v>15496503</v>
      </c>
      <c r="D846" s="2">
        <v>0.10100000000000001</v>
      </c>
      <c r="E846" s="2">
        <v>3</v>
      </c>
      <c r="F846" s="2" t="s">
        <v>6</v>
      </c>
    </row>
    <row r="847" spans="1:6" ht="25.5">
      <c r="A847" s="2">
        <v>844</v>
      </c>
      <c r="B847" s="2" t="s">
        <v>905</v>
      </c>
      <c r="C847" s="2" t="str">
        <f>"00027626"</f>
        <v>00027626</v>
      </c>
      <c r="D847" s="2">
        <v>0.158</v>
      </c>
      <c r="E847" s="2">
        <v>20</v>
      </c>
      <c r="F847" s="2" t="s">
        <v>6</v>
      </c>
    </row>
    <row r="848" spans="1:6" ht="25.5">
      <c r="A848" s="2">
        <v>845</v>
      </c>
      <c r="B848" s="2" t="s">
        <v>906</v>
      </c>
      <c r="C848" s="2" t="str">
        <f>"00027642"</f>
        <v>00027642</v>
      </c>
      <c r="D848" s="2">
        <v>0.47399999999999998</v>
      </c>
      <c r="E848" s="2">
        <v>53</v>
      </c>
      <c r="F848" s="2" t="s">
        <v>6</v>
      </c>
    </row>
    <row r="849" spans="1:6" ht="25.5">
      <c r="A849" s="2">
        <v>846</v>
      </c>
      <c r="B849" s="2" t="s">
        <v>907</v>
      </c>
      <c r="C849" s="2" t="str">
        <f>"00027685"</f>
        <v>00027685</v>
      </c>
      <c r="D849" s="2">
        <v>0.20499999999999999</v>
      </c>
      <c r="E849" s="2">
        <v>17</v>
      </c>
      <c r="F849" s="2" t="s">
        <v>6</v>
      </c>
    </row>
    <row r="850" spans="1:6" ht="25.5">
      <c r="A850" s="2">
        <v>847</v>
      </c>
      <c r="B850" s="2" t="s">
        <v>908</v>
      </c>
      <c r="C850" s="2" t="str">
        <f>"01499408"</f>
        <v>01499408</v>
      </c>
      <c r="D850" s="2">
        <v>0</v>
      </c>
      <c r="E850" s="2">
        <v>0</v>
      </c>
      <c r="F850" s="2" t="s">
        <v>6</v>
      </c>
    </row>
    <row r="851" spans="1:6" ht="25.5">
      <c r="A851" s="2">
        <v>848</v>
      </c>
      <c r="B851" s="2" t="s">
        <v>909</v>
      </c>
      <c r="C851" s="2" t="str">
        <f>"00027766"</f>
        <v>00027766</v>
      </c>
      <c r="D851" s="2">
        <v>0.24199999999999999</v>
      </c>
      <c r="E851" s="2">
        <v>11</v>
      </c>
      <c r="F851" s="2" t="s">
        <v>16</v>
      </c>
    </row>
    <row r="852" spans="1:6" ht="25.5">
      <c r="A852" s="2">
        <v>849</v>
      </c>
      <c r="B852" s="2" t="s">
        <v>910</v>
      </c>
      <c r="C852" s="2" t="str">
        <f>"0149337X"</f>
        <v>0149337X</v>
      </c>
      <c r="D852" s="2">
        <v>0.1</v>
      </c>
      <c r="E852" s="2">
        <v>2</v>
      </c>
      <c r="F852" s="2" t="s">
        <v>6</v>
      </c>
    </row>
    <row r="853" spans="1:6" ht="25.5">
      <c r="A853" s="2">
        <v>850</v>
      </c>
      <c r="B853" s="2" t="s">
        <v>911</v>
      </c>
      <c r="C853" s="2" t="str">
        <f>"15325865"</f>
        <v>15325865</v>
      </c>
      <c r="D853" s="2">
        <v>0.10100000000000001</v>
      </c>
      <c r="E853" s="2">
        <v>5</v>
      </c>
      <c r="F853" s="2" t="s">
        <v>6</v>
      </c>
    </row>
    <row r="854" spans="1:6" ht="25.5">
      <c r="A854" s="2">
        <v>851</v>
      </c>
      <c r="B854" s="2" t="s">
        <v>912</v>
      </c>
      <c r="C854" s="2" t="str">
        <f>"01640364"</f>
        <v>01640364</v>
      </c>
      <c r="D854" s="2">
        <v>0.35699999999999998</v>
      </c>
      <c r="E854" s="2">
        <v>10</v>
      </c>
      <c r="F854" s="2" t="s">
        <v>6</v>
      </c>
    </row>
    <row r="855" spans="1:6" ht="25.5">
      <c r="A855" s="2">
        <v>852</v>
      </c>
      <c r="B855" s="2" t="s">
        <v>913</v>
      </c>
      <c r="C855" s="2" t="str">
        <f>"19457790"</f>
        <v>19457790</v>
      </c>
      <c r="D855" s="2">
        <v>4.7539999999999996</v>
      </c>
      <c r="E855" s="2">
        <v>8</v>
      </c>
      <c r="F855" s="2" t="s">
        <v>6</v>
      </c>
    </row>
    <row r="856" spans="1:6" ht="25.5">
      <c r="A856" s="2">
        <v>853</v>
      </c>
      <c r="B856" s="2" t="s">
        <v>914</v>
      </c>
      <c r="C856" s="2" t="str">
        <f>"1945774X"</f>
        <v>1945774X</v>
      </c>
      <c r="D856" s="2">
        <v>2.859</v>
      </c>
      <c r="E856" s="2">
        <v>5</v>
      </c>
      <c r="F856" s="2" t="s">
        <v>6</v>
      </c>
    </row>
    <row r="857" spans="1:6" ht="25.5">
      <c r="A857" s="2">
        <v>854</v>
      </c>
      <c r="B857" s="2" t="s">
        <v>915</v>
      </c>
      <c r="C857" s="2" t="str">
        <f>"19457715"</f>
        <v>19457715</v>
      </c>
      <c r="D857" s="2">
        <v>4.7489999999999997</v>
      </c>
      <c r="E857" s="2">
        <v>6</v>
      </c>
      <c r="F857" s="2" t="s">
        <v>6</v>
      </c>
    </row>
    <row r="858" spans="1:6" ht="25.5">
      <c r="A858" s="2">
        <v>855</v>
      </c>
      <c r="B858" s="2" t="s">
        <v>916</v>
      </c>
      <c r="C858" s="2" t="str">
        <f>"19457685"</f>
        <v>19457685</v>
      </c>
      <c r="D858" s="2">
        <v>3.798</v>
      </c>
      <c r="E858" s="2">
        <v>4</v>
      </c>
      <c r="F858" s="2" t="s">
        <v>6</v>
      </c>
    </row>
    <row r="859" spans="1:6" ht="25.5">
      <c r="A859" s="2">
        <v>856</v>
      </c>
      <c r="B859" s="2" t="s">
        <v>917</v>
      </c>
      <c r="C859" s="2" t="str">
        <f>"00028282"</f>
        <v>00028282</v>
      </c>
      <c r="D859" s="2">
        <v>6.4589999999999996</v>
      </c>
      <c r="E859" s="2">
        <v>144</v>
      </c>
      <c r="F859" s="2" t="s">
        <v>6</v>
      </c>
    </row>
    <row r="860" spans="1:6" ht="25.5">
      <c r="A860" s="2">
        <v>857</v>
      </c>
      <c r="B860" s="2" t="s">
        <v>918</v>
      </c>
      <c r="C860" s="2" t="str">
        <f>"00028312"</f>
        <v>00028312</v>
      </c>
      <c r="D860" s="2">
        <v>3.2250000000000001</v>
      </c>
      <c r="E860" s="2">
        <v>58</v>
      </c>
      <c r="F860" s="2" t="s">
        <v>16</v>
      </c>
    </row>
    <row r="861" spans="1:6" ht="25.5">
      <c r="A861" s="2">
        <v>858</v>
      </c>
      <c r="B861" s="2" t="s">
        <v>919</v>
      </c>
      <c r="C861" s="2" t="str">
        <f>"00940496"</f>
        <v>00940496</v>
      </c>
      <c r="D861" s="2">
        <v>1.8140000000000001</v>
      </c>
      <c r="E861" s="2">
        <v>30</v>
      </c>
      <c r="F861" s="2" t="s">
        <v>6</v>
      </c>
    </row>
    <row r="862" spans="1:6" ht="25.5">
      <c r="A862" s="2">
        <v>859</v>
      </c>
      <c r="B862" s="2" t="s">
        <v>920</v>
      </c>
      <c r="C862" s="2" t="str">
        <f>"19981074"</f>
        <v>19981074</v>
      </c>
      <c r="D862" s="2">
        <v>0.32600000000000001</v>
      </c>
      <c r="E862" s="2">
        <v>15</v>
      </c>
      <c r="F862" s="2" t="s">
        <v>557</v>
      </c>
    </row>
    <row r="863" spans="1:6" ht="25.5">
      <c r="A863" s="2">
        <v>860</v>
      </c>
      <c r="B863" s="2" t="s">
        <v>921</v>
      </c>
      <c r="C863" s="2" t="str">
        <f>"15320650"</f>
        <v>15320650</v>
      </c>
      <c r="D863" s="2">
        <v>0.3</v>
      </c>
      <c r="E863" s="2">
        <v>63</v>
      </c>
      <c r="F863" s="2" t="s">
        <v>6</v>
      </c>
    </row>
    <row r="864" spans="1:6" ht="25.5">
      <c r="A864" s="2">
        <v>861</v>
      </c>
      <c r="B864" s="2" t="s">
        <v>922</v>
      </c>
      <c r="C864" s="2" t="str">
        <f>"00028444"</f>
        <v>00028444</v>
      </c>
      <c r="D864" s="2">
        <v>0.22900000000000001</v>
      </c>
      <c r="E864" s="2">
        <v>16</v>
      </c>
      <c r="F864" s="2" t="s">
        <v>6</v>
      </c>
    </row>
    <row r="865" spans="1:6" ht="25.5">
      <c r="A865" s="2">
        <v>862</v>
      </c>
      <c r="B865" s="2" t="s">
        <v>923</v>
      </c>
      <c r="C865" s="2" t="str">
        <f>"15332128"</f>
        <v>15332128</v>
      </c>
      <c r="D865" s="2">
        <v>0.106</v>
      </c>
      <c r="E865" s="2">
        <v>2</v>
      </c>
      <c r="F865" s="2" t="s">
        <v>6</v>
      </c>
    </row>
    <row r="866" spans="1:6" ht="25.5">
      <c r="A866" s="2">
        <v>863</v>
      </c>
      <c r="B866" s="2" t="s">
        <v>924</v>
      </c>
      <c r="C866" s="2" t="str">
        <f>"19422962"</f>
        <v>19422962</v>
      </c>
      <c r="D866" s="2">
        <v>0.111</v>
      </c>
      <c r="E866" s="2">
        <v>2</v>
      </c>
      <c r="F866" s="2" t="s">
        <v>6</v>
      </c>
    </row>
    <row r="867" spans="1:6" ht="25.5">
      <c r="A867" s="2">
        <v>864</v>
      </c>
      <c r="B867" s="2" t="s">
        <v>925</v>
      </c>
      <c r="C867" s="2" t="str">
        <f>"15419215"</f>
        <v>15419215</v>
      </c>
      <c r="D867" s="2">
        <v>0.16600000000000001</v>
      </c>
      <c r="E867" s="2">
        <v>11</v>
      </c>
      <c r="F867" s="2" t="s">
        <v>6</v>
      </c>
    </row>
    <row r="868" spans="1:6" ht="25.5">
      <c r="A868" s="2">
        <v>865</v>
      </c>
      <c r="B868" s="2" t="s">
        <v>926</v>
      </c>
      <c r="C868" s="2" t="str">
        <f>"10976744"</f>
        <v>10976744</v>
      </c>
      <c r="D868" s="2">
        <v>2.9990000000000001</v>
      </c>
      <c r="E868" s="2">
        <v>127</v>
      </c>
      <c r="F868" s="2" t="s">
        <v>6</v>
      </c>
    </row>
    <row r="869" spans="1:6" ht="25.5">
      <c r="A869" s="2">
        <v>866</v>
      </c>
      <c r="B869" s="2" t="s">
        <v>927</v>
      </c>
      <c r="C869" s="2" t="str">
        <f>"00028738"</f>
        <v>00028738</v>
      </c>
      <c r="D869" s="2">
        <v>0.1</v>
      </c>
      <c r="E869" s="2">
        <v>2</v>
      </c>
      <c r="F869" s="2" t="s">
        <v>6</v>
      </c>
    </row>
    <row r="870" spans="1:6" ht="25.5">
      <c r="A870" s="2">
        <v>867</v>
      </c>
      <c r="B870" s="2" t="s">
        <v>928</v>
      </c>
      <c r="C870" s="2" t="str">
        <f>"00028762"</f>
        <v>00028762</v>
      </c>
      <c r="D870" s="2">
        <v>0.54</v>
      </c>
      <c r="E870" s="2">
        <v>24</v>
      </c>
      <c r="F870" s="2" t="s">
        <v>6</v>
      </c>
    </row>
    <row r="871" spans="1:6" ht="25.5">
      <c r="A871" s="2">
        <v>868</v>
      </c>
      <c r="B871" s="2" t="s">
        <v>929</v>
      </c>
      <c r="C871" s="2" t="str">
        <f>"10768866"</f>
        <v>10768866</v>
      </c>
      <c r="D871" s="2">
        <v>0.10100000000000001</v>
      </c>
      <c r="E871" s="2">
        <v>1</v>
      </c>
      <c r="F871" s="2" t="s">
        <v>6</v>
      </c>
    </row>
    <row r="872" spans="1:6" ht="25.5">
      <c r="A872" s="2">
        <v>869</v>
      </c>
      <c r="B872" s="2" t="s">
        <v>930</v>
      </c>
      <c r="C872" s="2" t="str">
        <f>"10857931"</f>
        <v>10857931</v>
      </c>
      <c r="D872" s="2">
        <v>0.187</v>
      </c>
      <c r="E872" s="2">
        <v>7</v>
      </c>
      <c r="F872" s="2" t="s">
        <v>6</v>
      </c>
    </row>
    <row r="873" spans="1:6" ht="25.5">
      <c r="A873" s="2">
        <v>870</v>
      </c>
      <c r="B873" s="2" t="s">
        <v>931</v>
      </c>
      <c r="C873" s="2" t="str">
        <f>"15337731"</f>
        <v>15337731</v>
      </c>
      <c r="D873" s="2">
        <v>0.27100000000000002</v>
      </c>
      <c r="E873" s="2">
        <v>14</v>
      </c>
      <c r="F873" s="2" t="s">
        <v>6</v>
      </c>
    </row>
    <row r="874" spans="1:6" ht="25.5">
      <c r="A874" s="2">
        <v>871</v>
      </c>
      <c r="B874" s="2" t="s">
        <v>932</v>
      </c>
      <c r="C874" s="2" t="str">
        <f>"01616463"</f>
        <v>01616463</v>
      </c>
      <c r="D874" s="2">
        <v>0.19700000000000001</v>
      </c>
      <c r="E874" s="2">
        <v>6</v>
      </c>
      <c r="F874" s="2" t="s">
        <v>6</v>
      </c>
    </row>
    <row r="875" spans="1:6" ht="25.5">
      <c r="A875" s="2">
        <v>872</v>
      </c>
      <c r="B875" s="2" t="s">
        <v>933</v>
      </c>
      <c r="C875" s="2" t="str">
        <f>"15341828"</f>
        <v>15341828</v>
      </c>
      <c r="D875" s="2">
        <v>0.11799999999999999</v>
      </c>
      <c r="E875" s="2">
        <v>3</v>
      </c>
      <c r="F875" s="2" t="s">
        <v>6</v>
      </c>
    </row>
    <row r="876" spans="1:6" ht="25.5">
      <c r="A876" s="2">
        <v>873</v>
      </c>
      <c r="B876" s="2" t="s">
        <v>934</v>
      </c>
      <c r="C876" s="2" t="str">
        <f>"10863141"</f>
        <v>10863141</v>
      </c>
      <c r="D876" s="2">
        <v>0.10100000000000001</v>
      </c>
      <c r="E876" s="2">
        <v>3</v>
      </c>
      <c r="F876" s="2" t="s">
        <v>6</v>
      </c>
    </row>
    <row r="877" spans="1:6" ht="25.5">
      <c r="A877" s="2">
        <v>874</v>
      </c>
      <c r="B877" s="2" t="s">
        <v>935</v>
      </c>
      <c r="C877" s="2" t="str">
        <f>"15435946"</f>
        <v>15435946</v>
      </c>
      <c r="D877" s="2">
        <v>0.79900000000000004</v>
      </c>
      <c r="E877" s="2">
        <v>31</v>
      </c>
      <c r="F877" s="2" t="s">
        <v>6</v>
      </c>
    </row>
    <row r="878" spans="1:6" ht="25.5">
      <c r="A878" s="2">
        <v>875</v>
      </c>
      <c r="B878" s="2" t="s">
        <v>936</v>
      </c>
      <c r="C878" s="2" t="str">
        <f>"15574989"</f>
        <v>15574989</v>
      </c>
      <c r="D878" s="2">
        <v>0.248</v>
      </c>
      <c r="E878" s="2">
        <v>8</v>
      </c>
      <c r="F878" s="2" t="s">
        <v>6</v>
      </c>
    </row>
    <row r="879" spans="1:6" ht="25.5">
      <c r="A879" s="2">
        <v>876</v>
      </c>
      <c r="B879" s="2" t="s">
        <v>937</v>
      </c>
      <c r="C879" s="2" t="str">
        <f>"14678276"</f>
        <v>14678276</v>
      </c>
      <c r="D879" s="2">
        <v>2.12</v>
      </c>
      <c r="E879" s="2">
        <v>56</v>
      </c>
      <c r="F879" s="2" t="s">
        <v>6</v>
      </c>
    </row>
    <row r="880" spans="1:6" ht="25.5">
      <c r="A880" s="2">
        <v>877</v>
      </c>
      <c r="B880" s="2" t="s">
        <v>938</v>
      </c>
      <c r="C880" s="2" t="str">
        <f>"15333175"</f>
        <v>15333175</v>
      </c>
      <c r="D880" s="2">
        <v>0.61199999999999999</v>
      </c>
      <c r="E880" s="2">
        <v>28</v>
      </c>
      <c r="F880" s="2" t="s">
        <v>6</v>
      </c>
    </row>
    <row r="881" spans="1:6" ht="25.5">
      <c r="A881" s="2">
        <v>878</v>
      </c>
      <c r="B881" s="2" t="s">
        <v>939</v>
      </c>
      <c r="C881" s="2" t="str">
        <f>"15574563"</f>
        <v>15574563</v>
      </c>
      <c r="D881" s="2">
        <v>0.214</v>
      </c>
      <c r="E881" s="2">
        <v>5</v>
      </c>
      <c r="F881" s="2" t="s">
        <v>6</v>
      </c>
    </row>
    <row r="882" spans="1:6" ht="25.5">
      <c r="A882" s="2">
        <v>879</v>
      </c>
      <c r="B882" s="2" t="s">
        <v>940</v>
      </c>
      <c r="C882" s="2" t="str">
        <f>"15543641"</f>
        <v>15543641</v>
      </c>
      <c r="D882" s="2">
        <v>0.27</v>
      </c>
      <c r="E882" s="2">
        <v>17</v>
      </c>
      <c r="F882" s="2" t="s">
        <v>6</v>
      </c>
    </row>
    <row r="883" spans="1:6" ht="25.5">
      <c r="A883" s="2">
        <v>880</v>
      </c>
      <c r="B883" s="2" t="s">
        <v>941</v>
      </c>
      <c r="C883" s="2" t="str">
        <f>"00029114"</f>
        <v>00029114</v>
      </c>
      <c r="D883" s="2">
        <v>0.27700000000000002</v>
      </c>
      <c r="E883" s="2">
        <v>10</v>
      </c>
      <c r="F883" s="2" t="s">
        <v>6</v>
      </c>
    </row>
    <row r="884" spans="1:6" ht="25.5">
      <c r="A884" s="2">
        <v>881</v>
      </c>
      <c r="B884" s="2" t="s">
        <v>942</v>
      </c>
      <c r="C884" s="2" t="str">
        <f>"10590889"</f>
        <v>10590889</v>
      </c>
      <c r="D884" s="2">
        <v>0.47</v>
      </c>
      <c r="E884" s="2">
        <v>23</v>
      </c>
      <c r="F884" s="2" t="s">
        <v>6</v>
      </c>
    </row>
    <row r="885" spans="1:6" ht="25.5">
      <c r="A885" s="2">
        <v>882</v>
      </c>
      <c r="B885" s="2" t="s">
        <v>943</v>
      </c>
      <c r="C885" s="2" t="str">
        <f>"15533468"</f>
        <v>15533468</v>
      </c>
      <c r="D885" s="2">
        <v>0.28799999999999998</v>
      </c>
      <c r="E885" s="2">
        <v>13</v>
      </c>
      <c r="F885" s="2" t="s">
        <v>6</v>
      </c>
    </row>
    <row r="886" spans="1:6" ht="25.5">
      <c r="A886" s="2">
        <v>883</v>
      </c>
      <c r="B886" s="2" t="s">
        <v>944</v>
      </c>
      <c r="C886" s="2" t="str">
        <f>"15360075"</f>
        <v>15360075</v>
      </c>
      <c r="D886" s="2">
        <v>0.28799999999999998</v>
      </c>
      <c r="E886" s="2">
        <v>33</v>
      </c>
      <c r="F886" s="2" t="s">
        <v>6</v>
      </c>
    </row>
    <row r="887" spans="1:6" ht="25.5">
      <c r="A887" s="2">
        <v>884</v>
      </c>
      <c r="B887" s="2" t="s">
        <v>945</v>
      </c>
      <c r="C887" s="2" t="str">
        <f>"15372197"</f>
        <v>15372197</v>
      </c>
      <c r="D887" s="2">
        <v>1.419</v>
      </c>
      <c r="E887" s="2">
        <v>92</v>
      </c>
      <c r="F887" s="2" t="s">
        <v>6</v>
      </c>
    </row>
    <row r="888" spans="1:6" ht="25.5">
      <c r="A888" s="2">
        <v>885</v>
      </c>
      <c r="B888" s="2" t="s">
        <v>946</v>
      </c>
      <c r="C888" s="2" t="str">
        <f>"00029149"</f>
        <v>00029149</v>
      </c>
      <c r="D888" s="2">
        <v>1.9119999999999999</v>
      </c>
      <c r="E888" s="2">
        <v>156</v>
      </c>
      <c r="F888" s="2" t="s">
        <v>6</v>
      </c>
    </row>
    <row r="889" spans="1:6" ht="25.5">
      <c r="A889" s="2">
        <v>886</v>
      </c>
      <c r="B889" s="2" t="s">
        <v>947</v>
      </c>
      <c r="C889" s="2" t="str">
        <f>"11753277"</f>
        <v>11753277</v>
      </c>
      <c r="D889" s="2">
        <v>0.64500000000000002</v>
      </c>
      <c r="E889" s="2">
        <v>30</v>
      </c>
      <c r="F889" s="2" t="s">
        <v>16</v>
      </c>
    </row>
    <row r="890" spans="1:6" ht="25.5">
      <c r="A890" s="2">
        <v>887</v>
      </c>
      <c r="B890" s="2" t="s">
        <v>948</v>
      </c>
      <c r="C890" s="2" t="str">
        <f>"19415923"</f>
        <v>19415923</v>
      </c>
      <c r="D890" s="2">
        <v>0.14299999999999999</v>
      </c>
      <c r="E890" s="2">
        <v>5</v>
      </c>
      <c r="F890" s="2" t="s">
        <v>6</v>
      </c>
    </row>
    <row r="891" spans="1:6" ht="25.5">
      <c r="A891" s="2">
        <v>888</v>
      </c>
      <c r="B891" s="2" t="s">
        <v>949</v>
      </c>
      <c r="C891" s="2" t="str">
        <f>"0192415X"</f>
        <v>0192415X</v>
      </c>
      <c r="D891" s="2">
        <v>0.70699999999999996</v>
      </c>
      <c r="E891" s="2">
        <v>34</v>
      </c>
      <c r="F891" s="2" t="s">
        <v>543</v>
      </c>
    </row>
    <row r="892" spans="1:6" ht="25.5">
      <c r="A892" s="2">
        <v>889</v>
      </c>
      <c r="B892" s="2" t="s">
        <v>950</v>
      </c>
      <c r="C892" s="2" t="str">
        <f>"11750561"</f>
        <v>11750561</v>
      </c>
      <c r="D892" s="2">
        <v>0.88700000000000001</v>
      </c>
      <c r="E892" s="2">
        <v>57</v>
      </c>
      <c r="F892" s="2" t="s">
        <v>16</v>
      </c>
    </row>
    <row r="893" spans="1:6" ht="25.5">
      <c r="A893" s="2">
        <v>890</v>
      </c>
      <c r="B893" s="2" t="s">
        <v>951</v>
      </c>
      <c r="C893" s="2" t="str">
        <f>"00029157"</f>
        <v>00029157</v>
      </c>
      <c r="D893" s="2">
        <v>0.154</v>
      </c>
      <c r="E893" s="2">
        <v>16</v>
      </c>
      <c r="F893" s="2" t="s">
        <v>6</v>
      </c>
    </row>
    <row r="894" spans="1:6" ht="25.5">
      <c r="A894" s="2">
        <v>891</v>
      </c>
      <c r="B894" s="2" t="s">
        <v>952</v>
      </c>
      <c r="C894" s="2" t="str">
        <f>"19383207"</f>
        <v>19383207</v>
      </c>
      <c r="D894" s="2">
        <v>3.0489999999999999</v>
      </c>
      <c r="E894" s="2">
        <v>208</v>
      </c>
      <c r="F894" s="2" t="s">
        <v>6</v>
      </c>
    </row>
    <row r="895" spans="1:6" ht="25.5">
      <c r="A895" s="2">
        <v>892</v>
      </c>
      <c r="B895" s="2" t="s">
        <v>953</v>
      </c>
      <c r="C895" s="2" t="str">
        <f>"02773732"</f>
        <v>02773732</v>
      </c>
      <c r="D895" s="2">
        <v>0.746</v>
      </c>
      <c r="E895" s="2">
        <v>52</v>
      </c>
      <c r="F895" s="2" t="s">
        <v>6</v>
      </c>
    </row>
    <row r="896" spans="1:6" ht="25.5">
      <c r="A896" s="2">
        <v>893</v>
      </c>
      <c r="B896" s="2" t="s">
        <v>954</v>
      </c>
      <c r="C896" s="2" t="str">
        <f>"00029173"</f>
        <v>00029173</v>
      </c>
      <c r="D896" s="2">
        <v>1.0820000000000001</v>
      </c>
      <c r="E896" s="2">
        <v>80</v>
      </c>
      <c r="F896" s="2" t="s">
        <v>6</v>
      </c>
    </row>
    <row r="897" spans="1:6" ht="25.5">
      <c r="A897" s="2">
        <v>894</v>
      </c>
      <c r="B897" s="2" t="s">
        <v>955</v>
      </c>
      <c r="C897" s="2" t="str">
        <f>"15732770"</f>
        <v>15732770</v>
      </c>
      <c r="D897" s="2">
        <v>0.94699999999999995</v>
      </c>
      <c r="E897" s="2">
        <v>62</v>
      </c>
      <c r="F897" s="2" t="s">
        <v>6</v>
      </c>
    </row>
    <row r="898" spans="1:6" ht="25.5">
      <c r="A898" s="2">
        <v>895</v>
      </c>
      <c r="B898" s="2" t="s">
        <v>956</v>
      </c>
      <c r="C898" s="2" t="str">
        <f>"0002919X"</f>
        <v>0002919X</v>
      </c>
      <c r="D898" s="2">
        <v>0.38</v>
      </c>
      <c r="E898" s="2">
        <v>12</v>
      </c>
      <c r="F898" s="2" t="s">
        <v>6</v>
      </c>
    </row>
    <row r="899" spans="1:6" ht="25.5">
      <c r="A899" s="2">
        <v>896</v>
      </c>
      <c r="B899" s="2" t="s">
        <v>957</v>
      </c>
      <c r="C899" s="2" t="str">
        <f>"19361351"</f>
        <v>19361351</v>
      </c>
      <c r="D899" s="2">
        <v>0.51600000000000001</v>
      </c>
      <c r="E899" s="2">
        <v>7</v>
      </c>
      <c r="F899" s="2" t="s">
        <v>6</v>
      </c>
    </row>
    <row r="900" spans="1:6" ht="25.5">
      <c r="A900" s="2">
        <v>897</v>
      </c>
      <c r="B900" s="2" t="s">
        <v>958</v>
      </c>
      <c r="C900" s="2" t="str">
        <f>"10623264"</f>
        <v>10623264</v>
      </c>
      <c r="D900" s="2">
        <v>0.65400000000000003</v>
      </c>
      <c r="E900" s="2">
        <v>51</v>
      </c>
      <c r="F900" s="2" t="s">
        <v>6</v>
      </c>
    </row>
    <row r="901" spans="1:6" ht="25.5">
      <c r="A901" s="2">
        <v>898</v>
      </c>
      <c r="B901" s="2" t="s">
        <v>959</v>
      </c>
      <c r="C901" s="2" t="str">
        <f>"15733262"</f>
        <v>15733262</v>
      </c>
      <c r="D901" s="2">
        <v>0.129</v>
      </c>
      <c r="E901" s="2">
        <v>8</v>
      </c>
      <c r="F901" s="2" t="s">
        <v>6</v>
      </c>
    </row>
    <row r="902" spans="1:6" ht="25.5">
      <c r="A902" s="2">
        <v>899</v>
      </c>
      <c r="B902" s="2" t="s">
        <v>960</v>
      </c>
      <c r="C902" s="2" t="str">
        <f>"08948275"</f>
        <v>08948275</v>
      </c>
      <c r="D902" s="2">
        <v>0.501</v>
      </c>
      <c r="E902" s="2">
        <v>56</v>
      </c>
      <c r="F902" s="2" t="s">
        <v>6</v>
      </c>
    </row>
    <row r="903" spans="1:6" ht="25.5">
      <c r="A903" s="2">
        <v>900</v>
      </c>
      <c r="B903" s="2" t="s">
        <v>961</v>
      </c>
      <c r="C903" s="2" t="str">
        <f>"15330311"</f>
        <v>15330311</v>
      </c>
      <c r="D903" s="2">
        <v>0.69199999999999995</v>
      </c>
      <c r="E903" s="2">
        <v>46</v>
      </c>
      <c r="F903" s="2" t="s">
        <v>6</v>
      </c>
    </row>
    <row r="904" spans="1:6" ht="25.5">
      <c r="A904" s="2">
        <v>901</v>
      </c>
      <c r="B904" s="2" t="s">
        <v>962</v>
      </c>
      <c r="C904" s="2" t="str">
        <f>"1932149X"</f>
        <v>1932149X</v>
      </c>
      <c r="D904" s="2">
        <v>0.25800000000000001</v>
      </c>
      <c r="E904" s="2">
        <v>8</v>
      </c>
      <c r="F904" s="2" t="s">
        <v>6</v>
      </c>
    </row>
    <row r="905" spans="1:6" ht="25.5">
      <c r="A905" s="2">
        <v>902</v>
      </c>
      <c r="B905" s="2" t="s">
        <v>963</v>
      </c>
      <c r="C905" s="2" t="str">
        <f>"10979891"</f>
        <v>10979891</v>
      </c>
      <c r="D905" s="2">
        <v>0.745</v>
      </c>
      <c r="E905" s="2">
        <v>47</v>
      </c>
      <c r="F905" s="2" t="s">
        <v>16</v>
      </c>
    </row>
    <row r="906" spans="1:6" ht="25.5">
      <c r="A906" s="2">
        <v>903</v>
      </c>
      <c r="B906" s="2" t="s">
        <v>964</v>
      </c>
      <c r="C906" s="2" t="str">
        <f>"15367150"</f>
        <v>15367150</v>
      </c>
      <c r="D906" s="2">
        <v>0.31</v>
      </c>
      <c r="E906" s="2">
        <v>17</v>
      </c>
      <c r="F906" s="2" t="s">
        <v>16</v>
      </c>
    </row>
    <row r="907" spans="1:6" ht="25.5">
      <c r="A907" s="2">
        <v>904</v>
      </c>
      <c r="B907" s="2" t="s">
        <v>965</v>
      </c>
      <c r="C907" s="2" t="str">
        <f>"15496511"</f>
        <v>15496511</v>
      </c>
      <c r="D907" s="2">
        <v>0.60299999999999998</v>
      </c>
      <c r="E907" s="2">
        <v>23</v>
      </c>
      <c r="F907" s="2" t="s">
        <v>6</v>
      </c>
    </row>
    <row r="908" spans="1:6" ht="25.5">
      <c r="A908" s="2">
        <v>905</v>
      </c>
      <c r="B908" s="2" t="s">
        <v>966</v>
      </c>
      <c r="C908" s="2" t="str">
        <f>"15328171"</f>
        <v>15328171</v>
      </c>
      <c r="D908" s="2">
        <v>0.51100000000000001</v>
      </c>
      <c r="E908" s="2">
        <v>50</v>
      </c>
      <c r="F908" s="2" t="s">
        <v>16</v>
      </c>
    </row>
    <row r="909" spans="1:6" ht="25.5">
      <c r="A909" s="2">
        <v>906</v>
      </c>
      <c r="B909" s="2" t="s">
        <v>967</v>
      </c>
      <c r="C909" s="2" t="str">
        <f>"00029254"</f>
        <v>00029254</v>
      </c>
      <c r="D909" s="2">
        <v>1.161</v>
      </c>
      <c r="E909" s="2">
        <v>51</v>
      </c>
      <c r="F909" s="2" t="s">
        <v>6</v>
      </c>
    </row>
    <row r="910" spans="1:6" ht="25.5">
      <c r="A910" s="2">
        <v>907</v>
      </c>
      <c r="B910" s="2" t="s">
        <v>968</v>
      </c>
      <c r="C910" s="2" t="str">
        <f>"1553345X"</f>
        <v>1553345X</v>
      </c>
      <c r="D910" s="2">
        <v>0.318</v>
      </c>
      <c r="E910" s="2">
        <v>10</v>
      </c>
      <c r="F910" s="2" t="s">
        <v>6</v>
      </c>
    </row>
    <row r="911" spans="1:6" ht="25.5">
      <c r="A911" s="2">
        <v>908</v>
      </c>
      <c r="B911" s="2" t="s">
        <v>969</v>
      </c>
      <c r="C911" s="2" t="str">
        <f>"14766256"</f>
        <v>14766256</v>
      </c>
      <c r="D911" s="2">
        <v>2.347</v>
      </c>
      <c r="E911" s="2">
        <v>164</v>
      </c>
      <c r="F911" s="2" t="s">
        <v>16</v>
      </c>
    </row>
    <row r="912" spans="1:6" ht="25.5">
      <c r="A912" s="2">
        <v>909</v>
      </c>
      <c r="B912" s="2" t="s">
        <v>970</v>
      </c>
      <c r="C912" s="2" t="str">
        <f>"10982140"</f>
        <v>10982140</v>
      </c>
      <c r="D912" s="2">
        <v>0.68200000000000005</v>
      </c>
      <c r="E912" s="2">
        <v>26</v>
      </c>
      <c r="F912" s="2" t="s">
        <v>6</v>
      </c>
    </row>
    <row r="913" spans="1:6" ht="25.5">
      <c r="A913" s="2">
        <v>910</v>
      </c>
      <c r="B913" s="2" t="s">
        <v>971</v>
      </c>
      <c r="C913" s="2" t="str">
        <f>"01926187"</f>
        <v>01926187</v>
      </c>
      <c r="D913" s="2">
        <v>0.29099999999999998</v>
      </c>
      <c r="E913" s="2">
        <v>24</v>
      </c>
      <c r="F913" s="2" t="s">
        <v>6</v>
      </c>
    </row>
    <row r="914" spans="1:6" ht="25.5">
      <c r="A914" s="2">
        <v>911</v>
      </c>
      <c r="B914" s="2" t="s">
        <v>972</v>
      </c>
      <c r="C914" s="2" t="str">
        <f>"1557458X"</f>
        <v>1557458X</v>
      </c>
      <c r="D914" s="2">
        <v>0.44800000000000001</v>
      </c>
      <c r="E914" s="2">
        <v>10</v>
      </c>
      <c r="F914" s="2" t="s">
        <v>6</v>
      </c>
    </row>
    <row r="915" spans="1:6" ht="25.5">
      <c r="A915" s="2">
        <v>912</v>
      </c>
      <c r="B915" s="2" t="s">
        <v>973</v>
      </c>
      <c r="C915" s="2" t="str">
        <f>"1533404X"</f>
        <v>1533404X</v>
      </c>
      <c r="D915" s="2">
        <v>0.51100000000000001</v>
      </c>
      <c r="E915" s="2">
        <v>34</v>
      </c>
      <c r="F915" s="2" t="s">
        <v>6</v>
      </c>
    </row>
    <row r="916" spans="1:6" ht="25.5">
      <c r="A916" s="2">
        <v>913</v>
      </c>
      <c r="B916" s="2" t="s">
        <v>974</v>
      </c>
      <c r="C916" s="2" t="str">
        <f>"01631942"</f>
        <v>01631942</v>
      </c>
      <c r="D916" s="2">
        <v>0.107</v>
      </c>
      <c r="E916" s="2">
        <v>6</v>
      </c>
      <c r="F916" s="2" t="s">
        <v>6</v>
      </c>
    </row>
    <row r="917" spans="1:6" ht="25.5">
      <c r="A917" s="2">
        <v>914</v>
      </c>
      <c r="B917" s="2" t="s">
        <v>975</v>
      </c>
      <c r="C917" s="2" t="str">
        <f>"07331290"</f>
        <v>07331290</v>
      </c>
      <c r="D917" s="2">
        <v>0.26300000000000001</v>
      </c>
      <c r="E917" s="2">
        <v>11</v>
      </c>
      <c r="F917" s="2" t="s">
        <v>6</v>
      </c>
    </row>
    <row r="918" spans="1:6" ht="25.5">
      <c r="A918" s="2">
        <v>915</v>
      </c>
      <c r="B918" s="2" t="s">
        <v>976</v>
      </c>
      <c r="C918" s="2" t="str">
        <f>"15720241"</f>
        <v>15720241</v>
      </c>
      <c r="D918" s="2">
        <v>2.5739999999999998</v>
      </c>
      <c r="E918" s="2">
        <v>162</v>
      </c>
      <c r="F918" s="2" t="s">
        <v>16</v>
      </c>
    </row>
    <row r="919" spans="1:6" ht="25.5">
      <c r="A919" s="2">
        <v>916</v>
      </c>
      <c r="B919" s="2" t="s">
        <v>977</v>
      </c>
      <c r="C919" s="2" t="str">
        <f>"15457214"</f>
        <v>15457214</v>
      </c>
      <c r="D919" s="2">
        <v>1.877</v>
      </c>
      <c r="E919" s="2">
        <v>72</v>
      </c>
      <c r="F919" s="2" t="s">
        <v>6</v>
      </c>
    </row>
    <row r="920" spans="1:6" ht="25.5">
      <c r="A920" s="2">
        <v>917</v>
      </c>
      <c r="B920" s="2" t="s">
        <v>978</v>
      </c>
      <c r="C920" s="2" t="str">
        <f>"10873244"</f>
        <v>10873244</v>
      </c>
      <c r="D920" s="2">
        <v>0.64600000000000002</v>
      </c>
      <c r="E920" s="2">
        <v>39</v>
      </c>
      <c r="F920" s="2" t="s">
        <v>6</v>
      </c>
    </row>
    <row r="921" spans="1:6" ht="25.5">
      <c r="A921" s="2">
        <v>918</v>
      </c>
      <c r="B921" s="2" t="s">
        <v>979</v>
      </c>
      <c r="C921" s="2" t="str">
        <f>"10556699"</f>
        <v>10556699</v>
      </c>
      <c r="D921" s="2">
        <v>0.188</v>
      </c>
      <c r="E921" s="2">
        <v>7</v>
      </c>
      <c r="F921" s="2" t="s">
        <v>6</v>
      </c>
    </row>
    <row r="922" spans="1:6" ht="25.5">
      <c r="A922" s="2">
        <v>919</v>
      </c>
      <c r="B922" s="2" t="s">
        <v>980</v>
      </c>
      <c r="C922" s="2" t="str">
        <f>"08901171"</f>
        <v>08901171</v>
      </c>
      <c r="D922" s="2">
        <v>0.76100000000000001</v>
      </c>
      <c r="E922" s="2">
        <v>59</v>
      </c>
      <c r="F922" s="2" t="s">
        <v>6</v>
      </c>
    </row>
    <row r="923" spans="1:6" ht="25.5">
      <c r="A923" s="2">
        <v>920</v>
      </c>
      <c r="B923" s="2" t="s">
        <v>981</v>
      </c>
      <c r="C923" s="2" t="str">
        <f>"10792082"</f>
        <v>10792082</v>
      </c>
      <c r="D923" s="2">
        <v>0.56999999999999995</v>
      </c>
      <c r="E923" s="2">
        <v>60</v>
      </c>
      <c r="F923" s="2" t="s">
        <v>6</v>
      </c>
    </row>
    <row r="924" spans="1:6" ht="25.5">
      <c r="A924" s="2">
        <v>921</v>
      </c>
      <c r="B924" s="2" t="s">
        <v>982</v>
      </c>
      <c r="C924" s="2" t="str">
        <f>"10968652"</f>
        <v>10968652</v>
      </c>
      <c r="D924" s="2">
        <v>1.101</v>
      </c>
      <c r="E924" s="2">
        <v>62</v>
      </c>
      <c r="F924" s="2" t="s">
        <v>6</v>
      </c>
    </row>
    <row r="925" spans="1:6" ht="25.5">
      <c r="A925" s="2">
        <v>922</v>
      </c>
      <c r="B925" s="2" t="s">
        <v>983</v>
      </c>
      <c r="C925" s="2" t="str">
        <f>"10499091"</f>
        <v>10499091</v>
      </c>
      <c r="D925" s="2">
        <v>0.52200000000000002</v>
      </c>
      <c r="E925" s="2">
        <v>26</v>
      </c>
      <c r="F925" s="2" t="s">
        <v>6</v>
      </c>
    </row>
    <row r="926" spans="1:6" ht="25.5">
      <c r="A926" s="2">
        <v>923</v>
      </c>
      <c r="B926" s="2" t="s">
        <v>984</v>
      </c>
      <c r="C926" s="2" t="str">
        <f>"15206300"</f>
        <v>15206300</v>
      </c>
      <c r="D926" s="2">
        <v>0.876</v>
      </c>
      <c r="E926" s="2">
        <v>45</v>
      </c>
      <c r="F926" s="2" t="s">
        <v>6</v>
      </c>
    </row>
    <row r="927" spans="1:6" ht="25.5">
      <c r="A927" s="2">
        <v>924</v>
      </c>
      <c r="B927" s="2" t="s">
        <v>985</v>
      </c>
      <c r="C927" s="2" t="str">
        <f>"15376605"</f>
        <v>15376605</v>
      </c>
      <c r="D927" s="2">
        <v>6.23</v>
      </c>
      <c r="E927" s="2">
        <v>217</v>
      </c>
      <c r="F927" s="2" t="s">
        <v>6</v>
      </c>
    </row>
    <row r="928" spans="1:6" ht="25.5">
      <c r="A928" s="2">
        <v>925</v>
      </c>
      <c r="B928" s="2" t="s">
        <v>986</v>
      </c>
      <c r="C928" s="2" t="str">
        <f>"18791905"</f>
        <v>18791905</v>
      </c>
      <c r="D928" s="2">
        <v>1.268</v>
      </c>
      <c r="E928" s="2">
        <v>93</v>
      </c>
      <c r="F928" s="2" t="s">
        <v>16</v>
      </c>
    </row>
    <row r="929" spans="1:6" ht="25.5">
      <c r="A929" s="2">
        <v>926</v>
      </c>
      <c r="B929" s="2" t="s">
        <v>987</v>
      </c>
      <c r="C929" s="2" t="str">
        <f>"1553619X"</f>
        <v>1553619X</v>
      </c>
      <c r="D929" s="2">
        <v>0.13800000000000001</v>
      </c>
      <c r="E929" s="2">
        <v>6</v>
      </c>
      <c r="F929" s="2" t="s">
        <v>6</v>
      </c>
    </row>
    <row r="930" spans="1:6" ht="25.5">
      <c r="A930" s="2">
        <v>927</v>
      </c>
      <c r="B930" s="2" t="s">
        <v>988</v>
      </c>
      <c r="C930" s="2" t="str">
        <f>"10970274"</f>
        <v>10970274</v>
      </c>
      <c r="D930" s="2">
        <v>0.84899999999999998</v>
      </c>
      <c r="E930" s="2">
        <v>70</v>
      </c>
      <c r="F930" s="2" t="s">
        <v>6</v>
      </c>
    </row>
    <row r="931" spans="1:6" ht="25.5">
      <c r="A931" s="2">
        <v>928</v>
      </c>
      <c r="B931" s="2" t="s">
        <v>989</v>
      </c>
      <c r="C931" s="2" t="str">
        <f>"15273296"</f>
        <v>15273296</v>
      </c>
      <c r="D931" s="2">
        <v>1.1579999999999999</v>
      </c>
      <c r="E931" s="2">
        <v>64</v>
      </c>
      <c r="F931" s="2" t="s">
        <v>6</v>
      </c>
    </row>
    <row r="932" spans="1:6" ht="25.5">
      <c r="A932" s="2">
        <v>929</v>
      </c>
      <c r="B932" s="2" t="s">
        <v>990</v>
      </c>
      <c r="C932" s="2" t="str">
        <f>"15536203"</f>
        <v>15536203</v>
      </c>
      <c r="D932" s="2">
        <v>0.17199999999999999</v>
      </c>
      <c r="E932" s="2">
        <v>7</v>
      </c>
      <c r="F932" s="2" t="s">
        <v>6</v>
      </c>
    </row>
    <row r="933" spans="1:6" ht="25.5">
      <c r="A933" s="2">
        <v>930</v>
      </c>
      <c r="B933" s="2" t="s">
        <v>991</v>
      </c>
      <c r="C933" s="2" t="str">
        <f>"00029300"</f>
        <v>00029300</v>
      </c>
      <c r="D933" s="2">
        <v>0.46899999999999997</v>
      </c>
      <c r="E933" s="2">
        <v>26</v>
      </c>
      <c r="F933" s="2" t="s">
        <v>6</v>
      </c>
    </row>
    <row r="934" spans="1:6" ht="25.5">
      <c r="A934" s="2">
        <v>931</v>
      </c>
      <c r="B934" s="2" t="s">
        <v>992</v>
      </c>
      <c r="C934" s="2" t="str">
        <f>"15236838"</f>
        <v>15236838</v>
      </c>
      <c r="D934" s="2">
        <v>2.0569999999999999</v>
      </c>
      <c r="E934" s="2">
        <v>143</v>
      </c>
      <c r="F934" s="2" t="s">
        <v>16</v>
      </c>
    </row>
    <row r="935" spans="1:6" ht="25.5">
      <c r="A935" s="2">
        <v>932</v>
      </c>
      <c r="B935" s="2" t="s">
        <v>993</v>
      </c>
      <c r="C935" s="2" t="str">
        <f>"00988588"</f>
        <v>00988588</v>
      </c>
      <c r="D935" s="2">
        <v>0.28899999999999998</v>
      </c>
      <c r="E935" s="2">
        <v>18</v>
      </c>
      <c r="F935" s="2" t="s">
        <v>6</v>
      </c>
    </row>
    <row r="936" spans="1:6" ht="25.5">
      <c r="A936" s="2">
        <v>933</v>
      </c>
      <c r="B936" s="2" t="s">
        <v>994</v>
      </c>
      <c r="C936" s="2" t="str">
        <f>"00029319"</f>
        <v>00029319</v>
      </c>
      <c r="D936" s="2">
        <v>0.107</v>
      </c>
      <c r="E936" s="2">
        <v>3</v>
      </c>
      <c r="F936" s="2" t="s">
        <v>6</v>
      </c>
    </row>
    <row r="937" spans="1:6" ht="25.5">
      <c r="A937" s="2">
        <v>934</v>
      </c>
      <c r="B937" s="2" t="s">
        <v>995</v>
      </c>
      <c r="C937" s="2" t="str">
        <f>"15598284"</f>
        <v>15598284</v>
      </c>
      <c r="D937" s="2">
        <v>0</v>
      </c>
      <c r="E937" s="2">
        <v>1</v>
      </c>
      <c r="F937" s="2" t="s">
        <v>6</v>
      </c>
    </row>
    <row r="938" spans="1:6" ht="25.5">
      <c r="A938" s="2">
        <v>935</v>
      </c>
      <c r="B938" s="2" t="s">
        <v>996</v>
      </c>
      <c r="C938" s="2" t="str">
        <f>"10961860"</f>
        <v>10961860</v>
      </c>
      <c r="D938" s="2">
        <v>1.181</v>
      </c>
      <c r="E938" s="2">
        <v>55</v>
      </c>
      <c r="F938" s="2" t="s">
        <v>6</v>
      </c>
    </row>
    <row r="939" spans="1:6" ht="25.5">
      <c r="A939" s="2">
        <v>936</v>
      </c>
      <c r="B939" s="2" t="s">
        <v>997</v>
      </c>
      <c r="C939" s="2" t="str">
        <f>"01966324"</f>
        <v>01966324</v>
      </c>
      <c r="D939" s="2">
        <v>0.14299999999999999</v>
      </c>
      <c r="E939" s="2">
        <v>8</v>
      </c>
      <c r="F939" s="2" t="s">
        <v>6</v>
      </c>
    </row>
    <row r="940" spans="1:6" ht="25.5">
      <c r="A940" s="2">
        <v>937</v>
      </c>
      <c r="B940" s="2" t="s">
        <v>998</v>
      </c>
      <c r="C940" s="2" t="str">
        <f>"10806377"</f>
        <v>10806377</v>
      </c>
      <c r="D940" s="2">
        <v>2.899</v>
      </c>
      <c r="E940" s="2">
        <v>33</v>
      </c>
      <c r="F940" s="2" t="s">
        <v>6</v>
      </c>
    </row>
    <row r="941" spans="1:6" ht="25.5">
      <c r="A941" s="2">
        <v>938</v>
      </c>
      <c r="B941" s="2" t="s">
        <v>999</v>
      </c>
      <c r="C941" s="2" t="str">
        <f>"15524833"</f>
        <v>15524833</v>
      </c>
      <c r="D941" s="2">
        <v>1.026</v>
      </c>
      <c r="E941" s="2">
        <v>42</v>
      </c>
      <c r="F941" s="2" t="s">
        <v>6</v>
      </c>
    </row>
    <row r="942" spans="1:6" ht="25.5">
      <c r="A942" s="2">
        <v>939</v>
      </c>
      <c r="B942" s="2" t="s">
        <v>1000</v>
      </c>
      <c r="C942" s="2" t="str">
        <f>"1552485X"</f>
        <v>1552485X</v>
      </c>
      <c r="D942" s="2">
        <v>1.4059999999999999</v>
      </c>
      <c r="E942" s="2">
        <v>90</v>
      </c>
      <c r="F942" s="2" t="s">
        <v>6</v>
      </c>
    </row>
    <row r="943" spans="1:6" ht="25.5">
      <c r="A943" s="2">
        <v>940</v>
      </c>
      <c r="B943" s="2" t="s">
        <v>1001</v>
      </c>
      <c r="C943" s="2" t="str">
        <f>"15524876"</f>
        <v>15524876</v>
      </c>
      <c r="D943" s="2">
        <v>1.597</v>
      </c>
      <c r="E943" s="2">
        <v>65</v>
      </c>
      <c r="F943" s="2" t="s">
        <v>6</v>
      </c>
    </row>
    <row r="944" spans="1:6" ht="25.5">
      <c r="A944" s="2">
        <v>941</v>
      </c>
      <c r="B944" s="2" t="s">
        <v>1002</v>
      </c>
      <c r="C944" s="2" t="str">
        <f>"10628606"</f>
        <v>10628606</v>
      </c>
      <c r="D944" s="2">
        <v>0.82099999999999995</v>
      </c>
      <c r="E944" s="2">
        <v>31</v>
      </c>
      <c r="F944" s="2" t="s">
        <v>6</v>
      </c>
    </row>
    <row r="945" spans="1:6" ht="25.5">
      <c r="A945" s="2">
        <v>942</v>
      </c>
      <c r="B945" s="2" t="s">
        <v>1003</v>
      </c>
      <c r="C945" s="2" t="str">
        <f>"15557162"</f>
        <v>15557162</v>
      </c>
      <c r="D945" s="2">
        <v>1.6759999999999999</v>
      </c>
      <c r="E945" s="2">
        <v>156</v>
      </c>
      <c r="F945" s="2" t="s">
        <v>6</v>
      </c>
    </row>
    <row r="946" spans="1:6" ht="25.5">
      <c r="A946" s="2">
        <v>943</v>
      </c>
      <c r="B946" s="2" t="s">
        <v>1004</v>
      </c>
      <c r="C946" s="2" t="str">
        <f>"15579883"</f>
        <v>15579883</v>
      </c>
      <c r="D946" s="2">
        <v>0.41299999999999998</v>
      </c>
      <c r="E946" s="2">
        <v>11</v>
      </c>
      <c r="F946" s="2" t="s">
        <v>6</v>
      </c>
    </row>
    <row r="947" spans="1:6" ht="25.5">
      <c r="A947" s="2">
        <v>944</v>
      </c>
      <c r="B947" s="2" t="s">
        <v>1005</v>
      </c>
      <c r="C947" s="2" t="str">
        <f>"14219670"</f>
        <v>14219670</v>
      </c>
      <c r="D947" s="2">
        <v>0.96099999999999997</v>
      </c>
      <c r="E947" s="2">
        <v>52</v>
      </c>
      <c r="F947" s="2" t="s">
        <v>31</v>
      </c>
    </row>
    <row r="948" spans="1:6" ht="25.5">
      <c r="A948" s="2">
        <v>945</v>
      </c>
      <c r="B948" s="2" t="s">
        <v>1006</v>
      </c>
      <c r="C948" s="2" t="str">
        <f>"01956108"</f>
        <v>01956108</v>
      </c>
      <c r="D948" s="2">
        <v>1.4490000000000001</v>
      </c>
      <c r="E948" s="2">
        <v>113</v>
      </c>
      <c r="F948" s="2" t="s">
        <v>6</v>
      </c>
    </row>
    <row r="949" spans="1:6" ht="25.5">
      <c r="A949" s="2">
        <v>946</v>
      </c>
      <c r="B949" s="2" t="s">
        <v>1007</v>
      </c>
      <c r="C949" s="2" t="str">
        <f>"15387488"</f>
        <v>15387488</v>
      </c>
      <c r="D949" s="2">
        <v>0.214</v>
      </c>
      <c r="E949" s="2">
        <v>30</v>
      </c>
      <c r="F949" s="2" t="s">
        <v>6</v>
      </c>
    </row>
    <row r="950" spans="1:6" ht="25.5">
      <c r="A950" s="2">
        <v>947</v>
      </c>
      <c r="B950" s="2" t="s">
        <v>1008</v>
      </c>
      <c r="C950" s="2" t="str">
        <f>"10976868"</f>
        <v>10976868</v>
      </c>
      <c r="D950" s="2">
        <v>1.5269999999999999</v>
      </c>
      <c r="E950" s="2">
        <v>139</v>
      </c>
      <c r="F950" s="2" t="s">
        <v>6</v>
      </c>
    </row>
    <row r="951" spans="1:6" ht="25.5">
      <c r="A951" s="2">
        <v>948</v>
      </c>
      <c r="B951" s="2" t="s">
        <v>1009</v>
      </c>
      <c r="C951" s="2" t="str">
        <f>"02729490"</f>
        <v>02729490</v>
      </c>
      <c r="D951" s="2">
        <v>0.79800000000000004</v>
      </c>
      <c r="E951" s="2">
        <v>49</v>
      </c>
      <c r="F951" s="2" t="s">
        <v>6</v>
      </c>
    </row>
    <row r="952" spans="1:6" ht="25.5">
      <c r="A952" s="2">
        <v>949</v>
      </c>
      <c r="B952" s="2" t="s">
        <v>1010</v>
      </c>
      <c r="C952" s="2" t="str">
        <f>"00029394"</f>
        <v>00029394</v>
      </c>
      <c r="D952" s="2">
        <v>2.9609999999999999</v>
      </c>
      <c r="E952" s="2">
        <v>120</v>
      </c>
      <c r="F952" s="2" t="s">
        <v>6</v>
      </c>
    </row>
    <row r="953" spans="1:6" ht="25.5">
      <c r="A953" s="2">
        <v>950</v>
      </c>
      <c r="B953" s="2" t="s">
        <v>1011</v>
      </c>
      <c r="C953" s="2" t="str">
        <f>"10976752"</f>
        <v>10976752</v>
      </c>
      <c r="D953" s="2">
        <v>1.1499999999999999</v>
      </c>
      <c r="E953" s="2">
        <v>67</v>
      </c>
      <c r="F953" s="2" t="s">
        <v>6</v>
      </c>
    </row>
    <row r="954" spans="1:6" ht="25.5">
      <c r="A954" s="2">
        <v>951</v>
      </c>
      <c r="B954" s="2" t="s">
        <v>1012</v>
      </c>
      <c r="C954" s="2" t="str">
        <f>"19343418"</f>
        <v>19343418</v>
      </c>
      <c r="D954" s="2">
        <v>0.41299999999999998</v>
      </c>
      <c r="E954" s="2">
        <v>36</v>
      </c>
      <c r="F954" s="2" t="s">
        <v>6</v>
      </c>
    </row>
    <row r="955" spans="1:6" ht="25.5">
      <c r="A955" s="2">
        <v>952</v>
      </c>
      <c r="B955" s="2" t="s">
        <v>1013</v>
      </c>
      <c r="C955" s="2" t="str">
        <f>"00029432"</f>
        <v>00029432</v>
      </c>
      <c r="D955" s="2">
        <v>0.86599999999999999</v>
      </c>
      <c r="E955" s="2">
        <v>52</v>
      </c>
      <c r="F955" s="2" t="s">
        <v>6</v>
      </c>
    </row>
    <row r="956" spans="1:6" ht="25.5">
      <c r="A956" s="2">
        <v>953</v>
      </c>
      <c r="B956" s="2" t="s">
        <v>1014</v>
      </c>
      <c r="C956" s="2" t="str">
        <f>"1532818X"</f>
        <v>1532818X</v>
      </c>
      <c r="D956" s="2">
        <v>0.628</v>
      </c>
      <c r="E956" s="2">
        <v>35</v>
      </c>
      <c r="F956" s="2" t="s">
        <v>16</v>
      </c>
    </row>
    <row r="957" spans="1:6" ht="25.5">
      <c r="A957" s="2">
        <v>954</v>
      </c>
      <c r="B957" s="2" t="s">
        <v>1015</v>
      </c>
      <c r="C957" s="2" t="str">
        <f>"15252191"</f>
        <v>15252191</v>
      </c>
      <c r="D957" s="2">
        <v>2.1480000000000001</v>
      </c>
      <c r="E957" s="2">
        <v>189</v>
      </c>
      <c r="F957" s="2" t="s">
        <v>6</v>
      </c>
    </row>
    <row r="958" spans="1:6" ht="25.5">
      <c r="A958" s="2">
        <v>955</v>
      </c>
      <c r="B958" s="2" t="s">
        <v>1016</v>
      </c>
      <c r="C958" s="2" t="str">
        <f>"10988785"</f>
        <v>10988785</v>
      </c>
      <c r="D958" s="2">
        <v>0.60199999999999998</v>
      </c>
      <c r="E958" s="2">
        <v>39</v>
      </c>
      <c r="F958" s="2" t="s">
        <v>6</v>
      </c>
    </row>
    <row r="959" spans="1:6" ht="25.5">
      <c r="A959" s="2">
        <v>956</v>
      </c>
      <c r="B959" s="2" t="s">
        <v>1017</v>
      </c>
      <c r="C959" s="2" t="str">
        <f>"00029459"</f>
        <v>00029459</v>
      </c>
      <c r="D959" s="2">
        <v>0.35799999999999998</v>
      </c>
      <c r="E959" s="2">
        <v>23</v>
      </c>
      <c r="F959" s="2" t="s">
        <v>6</v>
      </c>
    </row>
    <row r="960" spans="1:6" ht="25.5">
      <c r="A960" s="2">
        <v>957</v>
      </c>
      <c r="B960" s="2" t="s">
        <v>1018</v>
      </c>
      <c r="C960" s="2" t="str">
        <f>"15574970"</f>
        <v>15574970</v>
      </c>
      <c r="D960" s="2">
        <v>0.21199999999999999</v>
      </c>
      <c r="E960" s="2">
        <v>8</v>
      </c>
      <c r="F960" s="2" t="s">
        <v>6</v>
      </c>
    </row>
    <row r="961" spans="1:6" ht="25.5">
      <c r="A961" s="2">
        <v>958</v>
      </c>
      <c r="B961" s="2" t="s">
        <v>1019</v>
      </c>
      <c r="C961" s="2" t="str">
        <f>"19454481"</f>
        <v>19454481</v>
      </c>
      <c r="D961" s="2">
        <v>0.17799999999999999</v>
      </c>
      <c r="E961" s="2">
        <v>4</v>
      </c>
      <c r="F961" s="2" t="s">
        <v>6</v>
      </c>
    </row>
    <row r="962" spans="1:6" ht="25.5">
      <c r="A962" s="2">
        <v>959</v>
      </c>
      <c r="B962" s="2" t="s">
        <v>1020</v>
      </c>
      <c r="C962" s="2" t="str">
        <f>"00029475"</f>
        <v>00029475</v>
      </c>
      <c r="D962" s="2">
        <v>0.14399999999999999</v>
      </c>
      <c r="E962" s="2">
        <v>7</v>
      </c>
      <c r="F962" s="2" t="s">
        <v>6</v>
      </c>
    </row>
    <row r="963" spans="1:6" ht="25.5">
      <c r="A963" s="2">
        <v>960</v>
      </c>
      <c r="B963" s="2" t="s">
        <v>1021</v>
      </c>
      <c r="C963" s="2" t="str">
        <f>"10968644"</f>
        <v>10968644</v>
      </c>
      <c r="D963" s="2">
        <v>1.2210000000000001</v>
      </c>
      <c r="E963" s="2">
        <v>67</v>
      </c>
      <c r="F963" s="2" t="s">
        <v>6</v>
      </c>
    </row>
    <row r="964" spans="1:6" ht="25.5">
      <c r="A964" s="2">
        <v>961</v>
      </c>
      <c r="B964" s="2" t="s">
        <v>1022</v>
      </c>
      <c r="C964" s="2" t="str">
        <f>"15377385"</f>
        <v>15377385</v>
      </c>
      <c r="D964" s="2">
        <v>0.629</v>
      </c>
      <c r="E964" s="2">
        <v>57</v>
      </c>
      <c r="F964" s="2" t="s">
        <v>6</v>
      </c>
    </row>
    <row r="965" spans="1:6" ht="25.5">
      <c r="A965" s="2">
        <v>962</v>
      </c>
      <c r="B965" s="2" t="s">
        <v>1023</v>
      </c>
      <c r="C965" s="2" t="str">
        <f>"00029505"</f>
        <v>00029505</v>
      </c>
      <c r="D965" s="2">
        <v>0.68600000000000005</v>
      </c>
      <c r="E965" s="2">
        <v>51</v>
      </c>
      <c r="F965" s="2" t="s">
        <v>6</v>
      </c>
    </row>
    <row r="966" spans="1:6" ht="25.5">
      <c r="A966" s="2">
        <v>963</v>
      </c>
      <c r="B966" s="2" t="s">
        <v>1024</v>
      </c>
      <c r="C966" s="2" t="str">
        <f>"15221229"</f>
        <v>15221229</v>
      </c>
      <c r="D966" s="2">
        <v>0.36299999999999999</v>
      </c>
      <c r="E966" s="2">
        <v>30</v>
      </c>
      <c r="F966" s="2" t="s">
        <v>6</v>
      </c>
    </row>
    <row r="967" spans="1:6" ht="25.5">
      <c r="A967" s="2">
        <v>964</v>
      </c>
      <c r="B967" s="2" t="s">
        <v>1025</v>
      </c>
      <c r="C967" s="2" t="str">
        <f>"15221563"</f>
        <v>15221563</v>
      </c>
      <c r="D967" s="2">
        <v>1.643</v>
      </c>
      <c r="E967" s="2">
        <v>125</v>
      </c>
      <c r="F967" s="2" t="s">
        <v>6</v>
      </c>
    </row>
    <row r="968" spans="1:6" ht="25.5">
      <c r="A968" s="2">
        <v>965</v>
      </c>
      <c r="B968" s="2" t="s">
        <v>1026</v>
      </c>
      <c r="C968" s="2" t="str">
        <f>"15221555"</f>
        <v>15221555</v>
      </c>
      <c r="D968" s="2">
        <v>2.0049999999999999</v>
      </c>
      <c r="E968" s="2">
        <v>130</v>
      </c>
      <c r="F968" s="2" t="s">
        <v>6</v>
      </c>
    </row>
    <row r="969" spans="1:6" ht="25.5">
      <c r="A969" s="2">
        <v>966</v>
      </c>
      <c r="B969" s="2" t="s">
        <v>1027</v>
      </c>
      <c r="C969" s="2" t="str">
        <f>"15221547"</f>
        <v>15221547</v>
      </c>
      <c r="D969" s="2">
        <v>1.389</v>
      </c>
      <c r="E969" s="2">
        <v>113</v>
      </c>
      <c r="F969" s="2" t="s">
        <v>6</v>
      </c>
    </row>
    <row r="970" spans="1:6" ht="25.5">
      <c r="A970" s="2">
        <v>967</v>
      </c>
      <c r="B970" s="2" t="s">
        <v>1028</v>
      </c>
      <c r="C970" s="2" t="str">
        <f>"15221539"</f>
        <v>15221539</v>
      </c>
      <c r="D970" s="2">
        <v>1.52</v>
      </c>
      <c r="E970" s="2">
        <v>131</v>
      </c>
      <c r="F970" s="2" t="s">
        <v>6</v>
      </c>
    </row>
    <row r="971" spans="1:6" ht="25.5">
      <c r="A971" s="2">
        <v>968</v>
      </c>
      <c r="B971" s="2" t="s">
        <v>1029</v>
      </c>
      <c r="C971" s="2" t="str">
        <f>"15221504"</f>
        <v>15221504</v>
      </c>
      <c r="D971" s="2">
        <v>1.613</v>
      </c>
      <c r="E971" s="2">
        <v>118</v>
      </c>
      <c r="F971" s="2" t="s">
        <v>6</v>
      </c>
    </row>
    <row r="972" spans="1:6" ht="25.5">
      <c r="A972" s="2">
        <v>969</v>
      </c>
      <c r="B972" s="2" t="s">
        <v>1030</v>
      </c>
      <c r="C972" s="2" t="str">
        <f>"15221490"</f>
        <v>15221490</v>
      </c>
      <c r="D972" s="2">
        <v>1.379</v>
      </c>
      <c r="E972" s="2">
        <v>116</v>
      </c>
      <c r="F972" s="2" t="s">
        <v>6</v>
      </c>
    </row>
    <row r="973" spans="1:6" ht="25.5">
      <c r="A973" s="2">
        <v>970</v>
      </c>
      <c r="B973" s="2" t="s">
        <v>1031</v>
      </c>
      <c r="C973" s="2" t="str">
        <f>"1931857X"</f>
        <v>1931857X</v>
      </c>
      <c r="D973" s="2">
        <v>1.6160000000000001</v>
      </c>
      <c r="E973" s="2">
        <v>119</v>
      </c>
      <c r="F973" s="2" t="s">
        <v>6</v>
      </c>
    </row>
    <row r="974" spans="1:6" ht="25.5">
      <c r="A974" s="2">
        <v>971</v>
      </c>
      <c r="B974" s="2" t="s">
        <v>1032</v>
      </c>
      <c r="C974" s="2" t="str">
        <f>"15574539"</f>
        <v>15574539</v>
      </c>
      <c r="D974" s="2">
        <v>0.79</v>
      </c>
      <c r="E974" s="2">
        <v>9</v>
      </c>
      <c r="F974" s="2" t="s">
        <v>6</v>
      </c>
    </row>
    <row r="975" spans="1:6" ht="25.5">
      <c r="A975" s="2">
        <v>972</v>
      </c>
      <c r="B975" s="2" t="s">
        <v>1033</v>
      </c>
      <c r="C975" s="2" t="str">
        <f>"15405907"</f>
        <v>15405907</v>
      </c>
      <c r="D975" s="2">
        <v>5.9749999999999996</v>
      </c>
      <c r="E975" s="2">
        <v>76</v>
      </c>
      <c r="F975" s="2" t="s">
        <v>16</v>
      </c>
    </row>
    <row r="976" spans="1:6" ht="25.5">
      <c r="A976" s="2">
        <v>973</v>
      </c>
      <c r="B976" s="2" t="s">
        <v>1034</v>
      </c>
      <c r="C976" s="2" t="str">
        <f>"1099209X"</f>
        <v>1099209X</v>
      </c>
      <c r="D976" s="2">
        <v>0.63900000000000001</v>
      </c>
      <c r="E976" s="2">
        <v>26</v>
      </c>
      <c r="F976" s="2" t="s">
        <v>6</v>
      </c>
    </row>
    <row r="977" spans="1:6" ht="25.5">
      <c r="A977" s="2">
        <v>974</v>
      </c>
      <c r="B977" s="2" t="s">
        <v>1035</v>
      </c>
      <c r="C977" s="2" t="str">
        <f>"18732607"</f>
        <v>18732607</v>
      </c>
      <c r="D977" s="2">
        <v>2.31</v>
      </c>
      <c r="E977" s="2">
        <v>118</v>
      </c>
      <c r="F977" s="2" t="s">
        <v>6</v>
      </c>
    </row>
    <row r="978" spans="1:6" ht="25.5">
      <c r="A978" s="2">
        <v>975</v>
      </c>
      <c r="B978" s="2" t="s">
        <v>1036</v>
      </c>
      <c r="C978" s="2" t="str">
        <f>"10982345"</f>
        <v>10982345</v>
      </c>
      <c r="D978" s="2">
        <v>0.95599999999999996</v>
      </c>
      <c r="E978" s="2">
        <v>48</v>
      </c>
      <c r="F978" s="2" t="s">
        <v>6</v>
      </c>
    </row>
    <row r="979" spans="1:6" ht="25.5">
      <c r="A979" s="2">
        <v>976</v>
      </c>
      <c r="B979" s="2" t="s">
        <v>1037</v>
      </c>
      <c r="C979" s="2" t="str">
        <f>"15487776"</f>
        <v>15487776</v>
      </c>
      <c r="D979" s="2">
        <v>0.35699999999999998</v>
      </c>
      <c r="E979" s="2">
        <v>10</v>
      </c>
      <c r="F979" s="2" t="s">
        <v>6</v>
      </c>
    </row>
    <row r="980" spans="1:6" ht="25.5">
      <c r="A980" s="2">
        <v>977</v>
      </c>
      <c r="B980" s="2" t="s">
        <v>1038</v>
      </c>
      <c r="C980" s="2" t="str">
        <f>"15357228"</f>
        <v>15357228</v>
      </c>
      <c r="D980" s="2">
        <v>5.4489999999999998</v>
      </c>
      <c r="E980" s="2">
        <v>237</v>
      </c>
      <c r="F980" s="2" t="s">
        <v>6</v>
      </c>
    </row>
    <row r="981" spans="1:6" ht="25.5">
      <c r="A981" s="2">
        <v>978</v>
      </c>
      <c r="B981" s="2" t="s">
        <v>1039</v>
      </c>
      <c r="C981" s="2" t="str">
        <f>"15736741"</f>
        <v>15736741</v>
      </c>
      <c r="D981" s="2">
        <v>0.23400000000000001</v>
      </c>
      <c r="E981" s="2">
        <v>11</v>
      </c>
      <c r="F981" s="2" t="s">
        <v>16</v>
      </c>
    </row>
    <row r="982" spans="1:6" ht="25.5">
      <c r="A982" s="2">
        <v>979</v>
      </c>
      <c r="B982" s="2" t="s">
        <v>1040</v>
      </c>
      <c r="C982" s="2" t="str">
        <f>"00029556"</f>
        <v>00029556</v>
      </c>
      <c r="D982" s="2">
        <v>0.45600000000000002</v>
      </c>
      <c r="E982" s="2">
        <v>27</v>
      </c>
      <c r="F982" s="2" t="s">
        <v>6</v>
      </c>
    </row>
    <row r="983" spans="1:6" ht="25.5">
      <c r="A983" s="2">
        <v>980</v>
      </c>
      <c r="B983" s="2" t="s">
        <v>1041</v>
      </c>
      <c r="C983" s="2" t="str">
        <f>"00029564"</f>
        <v>00029564</v>
      </c>
      <c r="D983" s="2">
        <v>0.30399999999999999</v>
      </c>
      <c r="E983" s="2">
        <v>20</v>
      </c>
      <c r="F983" s="2" t="s">
        <v>6</v>
      </c>
    </row>
    <row r="984" spans="1:6" ht="25.5">
      <c r="A984" s="2">
        <v>981</v>
      </c>
      <c r="B984" s="2" t="s">
        <v>1042</v>
      </c>
      <c r="C984" s="2" t="str">
        <f>"15410048"</f>
        <v>15410048</v>
      </c>
      <c r="D984" s="2">
        <v>1.738</v>
      </c>
      <c r="E984" s="2">
        <v>159</v>
      </c>
      <c r="F984" s="2" t="s">
        <v>6</v>
      </c>
    </row>
    <row r="985" spans="1:6" ht="25.5">
      <c r="A985" s="2">
        <v>982</v>
      </c>
      <c r="B985" s="2" t="s">
        <v>1043</v>
      </c>
      <c r="C985" s="2" t="str">
        <f>"10467408"</f>
        <v>10467408</v>
      </c>
      <c r="D985" s="2">
        <v>1.06</v>
      </c>
      <c r="E985" s="2">
        <v>63</v>
      </c>
      <c r="F985" s="2" t="s">
        <v>16</v>
      </c>
    </row>
    <row r="986" spans="1:6" ht="25.5">
      <c r="A986" s="2">
        <v>983</v>
      </c>
      <c r="B986" s="2" t="s">
        <v>1044</v>
      </c>
      <c r="C986" s="2" t="str">
        <f>"15354970"</f>
        <v>15354970</v>
      </c>
      <c r="D986" s="2">
        <v>4.8920000000000003</v>
      </c>
      <c r="E986" s="2">
        <v>252</v>
      </c>
      <c r="F986" s="2" t="s">
        <v>6</v>
      </c>
    </row>
    <row r="987" spans="1:6" ht="25.5">
      <c r="A987" s="2">
        <v>984</v>
      </c>
      <c r="B987" s="2" t="s">
        <v>1045</v>
      </c>
      <c r="C987" s="2" t="str">
        <f>"15354989"</f>
        <v>15354989</v>
      </c>
      <c r="D987" s="2">
        <v>1.907</v>
      </c>
      <c r="E987" s="2">
        <v>115</v>
      </c>
      <c r="F987" s="2" t="s">
        <v>6</v>
      </c>
    </row>
    <row r="988" spans="1:6" ht="25.5">
      <c r="A988" s="2">
        <v>985</v>
      </c>
      <c r="B988" s="2" t="s">
        <v>1046</v>
      </c>
      <c r="C988" s="2" t="str">
        <f>"19458932"</f>
        <v>19458932</v>
      </c>
      <c r="D988" s="2">
        <v>1.397</v>
      </c>
      <c r="E988" s="2">
        <v>47</v>
      </c>
      <c r="F988" s="2" t="s">
        <v>6</v>
      </c>
    </row>
    <row r="989" spans="1:6" ht="25.5">
      <c r="A989" s="2">
        <v>986</v>
      </c>
      <c r="B989" s="2" t="s">
        <v>1047</v>
      </c>
      <c r="C989" s="2" t="str">
        <f>"15463141"</f>
        <v>15463141</v>
      </c>
      <c r="D989" s="2">
        <v>1.5289999999999999</v>
      </c>
      <c r="E989" s="2">
        <v>129</v>
      </c>
      <c r="F989" s="2" t="s">
        <v>6</v>
      </c>
    </row>
    <row r="990" spans="1:6" ht="25.5">
      <c r="A990" s="2">
        <v>987</v>
      </c>
      <c r="B990" s="2" t="s">
        <v>1048</v>
      </c>
      <c r="C990" s="2" t="str">
        <f>"00029599"</f>
        <v>00029599</v>
      </c>
      <c r="D990" s="2">
        <v>1.85</v>
      </c>
      <c r="E990" s="2">
        <v>67</v>
      </c>
      <c r="F990" s="2" t="s">
        <v>6</v>
      </c>
    </row>
    <row r="991" spans="1:6" ht="25.5">
      <c r="A991" s="2">
        <v>988</v>
      </c>
      <c r="B991" s="2" t="s">
        <v>1049</v>
      </c>
      <c r="C991" s="2" t="str">
        <f>"15546136"</f>
        <v>15546136</v>
      </c>
      <c r="D991" s="2">
        <v>0.25700000000000001</v>
      </c>
      <c r="E991" s="2">
        <v>5</v>
      </c>
      <c r="F991" s="2" t="s">
        <v>6</v>
      </c>
    </row>
    <row r="992" spans="1:6" ht="25.5">
      <c r="A992" s="2">
        <v>989</v>
      </c>
      <c r="B992" s="2" t="s">
        <v>1050</v>
      </c>
      <c r="C992" s="2" t="str">
        <f>"15375390"</f>
        <v>15375390</v>
      </c>
      <c r="D992" s="2">
        <v>3.9350000000000001</v>
      </c>
      <c r="E992" s="2">
        <v>92</v>
      </c>
      <c r="F992" s="2" t="s">
        <v>6</v>
      </c>
    </row>
    <row r="993" spans="1:6" ht="25.5">
      <c r="A993" s="2">
        <v>990</v>
      </c>
      <c r="B993" s="2" t="s">
        <v>1051</v>
      </c>
      <c r="C993" s="2" t="str">
        <f>"10580360"</f>
        <v>10580360</v>
      </c>
      <c r="D993" s="2">
        <v>1.1479999999999999</v>
      </c>
      <c r="E993" s="2">
        <v>38</v>
      </c>
      <c r="F993" s="2" t="s">
        <v>6</v>
      </c>
    </row>
    <row r="994" spans="1:6" ht="25.5">
      <c r="A994" s="2">
        <v>991</v>
      </c>
      <c r="B994" s="2" t="s">
        <v>1052</v>
      </c>
      <c r="C994" s="2" t="str">
        <f>"03635465"</f>
        <v>03635465</v>
      </c>
      <c r="D994" s="2">
        <v>3.198</v>
      </c>
      <c r="E994" s="2">
        <v>120</v>
      </c>
      <c r="F994" s="2" t="s">
        <v>6</v>
      </c>
    </row>
    <row r="995" spans="1:6" ht="25.5">
      <c r="A995" s="2">
        <v>992</v>
      </c>
      <c r="B995" s="2" t="s">
        <v>1053</v>
      </c>
      <c r="C995" s="2" t="str">
        <f>"00029610"</f>
        <v>00029610</v>
      </c>
      <c r="D995" s="2">
        <v>0.997</v>
      </c>
      <c r="E995" s="2">
        <v>106</v>
      </c>
      <c r="F995" s="2" t="s">
        <v>6</v>
      </c>
    </row>
    <row r="996" spans="1:6" ht="25.5">
      <c r="A996" s="2">
        <v>993</v>
      </c>
      <c r="B996" s="2" t="s">
        <v>1054</v>
      </c>
      <c r="C996" s="2" t="str">
        <f>"01475185"</f>
        <v>01475185</v>
      </c>
      <c r="D996" s="2">
        <v>2.1389999999999998</v>
      </c>
      <c r="E996" s="2">
        <v>134</v>
      </c>
      <c r="F996" s="2" t="s">
        <v>6</v>
      </c>
    </row>
    <row r="997" spans="1:6" ht="25.5">
      <c r="A997" s="2">
        <v>994</v>
      </c>
      <c r="B997" s="2" t="s">
        <v>1055</v>
      </c>
      <c r="C997" s="2" t="str">
        <f>"00029629"</f>
        <v>00029629</v>
      </c>
      <c r="D997" s="2">
        <v>0.47</v>
      </c>
      <c r="E997" s="2">
        <v>61</v>
      </c>
      <c r="F997" s="2" t="s">
        <v>6</v>
      </c>
    </row>
    <row r="998" spans="1:6" ht="25.5">
      <c r="A998" s="2">
        <v>995</v>
      </c>
      <c r="B998" s="2" t="s">
        <v>1056</v>
      </c>
      <c r="C998" s="2" t="str">
        <f>"15363686"</f>
        <v>15363686</v>
      </c>
      <c r="D998" s="2">
        <v>0.41099999999999998</v>
      </c>
      <c r="E998" s="2">
        <v>42</v>
      </c>
      <c r="F998" s="2" t="s">
        <v>6</v>
      </c>
    </row>
    <row r="999" spans="1:6" ht="25.5">
      <c r="A999" s="2">
        <v>996</v>
      </c>
      <c r="B999" s="2" t="s">
        <v>1057</v>
      </c>
      <c r="C999" s="2" t="str">
        <f>"19438141"</f>
        <v>19438141</v>
      </c>
      <c r="D999" s="2">
        <v>1.262</v>
      </c>
      <c r="E999" s="2">
        <v>15</v>
      </c>
      <c r="F999" s="2" t="s">
        <v>6</v>
      </c>
    </row>
    <row r="1000" spans="1:6" ht="25.5">
      <c r="A1000" s="2">
        <v>997</v>
      </c>
      <c r="B1000" s="2" t="s">
        <v>1058</v>
      </c>
      <c r="C1000" s="2" t="str">
        <f>"16006143"</f>
        <v>16006143</v>
      </c>
      <c r="D1000" s="2">
        <v>2.5750000000000002</v>
      </c>
      <c r="E1000" s="2">
        <v>108</v>
      </c>
      <c r="F1000" s="2" t="s">
        <v>16</v>
      </c>
    </row>
    <row r="1001" spans="1:6" ht="25.5">
      <c r="A1001" s="2">
        <v>998</v>
      </c>
      <c r="B1001" s="2" t="s">
        <v>1059</v>
      </c>
      <c r="C1001" s="2" t="str">
        <f>"00029637"</f>
        <v>00029637</v>
      </c>
      <c r="D1001" s="2">
        <v>1.1339999999999999</v>
      </c>
      <c r="E1001" s="2">
        <v>94</v>
      </c>
      <c r="F1001" s="2" t="s">
        <v>6</v>
      </c>
    </row>
    <row r="1002" spans="1:6" ht="25.5">
      <c r="A1002" s="2">
        <v>999</v>
      </c>
      <c r="B1002" s="2" t="s">
        <v>1060</v>
      </c>
      <c r="C1002" s="2" t="str">
        <f>"00029645"</f>
        <v>00029645</v>
      </c>
      <c r="D1002" s="2">
        <v>0.74399999999999999</v>
      </c>
      <c r="E1002" s="2">
        <v>58</v>
      </c>
      <c r="F1002" s="2" t="s">
        <v>6</v>
      </c>
    </row>
    <row r="1003" spans="1:6" ht="25.5">
      <c r="A1003" s="2">
        <v>1000</v>
      </c>
      <c r="B1003" s="2" t="s">
        <v>1061</v>
      </c>
      <c r="C1003" s="2" t="str">
        <f>"15210391"</f>
        <v>15210391</v>
      </c>
      <c r="D1003" s="2">
        <v>0.72299999999999998</v>
      </c>
      <c r="E1003" s="2">
        <v>44</v>
      </c>
      <c r="F1003" s="2" t="s">
        <v>6</v>
      </c>
    </row>
    <row r="1004" spans="1:6" ht="25.5">
      <c r="A1004" s="2">
        <v>1001</v>
      </c>
      <c r="B1004" s="2" t="s">
        <v>1062</v>
      </c>
      <c r="C1004" s="2" t="str">
        <f>"19447558"</f>
        <v>19447558</v>
      </c>
      <c r="D1004" s="2">
        <v>1.042</v>
      </c>
      <c r="E1004" s="2">
        <v>53</v>
      </c>
      <c r="F1004" s="2" t="s">
        <v>6</v>
      </c>
    </row>
    <row r="1005" spans="1:6" ht="25.5">
      <c r="A1005" s="2">
        <v>1002</v>
      </c>
      <c r="B1005" s="2" t="s">
        <v>1063</v>
      </c>
      <c r="C1005" s="2" t="str">
        <f>"14657260"</f>
        <v>14657260</v>
      </c>
      <c r="D1005" s="2">
        <v>0.499</v>
      </c>
      <c r="E1005" s="2">
        <v>14</v>
      </c>
      <c r="F1005" s="2" t="s">
        <v>16</v>
      </c>
    </row>
    <row r="1006" spans="1:6" ht="25.5">
      <c r="A1006" s="2">
        <v>1003</v>
      </c>
      <c r="B1006" s="2" t="s">
        <v>1064</v>
      </c>
      <c r="C1006" s="2" t="str">
        <f>"14684365"</f>
        <v>14684365</v>
      </c>
      <c r="D1006" s="2">
        <v>0.2</v>
      </c>
      <c r="E1006" s="2">
        <v>10</v>
      </c>
      <c r="F1006" s="2" t="s">
        <v>6</v>
      </c>
    </row>
    <row r="1007" spans="1:6" ht="25.5">
      <c r="A1007" s="2">
        <v>1004</v>
      </c>
      <c r="B1007" s="2" t="s">
        <v>1065</v>
      </c>
      <c r="C1007" s="2" t="str">
        <f>"15403084"</f>
        <v>15403084</v>
      </c>
      <c r="D1007" s="2">
        <v>0.1</v>
      </c>
      <c r="E1007" s="2">
        <v>2</v>
      </c>
      <c r="F1007" s="2" t="s">
        <v>6</v>
      </c>
    </row>
    <row r="1008" spans="1:6" ht="25.5">
      <c r="A1008" s="2">
        <v>1005</v>
      </c>
      <c r="B1008" s="2" t="s">
        <v>1066</v>
      </c>
      <c r="C1008" s="2" t="str">
        <f>"15272125"</f>
        <v>15272125</v>
      </c>
      <c r="D1008" s="2">
        <v>0.1</v>
      </c>
      <c r="E1008" s="2">
        <v>1</v>
      </c>
      <c r="F1008" s="2" t="s">
        <v>6</v>
      </c>
    </row>
    <row r="1009" spans="1:6" ht="25.5">
      <c r="A1009" s="2">
        <v>1006</v>
      </c>
      <c r="B1009" s="2" t="s">
        <v>1067</v>
      </c>
      <c r="C1009" s="2" t="str">
        <f>"00029831"</f>
        <v>00029831</v>
      </c>
      <c r="D1009" s="2">
        <v>0.17499999999999999</v>
      </c>
      <c r="E1009" s="2">
        <v>6</v>
      </c>
      <c r="F1009" s="2" t="s">
        <v>6</v>
      </c>
    </row>
    <row r="1010" spans="1:6" ht="25.5">
      <c r="A1010" s="2">
        <v>1007</v>
      </c>
      <c r="B1010" s="2" t="s">
        <v>1068</v>
      </c>
      <c r="C1010" s="2" t="str">
        <f>"07402783"</f>
        <v>07402783</v>
      </c>
      <c r="D1010" s="2">
        <v>0.46800000000000003</v>
      </c>
      <c r="E1010" s="2">
        <v>19</v>
      </c>
      <c r="F1010" s="2" t="s">
        <v>6</v>
      </c>
    </row>
    <row r="1011" spans="1:6" ht="25.5">
      <c r="A1011" s="2">
        <v>1008</v>
      </c>
      <c r="B1011" s="2" t="s">
        <v>1069</v>
      </c>
      <c r="C1011" s="2" t="str">
        <f>"00029890"</f>
        <v>00029890</v>
      </c>
      <c r="D1011" s="2">
        <v>0.55000000000000004</v>
      </c>
      <c r="E1011" s="2">
        <v>24</v>
      </c>
      <c r="F1011" s="2" t="s">
        <v>6</v>
      </c>
    </row>
    <row r="1012" spans="1:6" ht="25.5">
      <c r="A1012" s="2">
        <v>1009</v>
      </c>
      <c r="B1012" s="2" t="s">
        <v>1070</v>
      </c>
      <c r="C1012" s="2" t="str">
        <f>"00030031"</f>
        <v>00030031</v>
      </c>
      <c r="D1012" s="2">
        <v>0.36899999999999999</v>
      </c>
      <c r="E1012" s="2">
        <v>31</v>
      </c>
      <c r="F1012" s="2" t="s">
        <v>6</v>
      </c>
    </row>
    <row r="1013" spans="1:6" ht="25.5">
      <c r="A1013" s="2">
        <v>1010</v>
      </c>
      <c r="B1013" s="2" t="s">
        <v>1071</v>
      </c>
      <c r="C1013" s="2" t="str">
        <f>"0003004X"</f>
        <v>0003004X</v>
      </c>
      <c r="D1013" s="2">
        <v>1.2150000000000001</v>
      </c>
      <c r="E1013" s="2">
        <v>86</v>
      </c>
      <c r="F1013" s="2" t="s">
        <v>6</v>
      </c>
    </row>
    <row r="1014" spans="1:6" ht="25.5">
      <c r="A1014" s="2">
        <v>1011</v>
      </c>
      <c r="B1014" s="2" t="s">
        <v>1072</v>
      </c>
      <c r="C1014" s="2" t="str">
        <f>"00030082"</f>
        <v>00030082</v>
      </c>
      <c r="D1014" s="2">
        <v>0.78600000000000003</v>
      </c>
      <c r="E1014" s="2">
        <v>19</v>
      </c>
      <c r="F1014" s="2" t="s">
        <v>6</v>
      </c>
    </row>
    <row r="1015" spans="1:6" ht="25.5">
      <c r="A1015" s="2">
        <v>1012</v>
      </c>
      <c r="B1015" s="2" t="s">
        <v>1073</v>
      </c>
      <c r="C1015" s="2" t="str">
        <f>"07344392"</f>
        <v>07344392</v>
      </c>
      <c r="D1015" s="2">
        <v>0.114</v>
      </c>
      <c r="E1015" s="2">
        <v>4</v>
      </c>
      <c r="F1015" s="2" t="s">
        <v>6</v>
      </c>
    </row>
    <row r="1016" spans="1:6" ht="25.5">
      <c r="A1016" s="2">
        <v>1013</v>
      </c>
      <c r="B1016" s="2" t="s">
        <v>1074</v>
      </c>
      <c r="C1016" s="2" t="str">
        <f>"15375323"</f>
        <v>15375323</v>
      </c>
      <c r="D1016" s="2">
        <v>2.7050000000000001</v>
      </c>
      <c r="E1016" s="2">
        <v>131</v>
      </c>
      <c r="F1016" s="2" t="s">
        <v>6</v>
      </c>
    </row>
    <row r="1017" spans="1:6" ht="25.5">
      <c r="A1017" s="2">
        <v>1014</v>
      </c>
      <c r="B1017" s="2" t="s">
        <v>1075</v>
      </c>
      <c r="C1017" s="2" t="str">
        <f>"17437903"</f>
        <v>17437903</v>
      </c>
      <c r="D1017" s="2">
        <v>0.14299999999999999</v>
      </c>
      <c r="E1017" s="2">
        <v>1</v>
      </c>
      <c r="F1017" s="2" t="s">
        <v>6</v>
      </c>
    </row>
    <row r="1018" spans="1:6" ht="25.5">
      <c r="A1018" s="2">
        <v>1015</v>
      </c>
      <c r="B1018" s="2" t="s">
        <v>1076</v>
      </c>
      <c r="C1018" s="2" t="str">
        <f>"00981486"</f>
        <v>00981486</v>
      </c>
      <c r="D1018" s="2">
        <v>0.11700000000000001</v>
      </c>
      <c r="E1018" s="2">
        <v>3</v>
      </c>
      <c r="F1018" s="2" t="s">
        <v>6</v>
      </c>
    </row>
    <row r="1019" spans="1:6" ht="25.5">
      <c r="A1019" s="2">
        <v>1016</v>
      </c>
      <c r="B1019" s="2" t="s">
        <v>1077</v>
      </c>
      <c r="C1019" s="2" t="str">
        <f>"01459198"</f>
        <v>01459198</v>
      </c>
      <c r="D1019" s="2">
        <v>0</v>
      </c>
      <c r="E1019" s="2">
        <v>1</v>
      </c>
      <c r="F1019" s="2" t="s">
        <v>6</v>
      </c>
    </row>
    <row r="1020" spans="1:6" ht="25.5">
      <c r="A1020" s="2">
        <v>1017</v>
      </c>
      <c r="B1020" s="2" t="s">
        <v>1078</v>
      </c>
      <c r="C1020" s="2" t="str">
        <f>"0065955X"</f>
        <v>0065955X</v>
      </c>
      <c r="D1020" s="2">
        <v>0.21099999999999999</v>
      </c>
      <c r="E1020" s="2">
        <v>2</v>
      </c>
      <c r="F1020" s="2" t="s">
        <v>6</v>
      </c>
    </row>
    <row r="1021" spans="1:6" ht="25.5">
      <c r="A1021" s="2">
        <v>1018</v>
      </c>
      <c r="B1021" s="2" t="s">
        <v>1079</v>
      </c>
      <c r="C1021" s="2" t="str">
        <f>"10998012"</f>
        <v>10998012</v>
      </c>
      <c r="D1021" s="2">
        <v>0.19700000000000001</v>
      </c>
      <c r="E1021" s="2">
        <v>12</v>
      </c>
      <c r="F1021" s="2" t="s">
        <v>6</v>
      </c>
    </row>
    <row r="1022" spans="1:6" ht="25.5">
      <c r="A1022" s="2">
        <v>1019</v>
      </c>
      <c r="B1022" s="2" t="s">
        <v>1080</v>
      </c>
      <c r="C1022" s="2" t="str">
        <f>"00030481"</f>
        <v>00030481</v>
      </c>
      <c r="D1022" s="2">
        <v>0.31</v>
      </c>
      <c r="E1022" s="2">
        <v>9</v>
      </c>
      <c r="F1022" s="2" t="s">
        <v>6</v>
      </c>
    </row>
    <row r="1023" spans="1:6" ht="25.5">
      <c r="A1023" s="2">
        <v>1020</v>
      </c>
      <c r="B1023" s="2" t="s">
        <v>1081</v>
      </c>
      <c r="C1023" s="2" t="str">
        <f>"03603709"</f>
        <v>03603709</v>
      </c>
      <c r="D1023" s="2">
        <v>0.1</v>
      </c>
      <c r="E1023" s="2">
        <v>1</v>
      </c>
      <c r="F1023" s="2" t="s">
        <v>6</v>
      </c>
    </row>
    <row r="1024" spans="1:6" ht="25.5">
      <c r="A1024" s="2">
        <v>1021</v>
      </c>
      <c r="B1024" s="2" t="s">
        <v>1082</v>
      </c>
      <c r="C1024" s="2" t="str">
        <f>"15375943"</f>
        <v>15375943</v>
      </c>
      <c r="D1024" s="2">
        <v>6.8849999999999998</v>
      </c>
      <c r="E1024" s="2">
        <v>85</v>
      </c>
      <c r="F1024" s="2" t="s">
        <v>16</v>
      </c>
    </row>
    <row r="1025" spans="1:6" ht="25.5">
      <c r="A1025" s="2">
        <v>1022</v>
      </c>
      <c r="B1025" s="2" t="s">
        <v>1083</v>
      </c>
      <c r="C1025" s="2" t="str">
        <f>"1532673X"</f>
        <v>1532673X</v>
      </c>
      <c r="D1025" s="2">
        <v>1.5680000000000001</v>
      </c>
      <c r="E1025" s="2">
        <v>23</v>
      </c>
      <c r="F1025" s="2" t="s">
        <v>6</v>
      </c>
    </row>
    <row r="1026" spans="1:6" ht="25.5">
      <c r="A1026" s="2">
        <v>1023</v>
      </c>
      <c r="B1026" s="2" t="s">
        <v>1084</v>
      </c>
      <c r="C1026" s="2" t="str">
        <f>"0003066X"</f>
        <v>0003066X</v>
      </c>
      <c r="D1026" s="2">
        <v>1.119</v>
      </c>
      <c r="E1026" s="2">
        <v>134</v>
      </c>
      <c r="F1026" s="2" t="s">
        <v>6</v>
      </c>
    </row>
    <row r="1027" spans="1:6" ht="25.5">
      <c r="A1027" s="2">
        <v>1024</v>
      </c>
      <c r="B1027" s="2" t="s">
        <v>1085</v>
      </c>
      <c r="C1027" s="2" t="str">
        <f>"10806490"</f>
        <v>10806490</v>
      </c>
      <c r="D1027" s="2">
        <v>0.27500000000000002</v>
      </c>
      <c r="E1027" s="2">
        <v>12</v>
      </c>
      <c r="F1027" s="2" t="s">
        <v>6</v>
      </c>
    </row>
    <row r="1028" spans="1:6" ht="25.5">
      <c r="A1028" s="2">
        <v>1025</v>
      </c>
      <c r="B1028" s="2" t="s">
        <v>1086</v>
      </c>
      <c r="C1028" s="2" t="str">
        <f>"02722011"</f>
        <v>02722011</v>
      </c>
      <c r="D1028" s="2">
        <v>0.125</v>
      </c>
      <c r="E1028" s="2">
        <v>6</v>
      </c>
      <c r="F1028" s="2" t="s">
        <v>16</v>
      </c>
    </row>
    <row r="1029" spans="1:6" ht="25.5">
      <c r="A1029" s="2">
        <v>1026</v>
      </c>
      <c r="B1029" s="2" t="s">
        <v>1087</v>
      </c>
      <c r="C1029" s="2" t="str">
        <f>"15523357"</f>
        <v>15523357</v>
      </c>
      <c r="D1029" s="2">
        <v>0.96</v>
      </c>
      <c r="E1029" s="2">
        <v>23</v>
      </c>
      <c r="F1029" s="2" t="s">
        <v>6</v>
      </c>
    </row>
    <row r="1030" spans="1:6" ht="25.5">
      <c r="A1030" s="2">
        <v>1027</v>
      </c>
      <c r="B1030" s="2" t="s">
        <v>1088</v>
      </c>
      <c r="C1030" s="2" t="str">
        <f>"00030937"</f>
        <v>00030937</v>
      </c>
      <c r="D1030" s="2">
        <v>0.105</v>
      </c>
      <c r="E1030" s="2">
        <v>3</v>
      </c>
      <c r="F1030" s="2" t="s">
        <v>6</v>
      </c>
    </row>
    <row r="1031" spans="1:6" ht="25.5">
      <c r="A1031" s="2">
        <v>1028</v>
      </c>
      <c r="B1031" s="2" t="s">
        <v>1089</v>
      </c>
      <c r="C1031" s="2" t="str">
        <f>"00031224"</f>
        <v>00031224</v>
      </c>
      <c r="D1031" s="2">
        <v>4.9409999999999998</v>
      </c>
      <c r="E1031" s="2">
        <v>98</v>
      </c>
      <c r="F1031" s="2" t="s">
        <v>6</v>
      </c>
    </row>
    <row r="1032" spans="1:6" ht="25.5">
      <c r="A1032" s="2">
        <v>1029</v>
      </c>
      <c r="B1032" s="2" t="s">
        <v>1090</v>
      </c>
      <c r="C1032" s="2" t="str">
        <f>"00031232"</f>
        <v>00031232</v>
      </c>
      <c r="D1032" s="2">
        <v>0.29599999999999999</v>
      </c>
      <c r="E1032" s="2">
        <v>9</v>
      </c>
      <c r="F1032" s="2" t="s">
        <v>6</v>
      </c>
    </row>
    <row r="1033" spans="1:6" ht="25.5">
      <c r="A1033" s="2">
        <v>1030</v>
      </c>
      <c r="B1033" s="2" t="s">
        <v>1091</v>
      </c>
      <c r="C1033" s="2" t="str">
        <f>"15272133"</f>
        <v>15272133</v>
      </c>
      <c r="D1033" s="2">
        <v>1.0660000000000001</v>
      </c>
      <c r="E1033" s="2">
        <v>13</v>
      </c>
      <c r="F1033" s="2" t="s">
        <v>6</v>
      </c>
    </row>
    <row r="1034" spans="1:6" ht="25.5">
      <c r="A1034" s="2">
        <v>1031</v>
      </c>
      <c r="B1034" s="2" t="s">
        <v>1092</v>
      </c>
      <c r="C1034" s="2" t="str">
        <f>"15372731"</f>
        <v>15372731</v>
      </c>
      <c r="D1034" s="2">
        <v>1.054</v>
      </c>
      <c r="E1034" s="2">
        <v>43</v>
      </c>
      <c r="F1034" s="2" t="s">
        <v>6</v>
      </c>
    </row>
    <row r="1035" spans="1:6" ht="25.5">
      <c r="A1035" s="2">
        <v>1032</v>
      </c>
      <c r="B1035" s="2" t="s">
        <v>1093</v>
      </c>
      <c r="C1035" s="2" t="str">
        <f>"00448060"</f>
        <v>00448060</v>
      </c>
      <c r="D1035" s="2">
        <v>0.104</v>
      </c>
      <c r="E1035" s="2">
        <v>1</v>
      </c>
      <c r="F1035" s="2" t="s">
        <v>163</v>
      </c>
    </row>
    <row r="1036" spans="1:6" ht="25.5">
      <c r="A1036" s="2">
        <v>1033</v>
      </c>
      <c r="B1036" s="2" t="s">
        <v>1094</v>
      </c>
      <c r="C1036" s="2" t="str">
        <f>"15559823"</f>
        <v>15559823</v>
      </c>
      <c r="D1036" s="2">
        <v>0.46800000000000003</v>
      </c>
      <c r="E1036" s="2">
        <v>66</v>
      </c>
      <c r="F1036" s="2" t="s">
        <v>6</v>
      </c>
    </row>
    <row r="1037" spans="1:6" ht="25.5">
      <c r="A1037" s="2">
        <v>1034</v>
      </c>
      <c r="B1037" s="2" t="s">
        <v>1095</v>
      </c>
      <c r="C1037" s="2" t="str">
        <f>"15336247"</f>
        <v>15336247</v>
      </c>
      <c r="D1037" s="2">
        <v>0.14299999999999999</v>
      </c>
      <c r="E1037" s="2">
        <v>6</v>
      </c>
      <c r="F1037" s="2" t="s">
        <v>6</v>
      </c>
    </row>
    <row r="1038" spans="1:6" ht="25.5">
      <c r="A1038" s="2">
        <v>1035</v>
      </c>
      <c r="B1038" s="2" t="s">
        <v>1096</v>
      </c>
      <c r="C1038" s="2" t="str">
        <f>"03402827"</f>
        <v>03402827</v>
      </c>
      <c r="D1038" s="2">
        <v>0.123</v>
      </c>
      <c r="E1038" s="2">
        <v>3</v>
      </c>
      <c r="F1038" s="2" t="s">
        <v>12</v>
      </c>
    </row>
    <row r="1039" spans="1:6" ht="25.5">
      <c r="A1039" s="2">
        <v>1036</v>
      </c>
      <c r="B1039" s="2" t="s">
        <v>1097</v>
      </c>
      <c r="C1039" s="2" t="str">
        <f>"15829146"</f>
        <v>15829146</v>
      </c>
      <c r="D1039" s="2">
        <v>0.21199999999999999</v>
      </c>
      <c r="E1039" s="2">
        <v>5</v>
      </c>
      <c r="F1039" s="2" t="s">
        <v>19</v>
      </c>
    </row>
    <row r="1040" spans="1:6" ht="25.5">
      <c r="A1040" s="2">
        <v>1037</v>
      </c>
      <c r="B1040" s="2" t="s">
        <v>1098</v>
      </c>
      <c r="C1040" s="2" t="str">
        <f>"13344366"</f>
        <v>13344366</v>
      </c>
      <c r="D1040" s="2">
        <v>0.106</v>
      </c>
      <c r="E1040" s="2">
        <v>2</v>
      </c>
      <c r="F1040" s="2" t="s">
        <v>149</v>
      </c>
    </row>
    <row r="1041" spans="1:6" ht="25.5">
      <c r="A1041" s="2">
        <v>1038</v>
      </c>
      <c r="B1041" s="2" t="s">
        <v>1099</v>
      </c>
      <c r="C1041" s="2" t="str">
        <f>"14382199"</f>
        <v>14382199</v>
      </c>
      <c r="D1041" s="2">
        <v>0.90700000000000003</v>
      </c>
      <c r="E1041" s="2">
        <v>59</v>
      </c>
      <c r="F1041" s="2" t="s">
        <v>288</v>
      </c>
    </row>
    <row r="1042" spans="1:6" ht="25.5">
      <c r="A1042" s="2">
        <v>1039</v>
      </c>
      <c r="B1042" s="2" t="s">
        <v>1100</v>
      </c>
      <c r="C1042" s="2" t="str">
        <f>"15685381"</f>
        <v>15685381</v>
      </c>
      <c r="D1042" s="2">
        <v>0.45600000000000002</v>
      </c>
      <c r="E1042" s="2">
        <v>27</v>
      </c>
      <c r="F1042" s="2" t="s">
        <v>75</v>
      </c>
    </row>
    <row r="1043" spans="1:6" ht="38.25">
      <c r="A1043" s="2">
        <v>1040</v>
      </c>
      <c r="B1043" s="2" t="s">
        <v>1101</v>
      </c>
      <c r="C1043" s="2" t="str">
        <f>"13506129"</f>
        <v>13506129</v>
      </c>
      <c r="D1043" s="2">
        <v>0.38500000000000001</v>
      </c>
      <c r="E1043" s="2">
        <v>39</v>
      </c>
      <c r="F1043" s="2" t="s">
        <v>16</v>
      </c>
    </row>
    <row r="1044" spans="1:6" ht="25.5">
      <c r="A1044" s="2">
        <v>1041</v>
      </c>
      <c r="B1044" s="2" t="s">
        <v>1102</v>
      </c>
      <c r="C1044" s="2" t="str">
        <f>"17482968"</f>
        <v>17482968</v>
      </c>
      <c r="D1044" s="2">
        <v>1.0409999999999999</v>
      </c>
      <c r="E1044" s="2">
        <v>37</v>
      </c>
      <c r="F1044" s="2" t="s">
        <v>16</v>
      </c>
    </row>
    <row r="1045" spans="1:6" ht="25.5">
      <c r="A1045" s="2">
        <v>1042</v>
      </c>
      <c r="B1045" s="2" t="s">
        <v>1103</v>
      </c>
      <c r="C1045" s="2" t="str">
        <f>"13028723"</f>
        <v>13028723</v>
      </c>
      <c r="D1045" s="2">
        <v>0.21199999999999999</v>
      </c>
      <c r="E1045" s="2">
        <v>14</v>
      </c>
      <c r="F1045" s="2" t="s">
        <v>345</v>
      </c>
    </row>
    <row r="1046" spans="1:6" ht="25.5">
      <c r="A1046" s="2">
        <v>1043</v>
      </c>
      <c r="B1046" s="2" t="s">
        <v>1104</v>
      </c>
      <c r="C1046" s="2" t="str">
        <f>"13026631"</f>
        <v>13026631</v>
      </c>
      <c r="D1046" s="2">
        <v>0.13700000000000001</v>
      </c>
      <c r="E1046" s="2">
        <v>6</v>
      </c>
      <c r="F1046" s="2" t="s">
        <v>345</v>
      </c>
    </row>
    <row r="1047" spans="1:6" ht="25.5">
      <c r="A1047" s="2">
        <v>1044</v>
      </c>
      <c r="B1047" s="2" t="s">
        <v>1105</v>
      </c>
      <c r="C1047" s="2" t="str">
        <f>"0999792X"</f>
        <v>0999792X</v>
      </c>
      <c r="D1047" s="2">
        <v>0.188</v>
      </c>
      <c r="E1047" s="2">
        <v>7</v>
      </c>
      <c r="F1047" s="2" t="s">
        <v>66</v>
      </c>
    </row>
    <row r="1048" spans="1:6" ht="25.5">
      <c r="A1048" s="2">
        <v>1045</v>
      </c>
      <c r="B1048" s="2" t="s">
        <v>1106</v>
      </c>
      <c r="C1048" s="2" t="str">
        <f>"10958274"</f>
        <v>10958274</v>
      </c>
      <c r="D1048" s="2">
        <v>0.82799999999999996</v>
      </c>
      <c r="E1048" s="2">
        <v>39</v>
      </c>
      <c r="F1048" s="2" t="s">
        <v>6</v>
      </c>
    </row>
    <row r="1049" spans="1:6" ht="25.5">
      <c r="A1049" s="2">
        <v>1046</v>
      </c>
      <c r="B1049" s="2" t="s">
        <v>1107</v>
      </c>
      <c r="C1049" s="2" t="str">
        <f>"13652044"</f>
        <v>13652044</v>
      </c>
      <c r="D1049" s="2">
        <v>1.242</v>
      </c>
      <c r="E1049" s="2">
        <v>73</v>
      </c>
      <c r="F1049" s="2" t="s">
        <v>16</v>
      </c>
    </row>
    <row r="1050" spans="1:6" ht="25.5">
      <c r="A1050" s="2">
        <v>1047</v>
      </c>
      <c r="B1050" s="2" t="s">
        <v>1108</v>
      </c>
      <c r="C1050" s="2" t="str">
        <f>"14480271"</f>
        <v>14480271</v>
      </c>
      <c r="D1050" s="2">
        <v>0.50900000000000001</v>
      </c>
      <c r="E1050" s="2">
        <v>41</v>
      </c>
      <c r="F1050" s="2" t="s">
        <v>127</v>
      </c>
    </row>
    <row r="1051" spans="1:6" ht="25.5">
      <c r="A1051" s="2">
        <v>1048</v>
      </c>
      <c r="B1051" s="2" t="s">
        <v>1109</v>
      </c>
      <c r="C1051" s="2" t="str">
        <f>"14720299"</f>
        <v>14720299</v>
      </c>
      <c r="D1051" s="2">
        <v>0.129</v>
      </c>
      <c r="E1051" s="2">
        <v>6</v>
      </c>
      <c r="F1051" s="2" t="s">
        <v>75</v>
      </c>
    </row>
    <row r="1052" spans="1:6" ht="25.5">
      <c r="A1052" s="2">
        <v>1049</v>
      </c>
      <c r="B1052" s="2" t="s">
        <v>1110</v>
      </c>
      <c r="C1052" s="2" t="str">
        <f>"16078322"</f>
        <v>16078322</v>
      </c>
      <c r="D1052" s="2">
        <v>0.1</v>
      </c>
      <c r="E1052" s="2">
        <v>1</v>
      </c>
      <c r="F1052" s="2" t="s">
        <v>43</v>
      </c>
    </row>
    <row r="1053" spans="1:6" ht="25.5">
      <c r="A1053" s="2">
        <v>1050</v>
      </c>
      <c r="B1053" s="2" t="s">
        <v>1111</v>
      </c>
      <c r="C1053" s="2" t="str">
        <f>"13104284"</f>
        <v>13104284</v>
      </c>
      <c r="D1053" s="2">
        <v>0.1</v>
      </c>
      <c r="E1053" s="2">
        <v>1</v>
      </c>
      <c r="F1053" s="2" t="s">
        <v>293</v>
      </c>
    </row>
    <row r="1054" spans="1:6" ht="25.5">
      <c r="A1054" s="2">
        <v>1051</v>
      </c>
      <c r="B1054" s="2" t="s">
        <v>1112</v>
      </c>
      <c r="C1054" s="2" t="str">
        <f>"18064841"</f>
        <v>18064841</v>
      </c>
      <c r="D1054" s="2">
        <v>0.34200000000000003</v>
      </c>
      <c r="E1054" s="2">
        <v>13</v>
      </c>
      <c r="F1054" s="2" t="s">
        <v>159</v>
      </c>
    </row>
    <row r="1055" spans="1:6" ht="25.5">
      <c r="A1055" s="2">
        <v>1052</v>
      </c>
      <c r="B1055" s="2" t="s">
        <v>1113</v>
      </c>
      <c r="C1055" s="2" t="str">
        <f>"16782690"</f>
        <v>16782690</v>
      </c>
      <c r="D1055" s="2">
        <v>0.34100000000000003</v>
      </c>
      <c r="E1055" s="2">
        <v>32</v>
      </c>
      <c r="F1055" s="2" t="s">
        <v>159</v>
      </c>
    </row>
    <row r="1056" spans="1:6" ht="38.25">
      <c r="A1056" s="2">
        <v>1053</v>
      </c>
      <c r="B1056" s="2" t="s">
        <v>1114</v>
      </c>
      <c r="C1056" s="2" t="str">
        <f>"08749671"</f>
        <v>08749671</v>
      </c>
      <c r="D1056" s="2">
        <v>0.10199999999999999</v>
      </c>
      <c r="E1056" s="2">
        <v>0</v>
      </c>
      <c r="F1056" s="2" t="s">
        <v>306</v>
      </c>
    </row>
    <row r="1057" spans="1:6" ht="25.5">
      <c r="A1057" s="2">
        <v>1054</v>
      </c>
      <c r="B1057" s="2" t="s">
        <v>1115</v>
      </c>
      <c r="C1057" s="2" t="str">
        <f>"00032468"</f>
        <v>00032468</v>
      </c>
      <c r="D1057" s="2">
        <v>0.10100000000000001</v>
      </c>
      <c r="E1057" s="2">
        <v>2</v>
      </c>
      <c r="F1057" s="2" t="s">
        <v>161</v>
      </c>
    </row>
    <row r="1058" spans="1:6" ht="25.5">
      <c r="A1058" s="2">
        <v>1055</v>
      </c>
      <c r="B1058" s="2" t="s">
        <v>1116</v>
      </c>
      <c r="C1058" s="2" t="str">
        <f>"1221678X"</f>
        <v>1221678X</v>
      </c>
      <c r="D1058" s="2">
        <v>0.10100000000000001</v>
      </c>
      <c r="E1058" s="2">
        <v>1</v>
      </c>
      <c r="F1058" s="2" t="s">
        <v>19</v>
      </c>
    </row>
    <row r="1059" spans="1:6" ht="25.5">
      <c r="A1059" s="2">
        <v>1056</v>
      </c>
      <c r="B1059" s="2" t="s">
        <v>1117</v>
      </c>
      <c r="C1059" s="2" t="str">
        <f>"12218421"</f>
        <v>12218421</v>
      </c>
      <c r="D1059" s="2">
        <v>0.19500000000000001</v>
      </c>
      <c r="E1059" s="2">
        <v>3</v>
      </c>
      <c r="F1059" s="2" t="s">
        <v>19</v>
      </c>
    </row>
    <row r="1060" spans="1:6" ht="25.5">
      <c r="A1060" s="2">
        <v>1057</v>
      </c>
      <c r="B1060" s="2" t="s">
        <v>1118</v>
      </c>
      <c r="C1060" s="2" t="str">
        <f>"12241784"</f>
        <v>12241784</v>
      </c>
      <c r="D1060" s="2">
        <v>0.21199999999999999</v>
      </c>
      <c r="E1060" s="2">
        <v>3</v>
      </c>
      <c r="F1060" s="2" t="s">
        <v>19</v>
      </c>
    </row>
    <row r="1061" spans="1:6" ht="25.5">
      <c r="A1061" s="2">
        <v>1058</v>
      </c>
      <c r="B1061" s="2" t="s">
        <v>1119</v>
      </c>
      <c r="C1061" s="2" t="str">
        <f>"18440404"</f>
        <v>18440404</v>
      </c>
      <c r="D1061" s="2">
        <v>0.105</v>
      </c>
      <c r="E1061" s="2">
        <v>1</v>
      </c>
      <c r="F1061" s="2" t="s">
        <v>19</v>
      </c>
    </row>
    <row r="1062" spans="1:6" ht="25.5">
      <c r="A1062" s="2">
        <v>1059</v>
      </c>
      <c r="B1062" s="2" t="s">
        <v>1120</v>
      </c>
      <c r="C1062" s="2" t="str">
        <f>"18418325"</f>
        <v>18418325</v>
      </c>
      <c r="D1062" s="2">
        <v>0.1</v>
      </c>
      <c r="E1062" s="2">
        <v>1</v>
      </c>
      <c r="F1062" s="2" t="s">
        <v>19</v>
      </c>
    </row>
    <row r="1063" spans="1:6" ht="25.5">
      <c r="A1063" s="2">
        <v>1060</v>
      </c>
      <c r="B1063" s="2" t="s">
        <v>1121</v>
      </c>
      <c r="C1063" s="2" t="str">
        <f>"12245712"</f>
        <v>12245712</v>
      </c>
      <c r="D1063" s="2">
        <v>0</v>
      </c>
      <c r="E1063" s="2">
        <v>0</v>
      </c>
      <c r="F1063" s="2" t="s">
        <v>19</v>
      </c>
    </row>
    <row r="1064" spans="1:6" ht="25.5">
      <c r="A1064" s="2">
        <v>1061</v>
      </c>
      <c r="B1064" s="2" t="s">
        <v>1122</v>
      </c>
      <c r="C1064" s="2" t="str">
        <f>"05699878"</f>
        <v>05699878</v>
      </c>
      <c r="D1064" s="2">
        <v>0.1</v>
      </c>
      <c r="E1064" s="2">
        <v>1</v>
      </c>
      <c r="F1064" s="2" t="s">
        <v>351</v>
      </c>
    </row>
    <row r="1065" spans="1:6" ht="25.5">
      <c r="A1065" s="2">
        <v>1062</v>
      </c>
      <c r="B1065" s="2" t="s">
        <v>1123</v>
      </c>
      <c r="C1065" s="2" t="str">
        <f>"19882378"</f>
        <v>19882378</v>
      </c>
      <c r="D1065" s="2">
        <v>0.10299999999999999</v>
      </c>
      <c r="E1065" s="2">
        <v>1</v>
      </c>
      <c r="F1065" s="2" t="s">
        <v>351</v>
      </c>
    </row>
    <row r="1066" spans="1:6" ht="25.5">
      <c r="A1066" s="2">
        <v>1063</v>
      </c>
      <c r="B1066" s="2" t="s">
        <v>1124</v>
      </c>
      <c r="C1066" s="2" t="str">
        <f>"02721635"</f>
        <v>02721635</v>
      </c>
      <c r="D1066" s="2">
        <v>0.1</v>
      </c>
      <c r="E1066" s="2">
        <v>3</v>
      </c>
      <c r="F1066" s="2" t="s">
        <v>6</v>
      </c>
    </row>
    <row r="1067" spans="1:6" ht="25.5">
      <c r="A1067" s="2">
        <v>1064</v>
      </c>
      <c r="B1067" s="2" t="s">
        <v>1125</v>
      </c>
      <c r="C1067" s="2" t="str">
        <f>"00340634"</f>
        <v>00340634</v>
      </c>
      <c r="D1067" s="2">
        <v>0.10299999999999999</v>
      </c>
      <c r="E1067" s="2">
        <v>5</v>
      </c>
      <c r="F1067" s="2" t="s">
        <v>351</v>
      </c>
    </row>
    <row r="1068" spans="1:6" ht="25.5">
      <c r="A1068" s="2">
        <v>1065</v>
      </c>
      <c r="B1068" s="2" t="s">
        <v>1126</v>
      </c>
      <c r="C1068" s="2" t="str">
        <f>"07176058"</f>
        <v>07176058</v>
      </c>
      <c r="D1068" s="2">
        <v>0.1</v>
      </c>
      <c r="E1068" s="2">
        <v>2</v>
      </c>
      <c r="F1068" s="2" t="s">
        <v>182</v>
      </c>
    </row>
    <row r="1069" spans="1:6" ht="25.5">
      <c r="A1069" s="2">
        <v>1066</v>
      </c>
      <c r="B1069" s="2" t="s">
        <v>1127</v>
      </c>
      <c r="C1069" s="2" t="str">
        <f>"19882351"</f>
        <v>19882351</v>
      </c>
      <c r="D1069" s="2">
        <v>0.1</v>
      </c>
      <c r="E1069" s="2">
        <v>2</v>
      </c>
      <c r="F1069" s="2" t="s">
        <v>351</v>
      </c>
    </row>
    <row r="1070" spans="1:6" ht="25.5">
      <c r="A1070" s="2">
        <v>1067</v>
      </c>
      <c r="B1070" s="2" t="s">
        <v>1128</v>
      </c>
      <c r="C1070" s="2" t="str">
        <f>"19883196"</f>
        <v>19883196</v>
      </c>
      <c r="D1070" s="2">
        <v>0.38400000000000001</v>
      </c>
      <c r="E1070" s="2">
        <v>6</v>
      </c>
      <c r="F1070" s="2" t="s">
        <v>351</v>
      </c>
    </row>
    <row r="1071" spans="1:6" ht="25.5">
      <c r="A1071" s="2">
        <v>1068</v>
      </c>
      <c r="B1071" s="2" t="s">
        <v>1129</v>
      </c>
      <c r="C1071" s="2" t="str">
        <f>"19882564"</f>
        <v>19882564</v>
      </c>
      <c r="D1071" s="2">
        <v>0.10100000000000001</v>
      </c>
      <c r="E1071" s="2">
        <v>1</v>
      </c>
      <c r="F1071" s="2" t="s">
        <v>351</v>
      </c>
    </row>
    <row r="1072" spans="1:6" ht="25.5">
      <c r="A1072" s="2">
        <v>1069</v>
      </c>
      <c r="B1072" s="2" t="s">
        <v>1130</v>
      </c>
      <c r="C1072" s="2" t="str">
        <f>"11376627"</f>
        <v>11376627</v>
      </c>
      <c r="D1072" s="2">
        <v>0.16500000000000001</v>
      </c>
      <c r="E1072" s="2">
        <v>13</v>
      </c>
      <c r="F1072" s="2" t="s">
        <v>351</v>
      </c>
    </row>
    <row r="1073" spans="1:6" ht="25.5">
      <c r="A1073" s="2">
        <v>1070</v>
      </c>
      <c r="B1073" s="2" t="s">
        <v>1131</v>
      </c>
      <c r="C1073" s="2" t="str">
        <f>"18875890"</f>
        <v>18875890</v>
      </c>
      <c r="D1073" s="2">
        <v>0.1</v>
      </c>
      <c r="E1073" s="2">
        <v>3</v>
      </c>
      <c r="F1073" s="2" t="s">
        <v>351</v>
      </c>
    </row>
    <row r="1074" spans="1:6" ht="25.5">
      <c r="A1074" s="2">
        <v>1071</v>
      </c>
      <c r="B1074" s="2" t="s">
        <v>1132</v>
      </c>
      <c r="C1074" s="2" t="str">
        <f>"16954033"</f>
        <v>16954033</v>
      </c>
      <c r="D1074" s="2">
        <v>0.24</v>
      </c>
      <c r="E1074" s="2">
        <v>23</v>
      </c>
      <c r="F1074" s="2" t="s">
        <v>351</v>
      </c>
    </row>
    <row r="1075" spans="1:6" ht="25.5">
      <c r="A1075" s="2">
        <v>1072</v>
      </c>
      <c r="B1075" s="2" t="s">
        <v>1133</v>
      </c>
      <c r="C1075" s="2" t="str">
        <f>"16962818"</f>
        <v>16962818</v>
      </c>
      <c r="D1075" s="2">
        <v>0.105</v>
      </c>
      <c r="E1075" s="2">
        <v>3</v>
      </c>
      <c r="F1075" s="2" t="s">
        <v>351</v>
      </c>
    </row>
    <row r="1076" spans="1:6" ht="25.5">
      <c r="A1076" s="2">
        <v>1073</v>
      </c>
      <c r="B1076" s="2" t="s">
        <v>1134</v>
      </c>
      <c r="C1076" s="2" t="str">
        <f>"16952294"</f>
        <v>16952294</v>
      </c>
      <c r="D1076" s="2">
        <v>0.31</v>
      </c>
      <c r="E1076" s="2">
        <v>7</v>
      </c>
      <c r="F1076" s="2" t="s">
        <v>351</v>
      </c>
    </row>
    <row r="1077" spans="1:6" ht="25.5">
      <c r="A1077" s="2">
        <v>1074</v>
      </c>
      <c r="B1077" s="2" t="s">
        <v>1135</v>
      </c>
      <c r="C1077" s="2" t="str">
        <f>"07980752"</f>
        <v>07980752</v>
      </c>
      <c r="D1077" s="2">
        <v>0.107</v>
      </c>
      <c r="E1077" s="2">
        <v>3</v>
      </c>
      <c r="F1077" s="2" t="s">
        <v>40</v>
      </c>
    </row>
    <row r="1078" spans="1:6" ht="25.5">
      <c r="A1078" s="2">
        <v>1075</v>
      </c>
      <c r="B1078" s="2" t="s">
        <v>1136</v>
      </c>
      <c r="C1078" s="2" t="str">
        <f>"08708231"</f>
        <v>08708231</v>
      </c>
      <c r="D1078" s="2">
        <v>0.10299999999999999</v>
      </c>
      <c r="E1078" s="2">
        <v>1</v>
      </c>
      <c r="F1078" s="2" t="s">
        <v>306</v>
      </c>
    </row>
    <row r="1079" spans="1:6" ht="25.5">
      <c r="A1079" s="2">
        <v>1076</v>
      </c>
      <c r="B1079" s="2" t="s">
        <v>1137</v>
      </c>
      <c r="C1079" s="2" t="str">
        <f>"00032573"</f>
        <v>00032573</v>
      </c>
      <c r="D1079" s="2">
        <v>0</v>
      </c>
      <c r="E1079" s="2">
        <v>1</v>
      </c>
      <c r="F1079" s="2" t="s">
        <v>306</v>
      </c>
    </row>
    <row r="1080" spans="1:6" ht="25.5">
      <c r="A1080" s="2">
        <v>1077</v>
      </c>
      <c r="B1080" s="2" t="s">
        <v>1138</v>
      </c>
      <c r="C1080" s="2" t="str">
        <f>"01214705"</f>
        <v>01214705</v>
      </c>
      <c r="D1080" s="2">
        <v>0.1</v>
      </c>
      <c r="E1080" s="2">
        <v>1</v>
      </c>
      <c r="F1080" s="2" t="s">
        <v>184</v>
      </c>
    </row>
    <row r="1081" spans="1:6" ht="25.5">
      <c r="A1081" s="2">
        <v>1078</v>
      </c>
      <c r="B1081" s="2" t="s">
        <v>1139</v>
      </c>
      <c r="C1081" s="2" t="str">
        <f>"15731979"</f>
        <v>15731979</v>
      </c>
      <c r="D1081" s="2">
        <v>0.35599999999999998</v>
      </c>
      <c r="E1081" s="2">
        <v>29</v>
      </c>
      <c r="F1081" s="2" t="s">
        <v>75</v>
      </c>
    </row>
    <row r="1082" spans="1:6" ht="25.5">
      <c r="A1082" s="2">
        <v>1079</v>
      </c>
      <c r="B1082" s="2" t="s">
        <v>1140</v>
      </c>
      <c r="C1082" s="2" t="str">
        <f>"15297489"</f>
        <v>15297489</v>
      </c>
      <c r="D1082" s="2">
        <v>0.76500000000000001</v>
      </c>
      <c r="E1082" s="2">
        <v>13</v>
      </c>
      <c r="F1082" s="2" t="s">
        <v>16</v>
      </c>
    </row>
    <row r="1083" spans="1:6" ht="25.5">
      <c r="A1083" s="2">
        <v>1080</v>
      </c>
      <c r="B1083" s="2" t="s">
        <v>1141</v>
      </c>
      <c r="C1083" s="2" t="str">
        <f>"01715860"</f>
        <v>01715860</v>
      </c>
      <c r="D1083" s="2">
        <v>0.104</v>
      </c>
      <c r="E1083" s="2">
        <v>1</v>
      </c>
      <c r="F1083" s="2" t="s">
        <v>12</v>
      </c>
    </row>
    <row r="1084" spans="1:6" ht="25.5">
      <c r="A1084" s="2">
        <v>1081</v>
      </c>
      <c r="B1084" s="2" t="s">
        <v>1142</v>
      </c>
      <c r="C1084" s="2" t="str">
        <f>"14678284"</f>
        <v>14678284</v>
      </c>
      <c r="D1084" s="2">
        <v>0.98799999999999999</v>
      </c>
      <c r="E1084" s="2">
        <v>22</v>
      </c>
      <c r="F1084" s="2" t="s">
        <v>6</v>
      </c>
    </row>
    <row r="1085" spans="1:6" ht="25.5">
      <c r="A1085" s="2">
        <v>1082</v>
      </c>
      <c r="B1085" s="2" t="s">
        <v>1143</v>
      </c>
      <c r="C1085" s="2" t="str">
        <f>"02195305"</f>
        <v>02195305</v>
      </c>
      <c r="D1085" s="2">
        <v>0.78800000000000003</v>
      </c>
      <c r="E1085" s="2">
        <v>4</v>
      </c>
      <c r="F1085" s="2" t="s">
        <v>543</v>
      </c>
    </row>
    <row r="1086" spans="1:6" ht="25.5">
      <c r="A1086" s="2">
        <v>1083</v>
      </c>
      <c r="B1086" s="2" t="s">
        <v>1144</v>
      </c>
      <c r="C1086" s="2" t="str">
        <f>"16724070"</f>
        <v>16724070</v>
      </c>
      <c r="D1086" s="2">
        <v>0.13600000000000001</v>
      </c>
      <c r="E1086" s="2">
        <v>5</v>
      </c>
      <c r="F1086" s="2" t="s">
        <v>75</v>
      </c>
    </row>
    <row r="1087" spans="1:6" ht="25.5">
      <c r="A1087" s="2">
        <v>1084</v>
      </c>
      <c r="B1087" s="2" t="s">
        <v>1145</v>
      </c>
      <c r="C1087" s="2" t="str">
        <f>"1588273X"</f>
        <v>1588273X</v>
      </c>
      <c r="D1087" s="2">
        <v>0.247</v>
      </c>
      <c r="E1087" s="2">
        <v>8</v>
      </c>
      <c r="F1087" s="2" t="s">
        <v>75</v>
      </c>
    </row>
    <row r="1088" spans="1:6" ht="25.5">
      <c r="A1088" s="2">
        <v>1085</v>
      </c>
      <c r="B1088" s="2" t="s">
        <v>1146</v>
      </c>
      <c r="C1088" s="2" t="str">
        <f>"13645528"</f>
        <v>13645528</v>
      </c>
      <c r="D1088" s="2">
        <v>1.3160000000000001</v>
      </c>
      <c r="E1088" s="2">
        <v>92</v>
      </c>
      <c r="F1088" s="2" t="s">
        <v>16</v>
      </c>
    </row>
    <row r="1089" spans="1:6" ht="25.5">
      <c r="A1089" s="2">
        <v>1086</v>
      </c>
      <c r="B1089" s="2" t="s">
        <v>1147</v>
      </c>
      <c r="C1089" s="2" t="str">
        <f>"18734324"</f>
        <v>18734324</v>
      </c>
      <c r="D1089" s="2">
        <v>1.536</v>
      </c>
      <c r="E1089" s="2">
        <v>112</v>
      </c>
      <c r="F1089" s="2" t="s">
        <v>75</v>
      </c>
    </row>
    <row r="1090" spans="1:6" ht="25.5">
      <c r="A1090" s="2">
        <v>1087</v>
      </c>
      <c r="B1090" s="2" t="s">
        <v>1148</v>
      </c>
      <c r="C1090" s="2" t="str">
        <f>"16182650"</f>
        <v>16182650</v>
      </c>
      <c r="D1090" s="2">
        <v>1.1839999999999999</v>
      </c>
      <c r="E1090" s="2">
        <v>89</v>
      </c>
      <c r="F1090" s="2" t="s">
        <v>12</v>
      </c>
    </row>
    <row r="1091" spans="1:6" ht="25.5">
      <c r="A1091" s="2">
        <v>1088</v>
      </c>
      <c r="B1091" s="2" t="s">
        <v>1149</v>
      </c>
      <c r="C1091" s="2" t="str">
        <f>"20084226"</f>
        <v>20084226</v>
      </c>
      <c r="D1091" s="2">
        <v>0.189</v>
      </c>
      <c r="E1091" s="2">
        <v>3</v>
      </c>
      <c r="F1091" s="2" t="s">
        <v>299</v>
      </c>
    </row>
    <row r="1092" spans="1:6" ht="25.5">
      <c r="A1092" s="2">
        <v>1089</v>
      </c>
      <c r="B1092" s="2" t="s">
        <v>1150</v>
      </c>
      <c r="C1092" s="2" t="str">
        <f>"08846812"</f>
        <v>08846812</v>
      </c>
      <c r="D1092" s="2">
        <v>0.26200000000000001</v>
      </c>
      <c r="E1092" s="2">
        <v>26</v>
      </c>
      <c r="F1092" s="2" t="s">
        <v>6</v>
      </c>
    </row>
    <row r="1093" spans="1:6" ht="25.5">
      <c r="A1093" s="2">
        <v>1090</v>
      </c>
      <c r="B1093" s="2" t="s">
        <v>1151</v>
      </c>
      <c r="C1093" s="2" t="str">
        <f>"10960309"</f>
        <v>10960309</v>
      </c>
      <c r="D1093" s="2">
        <v>0.80100000000000005</v>
      </c>
      <c r="E1093" s="2">
        <v>133</v>
      </c>
      <c r="F1093" s="2" t="s">
        <v>6</v>
      </c>
    </row>
    <row r="1094" spans="1:6" ht="25.5">
      <c r="A1094" s="2">
        <v>1091</v>
      </c>
      <c r="B1094" s="2" t="s">
        <v>1152</v>
      </c>
      <c r="C1094" s="2" t="str">
        <f>"15206882"</f>
        <v>15206882</v>
      </c>
      <c r="D1094" s="2">
        <v>2.2890000000000001</v>
      </c>
      <c r="E1094" s="2">
        <v>218</v>
      </c>
      <c r="F1094" s="2" t="s">
        <v>6</v>
      </c>
    </row>
    <row r="1095" spans="1:6" ht="25.5">
      <c r="A1095" s="2">
        <v>1092</v>
      </c>
      <c r="B1095" s="2" t="s">
        <v>1153</v>
      </c>
      <c r="C1095" s="2" t="str">
        <f>"11773901"</f>
        <v>11773901</v>
      </c>
      <c r="D1095" s="2">
        <v>0.217</v>
      </c>
      <c r="E1095" s="2">
        <v>5</v>
      </c>
      <c r="F1095" s="2" t="s">
        <v>503</v>
      </c>
    </row>
    <row r="1096" spans="1:6" ht="25.5">
      <c r="A1096" s="2">
        <v>1093</v>
      </c>
      <c r="B1096" s="2" t="s">
        <v>1154</v>
      </c>
      <c r="C1096" s="2" t="str">
        <f>"1532236X"</f>
        <v>1532236X</v>
      </c>
      <c r="D1096" s="2">
        <v>0.36199999999999999</v>
      </c>
      <c r="E1096" s="2">
        <v>42</v>
      </c>
      <c r="F1096" s="2" t="s">
        <v>16</v>
      </c>
    </row>
    <row r="1097" spans="1:6" ht="25.5">
      <c r="A1097" s="2">
        <v>1094</v>
      </c>
      <c r="B1097" s="2" t="s">
        <v>1155</v>
      </c>
      <c r="C1097" s="2" t="str">
        <f>"17599679"</f>
        <v>17599679</v>
      </c>
      <c r="D1097" s="2">
        <v>0.622</v>
      </c>
      <c r="E1097" s="2">
        <v>14</v>
      </c>
      <c r="F1097" s="2" t="s">
        <v>16</v>
      </c>
    </row>
    <row r="1098" spans="1:6" ht="25.5">
      <c r="A1098" s="2">
        <v>1095</v>
      </c>
      <c r="B1098" s="2" t="s">
        <v>1156</v>
      </c>
      <c r="C1098" s="2" t="str">
        <f>"09106340"</f>
        <v>09106340</v>
      </c>
      <c r="D1098" s="2">
        <v>0.53700000000000003</v>
      </c>
      <c r="E1098" s="2">
        <v>48</v>
      </c>
      <c r="F1098" s="2" t="s">
        <v>131</v>
      </c>
    </row>
    <row r="1099" spans="1:6" ht="25.5">
      <c r="A1099" s="2">
        <v>1096</v>
      </c>
      <c r="B1099" s="2" t="s">
        <v>1157</v>
      </c>
      <c r="C1099" s="2" t="str">
        <f>"14391074"</f>
        <v>14391074</v>
      </c>
      <c r="D1099" s="2">
        <v>0.187</v>
      </c>
      <c r="E1099" s="2">
        <v>20</v>
      </c>
      <c r="F1099" s="2" t="s">
        <v>12</v>
      </c>
    </row>
    <row r="1100" spans="1:6" ht="25.5">
      <c r="A1100" s="2">
        <v>1097</v>
      </c>
      <c r="B1100" s="2" t="s">
        <v>1158</v>
      </c>
      <c r="C1100" s="2" t="str">
        <f>"14390256"</f>
        <v>14390256</v>
      </c>
      <c r="D1100" s="2">
        <v>0.14799999999999999</v>
      </c>
      <c r="E1100" s="2">
        <v>16</v>
      </c>
      <c r="F1100" s="2" t="s">
        <v>12</v>
      </c>
    </row>
    <row r="1101" spans="1:6" ht="25.5">
      <c r="A1101" s="2">
        <v>1098</v>
      </c>
      <c r="B1101" s="2" t="s">
        <v>1159</v>
      </c>
      <c r="C1101" s="2" t="str">
        <f>"13004220"</f>
        <v>13004220</v>
      </c>
      <c r="D1101" s="2">
        <v>0.28299999999999997</v>
      </c>
      <c r="E1101" s="2">
        <v>7</v>
      </c>
      <c r="F1101" s="2" t="s">
        <v>345</v>
      </c>
    </row>
    <row r="1102" spans="1:6" ht="25.5">
      <c r="A1102" s="2">
        <v>1099</v>
      </c>
      <c r="B1102" s="2" t="s">
        <v>1160</v>
      </c>
      <c r="C1102" s="2" t="str">
        <f>"13071173"</f>
        <v>13071173</v>
      </c>
      <c r="D1102" s="2">
        <v>0.107</v>
      </c>
      <c r="E1102" s="2">
        <v>3</v>
      </c>
      <c r="F1102" s="2" t="s">
        <v>345</v>
      </c>
    </row>
    <row r="1103" spans="1:6" ht="25.5">
      <c r="A1103" s="2">
        <v>1100</v>
      </c>
      <c r="B1103" s="2" t="s">
        <v>1161</v>
      </c>
      <c r="C1103" s="2" t="str">
        <f>"00661546"</f>
        <v>00661546</v>
      </c>
      <c r="D1103" s="2">
        <v>0.156</v>
      </c>
      <c r="E1103" s="2">
        <v>5</v>
      </c>
      <c r="F1103" s="2" t="s">
        <v>16</v>
      </c>
    </row>
    <row r="1104" spans="1:6" ht="25.5">
      <c r="A1104" s="2">
        <v>1101</v>
      </c>
      <c r="B1104" s="2" t="s">
        <v>1162</v>
      </c>
      <c r="C1104" s="2" t="str">
        <f>"19328494"</f>
        <v>19328494</v>
      </c>
      <c r="D1104" s="2">
        <v>0.54</v>
      </c>
      <c r="E1104" s="2">
        <v>21</v>
      </c>
      <c r="F1104" s="2" t="s">
        <v>6</v>
      </c>
    </row>
    <row r="1105" spans="1:6" ht="25.5">
      <c r="A1105" s="2">
        <v>1102</v>
      </c>
      <c r="B1105" s="2" t="s">
        <v>1163</v>
      </c>
      <c r="C1105" s="2" t="str">
        <f>"14476959"</f>
        <v>14476959</v>
      </c>
      <c r="D1105" s="2">
        <v>0.29499999999999998</v>
      </c>
      <c r="E1105" s="2">
        <v>22</v>
      </c>
      <c r="F1105" s="2" t="s">
        <v>6</v>
      </c>
    </row>
    <row r="1106" spans="1:6" ht="25.5">
      <c r="A1106" s="2">
        <v>1103</v>
      </c>
      <c r="B1106" s="2" t="s">
        <v>1164</v>
      </c>
      <c r="C1106" s="2" t="str">
        <f>"19359780"</f>
        <v>19359780</v>
      </c>
      <c r="D1106" s="2">
        <v>0.51900000000000002</v>
      </c>
      <c r="E1106" s="2">
        <v>16</v>
      </c>
      <c r="F1106" s="2" t="s">
        <v>6</v>
      </c>
    </row>
    <row r="1107" spans="1:6" ht="25.5">
      <c r="A1107" s="2">
        <v>1104</v>
      </c>
      <c r="B1107" s="2" t="s">
        <v>1165</v>
      </c>
      <c r="C1107" s="2" t="str">
        <f>"0929077X"</f>
        <v>0929077X</v>
      </c>
      <c r="D1107" s="2">
        <v>0.10100000000000001</v>
      </c>
      <c r="E1107" s="2">
        <v>4</v>
      </c>
      <c r="F1107" s="2" t="s">
        <v>75</v>
      </c>
    </row>
    <row r="1108" spans="1:6" ht="25.5">
      <c r="A1108" s="2">
        <v>1105</v>
      </c>
      <c r="B1108" s="2" t="s">
        <v>1166</v>
      </c>
      <c r="C1108" s="2" t="str">
        <f>"14691787"</f>
        <v>14691787</v>
      </c>
      <c r="D1108" s="2">
        <v>0.30599999999999999</v>
      </c>
      <c r="E1108" s="2">
        <v>18</v>
      </c>
      <c r="F1108" s="2" t="s">
        <v>16</v>
      </c>
    </row>
    <row r="1109" spans="1:6" ht="25.5">
      <c r="A1109" s="2">
        <v>1106</v>
      </c>
      <c r="B1109" s="2" t="s">
        <v>1167</v>
      </c>
      <c r="C1109" s="2" t="str">
        <f>"17831326"</f>
        <v>17831326</v>
      </c>
      <c r="D1109" s="2">
        <v>0.10299999999999999</v>
      </c>
      <c r="E1109" s="2">
        <v>1</v>
      </c>
      <c r="F1109" s="2" t="s">
        <v>161</v>
      </c>
    </row>
    <row r="1110" spans="1:6" ht="25.5">
      <c r="A1110" s="2">
        <v>1107</v>
      </c>
      <c r="B1110" s="2" t="s">
        <v>1168</v>
      </c>
      <c r="C1110" s="2" t="str">
        <f>"18514669"</f>
        <v>18514669</v>
      </c>
      <c r="D1110" s="2">
        <v>0</v>
      </c>
      <c r="E1110" s="2">
        <v>0</v>
      </c>
      <c r="F1110" s="2" t="s">
        <v>192</v>
      </c>
    </row>
    <row r="1111" spans="1:6" ht="25.5">
      <c r="A1111" s="2">
        <v>1108</v>
      </c>
      <c r="B1111" s="2" t="s">
        <v>1169</v>
      </c>
      <c r="C1111" s="2" t="str">
        <f>"18700063"</f>
        <v>18700063</v>
      </c>
      <c r="D1111" s="2">
        <v>0.127</v>
      </c>
      <c r="E1111" s="2">
        <v>1</v>
      </c>
      <c r="F1111" s="2" t="s">
        <v>200</v>
      </c>
    </row>
    <row r="1112" spans="1:6" ht="25.5">
      <c r="A1112" s="2">
        <v>1109</v>
      </c>
      <c r="B1112" s="2" t="s">
        <v>1170</v>
      </c>
      <c r="C1112" s="2" t="str">
        <f>"07187106"</f>
        <v>07187106</v>
      </c>
      <c r="D1112" s="2">
        <v>0.60399999999999998</v>
      </c>
      <c r="E1112" s="2">
        <v>20</v>
      </c>
      <c r="F1112" s="2" t="s">
        <v>182</v>
      </c>
    </row>
    <row r="1113" spans="1:6" ht="25.5">
      <c r="A1113" s="2">
        <v>1110</v>
      </c>
      <c r="B1113" s="2" t="s">
        <v>1171</v>
      </c>
      <c r="C1113" s="2" t="str">
        <f>"14390271"</f>
        <v>14390271</v>
      </c>
      <c r="D1113" s="2">
        <v>0.44800000000000001</v>
      </c>
      <c r="E1113" s="2">
        <v>35</v>
      </c>
      <c r="F1113" s="2" t="s">
        <v>16</v>
      </c>
    </row>
    <row r="1114" spans="1:6" ht="25.5">
      <c r="A1114" s="2">
        <v>1111</v>
      </c>
      <c r="B1114" s="2" t="s">
        <v>1172</v>
      </c>
      <c r="C1114" s="2" t="str">
        <f>"11662654"</f>
        <v>11662654</v>
      </c>
      <c r="D1114" s="2">
        <v>0.127</v>
      </c>
      <c r="E1114" s="2">
        <v>7</v>
      </c>
      <c r="F1114" s="2" t="s">
        <v>66</v>
      </c>
    </row>
    <row r="1115" spans="1:6" ht="25.5">
      <c r="A1115" s="2">
        <v>1112</v>
      </c>
      <c r="B1115" s="2" t="s">
        <v>1173</v>
      </c>
      <c r="C1115" s="2" t="str">
        <f>"20901275"</f>
        <v>20901275</v>
      </c>
      <c r="D1115" s="2">
        <v>0.26800000000000002</v>
      </c>
      <c r="E1115" s="2">
        <v>3</v>
      </c>
      <c r="F1115" s="2" t="s">
        <v>523</v>
      </c>
    </row>
    <row r="1116" spans="1:6" ht="25.5">
      <c r="A1116" s="2">
        <v>1113</v>
      </c>
      <c r="B1116" s="2" t="s">
        <v>1174</v>
      </c>
      <c r="C1116" s="2" t="str">
        <f>"13000578"</f>
        <v>13000578</v>
      </c>
      <c r="D1116" s="2">
        <v>0.109</v>
      </c>
      <c r="E1116" s="2">
        <v>3</v>
      </c>
      <c r="F1116" s="2" t="s">
        <v>345</v>
      </c>
    </row>
    <row r="1117" spans="1:6" ht="25.5">
      <c r="A1117" s="2">
        <v>1114</v>
      </c>
      <c r="B1117" s="2" t="s">
        <v>1175</v>
      </c>
      <c r="C1117" s="2" t="str">
        <f>"12142158"</f>
        <v>12142158</v>
      </c>
      <c r="D1117" s="2">
        <v>0.104</v>
      </c>
      <c r="E1117" s="2">
        <v>5</v>
      </c>
      <c r="F1117" s="2" t="s">
        <v>208</v>
      </c>
    </row>
    <row r="1118" spans="1:6" ht="25.5">
      <c r="A1118" s="2">
        <v>1115</v>
      </c>
      <c r="B1118" s="2" t="s">
        <v>1176</v>
      </c>
      <c r="C1118" s="2" t="str">
        <f>"02017563"</f>
        <v>02017563</v>
      </c>
      <c r="D1118" s="2">
        <v>0.10199999999999999</v>
      </c>
      <c r="E1118" s="2">
        <v>5</v>
      </c>
      <c r="F1118" s="2" t="s">
        <v>129</v>
      </c>
    </row>
    <row r="1119" spans="1:6" ht="25.5">
      <c r="A1119" s="2">
        <v>1116</v>
      </c>
      <c r="B1119" s="2" t="s">
        <v>1177</v>
      </c>
      <c r="C1119" s="2" t="str">
        <f>"02091712"</f>
        <v>02091712</v>
      </c>
      <c r="D1119" s="2">
        <v>0.11799999999999999</v>
      </c>
      <c r="E1119" s="2">
        <v>4</v>
      </c>
      <c r="F1119" s="2" t="s">
        <v>169</v>
      </c>
    </row>
    <row r="1120" spans="1:6" ht="25.5">
      <c r="A1120" s="2">
        <v>1117</v>
      </c>
      <c r="B1120" s="2" t="s">
        <v>1178</v>
      </c>
      <c r="C1120" s="2" t="str">
        <f>"15267598"</f>
        <v>15267598</v>
      </c>
      <c r="D1120" s="2">
        <v>1.333</v>
      </c>
      <c r="E1120" s="2">
        <v>130</v>
      </c>
      <c r="F1120" s="2" t="s">
        <v>6</v>
      </c>
    </row>
    <row r="1121" spans="1:6" ht="25.5">
      <c r="A1121" s="2">
        <v>1118</v>
      </c>
      <c r="B1121" s="2" t="s">
        <v>1179</v>
      </c>
      <c r="C1121" s="2" t="str">
        <f>"03851664"</f>
        <v>03851664</v>
      </c>
      <c r="D1121" s="2">
        <v>0.1</v>
      </c>
      <c r="E1121" s="2">
        <v>3</v>
      </c>
      <c r="F1121" s="2" t="s">
        <v>131</v>
      </c>
    </row>
    <row r="1122" spans="1:6" ht="25.5">
      <c r="A1122" s="2">
        <v>1119</v>
      </c>
      <c r="B1122" s="2" t="s">
        <v>1180</v>
      </c>
      <c r="C1122" s="2" t="str">
        <f>"00033006"</f>
        <v>00033006</v>
      </c>
      <c r="D1122" s="2">
        <v>0.193</v>
      </c>
      <c r="E1122" s="2">
        <v>16</v>
      </c>
      <c r="F1122" s="2" t="s">
        <v>6</v>
      </c>
    </row>
    <row r="1123" spans="1:6" ht="25.5">
      <c r="A1123" s="2">
        <v>1120</v>
      </c>
      <c r="B1123" s="2" t="s">
        <v>1181</v>
      </c>
      <c r="C1123" s="2" t="str">
        <f>"15281175"</f>
        <v>15281175</v>
      </c>
      <c r="D1123" s="2">
        <v>2.0499999999999998</v>
      </c>
      <c r="E1123" s="2">
        <v>147</v>
      </c>
      <c r="F1123" s="2" t="s">
        <v>6</v>
      </c>
    </row>
    <row r="1124" spans="1:6" ht="25.5">
      <c r="A1124" s="2">
        <v>1121</v>
      </c>
      <c r="B1124" s="2" t="s">
        <v>1182</v>
      </c>
      <c r="C1124" s="2" t="str">
        <f>"19322275"</f>
        <v>19322275</v>
      </c>
      <c r="D1124" s="2">
        <v>0.501</v>
      </c>
      <c r="E1124" s="2">
        <v>29</v>
      </c>
      <c r="F1124" s="2" t="s">
        <v>16</v>
      </c>
    </row>
    <row r="1125" spans="1:6" ht="25.5">
      <c r="A1125" s="2">
        <v>1122</v>
      </c>
      <c r="B1125" s="2" t="s">
        <v>1183</v>
      </c>
      <c r="C1125" s="2" t="str">
        <f>"16876970"</f>
        <v>16876970</v>
      </c>
      <c r="D1125" s="2">
        <v>0.25600000000000001</v>
      </c>
      <c r="E1125" s="2">
        <v>3</v>
      </c>
      <c r="F1125" s="2" t="s">
        <v>523</v>
      </c>
    </row>
    <row r="1126" spans="1:6" ht="25.5">
      <c r="A1126" s="2">
        <v>1123</v>
      </c>
      <c r="B1126" s="2" t="s">
        <v>1184</v>
      </c>
      <c r="C1126" s="2" t="str">
        <f>"00033049"</f>
        <v>00033049</v>
      </c>
      <c r="D1126" s="2">
        <v>0.1</v>
      </c>
      <c r="E1126" s="2">
        <v>5</v>
      </c>
      <c r="F1126" s="2" t="s">
        <v>66</v>
      </c>
    </row>
    <row r="1127" spans="1:6" ht="25.5">
      <c r="A1127" s="2">
        <v>1124</v>
      </c>
      <c r="B1127" s="2" t="s">
        <v>1185</v>
      </c>
      <c r="C1127" s="2" t="str">
        <f>"14692899"</f>
        <v>14692899</v>
      </c>
      <c r="D1127" s="2">
        <v>0.115</v>
      </c>
      <c r="E1127" s="2">
        <v>8</v>
      </c>
      <c r="F1127" s="2" t="s">
        <v>16</v>
      </c>
    </row>
    <row r="1128" spans="1:6" ht="25.5">
      <c r="A1128" s="2">
        <v>1125</v>
      </c>
      <c r="B1128" s="2" t="s">
        <v>1186</v>
      </c>
      <c r="C1128" s="2" t="str">
        <f>"15213773"</f>
        <v>15213773</v>
      </c>
      <c r="D1128" s="2">
        <v>5.36</v>
      </c>
      <c r="E1128" s="2">
        <v>305</v>
      </c>
      <c r="F1128" s="2" t="s">
        <v>16</v>
      </c>
    </row>
    <row r="1129" spans="1:6" ht="25.5">
      <c r="A1129" s="2">
        <v>1126</v>
      </c>
      <c r="B1129" s="2" t="s">
        <v>1187</v>
      </c>
      <c r="C1129" s="2" t="str">
        <f>"15737209"</f>
        <v>15737209</v>
      </c>
      <c r="D1129" s="2">
        <v>1.655</v>
      </c>
      <c r="E1129" s="2">
        <v>55</v>
      </c>
      <c r="F1129" s="2" t="s">
        <v>75</v>
      </c>
    </row>
    <row r="1130" spans="1:6" ht="25.5">
      <c r="A1130" s="2">
        <v>1127</v>
      </c>
      <c r="B1130" s="2" t="s">
        <v>1188</v>
      </c>
      <c r="C1130" s="2" t="str">
        <f>"10276661"</f>
        <v>10276661</v>
      </c>
      <c r="D1130" s="2">
        <v>0.104</v>
      </c>
      <c r="E1130" s="2">
        <v>3</v>
      </c>
      <c r="F1130" s="2" t="s">
        <v>129</v>
      </c>
    </row>
    <row r="1131" spans="1:6" ht="25.5">
      <c r="A1131" s="2">
        <v>1128</v>
      </c>
      <c r="B1131" s="2" t="s">
        <v>1189</v>
      </c>
      <c r="C1131" s="2" t="str">
        <f>"00033197"</f>
        <v>00033197</v>
      </c>
      <c r="D1131" s="2">
        <v>0.45600000000000002</v>
      </c>
      <c r="E1131" s="2">
        <v>45</v>
      </c>
      <c r="F1131" s="2" t="s">
        <v>6</v>
      </c>
    </row>
    <row r="1132" spans="1:6" ht="25.5">
      <c r="A1132" s="2">
        <v>1129</v>
      </c>
      <c r="B1132" s="2" t="s">
        <v>1190</v>
      </c>
      <c r="C1132" s="2" t="str">
        <f>"00033219"</f>
        <v>00033219</v>
      </c>
      <c r="D1132" s="2">
        <v>0.83899999999999997</v>
      </c>
      <c r="E1132" s="2">
        <v>48</v>
      </c>
      <c r="F1132" s="2" t="s">
        <v>6</v>
      </c>
    </row>
    <row r="1133" spans="1:6" ht="25.5">
      <c r="A1133" s="2">
        <v>1130</v>
      </c>
      <c r="B1133" s="2" t="s">
        <v>1191</v>
      </c>
      <c r="C1133" s="2" t="str">
        <f>"03405222"</f>
        <v>03405222</v>
      </c>
      <c r="D1133" s="2">
        <v>0.11</v>
      </c>
      <c r="E1133" s="2">
        <v>4</v>
      </c>
      <c r="F1133" s="2" t="s">
        <v>12</v>
      </c>
    </row>
    <row r="1134" spans="1:6" ht="25.5">
      <c r="A1134" s="2">
        <v>1131</v>
      </c>
      <c r="B1134" s="2" t="s">
        <v>1192</v>
      </c>
      <c r="C1134" s="2" t="str">
        <f>"02636751"</f>
        <v>02636751</v>
      </c>
      <c r="D1134" s="2">
        <v>0.10199999999999999</v>
      </c>
      <c r="E1134" s="2">
        <v>6</v>
      </c>
      <c r="F1134" s="2" t="s">
        <v>16</v>
      </c>
    </row>
    <row r="1135" spans="1:6" ht="25.5">
      <c r="A1135" s="2">
        <v>1132</v>
      </c>
      <c r="B1135" s="2" t="s">
        <v>1193</v>
      </c>
      <c r="C1135" s="2" t="str">
        <f>"09728074"</f>
        <v>09728074</v>
      </c>
      <c r="D1135" s="2">
        <v>0.17</v>
      </c>
      <c r="E1135" s="2">
        <v>7</v>
      </c>
      <c r="F1135" s="2" t="s">
        <v>488</v>
      </c>
    </row>
    <row r="1136" spans="1:6" ht="25.5">
      <c r="A1136" s="2">
        <v>1133</v>
      </c>
      <c r="B1136" s="2" t="s">
        <v>1194</v>
      </c>
      <c r="C1136" s="2" t="str">
        <f>"1751732X"</f>
        <v>1751732X</v>
      </c>
      <c r="D1136" s="2">
        <v>0.85299999999999998</v>
      </c>
      <c r="E1136" s="2">
        <v>26</v>
      </c>
      <c r="F1136" s="2" t="s">
        <v>16</v>
      </c>
    </row>
    <row r="1137" spans="1:6" ht="25.5">
      <c r="A1137" s="2">
        <v>1134</v>
      </c>
      <c r="B1137" s="2" t="s">
        <v>1195</v>
      </c>
      <c r="C1137" s="2" t="str">
        <f>"10958282"</f>
        <v>10958282</v>
      </c>
      <c r="D1137" s="2">
        <v>1.413</v>
      </c>
      <c r="E1137" s="2">
        <v>96</v>
      </c>
      <c r="F1137" s="2" t="s">
        <v>6</v>
      </c>
    </row>
    <row r="1138" spans="1:6" ht="25.5">
      <c r="A1138" s="2">
        <v>1135</v>
      </c>
      <c r="B1138" s="2" t="s">
        <v>1196</v>
      </c>
      <c r="C1138" s="2" t="str">
        <f>"1578665X"</f>
        <v>1578665X</v>
      </c>
      <c r="D1138" s="2">
        <v>0.14199999999999999</v>
      </c>
      <c r="E1138" s="2">
        <v>20</v>
      </c>
      <c r="F1138" s="2" t="s">
        <v>351</v>
      </c>
    </row>
    <row r="1139" spans="1:6" ht="25.5">
      <c r="A1139" s="2">
        <v>1136</v>
      </c>
      <c r="B1139" s="2" t="s">
        <v>1197</v>
      </c>
      <c r="C1139" s="2" t="str">
        <f>"15707563"</f>
        <v>15707563</v>
      </c>
      <c r="D1139" s="2">
        <v>0.27100000000000002</v>
      </c>
      <c r="E1139" s="2">
        <v>22</v>
      </c>
      <c r="F1139" s="2" t="s">
        <v>75</v>
      </c>
    </row>
    <row r="1140" spans="1:6" ht="25.5">
      <c r="A1140" s="2">
        <v>1137</v>
      </c>
      <c r="B1140" s="2" t="s">
        <v>1198</v>
      </c>
      <c r="C1140" s="2" t="str">
        <f>"15322378"</f>
        <v>15322378</v>
      </c>
      <c r="D1140" s="2">
        <v>0.36499999999999999</v>
      </c>
      <c r="E1140" s="2">
        <v>25</v>
      </c>
      <c r="F1140" s="2" t="s">
        <v>16</v>
      </c>
    </row>
    <row r="1141" spans="1:6" ht="25.5">
      <c r="A1141" s="2">
        <v>1138</v>
      </c>
      <c r="B1141" s="2" t="s">
        <v>1199</v>
      </c>
      <c r="C1141" s="2" t="str">
        <f>"19768354"</f>
        <v>19768354</v>
      </c>
      <c r="D1141" s="2">
        <v>0.20100000000000001</v>
      </c>
      <c r="E1141" s="2">
        <v>4</v>
      </c>
      <c r="F1141" s="2" t="s">
        <v>16</v>
      </c>
    </row>
    <row r="1142" spans="1:6" ht="25.5">
      <c r="A1142" s="2">
        <v>1139</v>
      </c>
      <c r="B1142" s="2" t="s">
        <v>1200</v>
      </c>
      <c r="C1142" s="2" t="str">
        <f>"14359456"</f>
        <v>14359456</v>
      </c>
      <c r="D1142" s="2">
        <v>1.1579999999999999</v>
      </c>
      <c r="E1142" s="2">
        <v>36</v>
      </c>
      <c r="F1142" s="2" t="s">
        <v>12</v>
      </c>
    </row>
    <row r="1143" spans="1:6" ht="25.5">
      <c r="A1143" s="2">
        <v>1140</v>
      </c>
      <c r="B1143" s="2" t="s">
        <v>1201</v>
      </c>
      <c r="C1143" s="2" t="str">
        <f>"14691795"</f>
        <v>14691795</v>
      </c>
      <c r="D1143" s="2">
        <v>1.359</v>
      </c>
      <c r="E1143" s="2">
        <v>47</v>
      </c>
      <c r="F1143" s="2" t="s">
        <v>16</v>
      </c>
    </row>
    <row r="1144" spans="1:6" ht="25.5">
      <c r="A1144" s="2">
        <v>1141</v>
      </c>
      <c r="B1144" s="2" t="s">
        <v>1202</v>
      </c>
      <c r="C1144" s="2" t="str">
        <f>"03778401"</f>
        <v>03778401</v>
      </c>
      <c r="D1144" s="2">
        <v>0.86299999999999999</v>
      </c>
      <c r="E1144" s="2">
        <v>63</v>
      </c>
      <c r="F1144" s="2" t="s">
        <v>75</v>
      </c>
    </row>
    <row r="1145" spans="1:6" ht="25.5">
      <c r="A1145" s="2">
        <v>1142</v>
      </c>
      <c r="B1145" s="2" t="s">
        <v>1203</v>
      </c>
      <c r="C1145" s="2" t="str">
        <f>"13652052"</f>
        <v>13652052</v>
      </c>
      <c r="D1145" s="2">
        <v>0.88100000000000001</v>
      </c>
      <c r="E1145" s="2">
        <v>55</v>
      </c>
      <c r="F1145" s="2" t="s">
        <v>16</v>
      </c>
    </row>
    <row r="1146" spans="1:6" ht="25.5">
      <c r="A1146" s="2">
        <v>1143</v>
      </c>
      <c r="B1146" s="2" t="s">
        <v>1204</v>
      </c>
      <c r="C1146" s="2" t="str">
        <f>"14752654"</f>
        <v>14752654</v>
      </c>
      <c r="D1146" s="2">
        <v>0.90300000000000002</v>
      </c>
      <c r="E1146" s="2">
        <v>29</v>
      </c>
      <c r="F1146" s="2" t="s">
        <v>16</v>
      </c>
    </row>
    <row r="1147" spans="1:6" ht="25.5">
      <c r="A1147" s="2">
        <v>1144</v>
      </c>
      <c r="B1147" s="2" t="s">
        <v>1205</v>
      </c>
      <c r="C1147" s="2" t="str">
        <f>"0974181X"</f>
        <v>0974181X</v>
      </c>
      <c r="D1147" s="2">
        <v>0.314</v>
      </c>
      <c r="E1147" s="2">
        <v>4</v>
      </c>
      <c r="F1147" s="2" t="s">
        <v>488</v>
      </c>
    </row>
    <row r="1148" spans="1:6" ht="25.5">
      <c r="A1148" s="2">
        <v>1145</v>
      </c>
      <c r="B1148" s="2" t="s">
        <v>1206</v>
      </c>
      <c r="C1148" s="2" t="str">
        <f>"18365787"</f>
        <v>18365787</v>
      </c>
      <c r="D1148" s="2">
        <v>0.628</v>
      </c>
      <c r="E1148" s="2">
        <v>44</v>
      </c>
      <c r="F1148" s="2" t="s">
        <v>127</v>
      </c>
    </row>
    <row r="1149" spans="1:6" ht="25.5">
      <c r="A1149" s="2">
        <v>1146</v>
      </c>
      <c r="B1149" s="2" t="s">
        <v>1207</v>
      </c>
      <c r="C1149" s="2" t="str">
        <f>"03784320"</f>
        <v>03784320</v>
      </c>
      <c r="D1149" s="2">
        <v>0.66700000000000004</v>
      </c>
      <c r="E1149" s="2">
        <v>62</v>
      </c>
      <c r="F1149" s="2" t="s">
        <v>75</v>
      </c>
    </row>
    <row r="1150" spans="1:6" ht="25.5">
      <c r="A1150" s="2">
        <v>1147</v>
      </c>
      <c r="B1150" s="2" t="s">
        <v>1208</v>
      </c>
      <c r="C1150" s="2" t="str">
        <f>"17400929"</f>
        <v>17400929</v>
      </c>
      <c r="D1150" s="2">
        <v>0.437</v>
      </c>
      <c r="E1150" s="2">
        <v>17</v>
      </c>
      <c r="F1150" s="2" t="s">
        <v>16</v>
      </c>
    </row>
    <row r="1151" spans="1:6" ht="25.5">
      <c r="A1151" s="2">
        <v>1148</v>
      </c>
      <c r="B1151" s="2" t="s">
        <v>1209</v>
      </c>
      <c r="C1151" s="2" t="str">
        <f>"08604037"</f>
        <v>08604037</v>
      </c>
      <c r="D1151" s="2">
        <v>0.42899999999999999</v>
      </c>
      <c r="E1151" s="2">
        <v>8</v>
      </c>
      <c r="F1151" s="2" t="s">
        <v>169</v>
      </c>
    </row>
    <row r="1152" spans="1:6" ht="25.5">
      <c r="A1152" s="2">
        <v>1149</v>
      </c>
      <c r="B1152" s="2" t="s">
        <v>1210</v>
      </c>
      <c r="C1152" s="2" t="str">
        <f>"17420385"</f>
        <v>17420385</v>
      </c>
      <c r="D1152" s="2">
        <v>0.123</v>
      </c>
      <c r="E1152" s="2">
        <v>2</v>
      </c>
      <c r="F1152" s="2" t="s">
        <v>16</v>
      </c>
    </row>
    <row r="1153" spans="1:6" ht="25.5">
      <c r="A1153" s="2">
        <v>1150</v>
      </c>
      <c r="B1153" s="2" t="s">
        <v>1211</v>
      </c>
      <c r="C1153" s="2" t="str">
        <f>"09627286"</f>
        <v>09627286</v>
      </c>
      <c r="D1153" s="2">
        <v>0.61</v>
      </c>
      <c r="E1153" s="2">
        <v>36</v>
      </c>
      <c r="F1153" s="2" t="s">
        <v>16</v>
      </c>
    </row>
    <row r="1154" spans="1:6" ht="25.5">
      <c r="A1154" s="2">
        <v>1151</v>
      </c>
      <c r="B1154" s="2" t="s">
        <v>1212</v>
      </c>
      <c r="C1154" s="2" t="str">
        <f>"17468477"</f>
        <v>17468477</v>
      </c>
      <c r="D1154" s="2">
        <v>0.215</v>
      </c>
      <c r="E1154" s="2">
        <v>4</v>
      </c>
      <c r="F1154" s="2" t="s">
        <v>16</v>
      </c>
    </row>
    <row r="1155" spans="1:6" ht="25.5">
      <c r="A1155" s="2">
        <v>1152</v>
      </c>
      <c r="B1155" s="2" t="s">
        <v>1213</v>
      </c>
      <c r="C1155" s="2" t="str">
        <f>"13000861"</f>
        <v>13000861</v>
      </c>
      <c r="D1155" s="2">
        <v>0.16</v>
      </c>
      <c r="E1155" s="2">
        <v>4</v>
      </c>
      <c r="F1155" s="2" t="s">
        <v>16</v>
      </c>
    </row>
    <row r="1156" spans="1:6" ht="25.5">
      <c r="A1156" s="2">
        <v>1153</v>
      </c>
      <c r="B1156" s="2" t="s">
        <v>1214</v>
      </c>
      <c r="C1156" s="2" t="str">
        <f>"15213889"</f>
        <v>15213889</v>
      </c>
      <c r="D1156" s="2">
        <v>0.69499999999999995</v>
      </c>
      <c r="E1156" s="2">
        <v>32</v>
      </c>
      <c r="F1156" s="2" t="s">
        <v>12</v>
      </c>
    </row>
    <row r="1157" spans="1:6" ht="25.5">
      <c r="A1157" s="2">
        <v>1154</v>
      </c>
      <c r="B1157" s="2" t="s">
        <v>1215</v>
      </c>
      <c r="C1157" s="2" t="str">
        <f>"03034135"</f>
        <v>03034135</v>
      </c>
      <c r="D1157" s="2">
        <v>0.1</v>
      </c>
      <c r="E1157" s="2">
        <v>3</v>
      </c>
      <c r="F1157" s="2" t="s">
        <v>169</v>
      </c>
    </row>
    <row r="1158" spans="1:6" ht="25.5">
      <c r="A1158" s="2">
        <v>1155</v>
      </c>
      <c r="B1158" s="2" t="s">
        <v>1216</v>
      </c>
      <c r="C1158" s="2" t="str">
        <f>"1427440X"</f>
        <v>1427440X</v>
      </c>
      <c r="D1158" s="2">
        <v>0.10100000000000001</v>
      </c>
      <c r="E1158" s="2">
        <v>9</v>
      </c>
      <c r="F1158" s="2" t="s">
        <v>169</v>
      </c>
    </row>
    <row r="1159" spans="1:6" ht="25.5">
      <c r="A1159" s="2">
        <v>1156</v>
      </c>
      <c r="B1159" s="2" t="s">
        <v>1217</v>
      </c>
      <c r="C1159" s="2" t="str">
        <f>"1239629X"</f>
        <v>1239629X</v>
      </c>
      <c r="D1159" s="2">
        <v>1.0940000000000001</v>
      </c>
      <c r="E1159" s="2">
        <v>18</v>
      </c>
      <c r="F1159" s="2" t="s">
        <v>751</v>
      </c>
    </row>
    <row r="1160" spans="1:6" ht="25.5">
      <c r="A1160" s="2">
        <v>1157</v>
      </c>
      <c r="B1160" s="2" t="s">
        <v>1218</v>
      </c>
      <c r="C1160" s="2" t="str">
        <f>"12396303"</f>
        <v>12396303</v>
      </c>
      <c r="D1160" s="2">
        <v>0.104</v>
      </c>
      <c r="E1160" s="2">
        <v>2</v>
      </c>
      <c r="F1160" s="2" t="s">
        <v>751</v>
      </c>
    </row>
    <row r="1161" spans="1:6" ht="25.5">
      <c r="A1161" s="2">
        <v>1158</v>
      </c>
      <c r="B1161" s="2" t="s">
        <v>1219</v>
      </c>
      <c r="C1161" s="2" t="str">
        <f>"14085348"</f>
        <v>14085348</v>
      </c>
      <c r="D1161" s="2">
        <v>0.14799999999999999</v>
      </c>
      <c r="E1161" s="2">
        <v>1</v>
      </c>
      <c r="F1161" s="2" t="s">
        <v>154</v>
      </c>
    </row>
    <row r="1162" spans="1:6" ht="25.5">
      <c r="A1162" s="2">
        <v>1159</v>
      </c>
      <c r="B1162" s="2" t="s">
        <v>1220</v>
      </c>
      <c r="C1162" s="2" t="str">
        <f>"00033847"</f>
        <v>00033847</v>
      </c>
      <c r="D1162" s="2">
        <v>0.36799999999999999</v>
      </c>
      <c r="E1162" s="2">
        <v>22</v>
      </c>
      <c r="F1162" s="2" t="s">
        <v>751</v>
      </c>
    </row>
    <row r="1163" spans="1:6" ht="25.5">
      <c r="A1163" s="2">
        <v>1160</v>
      </c>
      <c r="B1163" s="2" t="s">
        <v>1221</v>
      </c>
      <c r="C1163" s="2" t="str">
        <f>"00033898"</f>
        <v>00033898</v>
      </c>
      <c r="D1163" s="2">
        <v>0.14599999999999999</v>
      </c>
      <c r="E1163" s="2">
        <v>19</v>
      </c>
      <c r="F1163" s="2" t="s">
        <v>66</v>
      </c>
    </row>
    <row r="1164" spans="1:6" ht="25.5">
      <c r="A1164" s="2">
        <v>1161</v>
      </c>
      <c r="B1164" s="2" t="s">
        <v>1222</v>
      </c>
      <c r="C1164" s="2" t="str">
        <f>"03990826"</f>
        <v>03990826</v>
      </c>
      <c r="D1164" s="2">
        <v>0.1</v>
      </c>
      <c r="E1164" s="2">
        <v>2</v>
      </c>
      <c r="F1164" s="2" t="s">
        <v>66</v>
      </c>
    </row>
    <row r="1165" spans="1:6" ht="25.5">
      <c r="A1165" s="2">
        <v>1162</v>
      </c>
      <c r="B1165" s="2" t="s">
        <v>1223</v>
      </c>
      <c r="C1165" s="2" t="str">
        <f>"17683181"</f>
        <v>17683181</v>
      </c>
      <c r="D1165" s="2">
        <v>0.14599999999999999</v>
      </c>
      <c r="E1165" s="2">
        <v>11</v>
      </c>
      <c r="F1165" s="2" t="s">
        <v>66</v>
      </c>
    </row>
    <row r="1166" spans="1:6" ht="25.5">
      <c r="A1166" s="2">
        <v>1163</v>
      </c>
      <c r="B1166" s="2" t="s">
        <v>1224</v>
      </c>
      <c r="C1166" s="2" t="str">
        <f>"01519107"</f>
        <v>01519107</v>
      </c>
      <c r="D1166" s="2">
        <v>0.122</v>
      </c>
      <c r="E1166" s="2">
        <v>20</v>
      </c>
      <c r="F1166" s="2" t="s">
        <v>66</v>
      </c>
    </row>
    <row r="1167" spans="1:6" ht="25.5">
      <c r="A1167" s="2">
        <v>1164</v>
      </c>
      <c r="B1167" s="2" t="s">
        <v>1225</v>
      </c>
      <c r="C1167" s="2" t="str">
        <f>"1768319X"</f>
        <v>1768319X</v>
      </c>
      <c r="D1167" s="2">
        <v>0.23300000000000001</v>
      </c>
      <c r="E1167" s="2">
        <v>19</v>
      </c>
      <c r="F1167" s="2" t="s">
        <v>66</v>
      </c>
    </row>
    <row r="1168" spans="1:6" ht="25.5">
      <c r="A1168" s="2">
        <v>1165</v>
      </c>
      <c r="B1168" s="2" t="s">
        <v>1226</v>
      </c>
      <c r="C1168" s="2" t="str">
        <f>"00662062"</f>
        <v>00662062</v>
      </c>
      <c r="D1168" s="2">
        <v>0.17899999999999999</v>
      </c>
      <c r="E1168" s="2">
        <v>8</v>
      </c>
      <c r="F1168" s="2" t="s">
        <v>66</v>
      </c>
    </row>
    <row r="1169" spans="1:6" ht="25.5">
      <c r="A1169" s="2">
        <v>1166</v>
      </c>
      <c r="B1169" s="2" t="s">
        <v>1227</v>
      </c>
      <c r="C1169" s="2" t="str">
        <f>"01519638"</f>
        <v>01519638</v>
      </c>
      <c r="D1169" s="2">
        <v>0.23300000000000001</v>
      </c>
      <c r="E1169" s="2">
        <v>28</v>
      </c>
      <c r="F1169" s="2" t="s">
        <v>66</v>
      </c>
    </row>
    <row r="1170" spans="1:6" ht="25.5">
      <c r="A1170" s="2">
        <v>1167</v>
      </c>
      <c r="B1170" s="2" t="s">
        <v>1228</v>
      </c>
      <c r="C1170" s="2" t="str">
        <f>"00034010"</f>
        <v>00034010</v>
      </c>
      <c r="D1170" s="2">
        <v>0.11899999999999999</v>
      </c>
      <c r="E1170" s="2">
        <v>7</v>
      </c>
      <c r="F1170" s="2" t="s">
        <v>66</v>
      </c>
    </row>
    <row r="1171" spans="1:6" ht="25.5">
      <c r="A1171" s="2">
        <v>1168</v>
      </c>
      <c r="B1171" s="2" t="s">
        <v>1229</v>
      </c>
      <c r="C1171" s="2" t="str">
        <f>"01824295"</f>
        <v>01824295</v>
      </c>
      <c r="D1171" s="2">
        <v>0.10100000000000001</v>
      </c>
      <c r="E1171" s="2">
        <v>9</v>
      </c>
      <c r="F1171" s="2" t="s">
        <v>66</v>
      </c>
    </row>
    <row r="1172" spans="1:6" ht="25.5">
      <c r="A1172" s="2">
        <v>1169</v>
      </c>
      <c r="B1172" s="2" t="s">
        <v>1230</v>
      </c>
      <c r="C1172" s="2" t="str">
        <f>"00379271"</f>
        <v>00379271</v>
      </c>
      <c r="D1172" s="2">
        <v>0.36</v>
      </c>
      <c r="E1172" s="2">
        <v>17</v>
      </c>
      <c r="F1172" s="2" t="s">
        <v>66</v>
      </c>
    </row>
    <row r="1173" spans="1:6" ht="25.5">
      <c r="A1173" s="2">
        <v>1170</v>
      </c>
      <c r="B1173" s="2" t="s">
        <v>1231</v>
      </c>
      <c r="C1173" s="2" t="str">
        <f>"00034088"</f>
        <v>00034088</v>
      </c>
      <c r="D1173" s="2">
        <v>0.36</v>
      </c>
      <c r="E1173" s="2">
        <v>18</v>
      </c>
      <c r="F1173" s="2" t="s">
        <v>66</v>
      </c>
    </row>
    <row r="1174" spans="1:6" ht="25.5">
      <c r="A1174" s="2">
        <v>1171</v>
      </c>
      <c r="B1174" s="2" t="s">
        <v>1232</v>
      </c>
      <c r="C1174" s="2" t="str">
        <f>"03730956"</f>
        <v>03730956</v>
      </c>
      <c r="D1174" s="2">
        <v>1.3149999999999999</v>
      </c>
      <c r="E1174" s="2">
        <v>26</v>
      </c>
      <c r="F1174" s="2" t="s">
        <v>66</v>
      </c>
    </row>
    <row r="1175" spans="1:6" ht="25.5">
      <c r="A1175" s="2">
        <v>1172</v>
      </c>
      <c r="B1175" s="2" t="s">
        <v>1233</v>
      </c>
      <c r="C1175" s="2" t="str">
        <f>"02941449"</f>
        <v>02941449</v>
      </c>
      <c r="D1175" s="2">
        <v>2.645</v>
      </c>
      <c r="E1175" s="2">
        <v>36</v>
      </c>
      <c r="F1175" s="2" t="s">
        <v>190</v>
      </c>
    </row>
    <row r="1176" spans="1:6" ht="25.5">
      <c r="A1176" s="2">
        <v>1173</v>
      </c>
      <c r="B1176" s="2" t="s">
        <v>1234</v>
      </c>
      <c r="C1176" s="2" t="str">
        <f>"02460203"</f>
        <v>02460203</v>
      </c>
      <c r="D1176" s="2">
        <v>1.3009999999999999</v>
      </c>
      <c r="E1176" s="2">
        <v>24</v>
      </c>
      <c r="F1176" s="2" t="s">
        <v>6</v>
      </c>
    </row>
    <row r="1177" spans="1:6" ht="25.5">
      <c r="A1177" s="2">
        <v>1174</v>
      </c>
      <c r="B1177" s="2" t="s">
        <v>1235</v>
      </c>
      <c r="C1177" s="2" t="str">
        <f>"00034118"</f>
        <v>00034118</v>
      </c>
      <c r="D1177" s="2">
        <v>0.14099999999999999</v>
      </c>
      <c r="E1177" s="2">
        <v>11</v>
      </c>
      <c r="F1177" s="2" t="s">
        <v>161</v>
      </c>
    </row>
    <row r="1178" spans="1:6" ht="25.5">
      <c r="A1178" s="2">
        <v>1175</v>
      </c>
      <c r="B1178" s="2" t="s">
        <v>1236</v>
      </c>
      <c r="C1178" s="2" t="str">
        <f>"00034266"</f>
        <v>00034266</v>
      </c>
      <c r="D1178" s="2">
        <v>0.32100000000000001</v>
      </c>
      <c r="E1178" s="2">
        <v>24</v>
      </c>
      <c r="F1178" s="2" t="s">
        <v>66</v>
      </c>
    </row>
    <row r="1179" spans="1:6" ht="25.5">
      <c r="A1179" s="2">
        <v>1176</v>
      </c>
      <c r="B1179" s="2" t="s">
        <v>1237</v>
      </c>
      <c r="C1179" s="2" t="str">
        <f>"07533969"</f>
        <v>07533969</v>
      </c>
      <c r="D1179" s="2">
        <v>0.26400000000000001</v>
      </c>
      <c r="E1179" s="2">
        <v>14</v>
      </c>
      <c r="F1179" s="2" t="s">
        <v>66</v>
      </c>
    </row>
    <row r="1180" spans="1:6" ht="25.5">
      <c r="A1180" s="2">
        <v>1177</v>
      </c>
      <c r="B1180" s="2" t="s">
        <v>1238</v>
      </c>
      <c r="C1180" s="2" t="str">
        <f>"02426498"</f>
        <v>02426498</v>
      </c>
      <c r="D1180" s="2">
        <v>0.125</v>
      </c>
      <c r="E1180" s="2">
        <v>19</v>
      </c>
      <c r="F1180" s="2" t="s">
        <v>66</v>
      </c>
    </row>
    <row r="1181" spans="1:6" ht="25.5">
      <c r="A1181" s="2">
        <v>1178</v>
      </c>
      <c r="B1181" s="2" t="s">
        <v>1239</v>
      </c>
      <c r="C1181" s="2" t="str">
        <f>"00034347"</f>
        <v>00034347</v>
      </c>
      <c r="D1181" s="2">
        <v>0.54100000000000004</v>
      </c>
      <c r="E1181" s="2">
        <v>18</v>
      </c>
      <c r="F1181" s="2" t="s">
        <v>66</v>
      </c>
    </row>
    <row r="1182" spans="1:6" ht="25.5">
      <c r="A1182" s="2">
        <v>1179</v>
      </c>
      <c r="B1182" s="2" t="s">
        <v>1240</v>
      </c>
      <c r="C1182" s="2" t="str">
        <f>"19619480"</f>
        <v>19619480</v>
      </c>
      <c r="D1182" s="2">
        <v>0.16400000000000001</v>
      </c>
      <c r="E1182" s="2">
        <v>2</v>
      </c>
      <c r="F1182" s="2" t="s">
        <v>66</v>
      </c>
    </row>
    <row r="1183" spans="1:6" ht="25.5">
      <c r="A1183" s="2">
        <v>1180</v>
      </c>
      <c r="B1183" s="2" t="s">
        <v>1241</v>
      </c>
      <c r="C1183" s="2" t="str">
        <f>"15841855"</f>
        <v>15841855</v>
      </c>
      <c r="D1183" s="2">
        <v>0.1</v>
      </c>
      <c r="E1183" s="2">
        <v>1</v>
      </c>
      <c r="F1183" s="2" t="s">
        <v>19</v>
      </c>
    </row>
    <row r="1184" spans="1:6" ht="25.5">
      <c r="A1184" s="2">
        <v>1181</v>
      </c>
      <c r="B1184" s="2" t="s">
        <v>1242</v>
      </c>
      <c r="C1184" s="2" t="str">
        <f>"03952649"</f>
        <v>03952649</v>
      </c>
      <c r="D1184" s="2">
        <v>0.25900000000000001</v>
      </c>
      <c r="E1184" s="2">
        <v>7</v>
      </c>
      <c r="F1184" s="2" t="s">
        <v>66</v>
      </c>
    </row>
    <row r="1185" spans="1:6" ht="25.5">
      <c r="A1185" s="2">
        <v>1182</v>
      </c>
      <c r="B1185" s="2" t="s">
        <v>1243</v>
      </c>
      <c r="C1185" s="2" t="str">
        <f>"07507658"</f>
        <v>07507658</v>
      </c>
      <c r="D1185" s="2">
        <v>0.23699999999999999</v>
      </c>
      <c r="E1185" s="2">
        <v>25</v>
      </c>
      <c r="F1185" s="2" t="s">
        <v>66</v>
      </c>
    </row>
    <row r="1186" spans="1:6" ht="25.5">
      <c r="A1186" s="2">
        <v>1183</v>
      </c>
      <c r="B1186" s="2" t="s">
        <v>1244</v>
      </c>
      <c r="C1186" s="2" t="str">
        <f>"21086591"</f>
        <v>21086591</v>
      </c>
      <c r="D1186" s="2">
        <v>0.11799999999999999</v>
      </c>
      <c r="E1186" s="2">
        <v>1</v>
      </c>
      <c r="F1186" s="2" t="s">
        <v>66</v>
      </c>
    </row>
    <row r="1187" spans="1:6" ht="25.5">
      <c r="A1187" s="2">
        <v>1184</v>
      </c>
      <c r="B1187" s="2" t="s">
        <v>1245</v>
      </c>
      <c r="C1187" s="2" t="str">
        <f>"14320576"</f>
        <v>14320576</v>
      </c>
      <c r="D1187" s="2">
        <v>1.151</v>
      </c>
      <c r="E1187" s="2">
        <v>57</v>
      </c>
      <c r="F1187" s="2" t="s">
        <v>12</v>
      </c>
    </row>
    <row r="1188" spans="1:6" ht="25.5">
      <c r="A1188" s="2">
        <v>1185</v>
      </c>
      <c r="B1188" s="2" t="s">
        <v>1246</v>
      </c>
      <c r="C1188" s="2" t="str">
        <f>"14240661"</f>
        <v>14240661</v>
      </c>
      <c r="D1188" s="2">
        <v>0.97699999999999998</v>
      </c>
      <c r="E1188" s="2">
        <v>26</v>
      </c>
      <c r="F1188" s="2" t="s">
        <v>31</v>
      </c>
    </row>
    <row r="1189" spans="1:6" ht="25.5">
      <c r="A1189" s="2">
        <v>1186</v>
      </c>
      <c r="B1189" s="2" t="s">
        <v>1247</v>
      </c>
      <c r="C1189" s="2" t="str">
        <f>"00034436"</f>
        <v>00034436</v>
      </c>
      <c r="D1189" s="2">
        <v>0.1</v>
      </c>
      <c r="E1189" s="2">
        <v>3</v>
      </c>
      <c r="F1189" s="2" t="s">
        <v>66</v>
      </c>
    </row>
    <row r="1190" spans="1:6" ht="25.5">
      <c r="A1190" s="2">
        <v>1187</v>
      </c>
      <c r="B1190" s="2" t="s">
        <v>1248</v>
      </c>
      <c r="C1190" s="2" t="str">
        <f>"17876117"</f>
        <v>17876117</v>
      </c>
      <c r="D1190" s="2">
        <v>0.18</v>
      </c>
      <c r="E1190" s="2">
        <v>2</v>
      </c>
      <c r="F1190" s="2" t="s">
        <v>135</v>
      </c>
    </row>
    <row r="1191" spans="1:6" ht="25.5">
      <c r="A1191" s="2">
        <v>1188</v>
      </c>
      <c r="B1191" s="2" t="s">
        <v>1249</v>
      </c>
      <c r="C1191" s="2" t="str">
        <f>"00034487"</f>
        <v>00034487</v>
      </c>
      <c r="D1191" s="2">
        <v>0.186</v>
      </c>
      <c r="E1191" s="2">
        <v>14</v>
      </c>
      <c r="F1191" s="2" t="s">
        <v>66</v>
      </c>
    </row>
    <row r="1192" spans="1:6" ht="25.5">
      <c r="A1192" s="2">
        <v>1189</v>
      </c>
      <c r="B1192" s="2" t="s">
        <v>1250</v>
      </c>
      <c r="C1192" s="2" t="str">
        <f>"00034509"</f>
        <v>00034509</v>
      </c>
      <c r="D1192" s="2">
        <v>0.24299999999999999</v>
      </c>
      <c r="E1192" s="2">
        <v>13</v>
      </c>
      <c r="F1192" s="2" t="s">
        <v>66</v>
      </c>
    </row>
    <row r="1193" spans="1:6" ht="25.5">
      <c r="A1193" s="2">
        <v>1190</v>
      </c>
      <c r="B1193" s="2" t="s">
        <v>1251</v>
      </c>
      <c r="C1193" s="2" t="str">
        <f>"17306272"</f>
        <v>17306272</v>
      </c>
      <c r="D1193" s="2">
        <v>0.317</v>
      </c>
      <c r="E1193" s="2">
        <v>7</v>
      </c>
      <c r="F1193" s="2" t="s">
        <v>169</v>
      </c>
    </row>
    <row r="1194" spans="1:6" ht="25.5">
      <c r="A1194" s="2">
        <v>1191</v>
      </c>
      <c r="B1194" s="2" t="s">
        <v>1252</v>
      </c>
      <c r="C1194" s="2" t="str">
        <f>"00129593"</f>
        <v>00129593</v>
      </c>
      <c r="D1194" s="2">
        <v>2.7709999999999999</v>
      </c>
      <c r="E1194" s="2">
        <v>27</v>
      </c>
      <c r="F1194" s="2" t="s">
        <v>66</v>
      </c>
    </row>
    <row r="1195" spans="1:6" ht="25.5">
      <c r="A1195" s="2">
        <v>1192</v>
      </c>
      <c r="B1195" s="2" t="s">
        <v>1253</v>
      </c>
      <c r="C1195" s="2" t="str">
        <f>"02089068"</f>
        <v>02089068</v>
      </c>
      <c r="D1195" s="2">
        <v>0.56699999999999995</v>
      </c>
      <c r="E1195" s="2">
        <v>9</v>
      </c>
      <c r="F1195" s="2" t="s">
        <v>169</v>
      </c>
    </row>
    <row r="1196" spans="1:6" ht="25.5">
      <c r="A1196" s="2">
        <v>1193</v>
      </c>
      <c r="B1196" s="2" t="s">
        <v>1254</v>
      </c>
      <c r="C1196" s="2" t="str">
        <f>"01371983"</f>
        <v>01371983</v>
      </c>
      <c r="D1196" s="2">
        <v>0.16300000000000001</v>
      </c>
      <c r="E1196" s="2">
        <v>3</v>
      </c>
      <c r="F1196" s="2" t="s">
        <v>16</v>
      </c>
    </row>
    <row r="1197" spans="1:6" ht="25.5">
      <c r="A1197" s="2">
        <v>1194</v>
      </c>
      <c r="B1197" s="2" t="s">
        <v>1255</v>
      </c>
      <c r="C1197" s="2" t="str">
        <f>"00034541"</f>
        <v>00034541</v>
      </c>
      <c r="D1197" s="2">
        <v>0.42</v>
      </c>
      <c r="E1197" s="2">
        <v>15</v>
      </c>
      <c r="F1197" s="2" t="s">
        <v>169</v>
      </c>
    </row>
    <row r="1198" spans="1:6" ht="25.5">
      <c r="A1198" s="2">
        <v>1195</v>
      </c>
      <c r="B1198" s="2" t="s">
        <v>1256</v>
      </c>
      <c r="C1198" s="2" t="str">
        <f>"0003455X"</f>
        <v>0003455X</v>
      </c>
      <c r="D1198" s="2">
        <v>0.54500000000000004</v>
      </c>
      <c r="E1198" s="2">
        <v>36</v>
      </c>
      <c r="F1198" s="2" t="s">
        <v>751</v>
      </c>
    </row>
    <row r="1199" spans="1:6" ht="25.5">
      <c r="A1199" s="2">
        <v>1196</v>
      </c>
      <c r="B1199" s="2" t="s">
        <v>1257</v>
      </c>
      <c r="C1199" s="2" t="str">
        <f>"0391173X"</f>
        <v>0391173X</v>
      </c>
      <c r="D1199" s="2">
        <v>1.1919999999999999</v>
      </c>
      <c r="E1199" s="2">
        <v>11</v>
      </c>
      <c r="F1199" s="2" t="s">
        <v>190</v>
      </c>
    </row>
    <row r="1200" spans="1:6" ht="25.5">
      <c r="A1200" s="2">
        <v>1197</v>
      </c>
      <c r="B1200" s="2" t="s">
        <v>1258</v>
      </c>
      <c r="C1200" s="2" t="str">
        <f>"00212571"</f>
        <v>00212571</v>
      </c>
      <c r="D1200" s="2">
        <v>0.26900000000000002</v>
      </c>
      <c r="E1200" s="2">
        <v>23</v>
      </c>
      <c r="F1200" s="2" t="s">
        <v>190</v>
      </c>
    </row>
    <row r="1201" spans="1:6" ht="25.5">
      <c r="A1201" s="2">
        <v>1198</v>
      </c>
      <c r="B1201" s="2" t="s">
        <v>1259</v>
      </c>
      <c r="C1201" s="2" t="str">
        <f>"18271510"</f>
        <v>18271510</v>
      </c>
      <c r="D1201" s="2">
        <v>0.57299999999999995</v>
      </c>
      <c r="E1201" s="2">
        <v>11</v>
      </c>
      <c r="F1201" s="2" t="s">
        <v>190</v>
      </c>
    </row>
    <row r="1202" spans="1:6" ht="25.5">
      <c r="A1202" s="2">
        <v>1199</v>
      </c>
      <c r="B1202" s="2" t="s">
        <v>1260</v>
      </c>
      <c r="C1202" s="2" t="str">
        <f>"11247169"</f>
        <v>11247169</v>
      </c>
      <c r="D1202" s="2">
        <v>0.10100000000000001</v>
      </c>
      <c r="E1202" s="2">
        <v>2</v>
      </c>
      <c r="F1202" s="2" t="s">
        <v>190</v>
      </c>
    </row>
    <row r="1203" spans="1:6" ht="25.5">
      <c r="A1203" s="2">
        <v>1200</v>
      </c>
      <c r="B1203" s="2" t="s">
        <v>1261</v>
      </c>
      <c r="C1203" s="2" t="str">
        <f>"11209135"</f>
        <v>11209135</v>
      </c>
      <c r="D1203" s="2">
        <v>0.114</v>
      </c>
      <c r="E1203" s="2">
        <v>10</v>
      </c>
      <c r="F1203" s="2" t="s">
        <v>190</v>
      </c>
    </row>
    <row r="1204" spans="1:6" ht="25.5">
      <c r="A1204" s="2">
        <v>1201</v>
      </c>
      <c r="B1204" s="2" t="s">
        <v>1262</v>
      </c>
      <c r="C1204" s="2" t="str">
        <f>"16181891"</f>
        <v>16181891</v>
      </c>
      <c r="D1204" s="2">
        <v>0.84</v>
      </c>
      <c r="E1204" s="2">
        <v>21</v>
      </c>
      <c r="F1204" s="2" t="s">
        <v>12</v>
      </c>
    </row>
    <row r="1205" spans="1:6" ht="25.5">
      <c r="A1205" s="2">
        <v>1202</v>
      </c>
      <c r="B1205" s="2" t="s">
        <v>1263</v>
      </c>
      <c r="C1205" s="2" t="str">
        <f>"11204001"</f>
        <v>11204001</v>
      </c>
      <c r="D1205" s="2">
        <v>0.123</v>
      </c>
      <c r="E1205" s="2">
        <v>2</v>
      </c>
      <c r="F1205" s="2" t="s">
        <v>190</v>
      </c>
    </row>
    <row r="1206" spans="1:6" ht="25.5">
      <c r="A1206" s="2">
        <v>1203</v>
      </c>
      <c r="B1206" s="2" t="s">
        <v>1264</v>
      </c>
      <c r="C1206" s="2" t="str">
        <f>"0003469X"</f>
        <v>0003469X</v>
      </c>
      <c r="D1206" s="2">
        <v>0.17299999999999999</v>
      </c>
      <c r="E1206" s="2">
        <v>13</v>
      </c>
      <c r="F1206" s="2" t="s">
        <v>190</v>
      </c>
    </row>
    <row r="1207" spans="1:6" ht="25.5">
      <c r="A1207" s="2">
        <v>1204</v>
      </c>
      <c r="B1207" s="2" t="s">
        <v>1265</v>
      </c>
      <c r="C1207" s="2" t="str">
        <f>"15926826"</f>
        <v>15926826</v>
      </c>
      <c r="D1207" s="2">
        <v>0.13600000000000001</v>
      </c>
      <c r="E1207" s="2">
        <v>6</v>
      </c>
      <c r="F1207" s="2" t="s">
        <v>190</v>
      </c>
    </row>
    <row r="1208" spans="1:6" ht="25.5">
      <c r="A1208" s="2">
        <v>1205</v>
      </c>
      <c r="B1208" s="2" t="s">
        <v>1266</v>
      </c>
      <c r="C1208" s="2" t="str">
        <f>"15963519"</f>
        <v>15963519</v>
      </c>
      <c r="D1208" s="2">
        <v>0.21</v>
      </c>
      <c r="E1208" s="2">
        <v>8</v>
      </c>
      <c r="F1208" s="2" t="s">
        <v>488</v>
      </c>
    </row>
    <row r="1209" spans="1:6" ht="25.5">
      <c r="A1209" s="2">
        <v>1206</v>
      </c>
      <c r="B1209" s="2" t="s">
        <v>1267</v>
      </c>
      <c r="C1209" s="2" t="str">
        <f>"09719660"</f>
        <v>09719660</v>
      </c>
      <c r="D1209" s="2">
        <v>0.1</v>
      </c>
      <c r="E1209" s="2">
        <v>2</v>
      </c>
      <c r="F1209" s="2" t="s">
        <v>488</v>
      </c>
    </row>
    <row r="1210" spans="1:6" ht="25.5">
      <c r="A1210" s="2">
        <v>1207</v>
      </c>
      <c r="B1210" s="2" t="s">
        <v>1268</v>
      </c>
      <c r="C1210" s="2" t="str">
        <f>"12321966"</f>
        <v>12321966</v>
      </c>
      <c r="D1210" s="2">
        <v>0.42199999999999999</v>
      </c>
      <c r="E1210" s="2">
        <v>33</v>
      </c>
      <c r="F1210" s="2" t="s">
        <v>169</v>
      </c>
    </row>
    <row r="1211" spans="1:6" ht="25.5">
      <c r="A1211" s="2">
        <v>1208</v>
      </c>
      <c r="B1211" s="2" t="s">
        <v>1269</v>
      </c>
      <c r="C1211" s="2" t="str">
        <f>"15344436"</f>
        <v>15344436</v>
      </c>
      <c r="D1211" s="2">
        <v>0.876</v>
      </c>
      <c r="E1211" s="2">
        <v>74</v>
      </c>
      <c r="F1211" s="2" t="s">
        <v>6</v>
      </c>
    </row>
    <row r="1212" spans="1:6" ht="25.5">
      <c r="A1212" s="2">
        <v>1209</v>
      </c>
      <c r="B1212" s="2" t="s">
        <v>1270</v>
      </c>
      <c r="C1212" s="2" t="str">
        <f>"09409602"</f>
        <v>09409602</v>
      </c>
      <c r="D1212" s="2">
        <v>0.53200000000000003</v>
      </c>
      <c r="E1212" s="2">
        <v>28</v>
      </c>
      <c r="F1212" s="2" t="s">
        <v>12</v>
      </c>
    </row>
    <row r="1213" spans="1:6" ht="25.5">
      <c r="A1213" s="2">
        <v>1210</v>
      </c>
      <c r="B1213" s="2" t="s">
        <v>1271</v>
      </c>
      <c r="C1213" s="2" t="str">
        <f>"16423402"</f>
        <v>16423402</v>
      </c>
      <c r="D1213" s="2">
        <v>0.23</v>
      </c>
      <c r="E1213" s="2">
        <v>4</v>
      </c>
      <c r="F1213" s="2" t="s">
        <v>169</v>
      </c>
    </row>
    <row r="1214" spans="1:6" ht="25.5">
      <c r="A1214" s="2">
        <v>1211</v>
      </c>
      <c r="B1214" s="2" t="s">
        <v>1272</v>
      </c>
      <c r="C1214" s="2" t="str">
        <f>"2153957X"</f>
        <v>2153957X</v>
      </c>
      <c r="D1214" s="2">
        <v>0.11600000000000001</v>
      </c>
      <c r="E1214" s="2">
        <v>1</v>
      </c>
      <c r="F1214" s="2" t="s">
        <v>16</v>
      </c>
    </row>
    <row r="1215" spans="1:6" ht="25.5">
      <c r="A1215" s="2">
        <v>1212</v>
      </c>
      <c r="B1215" s="2" t="s">
        <v>1273</v>
      </c>
      <c r="C1215" s="2" t="str">
        <f>"00034746"</f>
        <v>00034746</v>
      </c>
      <c r="D1215" s="2">
        <v>0.83399999999999996</v>
      </c>
      <c r="E1215" s="2">
        <v>41</v>
      </c>
      <c r="F1215" s="2" t="s">
        <v>16</v>
      </c>
    </row>
    <row r="1216" spans="1:6" ht="25.5">
      <c r="A1216" s="2">
        <v>1213</v>
      </c>
      <c r="B1216" s="2" t="s">
        <v>1274</v>
      </c>
      <c r="C1216" s="2" t="str">
        <f>"10505164"</f>
        <v>10505164</v>
      </c>
      <c r="D1216" s="2">
        <v>1.1240000000000001</v>
      </c>
      <c r="E1216" s="2">
        <v>44</v>
      </c>
      <c r="F1216" s="2" t="s">
        <v>6</v>
      </c>
    </row>
    <row r="1217" spans="1:6" ht="25.5">
      <c r="A1217" s="2">
        <v>1214</v>
      </c>
      <c r="B1217" s="2" t="s">
        <v>1275</v>
      </c>
      <c r="C1217" s="2" t="str">
        <f>"15324796"</f>
        <v>15324796</v>
      </c>
      <c r="D1217" s="2">
        <v>1.591</v>
      </c>
      <c r="E1217" s="2">
        <v>74</v>
      </c>
      <c r="F1217" s="2" t="s">
        <v>6</v>
      </c>
    </row>
    <row r="1218" spans="1:6" ht="25.5">
      <c r="A1218" s="2">
        <v>1215</v>
      </c>
      <c r="B1218" s="2" t="s">
        <v>1276</v>
      </c>
      <c r="C1218" s="2" t="str">
        <f>"09700153"</f>
        <v>09700153</v>
      </c>
      <c r="D1218" s="2">
        <v>0.1</v>
      </c>
      <c r="E1218" s="2">
        <v>3</v>
      </c>
      <c r="F1218" s="2" t="s">
        <v>488</v>
      </c>
    </row>
    <row r="1219" spans="1:6" ht="25.5">
      <c r="A1219" s="2">
        <v>1216</v>
      </c>
      <c r="B1219" s="2" t="s">
        <v>1277</v>
      </c>
      <c r="C1219" s="2" t="str">
        <f>"15216047"</f>
        <v>15216047</v>
      </c>
      <c r="D1219" s="2">
        <v>0.81200000000000006</v>
      </c>
      <c r="E1219" s="2">
        <v>73</v>
      </c>
      <c r="F1219" s="2" t="s">
        <v>75</v>
      </c>
    </row>
    <row r="1220" spans="1:6" ht="25.5">
      <c r="A1220" s="2">
        <v>1217</v>
      </c>
      <c r="B1220" s="2" t="s">
        <v>1278</v>
      </c>
      <c r="C1220" s="2" t="str">
        <f>"10958290"</f>
        <v>10958290</v>
      </c>
      <c r="D1220" s="2">
        <v>1.542</v>
      </c>
      <c r="E1220" s="2">
        <v>94</v>
      </c>
      <c r="F1220" s="2" t="s">
        <v>16</v>
      </c>
    </row>
    <row r="1221" spans="1:6" ht="25.5">
      <c r="A1221" s="2">
        <v>1218</v>
      </c>
      <c r="B1221" s="2" t="s">
        <v>1279</v>
      </c>
      <c r="C1221" s="2" t="str">
        <f>"13446835"</f>
        <v>13446835</v>
      </c>
      <c r="D1221" s="2">
        <v>0.13</v>
      </c>
      <c r="E1221" s="2">
        <v>5</v>
      </c>
      <c r="F1221" s="2" t="s">
        <v>6</v>
      </c>
    </row>
    <row r="1222" spans="1:6" ht="25.5">
      <c r="A1222" s="2">
        <v>1219</v>
      </c>
      <c r="B1222" s="2" t="s">
        <v>1280</v>
      </c>
      <c r="C1222" s="2" t="str">
        <f>"09745181"</f>
        <v>09745181</v>
      </c>
      <c r="D1222" s="2">
        <v>0.28299999999999997</v>
      </c>
      <c r="E1222" s="2">
        <v>10</v>
      </c>
      <c r="F1222" s="2" t="s">
        <v>488</v>
      </c>
    </row>
    <row r="1223" spans="1:6" ht="25.5">
      <c r="A1223" s="2">
        <v>1220</v>
      </c>
      <c r="B1223" s="2" t="s">
        <v>1281</v>
      </c>
      <c r="C1223" s="2" t="str">
        <f>"00974463"</f>
        <v>00974463</v>
      </c>
      <c r="D1223" s="2">
        <v>0.374</v>
      </c>
      <c r="E1223" s="2">
        <v>17</v>
      </c>
      <c r="F1223" s="2" t="s">
        <v>6</v>
      </c>
    </row>
    <row r="1224" spans="1:6" ht="25.5">
      <c r="A1224" s="2">
        <v>1221</v>
      </c>
      <c r="B1224" s="2" t="s">
        <v>1282</v>
      </c>
      <c r="C1224" s="2" t="str">
        <f>"00917370"</f>
        <v>00917370</v>
      </c>
      <c r="D1224" s="2">
        <v>0.34</v>
      </c>
      <c r="E1224" s="2">
        <v>34</v>
      </c>
      <c r="F1224" s="2" t="s">
        <v>6</v>
      </c>
    </row>
    <row r="1225" spans="1:6" ht="25.5">
      <c r="A1225" s="2">
        <v>1222</v>
      </c>
      <c r="B1225" s="2" t="s">
        <v>1283</v>
      </c>
      <c r="C1225" s="2" t="str">
        <f>"17581001"</f>
        <v>17581001</v>
      </c>
      <c r="D1225" s="2">
        <v>0.64400000000000002</v>
      </c>
      <c r="E1225" s="2">
        <v>53</v>
      </c>
      <c r="F1225" s="2" t="s">
        <v>16</v>
      </c>
    </row>
    <row r="1226" spans="1:6" ht="25.5">
      <c r="A1226" s="2">
        <v>1223</v>
      </c>
      <c r="B1226" s="2" t="s">
        <v>1284</v>
      </c>
      <c r="C1226" s="2" t="str">
        <f>"14760711"</f>
        <v>14760711</v>
      </c>
      <c r="D1226" s="2">
        <v>0.64500000000000002</v>
      </c>
      <c r="E1226" s="2">
        <v>26</v>
      </c>
      <c r="F1226" s="2" t="s">
        <v>16</v>
      </c>
    </row>
    <row r="1227" spans="1:6" ht="25.5">
      <c r="A1227" s="2">
        <v>1224</v>
      </c>
      <c r="B1227" s="2" t="s">
        <v>1285</v>
      </c>
      <c r="C1227" s="2" t="str">
        <f>"15473325"</f>
        <v>15473325</v>
      </c>
      <c r="D1227" s="2">
        <v>0.72</v>
      </c>
      <c r="E1227" s="2">
        <v>47</v>
      </c>
      <c r="F1227" s="2" t="s">
        <v>6</v>
      </c>
    </row>
    <row r="1228" spans="1:6" ht="25.5">
      <c r="A1228" s="2">
        <v>1225</v>
      </c>
      <c r="B1228" s="2" t="s">
        <v>1286</v>
      </c>
      <c r="C1228" s="2" t="str">
        <f>"02193094"</f>
        <v>02193094</v>
      </c>
      <c r="D1228" s="2">
        <v>0.38300000000000001</v>
      </c>
      <c r="E1228" s="2">
        <v>11</v>
      </c>
      <c r="F1228" s="2" t="s">
        <v>31</v>
      </c>
    </row>
    <row r="1229" spans="1:6" ht="25.5">
      <c r="A1229" s="2">
        <v>1226</v>
      </c>
      <c r="B1229" s="2" t="s">
        <v>1287</v>
      </c>
      <c r="C1229" s="2" t="str">
        <f>"10139087"</f>
        <v>10139087</v>
      </c>
      <c r="D1229" s="2">
        <v>0.38100000000000001</v>
      </c>
      <c r="E1229" s="2">
        <v>8</v>
      </c>
      <c r="F1229" s="2" t="s">
        <v>274</v>
      </c>
    </row>
    <row r="1230" spans="1:6" ht="25.5">
      <c r="A1230" s="2">
        <v>1227</v>
      </c>
      <c r="B1230" s="2" t="s">
        <v>1288</v>
      </c>
      <c r="C1230" s="2" t="str">
        <f>"15328198"</f>
        <v>15328198</v>
      </c>
      <c r="D1230" s="2">
        <v>0.40400000000000003</v>
      </c>
      <c r="E1230" s="2">
        <v>33</v>
      </c>
      <c r="F1230" s="2" t="s">
        <v>16</v>
      </c>
    </row>
    <row r="1231" spans="1:6" ht="25.5">
      <c r="A1231" s="2">
        <v>1228</v>
      </c>
      <c r="B1231" s="2" t="s">
        <v>1289</v>
      </c>
      <c r="C1231" s="2" t="str">
        <f>"19347243"</f>
        <v>19347243</v>
      </c>
      <c r="D1231" s="2">
        <v>0.73799999999999999</v>
      </c>
      <c r="E1231" s="2">
        <v>29</v>
      </c>
      <c r="F1231" s="2" t="s">
        <v>6</v>
      </c>
    </row>
    <row r="1232" spans="1:6" ht="25.5">
      <c r="A1232" s="2">
        <v>1229</v>
      </c>
      <c r="B1232" s="2" t="s">
        <v>1290</v>
      </c>
      <c r="C1232" s="2" t="str">
        <f>"15297373"</f>
        <v>15297373</v>
      </c>
      <c r="D1232" s="2">
        <v>0.65200000000000002</v>
      </c>
      <c r="E1232" s="2">
        <v>3</v>
      </c>
      <c r="F1232" s="2" t="s">
        <v>46</v>
      </c>
    </row>
    <row r="1233" spans="1:6" ht="25.5">
      <c r="A1233" s="2">
        <v>1230</v>
      </c>
      <c r="B1233" s="2" t="s">
        <v>1291</v>
      </c>
      <c r="C1233" s="2" t="str">
        <f>"10976760"</f>
        <v>10976760</v>
      </c>
      <c r="D1233" s="2">
        <v>1.4</v>
      </c>
      <c r="E1233" s="2">
        <v>94</v>
      </c>
      <c r="F1233" s="2" t="s">
        <v>6</v>
      </c>
    </row>
    <row r="1234" spans="1:6" ht="25.5">
      <c r="A1234" s="2">
        <v>1231</v>
      </c>
      <c r="B1234" s="2" t="s">
        <v>1292</v>
      </c>
      <c r="C1234" s="2" t="str">
        <f>"10472797"</f>
        <v>10472797</v>
      </c>
      <c r="D1234" s="2">
        <v>1.3560000000000001</v>
      </c>
      <c r="E1234" s="2">
        <v>78</v>
      </c>
      <c r="F1234" s="2" t="s">
        <v>6</v>
      </c>
    </row>
    <row r="1235" spans="1:6" ht="25.5">
      <c r="A1235" s="2">
        <v>1232</v>
      </c>
      <c r="B1235" s="2" t="s">
        <v>1293</v>
      </c>
      <c r="C1235" s="2" t="str">
        <f>"15441717"</f>
        <v>15441717</v>
      </c>
      <c r="D1235" s="2">
        <v>1.54</v>
      </c>
      <c r="E1235" s="2">
        <v>58</v>
      </c>
      <c r="F1235" s="2" t="s">
        <v>6</v>
      </c>
    </row>
    <row r="1236" spans="1:6" ht="25.5">
      <c r="A1236" s="2">
        <v>1233</v>
      </c>
      <c r="B1236" s="2" t="s">
        <v>1294</v>
      </c>
      <c r="C1236" s="2" t="str">
        <f>"16142454"</f>
        <v>16142454</v>
      </c>
      <c r="D1236" s="2">
        <v>0.53700000000000003</v>
      </c>
      <c r="E1236" s="2">
        <v>10</v>
      </c>
      <c r="F1236" s="2" t="s">
        <v>12</v>
      </c>
    </row>
    <row r="1237" spans="1:6" ht="25.5">
      <c r="A1237" s="2">
        <v>1234</v>
      </c>
      <c r="B1237" s="2" t="s">
        <v>1295</v>
      </c>
      <c r="C1237" s="2" t="str">
        <f>"20652445"</f>
        <v>20652445</v>
      </c>
      <c r="D1237" s="2">
        <v>0.16800000000000001</v>
      </c>
      <c r="E1237" s="2">
        <v>2</v>
      </c>
      <c r="F1237" s="2" t="s">
        <v>19</v>
      </c>
    </row>
    <row r="1238" spans="1:6" ht="25.5">
      <c r="A1238" s="2">
        <v>1235</v>
      </c>
      <c r="B1238" s="2" t="s">
        <v>1296</v>
      </c>
      <c r="C1238" s="2" t="str">
        <f>"1297966X"</f>
        <v>1297966X</v>
      </c>
      <c r="D1238" s="2">
        <v>0.83699999999999997</v>
      </c>
      <c r="E1238" s="2">
        <v>43</v>
      </c>
      <c r="F1238" s="2" t="s">
        <v>66</v>
      </c>
    </row>
    <row r="1239" spans="1:6" ht="25.5">
      <c r="A1239" s="2">
        <v>1236</v>
      </c>
      <c r="B1239" s="2" t="s">
        <v>1297</v>
      </c>
      <c r="C1239" s="2" t="str">
        <f>"12243450"</f>
        <v>12243450</v>
      </c>
      <c r="D1239" s="2">
        <v>0.10100000000000001</v>
      </c>
      <c r="E1239" s="2">
        <v>1</v>
      </c>
      <c r="F1239" s="2" t="s">
        <v>19</v>
      </c>
    </row>
    <row r="1240" spans="1:6" ht="25.5">
      <c r="A1240" s="2">
        <v>1237</v>
      </c>
      <c r="B1240" s="2" t="s">
        <v>1298</v>
      </c>
      <c r="C1240" s="2" t="str">
        <f>"11087471"</f>
        <v>11087471</v>
      </c>
      <c r="D1240" s="2">
        <v>0.122</v>
      </c>
      <c r="E1240" s="2">
        <v>5</v>
      </c>
      <c r="F1240" s="2" t="s">
        <v>313</v>
      </c>
    </row>
    <row r="1241" spans="1:6" ht="25.5">
      <c r="A1241" s="2">
        <v>1238</v>
      </c>
      <c r="B1241" s="2" t="s">
        <v>1299</v>
      </c>
      <c r="C1241" s="2" t="str">
        <f>"1744859X"</f>
        <v>1744859X</v>
      </c>
      <c r="D1241" s="2">
        <v>0.59399999999999997</v>
      </c>
      <c r="E1241" s="2">
        <v>21</v>
      </c>
      <c r="F1241" s="2" t="s">
        <v>16</v>
      </c>
    </row>
    <row r="1242" spans="1:6" ht="25.5">
      <c r="A1242" s="2">
        <v>1239</v>
      </c>
      <c r="B1242" s="2" t="s">
        <v>1300</v>
      </c>
      <c r="C1242" s="2" t="str">
        <f>"15935213"</f>
        <v>15935213</v>
      </c>
      <c r="D1242" s="2">
        <v>0.50700000000000001</v>
      </c>
      <c r="E1242" s="2">
        <v>25</v>
      </c>
      <c r="F1242" s="2" t="s">
        <v>190</v>
      </c>
    </row>
    <row r="1243" spans="1:6" ht="25.5">
      <c r="A1243" s="2">
        <v>1240</v>
      </c>
      <c r="B1243" s="2" t="s">
        <v>1301</v>
      </c>
      <c r="C1243" s="2" t="str">
        <f>"02603055"</f>
        <v>02603055</v>
      </c>
      <c r="D1243" s="2">
        <v>1.4490000000000001</v>
      </c>
      <c r="E1243" s="2">
        <v>45</v>
      </c>
      <c r="F1243" s="2" t="s">
        <v>16</v>
      </c>
    </row>
    <row r="1244" spans="1:6" ht="25.5">
      <c r="A1244" s="2">
        <v>1241</v>
      </c>
      <c r="B1244" s="2" t="s">
        <v>1302</v>
      </c>
      <c r="C1244" s="2" t="str">
        <f>"15729060"</f>
        <v>15729060</v>
      </c>
      <c r="D1244" s="2">
        <v>0.92100000000000004</v>
      </c>
      <c r="E1244" s="2">
        <v>19</v>
      </c>
      <c r="F1244" s="2" t="s">
        <v>75</v>
      </c>
    </row>
    <row r="1245" spans="1:6" ht="25.5">
      <c r="A1245" s="2">
        <v>1242</v>
      </c>
      <c r="B1245" s="2" t="s">
        <v>1303</v>
      </c>
      <c r="C1245" s="2" t="str">
        <f>"10752994"</f>
        <v>10752994</v>
      </c>
      <c r="D1245" s="2">
        <v>0.11600000000000001</v>
      </c>
      <c r="E1245" s="2">
        <v>6</v>
      </c>
      <c r="F1245" s="2" t="s">
        <v>6</v>
      </c>
    </row>
    <row r="1246" spans="1:6" ht="25.5">
      <c r="A1246" s="2">
        <v>1243</v>
      </c>
      <c r="B1246" s="2" t="s">
        <v>1304</v>
      </c>
      <c r="C1246" s="2" t="str">
        <f>"14320584"</f>
        <v>14320584</v>
      </c>
      <c r="D1246" s="2">
        <v>0.80400000000000005</v>
      </c>
      <c r="E1246" s="2">
        <v>54</v>
      </c>
      <c r="F1246" s="2" t="s">
        <v>12</v>
      </c>
    </row>
    <row r="1247" spans="1:6" ht="25.5">
      <c r="A1247" s="2">
        <v>1244</v>
      </c>
      <c r="B1247" s="2" t="s">
        <v>1305</v>
      </c>
      <c r="C1247" s="2" t="str">
        <f>"16652681"</f>
        <v>16652681</v>
      </c>
      <c r="D1247" s="2">
        <v>0.44800000000000001</v>
      </c>
      <c r="E1247" s="2">
        <v>26</v>
      </c>
      <c r="F1247" s="2" t="s">
        <v>200</v>
      </c>
    </row>
    <row r="1248" spans="1:6" ht="25.5">
      <c r="A1248" s="2">
        <v>1245</v>
      </c>
      <c r="B1248" s="2" t="s">
        <v>1306</v>
      </c>
      <c r="C1248" s="2" t="str">
        <f>"14645033"</f>
        <v>14645033</v>
      </c>
      <c r="D1248" s="2">
        <v>0.64700000000000002</v>
      </c>
      <c r="E1248" s="2">
        <v>36</v>
      </c>
      <c r="F1248" s="2" t="s">
        <v>16</v>
      </c>
    </row>
    <row r="1249" spans="1:6" ht="25.5">
      <c r="A1249" s="2">
        <v>1246</v>
      </c>
      <c r="B1249" s="2" t="s">
        <v>1307</v>
      </c>
      <c r="C1249" s="2" t="str">
        <f>"14691809"</f>
        <v>14691809</v>
      </c>
      <c r="D1249" s="2">
        <v>0.84</v>
      </c>
      <c r="E1249" s="2">
        <v>61</v>
      </c>
      <c r="F1249" s="2" t="s">
        <v>16</v>
      </c>
    </row>
    <row r="1250" spans="1:6" ht="25.5">
      <c r="A1250" s="2">
        <v>1247</v>
      </c>
      <c r="B1250" s="2" t="s">
        <v>1308</v>
      </c>
      <c r="C1250" s="2" t="str">
        <f>"09722327"</f>
        <v>09722327</v>
      </c>
      <c r="D1250" s="2">
        <v>0.21199999999999999</v>
      </c>
      <c r="E1250" s="2">
        <v>6</v>
      </c>
      <c r="F1250" s="2" t="s">
        <v>488</v>
      </c>
    </row>
    <row r="1251" spans="1:6" ht="25.5">
      <c r="A1251" s="2">
        <v>1248</v>
      </c>
      <c r="B1251" s="2" t="s">
        <v>1309</v>
      </c>
      <c r="C1251" s="2" t="str">
        <f>"21105820"</f>
        <v>21105820</v>
      </c>
      <c r="D1251" s="2">
        <v>1.35</v>
      </c>
      <c r="E1251" s="2">
        <v>4</v>
      </c>
      <c r="F1251" s="2" t="s">
        <v>12</v>
      </c>
    </row>
    <row r="1252" spans="1:6" ht="25.5">
      <c r="A1252" s="2">
        <v>1249</v>
      </c>
      <c r="B1252" s="2" t="s">
        <v>1310</v>
      </c>
      <c r="C1252" s="2" t="str">
        <f>"15393704"</f>
        <v>15393704</v>
      </c>
      <c r="D1252" s="2">
        <v>5.0609999999999999</v>
      </c>
      <c r="E1252" s="2">
        <v>263</v>
      </c>
      <c r="F1252" s="2" t="s">
        <v>6</v>
      </c>
    </row>
    <row r="1253" spans="1:6" ht="25.5">
      <c r="A1253" s="2">
        <v>1250</v>
      </c>
      <c r="B1253" s="2" t="s">
        <v>1311</v>
      </c>
      <c r="C1253" s="2" t="str">
        <f>"22343814"</f>
        <v>22343814</v>
      </c>
      <c r="D1253" s="2">
        <v>0.26100000000000001</v>
      </c>
      <c r="E1253" s="2">
        <v>10</v>
      </c>
      <c r="F1253" s="2" t="s">
        <v>274</v>
      </c>
    </row>
    <row r="1254" spans="1:6" ht="25.5">
      <c r="A1254" s="2">
        <v>1251</v>
      </c>
      <c r="B1254" s="2" t="s">
        <v>1312</v>
      </c>
      <c r="C1254" s="2" t="str">
        <f>"09752404"</f>
        <v>09752404</v>
      </c>
      <c r="D1254" s="2">
        <v>0.13700000000000001</v>
      </c>
      <c r="E1254" s="2">
        <v>2</v>
      </c>
      <c r="F1254" s="2" t="s">
        <v>488</v>
      </c>
    </row>
    <row r="1255" spans="1:6" ht="25.5">
      <c r="A1255" s="2">
        <v>1252</v>
      </c>
      <c r="B1255" s="2" t="s">
        <v>1313</v>
      </c>
      <c r="C1255" s="2" t="str">
        <f>"15247929"</f>
        <v>15247929</v>
      </c>
      <c r="D1255" s="2">
        <v>0.14099999999999999</v>
      </c>
      <c r="E1255" s="2">
        <v>11</v>
      </c>
      <c r="F1255" s="2" t="s">
        <v>6</v>
      </c>
    </row>
    <row r="1256" spans="1:6" ht="25.5">
      <c r="A1256" s="2">
        <v>1253</v>
      </c>
      <c r="B1256" s="2" t="s">
        <v>1314</v>
      </c>
      <c r="C1256" s="2" t="str">
        <f>"0003486X"</f>
        <v>0003486X</v>
      </c>
      <c r="D1256" s="2">
        <v>6.3019999999999996</v>
      </c>
      <c r="E1256" s="2">
        <v>59</v>
      </c>
      <c r="F1256" s="2" t="s">
        <v>6</v>
      </c>
    </row>
    <row r="1257" spans="1:6" ht="25.5">
      <c r="A1257" s="2">
        <v>1254</v>
      </c>
      <c r="B1257" s="2" t="s">
        <v>1315</v>
      </c>
      <c r="C1257" s="2" t="str">
        <f>"15737470"</f>
        <v>15737470</v>
      </c>
      <c r="D1257" s="2">
        <v>0.55600000000000005</v>
      </c>
      <c r="E1257" s="2">
        <v>33</v>
      </c>
      <c r="F1257" s="2" t="s">
        <v>75</v>
      </c>
    </row>
    <row r="1258" spans="1:6" ht="25.5">
      <c r="A1258" s="2">
        <v>1255</v>
      </c>
      <c r="B1258" s="2" t="s">
        <v>1316</v>
      </c>
      <c r="C1258" s="2" t="str">
        <f>"00662313"</f>
        <v>00662313</v>
      </c>
      <c r="D1258" s="2">
        <v>2.7360000000000002</v>
      </c>
      <c r="E1258" s="2">
        <v>9</v>
      </c>
      <c r="F1258" s="2" t="s">
        <v>6</v>
      </c>
    </row>
    <row r="1259" spans="1:6" ht="25.5">
      <c r="A1259" s="2">
        <v>1256</v>
      </c>
      <c r="B1259" s="2" t="s">
        <v>1317</v>
      </c>
      <c r="C1259" s="2" t="str">
        <f>"16512219"</f>
        <v>16512219</v>
      </c>
      <c r="D1259" s="2">
        <v>1.4930000000000001</v>
      </c>
      <c r="E1259" s="2">
        <v>77</v>
      </c>
      <c r="F1259" s="2" t="s">
        <v>16</v>
      </c>
    </row>
    <row r="1260" spans="1:6" ht="25.5">
      <c r="A1260" s="2">
        <v>1257</v>
      </c>
      <c r="B1260" s="2" t="s">
        <v>1318</v>
      </c>
      <c r="C1260" s="2" t="str">
        <f>"15904261"</f>
        <v>15904261</v>
      </c>
      <c r="D1260" s="2">
        <v>0.39700000000000002</v>
      </c>
      <c r="E1260" s="2">
        <v>18</v>
      </c>
      <c r="F1260" s="2" t="s">
        <v>12</v>
      </c>
    </row>
    <row r="1261" spans="1:6" ht="25.5">
      <c r="A1261" s="2">
        <v>1258</v>
      </c>
      <c r="B1261" s="2" t="s">
        <v>1319</v>
      </c>
      <c r="C1261" s="2" t="str">
        <f>"15318249"</f>
        <v>15318249</v>
      </c>
      <c r="D1261" s="2">
        <v>4.4169999999999998</v>
      </c>
      <c r="E1261" s="2">
        <v>199</v>
      </c>
      <c r="F1261" s="2" t="s">
        <v>6</v>
      </c>
    </row>
    <row r="1262" spans="1:6" ht="25.5">
      <c r="A1262" s="2">
        <v>1259</v>
      </c>
      <c r="B1262" s="2" t="s">
        <v>1320</v>
      </c>
      <c r="C1262" s="2" t="str">
        <f>"09763260"</f>
        <v>09763260</v>
      </c>
      <c r="D1262" s="2">
        <v>0.107</v>
      </c>
      <c r="E1262" s="2">
        <v>1</v>
      </c>
      <c r="F1262" s="2" t="s">
        <v>488</v>
      </c>
    </row>
    <row r="1263" spans="1:6" ht="25.5">
      <c r="A1263" s="2">
        <v>1260</v>
      </c>
      <c r="B1263" s="2" t="s">
        <v>1321</v>
      </c>
      <c r="C1263" s="2" t="str">
        <f>"1542474X"</f>
        <v>1542474X</v>
      </c>
      <c r="D1263" s="2">
        <v>0.36099999999999999</v>
      </c>
      <c r="E1263" s="2">
        <v>28</v>
      </c>
      <c r="F1263" s="2" t="s">
        <v>16</v>
      </c>
    </row>
    <row r="1264" spans="1:6" ht="25.5">
      <c r="A1264" s="2">
        <v>1261</v>
      </c>
      <c r="B1264" s="2" t="s">
        <v>1322</v>
      </c>
      <c r="C1264" s="2" t="str">
        <f>"18732100"</f>
        <v>18732100</v>
      </c>
      <c r="D1264" s="2">
        <v>0.84799999999999998</v>
      </c>
      <c r="E1264" s="2">
        <v>30</v>
      </c>
      <c r="F1264" s="2" t="s">
        <v>16</v>
      </c>
    </row>
    <row r="1265" spans="1:6" ht="25.5">
      <c r="A1265" s="2">
        <v>1262</v>
      </c>
      <c r="B1265" s="2" t="s">
        <v>1323</v>
      </c>
      <c r="C1265" s="2" t="str">
        <f>"09147187"</f>
        <v>09147187</v>
      </c>
      <c r="D1265" s="2">
        <v>0.58199999999999996</v>
      </c>
      <c r="E1265" s="2">
        <v>34</v>
      </c>
      <c r="F1265" s="2" t="s">
        <v>131</v>
      </c>
    </row>
    <row r="1266" spans="1:6" ht="25.5">
      <c r="A1266" s="2">
        <v>1263</v>
      </c>
      <c r="B1266" s="2" t="s">
        <v>1324</v>
      </c>
      <c r="C1266" s="2" t="str">
        <f>"14219697"</f>
        <v>14219697</v>
      </c>
      <c r="D1266" s="2">
        <v>0.73299999999999998</v>
      </c>
      <c r="E1266" s="2">
        <v>44</v>
      </c>
      <c r="F1266" s="2" t="s">
        <v>31</v>
      </c>
    </row>
    <row r="1267" spans="1:6" ht="25.5">
      <c r="A1267" s="2">
        <v>1264</v>
      </c>
      <c r="B1267" s="2" t="s">
        <v>1325</v>
      </c>
      <c r="C1267" s="2" t="str">
        <f>"14753162"</f>
        <v>14753162</v>
      </c>
      <c r="D1267" s="2">
        <v>0.84299999999999997</v>
      </c>
      <c r="E1267" s="2">
        <v>44</v>
      </c>
      <c r="F1267" s="2" t="s">
        <v>16</v>
      </c>
    </row>
    <row r="1268" spans="1:6" ht="25.5">
      <c r="A1268" s="2">
        <v>1265</v>
      </c>
      <c r="B1268" s="2" t="s">
        <v>1326</v>
      </c>
      <c r="C1268" s="2" t="str">
        <f>"15698041"</f>
        <v>15698041</v>
      </c>
      <c r="D1268" s="2">
        <v>2.5790000000000002</v>
      </c>
      <c r="E1268" s="2">
        <v>133</v>
      </c>
      <c r="F1268" s="2" t="s">
        <v>16</v>
      </c>
    </row>
    <row r="1269" spans="1:6" ht="25.5">
      <c r="A1269" s="2">
        <v>1266</v>
      </c>
      <c r="B1269" s="2" t="s">
        <v>1327</v>
      </c>
      <c r="C1269" s="2" t="str">
        <f>"15729338"</f>
        <v>15729338</v>
      </c>
      <c r="D1269" s="2">
        <v>1.1739999999999999</v>
      </c>
      <c r="E1269" s="2">
        <v>56</v>
      </c>
      <c r="F1269" s="2" t="s">
        <v>75</v>
      </c>
    </row>
    <row r="1270" spans="1:6" ht="25.5">
      <c r="A1270" s="2">
        <v>1267</v>
      </c>
      <c r="B1270" s="2" t="s">
        <v>1328</v>
      </c>
      <c r="C1270" s="2" t="str">
        <f>"00034894"</f>
        <v>00034894</v>
      </c>
      <c r="D1270" s="2">
        <v>0.876</v>
      </c>
      <c r="E1270" s="2">
        <v>56</v>
      </c>
      <c r="F1270" s="2" t="s">
        <v>6</v>
      </c>
    </row>
    <row r="1271" spans="1:6" ht="25.5">
      <c r="A1271" s="2">
        <v>1268</v>
      </c>
      <c r="B1271" s="2" t="s">
        <v>1329</v>
      </c>
      <c r="C1271" s="2" t="str">
        <f>"00968056"</f>
        <v>00968056</v>
      </c>
      <c r="D1271" s="2">
        <v>1.1180000000000001</v>
      </c>
      <c r="E1271" s="2">
        <v>21</v>
      </c>
      <c r="F1271" s="2" t="s">
        <v>6</v>
      </c>
    </row>
    <row r="1272" spans="1:6" ht="25.5">
      <c r="A1272" s="2">
        <v>1269</v>
      </c>
      <c r="B1272" s="2" t="s">
        <v>1330</v>
      </c>
      <c r="C1272" s="2" t="str">
        <f>"22990631"</f>
        <v>22990631</v>
      </c>
      <c r="D1272" s="2">
        <v>0.156</v>
      </c>
      <c r="E1272" s="2">
        <v>11</v>
      </c>
      <c r="F1272" s="2" t="s">
        <v>169</v>
      </c>
    </row>
    <row r="1273" spans="1:6" ht="25.5">
      <c r="A1273" s="2">
        <v>1270</v>
      </c>
      <c r="B1273" s="2" t="s">
        <v>1331</v>
      </c>
      <c r="C1273" s="2" t="str">
        <f>"09745149"</f>
        <v>09745149</v>
      </c>
      <c r="D1273" s="2">
        <v>0.16600000000000001</v>
      </c>
      <c r="E1273" s="2">
        <v>4</v>
      </c>
      <c r="F1273" s="2" t="s">
        <v>488</v>
      </c>
    </row>
    <row r="1274" spans="1:6" ht="25.5">
      <c r="A1274" s="2">
        <v>1271</v>
      </c>
      <c r="B1274" s="2" t="s">
        <v>1332</v>
      </c>
      <c r="C1274" s="2" t="str">
        <f>"16874137"</f>
        <v>16874137</v>
      </c>
      <c r="D1274" s="2">
        <v>0.161</v>
      </c>
      <c r="E1274" s="2">
        <v>1</v>
      </c>
      <c r="F1274" s="2" t="s">
        <v>523</v>
      </c>
    </row>
    <row r="1275" spans="1:6" ht="25.5">
      <c r="A1275" s="2">
        <v>1272</v>
      </c>
      <c r="B1275" s="2" t="s">
        <v>1333</v>
      </c>
      <c r="C1275" s="2" t="str">
        <f>"15426270"</f>
        <v>15426270</v>
      </c>
      <c r="D1275" s="2">
        <v>0.82099999999999995</v>
      </c>
      <c r="E1275" s="2">
        <v>75</v>
      </c>
      <c r="F1275" s="2" t="s">
        <v>6</v>
      </c>
    </row>
    <row r="1276" spans="1:6" ht="25.5">
      <c r="A1276" s="2">
        <v>1273</v>
      </c>
      <c r="B1276" s="2" t="s">
        <v>1334</v>
      </c>
      <c r="C1276" s="2" t="str">
        <f>"18770657"</f>
        <v>18770657</v>
      </c>
      <c r="D1276" s="2">
        <v>0.53200000000000003</v>
      </c>
      <c r="E1276" s="2">
        <v>19</v>
      </c>
      <c r="F1276" s="2" t="s">
        <v>66</v>
      </c>
    </row>
    <row r="1277" spans="1:6" ht="25.5">
      <c r="A1277" s="2">
        <v>1274</v>
      </c>
      <c r="B1277" s="2" t="s">
        <v>1335</v>
      </c>
      <c r="C1277" s="2" t="str">
        <f>"1096035X"</f>
        <v>1096035X</v>
      </c>
      <c r="D1277" s="2">
        <v>2.004</v>
      </c>
      <c r="E1277" s="2">
        <v>62</v>
      </c>
      <c r="F1277" s="2" t="s">
        <v>6</v>
      </c>
    </row>
    <row r="1278" spans="1:6" ht="25.5">
      <c r="A1278" s="2">
        <v>1275</v>
      </c>
      <c r="B1278" s="2" t="s">
        <v>1336</v>
      </c>
      <c r="C1278" s="2" t="str">
        <f>"15363708"</f>
        <v>15363708</v>
      </c>
      <c r="D1278" s="2">
        <v>0.77</v>
      </c>
      <c r="E1278" s="2">
        <v>56</v>
      </c>
      <c r="F1278" s="2" t="s">
        <v>6</v>
      </c>
    </row>
    <row r="1279" spans="1:6" ht="25.5">
      <c r="A1279" s="2">
        <v>1276</v>
      </c>
      <c r="B1279" s="2" t="s">
        <v>1337</v>
      </c>
      <c r="C1279" s="2" t="str">
        <f>"00911798"</f>
        <v>00911798</v>
      </c>
      <c r="D1279" s="2">
        <v>2.1549999999999998</v>
      </c>
      <c r="E1279" s="2">
        <v>46</v>
      </c>
      <c r="F1279" s="2" t="s">
        <v>6</v>
      </c>
    </row>
    <row r="1280" spans="1:6" ht="25.5">
      <c r="A1280" s="2">
        <v>1277</v>
      </c>
      <c r="B1280" s="2" t="s">
        <v>1338</v>
      </c>
      <c r="C1280" s="2" t="str">
        <f>"14678292"</f>
        <v>14678292</v>
      </c>
      <c r="D1280" s="2">
        <v>0.39300000000000002</v>
      </c>
      <c r="E1280" s="2">
        <v>14</v>
      </c>
      <c r="F1280" s="2" t="s">
        <v>6</v>
      </c>
    </row>
    <row r="1281" spans="1:6" ht="25.5">
      <c r="A1281" s="2">
        <v>1278</v>
      </c>
      <c r="B1281" s="2" t="s">
        <v>1339</v>
      </c>
      <c r="C1281" s="2" t="str">
        <f>"01680072"</f>
        <v>01680072</v>
      </c>
      <c r="D1281" s="2">
        <v>1.002</v>
      </c>
      <c r="E1281" s="2">
        <v>28</v>
      </c>
      <c r="F1281" s="2" t="s">
        <v>75</v>
      </c>
    </row>
    <row r="1282" spans="1:6" ht="25.5">
      <c r="A1282" s="2">
        <v>1279</v>
      </c>
      <c r="B1282" s="2" t="s">
        <v>1340</v>
      </c>
      <c r="C1282" s="2" t="str">
        <f>"14320592"</f>
        <v>14320592</v>
      </c>
      <c r="D1282" s="2">
        <v>0.624</v>
      </c>
      <c r="E1282" s="2">
        <v>29</v>
      </c>
      <c r="F1282" s="2" t="s">
        <v>12</v>
      </c>
    </row>
    <row r="1283" spans="1:6" ht="25.5">
      <c r="A1283" s="2">
        <v>1280</v>
      </c>
      <c r="B1283" s="2" t="s">
        <v>1341</v>
      </c>
      <c r="C1283" s="2" t="str">
        <f>"22340653"</f>
        <v>22340653</v>
      </c>
      <c r="D1283" s="2">
        <v>0</v>
      </c>
      <c r="E1283" s="2">
        <v>1</v>
      </c>
      <c r="F1283" s="2" t="s">
        <v>274</v>
      </c>
    </row>
    <row r="1284" spans="1:6" ht="25.5">
      <c r="A1284" s="2">
        <v>1281</v>
      </c>
      <c r="B1284" s="2" t="s">
        <v>1342</v>
      </c>
      <c r="C1284" s="2" t="str">
        <f>"20424701"</f>
        <v>20424701</v>
      </c>
      <c r="D1284" s="2">
        <v>0.10199999999999999</v>
      </c>
      <c r="E1284" s="2">
        <v>1</v>
      </c>
      <c r="F1284" s="2" t="s">
        <v>16</v>
      </c>
    </row>
    <row r="1285" spans="1:6" ht="25.5">
      <c r="A1285" s="2">
        <v>1282</v>
      </c>
      <c r="B1285" s="2" t="s">
        <v>1343</v>
      </c>
      <c r="C1285" s="2" t="str">
        <f>"02564947"</f>
        <v>02564947</v>
      </c>
      <c r="D1285" s="2">
        <v>0.375</v>
      </c>
      <c r="E1285" s="2">
        <v>20</v>
      </c>
      <c r="F1285" s="2" t="s">
        <v>488</v>
      </c>
    </row>
    <row r="1286" spans="1:6" ht="25.5">
      <c r="A1286" s="2">
        <v>1283</v>
      </c>
      <c r="B1286" s="2" t="s">
        <v>1344</v>
      </c>
      <c r="C1286" s="2" t="str">
        <f>"1464505X"</f>
        <v>1464505X</v>
      </c>
      <c r="D1286" s="2">
        <v>0.20100000000000001</v>
      </c>
      <c r="E1286" s="2">
        <v>9</v>
      </c>
      <c r="F1286" s="2" t="s">
        <v>16</v>
      </c>
    </row>
    <row r="1287" spans="1:6" ht="25.5">
      <c r="A1287" s="2">
        <v>1284</v>
      </c>
      <c r="B1287" s="2" t="s">
        <v>1345</v>
      </c>
      <c r="C1287" s="2" t="str">
        <f>"18676936"</f>
        <v>18676936</v>
      </c>
      <c r="D1287" s="2">
        <v>0.24299999999999999</v>
      </c>
      <c r="E1287" s="2">
        <v>2</v>
      </c>
      <c r="F1287" s="2" t="s">
        <v>12</v>
      </c>
    </row>
    <row r="1288" spans="1:6" ht="25.5">
      <c r="A1288" s="2">
        <v>1285</v>
      </c>
      <c r="B1288" s="2" t="s">
        <v>1346</v>
      </c>
      <c r="C1288" s="2" t="str">
        <f>"00905364"</f>
        <v>00905364</v>
      </c>
      <c r="D1288" s="2">
        <v>7.3419999999999996</v>
      </c>
      <c r="E1288" s="2">
        <v>82</v>
      </c>
      <c r="F1288" s="2" t="s">
        <v>6</v>
      </c>
    </row>
    <row r="1289" spans="1:6" ht="25.5">
      <c r="A1289" s="2">
        <v>1286</v>
      </c>
      <c r="B1289" s="2" t="s">
        <v>1347</v>
      </c>
      <c r="C1289" s="2" t="str">
        <f>"15281140"</f>
        <v>15281140</v>
      </c>
      <c r="D1289" s="2">
        <v>3.0059999999999998</v>
      </c>
      <c r="E1289" s="2">
        <v>198</v>
      </c>
      <c r="F1289" s="2" t="s">
        <v>6</v>
      </c>
    </row>
    <row r="1290" spans="1:6">
      <c r="A1290" s="2">
        <v>1287</v>
      </c>
      <c r="B1290" s="2" t="s">
        <v>1348</v>
      </c>
      <c r="C1290" s="2" t="str">
        <f>"0"</f>
        <v>0</v>
      </c>
      <c r="D1290" s="2">
        <v>0.23599999999999999</v>
      </c>
      <c r="E1290" s="2">
        <v>6</v>
      </c>
      <c r="F1290" s="2" t="s">
        <v>16</v>
      </c>
    </row>
    <row r="1291" spans="1:6" ht="25.5">
      <c r="A1291" s="2">
        <v>1288</v>
      </c>
      <c r="B1291" s="2" t="s">
        <v>1349</v>
      </c>
      <c r="C1291" s="2" t="str">
        <f>"15344681"</f>
        <v>15344681</v>
      </c>
      <c r="D1291" s="2">
        <v>1.7929999999999999</v>
      </c>
      <c r="E1291" s="2">
        <v>102</v>
      </c>
      <c r="F1291" s="2" t="s">
        <v>6</v>
      </c>
    </row>
    <row r="1292" spans="1:6" ht="25.5">
      <c r="A1292" s="2">
        <v>1289</v>
      </c>
      <c r="B1292" s="2" t="s">
        <v>1350</v>
      </c>
      <c r="C1292" s="2" t="str">
        <f>"03044602"</f>
        <v>03044602</v>
      </c>
      <c r="D1292" s="2">
        <v>0.43</v>
      </c>
      <c r="E1292" s="2">
        <v>35</v>
      </c>
      <c r="F1292" s="2" t="s">
        <v>543</v>
      </c>
    </row>
    <row r="1293" spans="1:6" ht="25.5">
      <c r="A1293" s="2">
        <v>1290</v>
      </c>
      <c r="B1293" s="2" t="s">
        <v>1351</v>
      </c>
      <c r="C1293" s="2" t="str">
        <f>"20666594"</f>
        <v>20666594</v>
      </c>
      <c r="D1293" s="2">
        <v>0.192</v>
      </c>
      <c r="E1293" s="2">
        <v>2</v>
      </c>
      <c r="F1293" s="2" t="s">
        <v>19</v>
      </c>
    </row>
    <row r="1294" spans="1:6" ht="25.5">
      <c r="A1294" s="2">
        <v>1291</v>
      </c>
      <c r="B1294" s="2" t="s">
        <v>1352</v>
      </c>
      <c r="C1294" s="2" t="str">
        <f>"00027162"</f>
        <v>00027162</v>
      </c>
      <c r="D1294" s="2">
        <v>0.67300000000000004</v>
      </c>
      <c r="E1294" s="2">
        <v>44</v>
      </c>
      <c r="F1294" s="2" t="s">
        <v>6</v>
      </c>
    </row>
    <row r="1295" spans="1:6" ht="25.5">
      <c r="A1295" s="2">
        <v>1292</v>
      </c>
      <c r="B1295" s="2" t="s">
        <v>1353</v>
      </c>
      <c r="C1295" s="2" t="str">
        <f>"14678306"</f>
        <v>14678306</v>
      </c>
      <c r="D1295" s="2">
        <v>1.3160000000000001</v>
      </c>
      <c r="E1295" s="2">
        <v>62</v>
      </c>
      <c r="F1295" s="2" t="s">
        <v>6</v>
      </c>
    </row>
    <row r="1296" spans="1:6" ht="25.5">
      <c r="A1296" s="2">
        <v>1293</v>
      </c>
      <c r="B1296" s="2" t="s">
        <v>1354</v>
      </c>
      <c r="C1296" s="2" t="str">
        <f>"00138746"</f>
        <v>00138746</v>
      </c>
      <c r="D1296" s="2">
        <v>0.65200000000000002</v>
      </c>
      <c r="E1296" s="2">
        <v>42</v>
      </c>
      <c r="F1296" s="2" t="s">
        <v>6</v>
      </c>
    </row>
    <row r="1297" spans="1:6" ht="25.5">
      <c r="A1297" s="2">
        <v>1294</v>
      </c>
      <c r="B1297" s="2" t="s">
        <v>1355</v>
      </c>
      <c r="C1297" s="2" t="str">
        <f>"1872969X"</f>
        <v>1872969X</v>
      </c>
      <c r="D1297" s="2">
        <v>0.16700000000000001</v>
      </c>
      <c r="E1297" s="2">
        <v>19</v>
      </c>
      <c r="F1297" s="2" t="s">
        <v>16</v>
      </c>
    </row>
    <row r="1298" spans="1:6" ht="25.5">
      <c r="A1298" s="2">
        <v>1295</v>
      </c>
      <c r="B1298" s="2" t="s">
        <v>1356</v>
      </c>
      <c r="C1298" s="2" t="str">
        <f>"00203157"</f>
        <v>00203157</v>
      </c>
      <c r="D1298" s="2">
        <v>0.89900000000000002</v>
      </c>
      <c r="E1298" s="2">
        <v>24</v>
      </c>
      <c r="F1298" s="2" t="s">
        <v>75</v>
      </c>
    </row>
    <row r="1299" spans="1:6" ht="25.5">
      <c r="A1299" s="2">
        <v>1296</v>
      </c>
      <c r="B1299" s="2" t="s">
        <v>1357</v>
      </c>
      <c r="C1299" s="2" t="str">
        <f>"00266493"</f>
        <v>00266493</v>
      </c>
      <c r="D1299" s="2">
        <v>1.32</v>
      </c>
      <c r="E1299" s="2">
        <v>46</v>
      </c>
      <c r="F1299" s="2" t="s">
        <v>6</v>
      </c>
    </row>
    <row r="1300" spans="1:6" ht="25.5">
      <c r="A1300" s="2">
        <v>1297</v>
      </c>
      <c r="B1300" s="2" t="s">
        <v>1358</v>
      </c>
      <c r="C1300" s="2" t="str">
        <f>"00778923"</f>
        <v>00778923</v>
      </c>
      <c r="D1300" s="2">
        <v>1.3360000000000001</v>
      </c>
      <c r="E1300" s="2">
        <v>143</v>
      </c>
      <c r="F1300" s="2" t="s">
        <v>16</v>
      </c>
    </row>
    <row r="1301" spans="1:6" ht="25.5">
      <c r="A1301" s="2">
        <v>1298</v>
      </c>
      <c r="B1301" s="2" t="s">
        <v>1359</v>
      </c>
      <c r="C1301" s="2" t="str">
        <f>"14682060"</f>
        <v>14682060</v>
      </c>
      <c r="D1301" s="2">
        <v>4.0999999999999996</v>
      </c>
      <c r="E1301" s="2">
        <v>132</v>
      </c>
      <c r="F1301" s="2" t="s">
        <v>16</v>
      </c>
    </row>
    <row r="1302" spans="1:6" ht="25.5">
      <c r="A1302" s="2">
        <v>1299</v>
      </c>
      <c r="B1302" s="2" t="s">
        <v>1360</v>
      </c>
      <c r="C1302" s="2" t="str">
        <f>"15836258"</f>
        <v>15836258</v>
      </c>
      <c r="D1302" s="2">
        <v>0.192</v>
      </c>
      <c r="E1302" s="2">
        <v>2</v>
      </c>
      <c r="F1302" s="2" t="s">
        <v>19</v>
      </c>
    </row>
    <row r="1303" spans="1:6" ht="25.5">
      <c r="A1303" s="2">
        <v>1300</v>
      </c>
      <c r="B1303" s="2" t="s">
        <v>1361</v>
      </c>
      <c r="C1303" s="2" t="str">
        <f>"00358843"</f>
        <v>00358843</v>
      </c>
      <c r="D1303" s="2">
        <v>0.34</v>
      </c>
      <c r="E1303" s="2">
        <v>39</v>
      </c>
      <c r="F1303" s="2" t="s">
        <v>16</v>
      </c>
    </row>
    <row r="1304" spans="1:6" ht="25.5">
      <c r="A1304" s="2">
        <v>1301</v>
      </c>
      <c r="B1304" s="2" t="s">
        <v>1362</v>
      </c>
      <c r="C1304" s="2" t="str">
        <f>"2068259X"</f>
        <v>2068259X</v>
      </c>
      <c r="D1304" s="2">
        <v>0</v>
      </c>
      <c r="E1304" s="2">
        <v>0</v>
      </c>
      <c r="F1304" s="2" t="s">
        <v>19</v>
      </c>
    </row>
    <row r="1305" spans="1:6" ht="25.5">
      <c r="A1305" s="2">
        <v>1302</v>
      </c>
      <c r="B1305" s="2" t="s">
        <v>1363</v>
      </c>
      <c r="C1305" s="2" t="str">
        <f>"22469958"</f>
        <v>22469958</v>
      </c>
      <c r="D1305" s="2">
        <v>0.111</v>
      </c>
      <c r="E1305" s="2">
        <v>1</v>
      </c>
      <c r="F1305" s="2" t="s">
        <v>19</v>
      </c>
    </row>
    <row r="1306" spans="1:6" ht="25.5">
      <c r="A1306" s="2">
        <v>1303</v>
      </c>
      <c r="B1306" s="2" t="s">
        <v>1364</v>
      </c>
      <c r="C1306" s="2" t="str">
        <f>"12236039"</f>
        <v>12236039</v>
      </c>
      <c r="D1306" s="2">
        <v>0.11700000000000001</v>
      </c>
      <c r="E1306" s="2">
        <v>1</v>
      </c>
      <c r="F1306" s="2" t="s">
        <v>19</v>
      </c>
    </row>
    <row r="1307" spans="1:6" ht="25.5">
      <c r="A1307" s="2">
        <v>1304</v>
      </c>
      <c r="B1307" s="2" t="s">
        <v>1365</v>
      </c>
      <c r="C1307" s="2" t="str">
        <f>"13411098"</f>
        <v>13411098</v>
      </c>
      <c r="D1307" s="2">
        <v>0.318</v>
      </c>
      <c r="E1307" s="2">
        <v>27</v>
      </c>
      <c r="F1307" s="2" t="s">
        <v>131</v>
      </c>
    </row>
    <row r="1308" spans="1:6" ht="25.5">
      <c r="A1308" s="2">
        <v>1305</v>
      </c>
      <c r="B1308" s="2" t="s">
        <v>1366</v>
      </c>
      <c r="C1308" s="2" t="str">
        <f>"19983557"</f>
        <v>19983557</v>
      </c>
      <c r="D1308" s="2">
        <v>0.38200000000000001</v>
      </c>
      <c r="E1308" s="2">
        <v>10</v>
      </c>
      <c r="F1308" s="2" t="s">
        <v>488</v>
      </c>
    </row>
    <row r="1309" spans="1:6" ht="25.5">
      <c r="A1309" s="2">
        <v>1306</v>
      </c>
      <c r="B1309" s="2" t="s">
        <v>1367</v>
      </c>
      <c r="C1309" s="2" t="str">
        <f>"15526259"</f>
        <v>15526259</v>
      </c>
      <c r="D1309" s="2">
        <v>1.4039999999999999</v>
      </c>
      <c r="E1309" s="2">
        <v>138</v>
      </c>
      <c r="F1309" s="2" t="s">
        <v>6</v>
      </c>
    </row>
    <row r="1310" spans="1:6" ht="25.5">
      <c r="A1310" s="2">
        <v>1307</v>
      </c>
      <c r="B1310" s="2" t="s">
        <v>1368</v>
      </c>
      <c r="C1310" s="2" t="str">
        <f>"01607383"</f>
        <v>01607383</v>
      </c>
      <c r="D1310" s="2">
        <v>1.431</v>
      </c>
      <c r="E1310" s="2">
        <v>70</v>
      </c>
      <c r="F1310" s="2" t="s">
        <v>16</v>
      </c>
    </row>
    <row r="1311" spans="1:6" ht="25.5">
      <c r="A1311" s="2">
        <v>1308</v>
      </c>
      <c r="B1311" s="2" t="s">
        <v>1369</v>
      </c>
      <c r="C1311" s="2" t="str">
        <f>"14259524"</f>
        <v>14259524</v>
      </c>
      <c r="D1311" s="2">
        <v>0.39900000000000002</v>
      </c>
      <c r="E1311" s="2">
        <v>24</v>
      </c>
      <c r="F1311" s="2" t="s">
        <v>169</v>
      </c>
    </row>
    <row r="1312" spans="1:6" ht="25.5">
      <c r="A1312" s="2">
        <v>1309</v>
      </c>
      <c r="B1312" s="2" t="s">
        <v>1370</v>
      </c>
      <c r="C1312" s="2" t="str">
        <f>"17556783"</f>
        <v>17556783</v>
      </c>
      <c r="D1312" s="2">
        <v>0.11799999999999999</v>
      </c>
      <c r="E1312" s="2">
        <v>2</v>
      </c>
      <c r="F1312" s="2" t="s">
        <v>488</v>
      </c>
    </row>
    <row r="1313" spans="1:6" ht="25.5">
      <c r="A1313" s="2">
        <v>1310</v>
      </c>
      <c r="B1313" s="2" t="s">
        <v>1371</v>
      </c>
      <c r="C1313" s="2" t="str">
        <f>"14653281"</f>
        <v>14653281</v>
      </c>
      <c r="D1313" s="2">
        <v>0.443</v>
      </c>
      <c r="E1313" s="2">
        <v>27</v>
      </c>
      <c r="F1313" s="2" t="s">
        <v>16</v>
      </c>
    </row>
    <row r="1314" spans="1:6" ht="25.5">
      <c r="A1314" s="2">
        <v>1311</v>
      </c>
      <c r="B1314" s="2" t="s">
        <v>1372</v>
      </c>
      <c r="C1314" s="2" t="str">
        <f>"16155947"</f>
        <v>16155947</v>
      </c>
      <c r="D1314" s="2">
        <v>0.53200000000000003</v>
      </c>
      <c r="E1314" s="2">
        <v>51</v>
      </c>
      <c r="F1314" s="2" t="s">
        <v>6</v>
      </c>
    </row>
    <row r="1315" spans="1:6" ht="25.5">
      <c r="A1315" s="2">
        <v>1312</v>
      </c>
      <c r="B1315" s="2" t="s">
        <v>1373</v>
      </c>
      <c r="C1315" s="2" t="str">
        <f>"00846473"</f>
        <v>00846473</v>
      </c>
      <c r="D1315" s="2">
        <v>0.1</v>
      </c>
      <c r="E1315" s="2">
        <v>1</v>
      </c>
      <c r="F1315" s="2" t="s">
        <v>66</v>
      </c>
    </row>
    <row r="1316" spans="1:6" ht="25.5">
      <c r="A1316" s="2">
        <v>1313</v>
      </c>
      <c r="B1316" s="2" t="s">
        <v>1374</v>
      </c>
      <c r="C1316" s="2" t="str">
        <f>"00035033"</f>
        <v>00035033</v>
      </c>
      <c r="D1316" s="2">
        <v>0.161</v>
      </c>
      <c r="E1316" s="2">
        <v>14</v>
      </c>
      <c r="F1316" s="2" t="s">
        <v>66</v>
      </c>
    </row>
    <row r="1317" spans="1:6" ht="25.5">
      <c r="A1317" s="2">
        <v>1314</v>
      </c>
      <c r="B1317" s="2" t="s">
        <v>1375</v>
      </c>
      <c r="C1317" s="2" t="str">
        <f>"0"</f>
        <v>0</v>
      </c>
      <c r="D1317" s="2">
        <v>0</v>
      </c>
      <c r="E1317" s="2">
        <v>0</v>
      </c>
      <c r="F1317" s="2" t="s">
        <v>6</v>
      </c>
    </row>
    <row r="1318" spans="1:6" ht="25.5">
      <c r="A1318" s="2">
        <v>1315</v>
      </c>
      <c r="B1318" s="2" t="s">
        <v>1376</v>
      </c>
      <c r="C1318" s="2" t="str">
        <f>"0"</f>
        <v>0</v>
      </c>
      <c r="D1318" s="2">
        <v>0</v>
      </c>
      <c r="E1318" s="2">
        <v>0</v>
      </c>
      <c r="F1318" s="2" t="s">
        <v>6</v>
      </c>
    </row>
    <row r="1319" spans="1:6" ht="25.5">
      <c r="A1319" s="2">
        <v>1316</v>
      </c>
      <c r="B1319" s="2" t="s">
        <v>1377</v>
      </c>
      <c r="C1319" s="2" t="str">
        <f>"10987789"</f>
        <v>10987789</v>
      </c>
      <c r="D1319" s="2">
        <v>0.1</v>
      </c>
      <c r="E1319" s="2">
        <v>19</v>
      </c>
      <c r="F1319" s="2" t="s">
        <v>6</v>
      </c>
    </row>
    <row r="1320" spans="1:6">
      <c r="A1320" s="2">
        <v>1317</v>
      </c>
      <c r="B1320" s="2" t="s">
        <v>1378</v>
      </c>
      <c r="C1320" s="2" t="str">
        <f>"0"</f>
        <v>0</v>
      </c>
      <c r="D1320" s="2">
        <v>0.1</v>
      </c>
      <c r="E1320" s="2">
        <v>2</v>
      </c>
      <c r="F1320" s="2" t="s">
        <v>304</v>
      </c>
    </row>
    <row r="1321" spans="1:6" ht="25.5">
      <c r="A1321" s="2">
        <v>1318</v>
      </c>
      <c r="B1321" s="2" t="s">
        <v>1379</v>
      </c>
      <c r="C1321" s="2" t="str">
        <f>"10652221"</f>
        <v>10652221</v>
      </c>
      <c r="D1321" s="2">
        <v>0.22</v>
      </c>
      <c r="E1321" s="2">
        <v>17</v>
      </c>
      <c r="F1321" s="2" t="s">
        <v>6</v>
      </c>
    </row>
    <row r="1322" spans="1:6" ht="25.5">
      <c r="A1322" s="2">
        <v>1319</v>
      </c>
      <c r="B1322" s="2" t="s">
        <v>1380</v>
      </c>
      <c r="C1322" s="2" t="str">
        <f>"00682454"</f>
        <v>00682454</v>
      </c>
      <c r="D1322" s="2">
        <v>0.318</v>
      </c>
      <c r="E1322" s="2">
        <v>5</v>
      </c>
      <c r="F1322" s="2" t="s">
        <v>16</v>
      </c>
    </row>
    <row r="1323" spans="1:6" ht="25.5">
      <c r="A1323" s="2">
        <v>1320</v>
      </c>
      <c r="B1323" s="2" t="s">
        <v>1381</v>
      </c>
      <c r="C1323" s="2" t="str">
        <f>"15741400"</f>
        <v>15741400</v>
      </c>
      <c r="D1323" s="2">
        <v>0.80700000000000005</v>
      </c>
      <c r="E1323" s="2">
        <v>13</v>
      </c>
      <c r="F1323" s="2" t="s">
        <v>75</v>
      </c>
    </row>
    <row r="1324" spans="1:6" ht="25.5">
      <c r="A1324" s="2">
        <v>1321</v>
      </c>
      <c r="B1324" s="2" t="s">
        <v>1382</v>
      </c>
      <c r="C1324" s="2" t="str">
        <f>"15578437"</f>
        <v>15578437</v>
      </c>
      <c r="D1324" s="2">
        <v>0.71499999999999997</v>
      </c>
      <c r="E1324" s="2">
        <v>29</v>
      </c>
      <c r="F1324" s="2" t="s">
        <v>6</v>
      </c>
    </row>
    <row r="1325" spans="1:6" ht="25.5">
      <c r="A1325" s="2">
        <v>1322</v>
      </c>
      <c r="B1325" s="2" t="s">
        <v>1383</v>
      </c>
      <c r="C1325" s="2" t="str">
        <f>"00664103"</f>
        <v>00664103</v>
      </c>
      <c r="D1325" s="2">
        <v>0.74299999999999999</v>
      </c>
      <c r="E1325" s="2">
        <v>25</v>
      </c>
      <c r="F1325" s="2" t="s">
        <v>6</v>
      </c>
    </row>
    <row r="1326" spans="1:6" ht="25.5">
      <c r="A1326" s="2">
        <v>1323</v>
      </c>
      <c r="B1326" s="2" t="s">
        <v>1384</v>
      </c>
      <c r="C1326" s="2" t="str">
        <f>"14604760"</f>
        <v>14604760</v>
      </c>
      <c r="D1326" s="2">
        <v>0.23100000000000001</v>
      </c>
      <c r="E1326" s="2">
        <v>12</v>
      </c>
      <c r="F1326" s="2" t="s">
        <v>16</v>
      </c>
    </row>
    <row r="1327" spans="1:6" ht="25.5">
      <c r="A1327" s="2">
        <v>1324</v>
      </c>
      <c r="B1327" s="2" t="s">
        <v>1385</v>
      </c>
      <c r="C1327" s="2" t="str">
        <f>"14604779"</f>
        <v>14604779</v>
      </c>
      <c r="D1327" s="2">
        <v>0.34799999999999998</v>
      </c>
      <c r="E1327" s="2">
        <v>10</v>
      </c>
      <c r="F1327" s="2" t="s">
        <v>16</v>
      </c>
    </row>
    <row r="1328" spans="1:6" ht="25.5">
      <c r="A1328" s="2">
        <v>1325</v>
      </c>
      <c r="B1328" s="2" t="s">
        <v>1386</v>
      </c>
      <c r="C1328" s="2" t="str">
        <f>"02601826"</f>
        <v>02601826</v>
      </c>
      <c r="D1328" s="2">
        <v>1.0149999999999999</v>
      </c>
      <c r="E1328" s="2">
        <v>20</v>
      </c>
      <c r="F1328" s="2" t="s">
        <v>16</v>
      </c>
    </row>
    <row r="1329" spans="1:6" ht="25.5">
      <c r="A1329" s="2">
        <v>1326</v>
      </c>
      <c r="B1329" s="2" t="s">
        <v>1387</v>
      </c>
      <c r="C1329" s="2" t="str">
        <f>"19361335"</f>
        <v>19361335</v>
      </c>
      <c r="D1329" s="2">
        <v>3.37</v>
      </c>
      <c r="E1329" s="2">
        <v>31</v>
      </c>
      <c r="F1329" s="2" t="s">
        <v>6</v>
      </c>
    </row>
    <row r="1330" spans="1:6" ht="25.5">
      <c r="A1330" s="2">
        <v>1327</v>
      </c>
      <c r="B1330" s="2" t="s">
        <v>1388</v>
      </c>
      <c r="C1330" s="2" t="str">
        <f>"15454290"</f>
        <v>15454290</v>
      </c>
      <c r="D1330" s="2">
        <v>1.2629999999999999</v>
      </c>
      <c r="E1330" s="2">
        <v>59</v>
      </c>
      <c r="F1330" s="2" t="s">
        <v>6</v>
      </c>
    </row>
    <row r="1331" spans="1:6" ht="25.5">
      <c r="A1331" s="2">
        <v>1328</v>
      </c>
      <c r="B1331" s="2" t="s">
        <v>1389</v>
      </c>
      <c r="C1331" s="2" t="str">
        <f>"02671905"</f>
        <v>02671905</v>
      </c>
      <c r="D1331" s="2">
        <v>0.70299999999999996</v>
      </c>
      <c r="E1331" s="2">
        <v>12</v>
      </c>
      <c r="F1331" s="2" t="s">
        <v>16</v>
      </c>
    </row>
    <row r="1332" spans="1:6" ht="25.5">
      <c r="A1332" s="2">
        <v>1329</v>
      </c>
      <c r="B1332" s="2" t="s">
        <v>1390</v>
      </c>
      <c r="C1332" s="2" t="str">
        <f>"15454282"</f>
        <v>15454282</v>
      </c>
      <c r="D1332" s="2">
        <v>15.028</v>
      </c>
      <c r="E1332" s="2">
        <v>116</v>
      </c>
      <c r="F1332" s="2" t="s">
        <v>6</v>
      </c>
    </row>
    <row r="1333" spans="1:6" ht="25.5">
      <c r="A1333" s="2">
        <v>1330</v>
      </c>
      <c r="B1333" s="2" t="s">
        <v>1391</v>
      </c>
      <c r="C1333" s="2" t="str">
        <f>"15454509"</f>
        <v>15454509</v>
      </c>
      <c r="D1333" s="2">
        <v>21.509</v>
      </c>
      <c r="E1333" s="2">
        <v>210</v>
      </c>
      <c r="F1333" s="2" t="s">
        <v>6</v>
      </c>
    </row>
    <row r="1334" spans="1:6" ht="25.5">
      <c r="A1334" s="2">
        <v>1331</v>
      </c>
      <c r="B1334" s="2" t="s">
        <v>1392</v>
      </c>
      <c r="C1334" s="2" t="str">
        <f>"15454274"</f>
        <v>15454274</v>
      </c>
      <c r="D1334" s="2">
        <v>3.5579999999999998</v>
      </c>
      <c r="E1334" s="2">
        <v>80</v>
      </c>
      <c r="F1334" s="2" t="s">
        <v>6</v>
      </c>
    </row>
    <row r="1335" spans="1:6" ht="25.5">
      <c r="A1335" s="2">
        <v>1332</v>
      </c>
      <c r="B1335" s="2" t="s">
        <v>1393</v>
      </c>
      <c r="C1335" s="2" t="str">
        <f>"15173011"</f>
        <v>15173011</v>
      </c>
      <c r="D1335" s="2">
        <v>0.16600000000000001</v>
      </c>
      <c r="E1335" s="2">
        <v>8</v>
      </c>
      <c r="F1335" s="2" t="s">
        <v>159</v>
      </c>
    </row>
    <row r="1336" spans="1:6" ht="25.5">
      <c r="A1336" s="2">
        <v>1333</v>
      </c>
      <c r="B1336" s="2" t="s">
        <v>1394</v>
      </c>
      <c r="C1336" s="2" t="str">
        <f>"1936122X"</f>
        <v>1936122X</v>
      </c>
      <c r="D1336" s="2">
        <v>7.8959999999999999</v>
      </c>
      <c r="E1336" s="2">
        <v>109</v>
      </c>
      <c r="F1336" s="2" t="s">
        <v>6</v>
      </c>
    </row>
    <row r="1337" spans="1:6" ht="25.5">
      <c r="A1337" s="2">
        <v>1334</v>
      </c>
      <c r="B1337" s="2" t="s">
        <v>1395</v>
      </c>
      <c r="C1337" s="2" t="str">
        <f>"15308995"</f>
        <v>15308995</v>
      </c>
      <c r="D1337" s="2">
        <v>13.85</v>
      </c>
      <c r="E1337" s="2">
        <v>152</v>
      </c>
      <c r="F1337" s="2" t="s">
        <v>6</v>
      </c>
    </row>
    <row r="1338" spans="1:6" ht="25.5">
      <c r="A1338" s="2">
        <v>1335</v>
      </c>
      <c r="B1338" s="2" t="s">
        <v>1396</v>
      </c>
      <c r="C1338" s="2" t="str">
        <f>"19475446"</f>
        <v>19475446</v>
      </c>
      <c r="D1338" s="2">
        <v>2.508</v>
      </c>
      <c r="E1338" s="2">
        <v>14</v>
      </c>
      <c r="F1338" s="2" t="s">
        <v>6</v>
      </c>
    </row>
    <row r="1339" spans="1:6" ht="25.5">
      <c r="A1339" s="2">
        <v>1336</v>
      </c>
      <c r="B1339" s="2" t="s">
        <v>1397</v>
      </c>
      <c r="C1339" s="2" t="str">
        <f>"15485951"</f>
        <v>15485951</v>
      </c>
      <c r="D1339" s="2">
        <v>5.2</v>
      </c>
      <c r="E1339" s="2">
        <v>49</v>
      </c>
      <c r="F1339" s="2" t="s">
        <v>6</v>
      </c>
    </row>
    <row r="1340" spans="1:6" ht="25.5">
      <c r="A1340" s="2">
        <v>1337</v>
      </c>
      <c r="B1340" s="2" t="s">
        <v>1398</v>
      </c>
      <c r="C1340" s="2" t="str">
        <f>"15548716"</f>
        <v>15548716</v>
      </c>
      <c r="D1340" s="2">
        <v>0.105</v>
      </c>
      <c r="E1340" s="2">
        <v>3</v>
      </c>
      <c r="F1340" s="2" t="s">
        <v>161</v>
      </c>
    </row>
    <row r="1341" spans="1:6" ht="25.5">
      <c r="A1341" s="2">
        <v>1338</v>
      </c>
      <c r="B1341" s="2" t="s">
        <v>1399</v>
      </c>
      <c r="C1341" s="2" t="str">
        <f>"00846597"</f>
        <v>00846597</v>
      </c>
      <c r="D1341" s="2">
        <v>5.1520000000000001</v>
      </c>
      <c r="E1341" s="2">
        <v>84</v>
      </c>
      <c r="F1341" s="2" t="s">
        <v>6</v>
      </c>
    </row>
    <row r="1342" spans="1:6" ht="25.5">
      <c r="A1342" s="2">
        <v>1339</v>
      </c>
      <c r="B1342" s="2" t="s">
        <v>1400</v>
      </c>
      <c r="C1342" s="2" t="str">
        <f>"1543592X"</f>
        <v>1543592X</v>
      </c>
      <c r="D1342" s="2">
        <v>7.0190000000000001</v>
      </c>
      <c r="E1342" s="2">
        <v>125</v>
      </c>
      <c r="F1342" s="2" t="s">
        <v>6</v>
      </c>
    </row>
    <row r="1343" spans="1:6" ht="25.5">
      <c r="A1343" s="2">
        <v>1340</v>
      </c>
      <c r="B1343" s="2" t="s">
        <v>1401</v>
      </c>
      <c r="C1343" s="2" t="str">
        <f>"19411383"</f>
        <v>19411383</v>
      </c>
      <c r="D1343" s="2">
        <v>3.0960000000000001</v>
      </c>
      <c r="E1343" s="2">
        <v>6</v>
      </c>
      <c r="F1343" s="2" t="s">
        <v>6</v>
      </c>
    </row>
    <row r="1344" spans="1:6" ht="25.5">
      <c r="A1344" s="2">
        <v>1341</v>
      </c>
      <c r="B1344" s="2" t="s">
        <v>1402</v>
      </c>
      <c r="C1344" s="2" t="str">
        <f>"15454487"</f>
        <v>15454487</v>
      </c>
      <c r="D1344" s="2">
        <v>5.0439999999999996</v>
      </c>
      <c r="E1344" s="2">
        <v>112</v>
      </c>
      <c r="F1344" s="2" t="s">
        <v>6</v>
      </c>
    </row>
    <row r="1345" spans="1:6" ht="25.5">
      <c r="A1345" s="2">
        <v>1342</v>
      </c>
      <c r="B1345" s="2" t="s">
        <v>1403</v>
      </c>
      <c r="C1345" s="2" t="str">
        <f>"15452050"</f>
        <v>15452050</v>
      </c>
      <c r="D1345" s="2">
        <v>2.7559999999999998</v>
      </c>
      <c r="E1345" s="2">
        <v>53</v>
      </c>
      <c r="F1345" s="2" t="s">
        <v>6</v>
      </c>
    </row>
    <row r="1346" spans="1:6" ht="25.5">
      <c r="A1346" s="2">
        <v>1343</v>
      </c>
      <c r="B1346" s="2" t="s">
        <v>1404</v>
      </c>
      <c r="C1346" s="2" t="str">
        <f>"19411367"</f>
        <v>19411367</v>
      </c>
      <c r="D1346" s="2">
        <v>1.8080000000000001</v>
      </c>
      <c r="E1346" s="2">
        <v>4</v>
      </c>
      <c r="F1346" s="2" t="s">
        <v>6</v>
      </c>
    </row>
    <row r="1347" spans="1:6" ht="25.5">
      <c r="A1347" s="2">
        <v>1344</v>
      </c>
      <c r="B1347" s="2" t="s">
        <v>1405</v>
      </c>
      <c r="C1347" s="2" t="str">
        <f>"15454479"</f>
        <v>15454479</v>
      </c>
      <c r="D1347" s="2">
        <v>4.9829999999999997</v>
      </c>
      <c r="E1347" s="2">
        <v>98</v>
      </c>
      <c r="F1347" s="2" t="s">
        <v>6</v>
      </c>
    </row>
    <row r="1348" spans="1:6" ht="25.5">
      <c r="A1348" s="2">
        <v>1345</v>
      </c>
      <c r="B1348" s="2" t="s">
        <v>1406</v>
      </c>
      <c r="C1348" s="2" t="str">
        <f>"19411421"</f>
        <v>19411421</v>
      </c>
      <c r="D1348" s="2">
        <v>1.482</v>
      </c>
      <c r="E1348" s="2">
        <v>10</v>
      </c>
      <c r="F1348" s="2" t="s">
        <v>6</v>
      </c>
    </row>
    <row r="1349" spans="1:6" ht="25.5">
      <c r="A1349" s="2">
        <v>1346</v>
      </c>
      <c r="B1349" s="2" t="s">
        <v>1407</v>
      </c>
      <c r="C1349" s="2" t="str">
        <f>"15452948"</f>
        <v>15452948</v>
      </c>
      <c r="D1349" s="2">
        <v>15.420999999999999</v>
      </c>
      <c r="E1349" s="2">
        <v>127</v>
      </c>
      <c r="F1349" s="2" t="s">
        <v>6</v>
      </c>
    </row>
    <row r="1350" spans="1:6" ht="25.5">
      <c r="A1350" s="2">
        <v>1347</v>
      </c>
      <c r="B1350" s="2" t="s">
        <v>1408</v>
      </c>
      <c r="C1350" s="2" t="str">
        <f>"1545293X"</f>
        <v>1545293X</v>
      </c>
      <c r="D1350" s="2">
        <v>8.3629999999999995</v>
      </c>
      <c r="E1350" s="2">
        <v>75</v>
      </c>
      <c r="F1350" s="2" t="s">
        <v>6</v>
      </c>
    </row>
    <row r="1351" spans="1:6" ht="25.5">
      <c r="A1351" s="2">
        <v>1348</v>
      </c>
      <c r="B1351" s="2" t="s">
        <v>1409</v>
      </c>
      <c r="C1351" s="2" t="str">
        <f>"01988794"</f>
        <v>01988794</v>
      </c>
      <c r="D1351" s="2">
        <v>0.25800000000000001</v>
      </c>
      <c r="E1351" s="2">
        <v>2</v>
      </c>
      <c r="F1351" s="2" t="s">
        <v>6</v>
      </c>
    </row>
    <row r="1352" spans="1:6" ht="25.5">
      <c r="A1352" s="2">
        <v>1349</v>
      </c>
      <c r="B1352" s="2" t="s">
        <v>1410</v>
      </c>
      <c r="C1352" s="2" t="str">
        <f>"15453278"</f>
        <v>15453278</v>
      </c>
      <c r="D1352" s="2">
        <v>30.094999999999999</v>
      </c>
      <c r="E1352" s="2">
        <v>218</v>
      </c>
      <c r="F1352" s="2" t="s">
        <v>6</v>
      </c>
    </row>
    <row r="1353" spans="1:6" ht="25.5">
      <c r="A1353" s="2">
        <v>1350</v>
      </c>
      <c r="B1353" s="2" t="s">
        <v>1411</v>
      </c>
      <c r="C1353" s="2" t="str">
        <f>"15503585"</f>
        <v>15503585</v>
      </c>
      <c r="D1353" s="2">
        <v>0.65</v>
      </c>
      <c r="E1353" s="2">
        <v>12</v>
      </c>
      <c r="F1353" s="2" t="s">
        <v>6</v>
      </c>
    </row>
    <row r="1354" spans="1:6" ht="25.5">
      <c r="A1354" s="2">
        <v>1351</v>
      </c>
      <c r="B1354" s="2" t="s">
        <v>1412</v>
      </c>
      <c r="C1354" s="2" t="str">
        <f>"19411405"</f>
        <v>19411405</v>
      </c>
      <c r="D1354" s="2">
        <v>7.8460000000000001</v>
      </c>
      <c r="E1354" s="2">
        <v>27</v>
      </c>
      <c r="F1354" s="2" t="s">
        <v>6</v>
      </c>
    </row>
    <row r="1355" spans="1:6" ht="25.5">
      <c r="A1355" s="2">
        <v>1352</v>
      </c>
      <c r="B1355" s="2" t="s">
        <v>1413</v>
      </c>
      <c r="C1355" s="2" t="str">
        <f>"15454118"</f>
        <v>15454118</v>
      </c>
      <c r="D1355" s="2">
        <v>8.1829999999999998</v>
      </c>
      <c r="E1355" s="2">
        <v>92</v>
      </c>
      <c r="F1355" s="2" t="s">
        <v>6</v>
      </c>
    </row>
    <row r="1356" spans="1:6" ht="25.5">
      <c r="A1356" s="2">
        <v>1353</v>
      </c>
      <c r="B1356" s="2" t="s">
        <v>1414</v>
      </c>
      <c r="C1356" s="2" t="str">
        <f>"1545326X"</f>
        <v>1545326X</v>
      </c>
      <c r="D1356" s="2">
        <v>6.1959999999999997</v>
      </c>
      <c r="E1356" s="2">
        <v>107</v>
      </c>
      <c r="F1356" s="2" t="s">
        <v>6</v>
      </c>
    </row>
    <row r="1357" spans="1:6" ht="25.5">
      <c r="A1357" s="2">
        <v>1354</v>
      </c>
      <c r="B1357" s="2" t="s">
        <v>1415</v>
      </c>
      <c r="C1357" s="2" t="str">
        <f>"15453251"</f>
        <v>15453251</v>
      </c>
      <c r="D1357" s="2">
        <v>7.2549999999999999</v>
      </c>
      <c r="E1357" s="2">
        <v>128</v>
      </c>
      <c r="F1357" s="2" t="s">
        <v>6</v>
      </c>
    </row>
    <row r="1358" spans="1:6" ht="25.5">
      <c r="A1358" s="2">
        <v>1355</v>
      </c>
      <c r="B1358" s="2" t="s">
        <v>1416</v>
      </c>
      <c r="C1358" s="2" t="str">
        <f>"15454126"</f>
        <v>15454126</v>
      </c>
      <c r="D1358" s="2">
        <v>17.241</v>
      </c>
      <c r="E1358" s="2">
        <v>166</v>
      </c>
      <c r="F1358" s="2" t="s">
        <v>6</v>
      </c>
    </row>
    <row r="1359" spans="1:6" ht="25.5">
      <c r="A1359" s="2">
        <v>1356</v>
      </c>
      <c r="B1359" s="2" t="s">
        <v>1417</v>
      </c>
      <c r="C1359" s="2" t="str">
        <f>"01638998"</f>
        <v>01638998</v>
      </c>
      <c r="D1359" s="2">
        <v>4.8339999999999996</v>
      </c>
      <c r="E1359" s="2">
        <v>62</v>
      </c>
      <c r="F1359" s="2" t="s">
        <v>6</v>
      </c>
    </row>
    <row r="1360" spans="1:6" ht="25.5">
      <c r="A1360" s="2">
        <v>1357</v>
      </c>
      <c r="B1360" s="2" t="s">
        <v>1418</v>
      </c>
      <c r="C1360" s="2" t="str">
        <f>"07396686"</f>
        <v>07396686</v>
      </c>
      <c r="D1360" s="2">
        <v>0.17499999999999999</v>
      </c>
      <c r="E1360" s="2">
        <v>21</v>
      </c>
      <c r="F1360" s="2" t="s">
        <v>12</v>
      </c>
    </row>
    <row r="1361" spans="1:6" ht="25.5">
      <c r="A1361" s="2">
        <v>1358</v>
      </c>
      <c r="B1361" s="2" t="s">
        <v>1419</v>
      </c>
      <c r="C1361" s="2" t="str">
        <f>"15454312"</f>
        <v>15454312</v>
      </c>
      <c r="D1361" s="2">
        <v>3.8610000000000002</v>
      </c>
      <c r="E1361" s="2">
        <v>104</v>
      </c>
      <c r="F1361" s="2" t="s">
        <v>6</v>
      </c>
    </row>
    <row r="1362" spans="1:6" ht="25.5">
      <c r="A1362" s="2">
        <v>1359</v>
      </c>
      <c r="B1362" s="2" t="s">
        <v>1420</v>
      </c>
      <c r="C1362" s="2" t="str">
        <f>"15534014"</f>
        <v>15534014</v>
      </c>
      <c r="D1362" s="2">
        <v>11.025</v>
      </c>
      <c r="E1362" s="2">
        <v>52</v>
      </c>
      <c r="F1362" s="2" t="s">
        <v>6</v>
      </c>
    </row>
    <row r="1363" spans="1:6" ht="25.5">
      <c r="A1363" s="2">
        <v>1360</v>
      </c>
      <c r="B1363" s="2" t="s">
        <v>1421</v>
      </c>
      <c r="C1363" s="2" t="str">
        <f>"15454304"</f>
        <v>15454304</v>
      </c>
      <c r="D1363" s="2">
        <v>8.4359999999999999</v>
      </c>
      <c r="E1363" s="2">
        <v>147</v>
      </c>
      <c r="F1363" s="2" t="s">
        <v>6</v>
      </c>
    </row>
    <row r="1364" spans="1:6" ht="25.5">
      <c r="A1364" s="2">
        <v>1361</v>
      </c>
      <c r="B1364" s="2" t="s">
        <v>1422</v>
      </c>
      <c r="C1364" s="2" t="str">
        <f>"15451593"</f>
        <v>15451593</v>
      </c>
      <c r="D1364" s="2">
        <v>6.7649999999999997</v>
      </c>
      <c r="E1364" s="2">
        <v>104</v>
      </c>
      <c r="F1364" s="2" t="s">
        <v>6</v>
      </c>
    </row>
    <row r="1365" spans="1:6" ht="25.5">
      <c r="A1365" s="2">
        <v>1362</v>
      </c>
      <c r="B1365" s="2" t="s">
        <v>1423</v>
      </c>
      <c r="C1365" s="2" t="str">
        <f>"15451585"</f>
        <v>15451585</v>
      </c>
      <c r="D1365" s="2">
        <v>9.1289999999999996</v>
      </c>
      <c r="E1365" s="2">
        <v>146</v>
      </c>
      <c r="F1365" s="2" t="s">
        <v>6</v>
      </c>
    </row>
    <row r="1366" spans="1:6" ht="25.5">
      <c r="A1366" s="2">
        <v>1363</v>
      </c>
      <c r="B1366" s="2" t="s">
        <v>1424</v>
      </c>
      <c r="C1366" s="2" t="str">
        <f>"15452107"</f>
        <v>15452107</v>
      </c>
      <c r="D1366" s="2">
        <v>4.8280000000000003</v>
      </c>
      <c r="E1366" s="2">
        <v>95</v>
      </c>
      <c r="F1366" s="2" t="s">
        <v>6</v>
      </c>
    </row>
    <row r="1367" spans="1:6" ht="25.5">
      <c r="A1367" s="2">
        <v>1364</v>
      </c>
      <c r="B1367" s="2" t="s">
        <v>1425</v>
      </c>
      <c r="C1367" s="2" t="str">
        <f>"15435008"</f>
        <v>15435008</v>
      </c>
      <c r="D1367" s="2">
        <v>12.403</v>
      </c>
      <c r="E1367" s="2">
        <v>160</v>
      </c>
      <c r="F1367" s="2" t="s">
        <v>6</v>
      </c>
    </row>
    <row r="1368" spans="1:6" ht="25.5">
      <c r="A1368" s="2">
        <v>1365</v>
      </c>
      <c r="B1368" s="2" t="s">
        <v>1426</v>
      </c>
      <c r="C1368" s="2" t="str">
        <f>"15451577"</f>
        <v>15451577</v>
      </c>
      <c r="D1368" s="2">
        <v>3.355</v>
      </c>
      <c r="E1368" s="2">
        <v>44</v>
      </c>
      <c r="F1368" s="2" t="s">
        <v>6</v>
      </c>
    </row>
    <row r="1369" spans="1:6" ht="25.5">
      <c r="A1369" s="2">
        <v>1366</v>
      </c>
      <c r="B1369" s="2" t="s">
        <v>1427</v>
      </c>
      <c r="C1369" s="2" t="str">
        <f>"15452085"</f>
        <v>15452085</v>
      </c>
      <c r="D1369" s="2">
        <v>8.4179999999999993</v>
      </c>
      <c r="E1369" s="2">
        <v>137</v>
      </c>
      <c r="F1369" s="2" t="s">
        <v>6</v>
      </c>
    </row>
    <row r="1370" spans="1:6" ht="25.5">
      <c r="A1370" s="2">
        <v>1367</v>
      </c>
      <c r="B1370" s="2" t="s">
        <v>1428</v>
      </c>
      <c r="C1370" s="2" t="str">
        <f>"15452093"</f>
        <v>15452093</v>
      </c>
      <c r="D1370" s="2">
        <v>4.7409999999999997</v>
      </c>
      <c r="E1370" s="2">
        <v>85</v>
      </c>
      <c r="F1370" s="2" t="s">
        <v>6</v>
      </c>
    </row>
    <row r="1371" spans="1:6" ht="25.5">
      <c r="A1371" s="2">
        <v>1368</v>
      </c>
      <c r="B1371" s="2" t="s">
        <v>1429</v>
      </c>
      <c r="C1371" s="2" t="str">
        <f>"19411340"</f>
        <v>19411340</v>
      </c>
      <c r="D1371" s="2">
        <v>0.69099999999999995</v>
      </c>
      <c r="E1371" s="2">
        <v>4</v>
      </c>
      <c r="F1371" s="2" t="s">
        <v>6</v>
      </c>
    </row>
    <row r="1372" spans="1:6" ht="25.5">
      <c r="A1372" s="2">
        <v>1369</v>
      </c>
      <c r="B1372" s="2" t="s">
        <v>1430</v>
      </c>
      <c r="C1372" s="2" t="str">
        <f>"15452115"</f>
        <v>15452115</v>
      </c>
      <c r="D1372" s="2">
        <v>4.8230000000000004</v>
      </c>
      <c r="E1372" s="2">
        <v>83</v>
      </c>
      <c r="F1372" s="2" t="s">
        <v>6</v>
      </c>
    </row>
    <row r="1373" spans="1:6" ht="25.5">
      <c r="A1373" s="2">
        <v>1370</v>
      </c>
      <c r="B1373" s="2" t="s">
        <v>1431</v>
      </c>
      <c r="C1373" s="2" t="str">
        <f>"13675788"</f>
        <v>13675788</v>
      </c>
      <c r="D1373" s="2">
        <v>1.512</v>
      </c>
      <c r="E1373" s="2">
        <v>36</v>
      </c>
      <c r="F1373" s="2" t="s">
        <v>16</v>
      </c>
    </row>
    <row r="1374" spans="1:6" ht="25.5">
      <c r="A1374" s="2">
        <v>1371</v>
      </c>
      <c r="B1374" s="2" t="s">
        <v>1432</v>
      </c>
      <c r="C1374" s="2" t="str">
        <f>"0"</f>
        <v>0</v>
      </c>
      <c r="D1374" s="2">
        <v>0</v>
      </c>
      <c r="E1374" s="2">
        <v>0</v>
      </c>
      <c r="F1374" s="2" t="s">
        <v>6</v>
      </c>
    </row>
    <row r="1375" spans="1:6">
      <c r="A1375" s="2">
        <v>1372</v>
      </c>
      <c r="B1375" s="2" t="s">
        <v>1433</v>
      </c>
      <c r="C1375" s="2" t="str">
        <f>"0"</f>
        <v>0</v>
      </c>
      <c r="D1375" s="2">
        <v>0.109</v>
      </c>
      <c r="E1375" s="2">
        <v>8</v>
      </c>
      <c r="F1375" s="2" t="s">
        <v>6</v>
      </c>
    </row>
    <row r="1376" spans="1:6" ht="25.5">
      <c r="A1376" s="2">
        <v>1373</v>
      </c>
      <c r="B1376" s="2" t="s">
        <v>1434</v>
      </c>
      <c r="C1376" s="2" t="str">
        <f>"0895769X"</f>
        <v>0895769X</v>
      </c>
      <c r="D1376" s="2">
        <v>0.1</v>
      </c>
      <c r="E1376" s="2">
        <v>2</v>
      </c>
      <c r="F1376" s="2" t="s">
        <v>6</v>
      </c>
    </row>
    <row r="1377" spans="1:6" ht="25.5">
      <c r="A1377" s="2">
        <v>1374</v>
      </c>
      <c r="B1377" s="2" t="s">
        <v>1435</v>
      </c>
      <c r="C1377" s="2" t="str">
        <f>"11347937"</f>
        <v>11347937</v>
      </c>
      <c r="D1377" s="2">
        <v>0.24099999999999999</v>
      </c>
      <c r="E1377" s="2">
        <v>4</v>
      </c>
      <c r="F1377" s="2" t="s">
        <v>351</v>
      </c>
    </row>
    <row r="1378" spans="1:6" ht="25.5">
      <c r="A1378" s="2">
        <v>1375</v>
      </c>
      <c r="B1378" s="2" t="s">
        <v>1436</v>
      </c>
      <c r="C1378" s="2" t="str">
        <f>"00857289"</f>
        <v>00857289</v>
      </c>
      <c r="D1378" s="2">
        <v>0.1</v>
      </c>
      <c r="E1378" s="2">
        <v>7</v>
      </c>
      <c r="F1378" s="2" t="s">
        <v>131</v>
      </c>
    </row>
    <row r="1379" spans="1:6" ht="25.5">
      <c r="A1379" s="2">
        <v>1376</v>
      </c>
      <c r="B1379" s="2" t="s">
        <v>1437</v>
      </c>
      <c r="C1379" s="2" t="str">
        <f>"13652079"</f>
        <v>13652079</v>
      </c>
      <c r="D1379" s="2">
        <v>0.93700000000000006</v>
      </c>
      <c r="E1379" s="2">
        <v>46</v>
      </c>
      <c r="F1379" s="2" t="s">
        <v>16</v>
      </c>
    </row>
    <row r="1380" spans="1:6" ht="25.5">
      <c r="A1380" s="2">
        <v>1377</v>
      </c>
      <c r="B1380" s="2" t="s">
        <v>1438</v>
      </c>
      <c r="C1380" s="2" t="str">
        <f>"00035459"</f>
        <v>00035459</v>
      </c>
      <c r="D1380" s="2">
        <v>0.16900000000000001</v>
      </c>
      <c r="E1380" s="2">
        <v>6</v>
      </c>
      <c r="F1380" s="2" t="s">
        <v>64</v>
      </c>
    </row>
    <row r="1381" spans="1:6" ht="25.5">
      <c r="A1381" s="2">
        <v>1378</v>
      </c>
      <c r="B1381" s="2" t="s">
        <v>1439</v>
      </c>
      <c r="C1381" s="2" t="str">
        <f>"14692902"</f>
        <v>14692902</v>
      </c>
      <c r="D1381" s="2">
        <v>0.35</v>
      </c>
      <c r="E1381" s="2">
        <v>7</v>
      </c>
      <c r="F1381" s="2" t="s">
        <v>6</v>
      </c>
    </row>
    <row r="1382" spans="1:6" ht="25.5">
      <c r="A1382" s="2">
        <v>1379</v>
      </c>
      <c r="B1382" s="2" t="s">
        <v>1440</v>
      </c>
      <c r="C1382" s="2" t="str">
        <f>"17552931"</f>
        <v>17552931</v>
      </c>
      <c r="D1382" s="2">
        <v>0.123</v>
      </c>
      <c r="E1382" s="2">
        <v>2</v>
      </c>
      <c r="F1382" s="2" t="s">
        <v>6</v>
      </c>
    </row>
    <row r="1383" spans="1:6" ht="25.5">
      <c r="A1383" s="2">
        <v>1380</v>
      </c>
      <c r="B1383" s="2" t="s">
        <v>1441</v>
      </c>
      <c r="C1383" s="2" t="str">
        <f>"00035483"</f>
        <v>00035483</v>
      </c>
      <c r="D1383" s="2">
        <v>0.151</v>
      </c>
      <c r="E1383" s="2">
        <v>4</v>
      </c>
      <c r="F1383" s="2" t="s">
        <v>6</v>
      </c>
    </row>
    <row r="1384" spans="1:6" ht="25.5">
      <c r="A1384" s="2">
        <v>1381</v>
      </c>
      <c r="B1384" s="2" t="s">
        <v>1442</v>
      </c>
      <c r="C1384" s="2" t="str">
        <f>"1408032X"</f>
        <v>1408032X</v>
      </c>
      <c r="D1384" s="2">
        <v>0.14099999999999999</v>
      </c>
      <c r="E1384" s="2">
        <v>2</v>
      </c>
      <c r="F1384" s="2" t="s">
        <v>154</v>
      </c>
    </row>
    <row r="1385" spans="1:6" ht="25.5">
      <c r="A1385" s="2">
        <v>1382</v>
      </c>
      <c r="B1385" s="2" t="s">
        <v>1443</v>
      </c>
      <c r="C1385" s="2" t="str">
        <f>"00659452"</f>
        <v>00659452</v>
      </c>
      <c r="D1385" s="2">
        <v>0.10199999999999999</v>
      </c>
      <c r="E1385" s="2">
        <v>2</v>
      </c>
      <c r="F1385" s="2" t="s">
        <v>6</v>
      </c>
    </row>
    <row r="1386" spans="1:6" ht="25.5">
      <c r="A1386" s="2">
        <v>1383</v>
      </c>
      <c r="B1386" s="2" t="s">
        <v>1444</v>
      </c>
      <c r="C1386" s="2" t="str">
        <f>"15341518"</f>
        <v>15341518</v>
      </c>
      <c r="D1386" s="2">
        <v>0.41499999999999998</v>
      </c>
      <c r="E1386" s="2">
        <v>17</v>
      </c>
      <c r="F1386" s="2" t="s">
        <v>6</v>
      </c>
    </row>
    <row r="1387" spans="1:6" ht="25.5">
      <c r="A1387" s="2">
        <v>1384</v>
      </c>
      <c r="B1387" s="2" t="s">
        <v>1445</v>
      </c>
      <c r="C1387" s="2" t="str">
        <f>"18986773"</f>
        <v>18986773</v>
      </c>
      <c r="D1387" s="2">
        <v>0.22900000000000001</v>
      </c>
      <c r="E1387" s="2">
        <v>3</v>
      </c>
      <c r="F1387" s="2" t="s">
        <v>16</v>
      </c>
    </row>
    <row r="1388" spans="1:6" ht="25.5">
      <c r="A1388" s="2">
        <v>1385</v>
      </c>
      <c r="B1388" s="2" t="s">
        <v>1446</v>
      </c>
      <c r="C1388" s="2" t="str">
        <f>"13488570"</f>
        <v>13488570</v>
      </c>
      <c r="D1388" s="2">
        <v>0.72399999999999998</v>
      </c>
      <c r="E1388" s="2">
        <v>18</v>
      </c>
      <c r="F1388" s="2" t="s">
        <v>131</v>
      </c>
    </row>
    <row r="1389" spans="1:6" ht="25.5">
      <c r="A1389" s="2">
        <v>1386</v>
      </c>
      <c r="B1389" s="2" t="s">
        <v>1447</v>
      </c>
      <c r="C1389" s="2" t="str">
        <f>"14634996"</f>
        <v>14634996</v>
      </c>
      <c r="D1389" s="2">
        <v>1.627</v>
      </c>
      <c r="E1389" s="2">
        <v>19</v>
      </c>
      <c r="F1389" s="2" t="s">
        <v>16</v>
      </c>
    </row>
    <row r="1390" spans="1:6" ht="25.5">
      <c r="A1390" s="2">
        <v>1387</v>
      </c>
      <c r="B1390" s="2" t="s">
        <v>1448</v>
      </c>
      <c r="C1390" s="2" t="str">
        <f>"00035521"</f>
        <v>00035521</v>
      </c>
      <c r="D1390" s="2">
        <v>0.38100000000000001</v>
      </c>
      <c r="E1390" s="2">
        <v>17</v>
      </c>
      <c r="F1390" s="2" t="s">
        <v>66</v>
      </c>
    </row>
    <row r="1391" spans="1:6" ht="25.5">
      <c r="A1391" s="2">
        <v>1388</v>
      </c>
      <c r="B1391" s="2" t="s">
        <v>1449</v>
      </c>
      <c r="C1391" s="2" t="str">
        <f>"00035548"</f>
        <v>00035548</v>
      </c>
      <c r="D1391" s="2">
        <v>0.245</v>
      </c>
      <c r="E1391" s="2">
        <v>12</v>
      </c>
      <c r="F1391" s="2" t="s">
        <v>12</v>
      </c>
    </row>
    <row r="1392" spans="1:6" ht="25.5">
      <c r="A1392" s="2">
        <v>1389</v>
      </c>
      <c r="B1392" s="2" t="s">
        <v>1450</v>
      </c>
      <c r="C1392" s="2" t="str">
        <f>"09720073"</f>
        <v>09720073</v>
      </c>
      <c r="D1392" s="2">
        <v>0.158</v>
      </c>
      <c r="E1392" s="2">
        <v>4</v>
      </c>
      <c r="F1392" s="2" t="s">
        <v>488</v>
      </c>
    </row>
    <row r="1393" spans="1:6" ht="25.5">
      <c r="A1393" s="2">
        <v>1390</v>
      </c>
      <c r="B1393" s="2" t="s">
        <v>1451</v>
      </c>
      <c r="C1393" s="2" t="str">
        <f>"10611959"</f>
        <v>10611959</v>
      </c>
      <c r="D1393" s="2">
        <v>0.11600000000000001</v>
      </c>
      <c r="E1393" s="2">
        <v>3</v>
      </c>
      <c r="F1393" s="2" t="s">
        <v>6</v>
      </c>
    </row>
    <row r="1394" spans="1:6" ht="25.5">
      <c r="A1394" s="2">
        <v>1391</v>
      </c>
      <c r="B1394" s="2" t="s">
        <v>1452</v>
      </c>
      <c r="C1394" s="2" t="str">
        <f>"15481492"</f>
        <v>15481492</v>
      </c>
      <c r="D1394" s="2">
        <v>0.32300000000000001</v>
      </c>
      <c r="E1394" s="2">
        <v>22</v>
      </c>
      <c r="F1394" s="2" t="s">
        <v>6</v>
      </c>
    </row>
    <row r="1395" spans="1:6" ht="25.5">
      <c r="A1395" s="2">
        <v>1392</v>
      </c>
      <c r="B1395" s="2" t="s">
        <v>1453</v>
      </c>
      <c r="C1395" s="2" t="str">
        <f>"14692910"</f>
        <v>14692910</v>
      </c>
      <c r="D1395" s="2">
        <v>0.434</v>
      </c>
      <c r="E1395" s="2">
        <v>15</v>
      </c>
      <c r="F1395" s="2" t="s">
        <v>6</v>
      </c>
    </row>
    <row r="1396" spans="1:6" ht="25.5">
      <c r="A1396" s="2">
        <v>1393</v>
      </c>
      <c r="B1396" s="2" t="s">
        <v>1454</v>
      </c>
      <c r="C1396" s="2" t="str">
        <f>"0967201X"</f>
        <v>0967201X</v>
      </c>
      <c r="D1396" s="2">
        <v>0.13400000000000001</v>
      </c>
      <c r="E1396" s="2">
        <v>1</v>
      </c>
      <c r="F1396" s="2" t="s">
        <v>6</v>
      </c>
    </row>
    <row r="1397" spans="1:6" ht="25.5">
      <c r="A1397" s="2">
        <v>1394</v>
      </c>
      <c r="B1397" s="2" t="s">
        <v>1455</v>
      </c>
      <c r="C1397" s="2" t="str">
        <f>"15563537"</f>
        <v>15563537</v>
      </c>
      <c r="D1397" s="2">
        <v>0.15</v>
      </c>
      <c r="E1397" s="2">
        <v>3</v>
      </c>
      <c r="F1397" s="2" t="s">
        <v>6</v>
      </c>
    </row>
    <row r="1398" spans="1:6" ht="25.5">
      <c r="A1398" s="2">
        <v>1395</v>
      </c>
      <c r="B1398" s="2" t="s">
        <v>1456</v>
      </c>
      <c r="C1398" s="2" t="str">
        <f>"17460719"</f>
        <v>17460719</v>
      </c>
      <c r="D1398" s="2">
        <v>0.10199999999999999</v>
      </c>
      <c r="E1398" s="2">
        <v>0</v>
      </c>
      <c r="F1398" s="2" t="s">
        <v>6</v>
      </c>
    </row>
    <row r="1399" spans="1:6" ht="25.5">
      <c r="A1399" s="2">
        <v>1396</v>
      </c>
      <c r="B1399" s="2" t="s">
        <v>1457</v>
      </c>
      <c r="C1399" s="2" t="str">
        <f>"0883024X"</f>
        <v>0883024X</v>
      </c>
      <c r="D1399" s="2">
        <v>0.16500000000000001</v>
      </c>
      <c r="E1399" s="2">
        <v>2</v>
      </c>
      <c r="F1399" s="2" t="s">
        <v>6</v>
      </c>
    </row>
    <row r="1400" spans="1:6" ht="25.5">
      <c r="A1400" s="2">
        <v>1397</v>
      </c>
      <c r="B1400" s="2" t="s">
        <v>1458</v>
      </c>
      <c r="C1400" s="2" t="str">
        <f>"0268540X"</f>
        <v>0268540X</v>
      </c>
      <c r="D1400" s="2">
        <v>0.36799999999999999</v>
      </c>
      <c r="E1400" s="2">
        <v>7</v>
      </c>
      <c r="F1400" s="2" t="s">
        <v>16</v>
      </c>
    </row>
    <row r="1401" spans="1:6" ht="25.5">
      <c r="A1401" s="2">
        <v>1398</v>
      </c>
      <c r="B1401" s="2" t="s">
        <v>1459</v>
      </c>
      <c r="C1401" s="2" t="str">
        <f>"02579774"</f>
        <v>02579774</v>
      </c>
      <c r="D1401" s="2">
        <v>0.13100000000000001</v>
      </c>
      <c r="E1401" s="2">
        <v>7</v>
      </c>
      <c r="F1401" s="2" t="s">
        <v>31</v>
      </c>
    </row>
    <row r="1402" spans="1:6" ht="25.5">
      <c r="A1402" s="2">
        <v>1399</v>
      </c>
      <c r="B1402" s="2" t="s">
        <v>1460</v>
      </c>
      <c r="C1402" s="2" t="str">
        <f>"08927936"</f>
        <v>08927936</v>
      </c>
      <c r="D1402" s="2">
        <v>0.38300000000000001</v>
      </c>
      <c r="E1402" s="2">
        <v>22</v>
      </c>
      <c r="F1402" s="2" t="s">
        <v>6</v>
      </c>
    </row>
    <row r="1403" spans="1:6" ht="25.5">
      <c r="A1403" s="2">
        <v>1400</v>
      </c>
      <c r="B1403" s="2" t="s">
        <v>1461</v>
      </c>
      <c r="C1403" s="2" t="str">
        <f>"02352990"</f>
        <v>02352990</v>
      </c>
      <c r="D1403" s="2">
        <v>0.105</v>
      </c>
      <c r="E1403" s="2">
        <v>6</v>
      </c>
      <c r="F1403" s="2" t="s">
        <v>129</v>
      </c>
    </row>
    <row r="1404" spans="1:6" ht="25.5">
      <c r="A1404" s="2">
        <v>1401</v>
      </c>
      <c r="B1404" s="2" t="s">
        <v>1462</v>
      </c>
      <c r="C1404" s="2" t="str">
        <f>"14735741"</f>
        <v>14735741</v>
      </c>
      <c r="D1404" s="2">
        <v>0.78</v>
      </c>
      <c r="E1404" s="2">
        <v>67</v>
      </c>
      <c r="F1404" s="2" t="s">
        <v>6</v>
      </c>
    </row>
    <row r="1405" spans="1:6" ht="25.5">
      <c r="A1405" s="2">
        <v>1402</v>
      </c>
      <c r="B1405" s="2" t="s">
        <v>1463</v>
      </c>
      <c r="C1405" s="2" t="str">
        <f>"02507005"</f>
        <v>02507005</v>
      </c>
      <c r="D1405" s="2">
        <v>0.65900000000000003</v>
      </c>
      <c r="E1405" s="2">
        <v>80</v>
      </c>
      <c r="F1405" s="2" t="s">
        <v>313</v>
      </c>
    </row>
    <row r="1406" spans="1:6" ht="25.5">
      <c r="A1406" s="2">
        <v>1403</v>
      </c>
      <c r="B1406" s="2" t="s">
        <v>1464</v>
      </c>
      <c r="C1406" s="2" t="str">
        <f>"00035599"</f>
        <v>00035599</v>
      </c>
      <c r="D1406" s="2">
        <v>0.219</v>
      </c>
      <c r="E1406" s="2">
        <v>22</v>
      </c>
      <c r="F1406" s="2" t="s">
        <v>16</v>
      </c>
    </row>
    <row r="1407" spans="1:6" ht="25.5">
      <c r="A1407" s="2">
        <v>1404</v>
      </c>
      <c r="B1407" s="2" t="s">
        <v>1465</v>
      </c>
      <c r="C1407" s="2" t="str">
        <f>"00035661"</f>
        <v>00035661</v>
      </c>
      <c r="D1407" s="2">
        <v>0.10100000000000001</v>
      </c>
      <c r="E1407" s="2">
        <v>1</v>
      </c>
      <c r="F1407" s="2" t="s">
        <v>64</v>
      </c>
    </row>
    <row r="1408" spans="1:6" ht="25.5">
      <c r="A1408" s="2">
        <v>1405</v>
      </c>
      <c r="B1408" s="2" t="s">
        <v>1466</v>
      </c>
      <c r="C1408" s="2" t="str">
        <f>"22113533"</f>
        <v>22113533</v>
      </c>
      <c r="D1408" s="2">
        <v>0.34699999999999998</v>
      </c>
      <c r="E1408" s="2">
        <v>15</v>
      </c>
      <c r="F1408" s="2" t="s">
        <v>1467</v>
      </c>
    </row>
    <row r="1409" spans="1:6" ht="25.5">
      <c r="A1409" s="2">
        <v>1406</v>
      </c>
      <c r="B1409" s="2" t="s">
        <v>1468</v>
      </c>
      <c r="C1409" s="2" t="str">
        <f>"18715230"</f>
        <v>18715230</v>
      </c>
      <c r="D1409" s="2">
        <v>0.16900000000000001</v>
      </c>
      <c r="E1409" s="2">
        <v>11</v>
      </c>
      <c r="F1409" s="2" t="s">
        <v>75</v>
      </c>
    </row>
    <row r="1410" spans="1:6" ht="25.5">
      <c r="A1410" s="2">
        <v>1407</v>
      </c>
      <c r="B1410" s="2" t="s">
        <v>1469</v>
      </c>
      <c r="C1410" s="2" t="str">
        <f>"00035688"</f>
        <v>00035688</v>
      </c>
      <c r="D1410" s="2">
        <v>0.111</v>
      </c>
      <c r="E1410" s="2">
        <v>1</v>
      </c>
      <c r="F1410" s="2" t="s">
        <v>31</v>
      </c>
    </row>
    <row r="1411" spans="1:6" ht="25.5">
      <c r="A1411" s="2">
        <v>1408</v>
      </c>
      <c r="B1411" s="2" t="s">
        <v>1470</v>
      </c>
      <c r="C1411" s="2" t="str">
        <f>"16130421"</f>
        <v>16130421</v>
      </c>
      <c r="D1411" s="2">
        <v>0.10100000000000001</v>
      </c>
      <c r="E1411" s="2">
        <v>3</v>
      </c>
      <c r="F1411" s="2" t="s">
        <v>12</v>
      </c>
    </row>
    <row r="1412" spans="1:6" ht="25.5">
      <c r="A1412" s="2">
        <v>1409</v>
      </c>
      <c r="B1412" s="2" t="s">
        <v>1471</v>
      </c>
      <c r="C1412" s="2" t="str">
        <f>"15882748"</f>
        <v>15882748</v>
      </c>
      <c r="D1412" s="2">
        <v>0.10100000000000001</v>
      </c>
      <c r="E1412" s="2">
        <v>0</v>
      </c>
      <c r="F1412" s="2" t="s">
        <v>135</v>
      </c>
    </row>
    <row r="1413" spans="1:6" ht="25.5">
      <c r="A1413" s="2">
        <v>1410</v>
      </c>
      <c r="B1413" s="2" t="s">
        <v>1472</v>
      </c>
      <c r="C1413" s="2" t="str">
        <f>"10986596"</f>
        <v>10986596</v>
      </c>
      <c r="D1413" s="2">
        <v>1.9630000000000001</v>
      </c>
      <c r="E1413" s="2">
        <v>174</v>
      </c>
      <c r="F1413" s="2" t="s">
        <v>6</v>
      </c>
    </row>
    <row r="1414" spans="1:6" ht="25.5">
      <c r="A1414" s="2">
        <v>1411</v>
      </c>
      <c r="B1414" s="2" t="s">
        <v>1473</v>
      </c>
      <c r="C1414" s="2" t="str">
        <f>"00035769"</f>
        <v>00035769</v>
      </c>
      <c r="D1414" s="2">
        <v>0.1</v>
      </c>
      <c r="E1414" s="2">
        <v>1</v>
      </c>
      <c r="F1414" s="2" t="s">
        <v>6</v>
      </c>
    </row>
    <row r="1415" spans="1:6" ht="25.5">
      <c r="A1415" s="2">
        <v>1412</v>
      </c>
      <c r="B1415" s="2" t="s">
        <v>1474</v>
      </c>
      <c r="C1415" s="2" t="str">
        <f>"15230864"</f>
        <v>15230864</v>
      </c>
      <c r="D1415" s="2">
        <v>2.7770000000000001</v>
      </c>
      <c r="E1415" s="2">
        <v>91</v>
      </c>
      <c r="F1415" s="2" t="s">
        <v>6</v>
      </c>
    </row>
    <row r="1416" spans="1:6" ht="25.5">
      <c r="A1416" s="2">
        <v>1413</v>
      </c>
      <c r="B1416" s="2" t="s">
        <v>1475</v>
      </c>
      <c r="C1416" s="2" t="str">
        <f>"14678330"</f>
        <v>14678330</v>
      </c>
      <c r="D1416" s="2">
        <v>2.1</v>
      </c>
      <c r="E1416" s="2">
        <v>48</v>
      </c>
      <c r="F1416" s="2" t="s">
        <v>16</v>
      </c>
    </row>
    <row r="1417" spans="1:6" ht="25.5">
      <c r="A1417" s="2">
        <v>1414</v>
      </c>
      <c r="B1417" s="2" t="s">
        <v>1476</v>
      </c>
      <c r="C1417" s="2" t="str">
        <f>"00035815"</f>
        <v>00035815</v>
      </c>
      <c r="D1417" s="2">
        <v>0.14299999999999999</v>
      </c>
      <c r="E1417" s="2">
        <v>1</v>
      </c>
      <c r="F1417" s="2" t="s">
        <v>16</v>
      </c>
    </row>
    <row r="1418" spans="1:6" ht="25.5">
      <c r="A1418" s="2">
        <v>1415</v>
      </c>
      <c r="B1418" s="2" t="s">
        <v>1477</v>
      </c>
      <c r="C1418" s="2" t="str">
        <f>"12507334"</f>
        <v>12507334</v>
      </c>
      <c r="D1418" s="2">
        <v>0.1</v>
      </c>
      <c r="E1418" s="2">
        <v>4</v>
      </c>
      <c r="F1418" s="2" t="s">
        <v>161</v>
      </c>
    </row>
    <row r="1419" spans="1:6" ht="25.5">
      <c r="A1419" s="2">
        <v>1416</v>
      </c>
      <c r="B1419" s="2" t="s">
        <v>1478</v>
      </c>
      <c r="C1419" s="2" t="str">
        <f>"17451744"</f>
        <v>17451744</v>
      </c>
      <c r="D1419" s="2">
        <v>0.88300000000000001</v>
      </c>
      <c r="E1419" s="2">
        <v>38</v>
      </c>
      <c r="F1419" s="2" t="s">
        <v>16</v>
      </c>
    </row>
    <row r="1420" spans="1:6" ht="25.5">
      <c r="A1420" s="2">
        <v>1417</v>
      </c>
      <c r="B1420" s="2" t="s">
        <v>1479</v>
      </c>
      <c r="C1420" s="2" t="str">
        <f>"00036056"</f>
        <v>00036056</v>
      </c>
      <c r="D1420" s="2">
        <v>0.32100000000000001</v>
      </c>
      <c r="E1420" s="2">
        <v>15</v>
      </c>
      <c r="F1420" s="2" t="s">
        <v>6</v>
      </c>
    </row>
    <row r="1421" spans="1:6" ht="25.5">
      <c r="A1421" s="2">
        <v>1418</v>
      </c>
      <c r="B1421" s="2" t="s">
        <v>1480</v>
      </c>
      <c r="C1421" s="2" t="str">
        <f>"09563202"</f>
        <v>09563202</v>
      </c>
      <c r="D1421" s="2">
        <v>0.60699999999999998</v>
      </c>
      <c r="E1421" s="2">
        <v>37</v>
      </c>
      <c r="F1421" s="2" t="s">
        <v>16</v>
      </c>
    </row>
    <row r="1422" spans="1:6" ht="25.5">
      <c r="A1422" s="2">
        <v>1419</v>
      </c>
      <c r="B1422" s="2" t="s">
        <v>1481</v>
      </c>
      <c r="C1422" s="2" t="str">
        <f>"01663542"</f>
        <v>01663542</v>
      </c>
      <c r="D1422" s="2">
        <v>1.169</v>
      </c>
      <c r="E1422" s="2">
        <v>71</v>
      </c>
      <c r="F1422" s="2" t="s">
        <v>75</v>
      </c>
    </row>
    <row r="1423" spans="1:6" ht="25.5">
      <c r="A1423" s="2">
        <v>1420</v>
      </c>
      <c r="B1423" s="2" t="s">
        <v>1482</v>
      </c>
      <c r="C1423" s="2" t="str">
        <f>"13596535"</f>
        <v>13596535</v>
      </c>
      <c r="D1423" s="2">
        <v>1.073</v>
      </c>
      <c r="E1423" s="2">
        <v>61</v>
      </c>
      <c r="F1423" s="2" t="s">
        <v>16</v>
      </c>
    </row>
    <row r="1424" spans="1:6" ht="25.5">
      <c r="A1424" s="2">
        <v>1421</v>
      </c>
      <c r="B1424" s="2" t="s">
        <v>1483</v>
      </c>
      <c r="C1424" s="2" t="str">
        <f>"15729699"</f>
        <v>15729699</v>
      </c>
      <c r="D1424" s="2">
        <v>0.90700000000000003</v>
      </c>
      <c r="E1424" s="2">
        <v>70</v>
      </c>
      <c r="F1424" s="2" t="s">
        <v>75</v>
      </c>
    </row>
    <row r="1425" spans="1:6" ht="25.5">
      <c r="A1425" s="2">
        <v>1422</v>
      </c>
      <c r="B1425" s="2" t="s">
        <v>1484</v>
      </c>
      <c r="C1425" s="2" t="str">
        <f>"19884273"</f>
        <v>19884273</v>
      </c>
      <c r="D1425" s="2">
        <v>0.121</v>
      </c>
      <c r="E1425" s="2">
        <v>1</v>
      </c>
      <c r="F1425" s="2" t="s">
        <v>351</v>
      </c>
    </row>
    <row r="1426" spans="1:6" ht="25.5">
      <c r="A1426" s="2">
        <v>1423</v>
      </c>
      <c r="B1426" s="2" t="s">
        <v>1485</v>
      </c>
      <c r="C1426" s="2" t="str">
        <f>"00665061"</f>
        <v>00665061</v>
      </c>
      <c r="D1426" s="2">
        <v>0.123</v>
      </c>
      <c r="E1426" s="2">
        <v>4</v>
      </c>
      <c r="F1426" s="2" t="s">
        <v>351</v>
      </c>
    </row>
    <row r="1427" spans="1:6" ht="25.5">
      <c r="A1427" s="2">
        <v>1424</v>
      </c>
      <c r="B1427" s="2" t="s">
        <v>1486</v>
      </c>
      <c r="C1427" s="2" t="str">
        <f>"11330104"</f>
        <v>11330104</v>
      </c>
      <c r="D1427" s="2">
        <v>0.10100000000000001</v>
      </c>
      <c r="E1427" s="2">
        <v>1</v>
      </c>
      <c r="F1427" s="2" t="s">
        <v>351</v>
      </c>
    </row>
    <row r="1428" spans="1:6" ht="25.5">
      <c r="A1428" s="2">
        <v>1425</v>
      </c>
      <c r="B1428" s="2" t="s">
        <v>1487</v>
      </c>
      <c r="C1428" s="2" t="str">
        <f>"00665126"</f>
        <v>00665126</v>
      </c>
      <c r="D1428" s="2">
        <v>0.155</v>
      </c>
      <c r="E1428" s="2">
        <v>7</v>
      </c>
      <c r="F1428" s="2" t="s">
        <v>351</v>
      </c>
    </row>
    <row r="1429" spans="1:6" ht="25.5">
      <c r="A1429" s="2">
        <v>1426</v>
      </c>
      <c r="B1429" s="2" t="s">
        <v>1488</v>
      </c>
      <c r="C1429" s="2" t="str">
        <f>"01019759"</f>
        <v>01019759</v>
      </c>
      <c r="D1429" s="2">
        <v>0.10299999999999999</v>
      </c>
      <c r="E1429" s="2">
        <v>2</v>
      </c>
      <c r="F1429" s="2" t="s">
        <v>159</v>
      </c>
    </row>
    <row r="1430" spans="1:6" ht="25.5">
      <c r="A1430" s="2">
        <v>1427</v>
      </c>
      <c r="B1430" s="2" t="s">
        <v>1489</v>
      </c>
      <c r="C1430" s="2" t="str">
        <f>"00665215"</f>
        <v>00665215</v>
      </c>
      <c r="D1430" s="2">
        <v>0.1</v>
      </c>
      <c r="E1430" s="2">
        <v>2</v>
      </c>
      <c r="F1430" s="2" t="s">
        <v>351</v>
      </c>
    </row>
    <row r="1431" spans="1:6" ht="25.5">
      <c r="A1431" s="2">
        <v>1428</v>
      </c>
      <c r="B1431" s="2" t="s">
        <v>1490</v>
      </c>
      <c r="C1431" s="2" t="str">
        <f>"11384824"</f>
        <v>11384824</v>
      </c>
      <c r="D1431" s="2">
        <v>0.10100000000000001</v>
      </c>
      <c r="E1431" s="2">
        <v>1</v>
      </c>
      <c r="F1431" s="2" t="s">
        <v>351</v>
      </c>
    </row>
    <row r="1432" spans="1:6" ht="25.5">
      <c r="A1432" s="2">
        <v>1429</v>
      </c>
      <c r="B1432" s="2" t="s">
        <v>1491</v>
      </c>
      <c r="C1432" s="2" t="str">
        <f>"19884125"</f>
        <v>19884125</v>
      </c>
      <c r="D1432" s="2">
        <v>0.10199999999999999</v>
      </c>
      <c r="E1432" s="2">
        <v>0</v>
      </c>
      <c r="F1432" s="2" t="s">
        <v>351</v>
      </c>
    </row>
    <row r="1433" spans="1:6" ht="25.5">
      <c r="A1433" s="2">
        <v>1430</v>
      </c>
      <c r="B1433" s="2" t="s">
        <v>1492</v>
      </c>
      <c r="C1433" s="2" t="str">
        <f>"10615806"</f>
        <v>10615806</v>
      </c>
      <c r="D1433" s="2">
        <v>0.77200000000000002</v>
      </c>
      <c r="E1433" s="2">
        <v>29</v>
      </c>
      <c r="F1433" s="2" t="s">
        <v>6</v>
      </c>
    </row>
    <row r="1434" spans="1:6" ht="25.5">
      <c r="A1434" s="2">
        <v>1431</v>
      </c>
      <c r="B1434" s="2" t="s">
        <v>1493</v>
      </c>
      <c r="C1434" s="2" t="str">
        <f>"14461811"</f>
        <v>14461811</v>
      </c>
      <c r="D1434" s="2">
        <v>0.159</v>
      </c>
      <c r="E1434" s="2">
        <v>13</v>
      </c>
      <c r="F1434" s="2" t="s">
        <v>16</v>
      </c>
    </row>
    <row r="1435" spans="1:6" ht="25.5">
      <c r="A1435" s="2">
        <v>1432</v>
      </c>
      <c r="B1435" s="2" t="s">
        <v>1494</v>
      </c>
      <c r="C1435" s="2" t="str">
        <f>"14451433"</f>
        <v>14451433</v>
      </c>
      <c r="D1435" s="2">
        <v>0.41599999999999998</v>
      </c>
      <c r="E1435" s="2">
        <v>46</v>
      </c>
      <c r="F1435" s="2" t="s">
        <v>16</v>
      </c>
    </row>
    <row r="1436" spans="1:6" ht="25.5">
      <c r="A1436" s="2">
        <v>1433</v>
      </c>
      <c r="B1436" s="2" t="s">
        <v>1495</v>
      </c>
      <c r="C1436" s="2" t="str">
        <f>"00012092"</f>
        <v>00012092</v>
      </c>
      <c r="D1436" s="2">
        <v>0.22</v>
      </c>
      <c r="E1436" s="2">
        <v>25</v>
      </c>
      <c r="F1436" s="2" t="s">
        <v>6</v>
      </c>
    </row>
    <row r="1437" spans="1:6" ht="25.5">
      <c r="A1437" s="2">
        <v>1434</v>
      </c>
      <c r="B1437" s="2" t="s">
        <v>1496</v>
      </c>
      <c r="C1437" s="2" t="str">
        <f>"01608266"</f>
        <v>01608266</v>
      </c>
      <c r="D1437" s="2">
        <v>0.1</v>
      </c>
      <c r="E1437" s="2">
        <v>1</v>
      </c>
      <c r="F1437" s="2" t="s">
        <v>6</v>
      </c>
    </row>
    <row r="1438" spans="1:6" ht="25.5">
      <c r="A1438" s="2">
        <v>1435</v>
      </c>
      <c r="B1438" s="2" t="s">
        <v>1497</v>
      </c>
      <c r="C1438" s="2" t="str">
        <f>"08436061"</f>
        <v>08436061</v>
      </c>
      <c r="D1438" s="2">
        <v>0.14799999999999999</v>
      </c>
      <c r="E1438" s="2">
        <v>8</v>
      </c>
      <c r="F1438" s="2" t="s">
        <v>64</v>
      </c>
    </row>
    <row r="1439" spans="1:6" ht="25.5">
      <c r="A1439" s="2">
        <v>1436</v>
      </c>
      <c r="B1439" s="2" t="s">
        <v>1498</v>
      </c>
      <c r="C1439" s="2" t="str">
        <f>"00036420"</f>
        <v>00036420</v>
      </c>
      <c r="D1439" s="2">
        <v>0.1</v>
      </c>
      <c r="E1439" s="2">
        <v>1</v>
      </c>
      <c r="F1439" s="2" t="s">
        <v>6</v>
      </c>
    </row>
    <row r="1440" spans="1:6" ht="25.5">
      <c r="A1440" s="2">
        <v>1437</v>
      </c>
      <c r="B1440" s="2" t="s">
        <v>1499</v>
      </c>
      <c r="C1440" s="2" t="str">
        <f>"14645041"</f>
        <v>14645041</v>
      </c>
      <c r="D1440" s="2">
        <v>0.63600000000000001</v>
      </c>
      <c r="E1440" s="2">
        <v>36</v>
      </c>
      <c r="F1440" s="2" t="s">
        <v>16</v>
      </c>
    </row>
    <row r="1441" spans="1:6" ht="25.5">
      <c r="A1441" s="2">
        <v>1438</v>
      </c>
      <c r="B1441" s="2" t="s">
        <v>1500</v>
      </c>
      <c r="C1441" s="2" t="str">
        <f>"12979678"</f>
        <v>12979678</v>
      </c>
      <c r="D1441" s="2">
        <v>0.88500000000000001</v>
      </c>
      <c r="E1441" s="2">
        <v>42</v>
      </c>
      <c r="F1441" s="2" t="s">
        <v>66</v>
      </c>
    </row>
    <row r="1442" spans="1:6" ht="25.5">
      <c r="A1442" s="2">
        <v>1439</v>
      </c>
      <c r="B1442" s="2" t="s">
        <v>1501</v>
      </c>
      <c r="C1442" s="2" t="str">
        <f>"09034641"</f>
        <v>09034641</v>
      </c>
      <c r="D1442" s="2">
        <v>0.745</v>
      </c>
      <c r="E1442" s="2">
        <v>59</v>
      </c>
      <c r="F1442" s="2" t="s">
        <v>163</v>
      </c>
    </row>
    <row r="1443" spans="1:6" ht="25.5">
      <c r="A1443" s="2">
        <v>1440</v>
      </c>
      <c r="B1443" s="2" t="s">
        <v>1502</v>
      </c>
      <c r="C1443" s="2" t="str">
        <f>"00036536"</f>
        <v>00036536</v>
      </c>
      <c r="D1443" s="2">
        <v>0.1</v>
      </c>
      <c r="E1443" s="2">
        <v>4</v>
      </c>
      <c r="F1443" s="2" t="s">
        <v>16</v>
      </c>
    </row>
    <row r="1444" spans="1:6" ht="25.5">
      <c r="A1444" s="2">
        <v>1441</v>
      </c>
      <c r="B1444" s="2" t="s">
        <v>1503</v>
      </c>
      <c r="C1444" s="2" t="str">
        <f>"1573675X"</f>
        <v>1573675X</v>
      </c>
      <c r="D1444" s="2">
        <v>1.605</v>
      </c>
      <c r="E1444" s="2">
        <v>70</v>
      </c>
      <c r="F1444" s="2" t="s">
        <v>75</v>
      </c>
    </row>
    <row r="1445" spans="1:6" ht="25.5">
      <c r="A1445" s="2">
        <v>1442</v>
      </c>
      <c r="B1445" s="2" t="s">
        <v>1504</v>
      </c>
      <c r="C1445" s="2" t="str">
        <f>"00903779"</f>
        <v>00903779</v>
      </c>
      <c r="D1445" s="2">
        <v>0.108</v>
      </c>
      <c r="E1445" s="2">
        <v>3</v>
      </c>
      <c r="F1445" s="2" t="s">
        <v>6</v>
      </c>
    </row>
    <row r="1446" spans="1:6" ht="25.5">
      <c r="A1446" s="2">
        <v>1443</v>
      </c>
      <c r="B1446" s="2" t="s">
        <v>1505</v>
      </c>
      <c r="C1446" s="2" t="str">
        <f>"10958304"</f>
        <v>10958304</v>
      </c>
      <c r="D1446" s="2">
        <v>1.0649999999999999</v>
      </c>
      <c r="E1446" s="2">
        <v>63</v>
      </c>
      <c r="F1446" s="2" t="s">
        <v>6</v>
      </c>
    </row>
    <row r="1447" spans="1:6" ht="25.5">
      <c r="A1447" s="2">
        <v>1444</v>
      </c>
      <c r="B1447" s="2" t="s">
        <v>1506</v>
      </c>
      <c r="C1447" s="2" t="str">
        <f>"14435454"</f>
        <v>14435454</v>
      </c>
      <c r="D1447" s="2">
        <v>0.105</v>
      </c>
      <c r="E1447" s="2">
        <v>5</v>
      </c>
      <c r="F1447" s="2" t="s">
        <v>127</v>
      </c>
    </row>
    <row r="1448" spans="1:6" ht="25.5">
      <c r="A1448" s="2">
        <v>1445</v>
      </c>
      <c r="B1448" s="2" t="s">
        <v>1507</v>
      </c>
      <c r="C1448" s="2" t="str">
        <f>"10386807"</f>
        <v>10386807</v>
      </c>
      <c r="D1448" s="2">
        <v>0.19500000000000001</v>
      </c>
      <c r="E1448" s="2">
        <v>24</v>
      </c>
      <c r="F1448" s="2" t="s">
        <v>127</v>
      </c>
    </row>
    <row r="1449" spans="1:6" ht="25.5">
      <c r="A1449" s="2">
        <v>1446</v>
      </c>
      <c r="B1449" s="2" t="s">
        <v>1508</v>
      </c>
      <c r="C1449" s="2" t="str">
        <f>"14320622"</f>
        <v>14320622</v>
      </c>
      <c r="D1449" s="2">
        <v>0.752</v>
      </c>
      <c r="E1449" s="2">
        <v>22</v>
      </c>
      <c r="F1449" s="2" t="s">
        <v>12</v>
      </c>
    </row>
    <row r="1450" spans="1:6" ht="25.5">
      <c r="A1450" s="2">
        <v>1447</v>
      </c>
      <c r="B1450" s="2" t="s">
        <v>1509</v>
      </c>
      <c r="C1450" s="2" t="str">
        <f>"10267360"</f>
        <v>10267360</v>
      </c>
      <c r="D1450" s="2">
        <v>0.60899999999999999</v>
      </c>
      <c r="E1450" s="2">
        <v>9</v>
      </c>
      <c r="F1450" s="2" t="s">
        <v>16</v>
      </c>
    </row>
    <row r="1451" spans="1:6" ht="25.5">
      <c r="A1451" s="2">
        <v>1448</v>
      </c>
      <c r="B1451" s="2" t="s">
        <v>1510</v>
      </c>
      <c r="C1451" s="2" t="str">
        <f>"14528630"</f>
        <v>14528630</v>
      </c>
      <c r="D1451" s="2">
        <v>0.77700000000000002</v>
      </c>
      <c r="E1451" s="2">
        <v>9</v>
      </c>
      <c r="F1451" s="2" t="s">
        <v>212</v>
      </c>
    </row>
    <row r="1452" spans="1:6" ht="25.5">
      <c r="A1452" s="2">
        <v>1449</v>
      </c>
      <c r="B1452" s="2" t="s">
        <v>1511</v>
      </c>
      <c r="C1452" s="2" t="str">
        <f>"1178704X"</f>
        <v>1178704X</v>
      </c>
      <c r="D1452" s="2">
        <v>0.17599999999999999</v>
      </c>
      <c r="E1452" s="2">
        <v>4</v>
      </c>
      <c r="F1452" s="2" t="s">
        <v>503</v>
      </c>
    </row>
    <row r="1453" spans="1:6" ht="25.5">
      <c r="A1453" s="2">
        <v>1450</v>
      </c>
      <c r="B1453" s="2" t="s">
        <v>1512</v>
      </c>
      <c r="C1453" s="2" t="str">
        <f>"08627940"</f>
        <v>08627940</v>
      </c>
      <c r="D1453" s="2">
        <v>0.3</v>
      </c>
      <c r="E1453" s="2">
        <v>16</v>
      </c>
      <c r="F1453" s="2" t="s">
        <v>75</v>
      </c>
    </row>
    <row r="1454" spans="1:6" ht="25.5">
      <c r="A1454" s="2">
        <v>1451</v>
      </c>
      <c r="B1454" s="2" t="s">
        <v>1513</v>
      </c>
      <c r="C1454" s="2" t="str">
        <f>"0003682X"</f>
        <v>0003682X</v>
      </c>
      <c r="D1454" s="2">
        <v>0.75</v>
      </c>
      <c r="E1454" s="2">
        <v>33</v>
      </c>
      <c r="F1454" s="2" t="s">
        <v>16</v>
      </c>
    </row>
    <row r="1455" spans="1:6" ht="25.5">
      <c r="A1455" s="2">
        <v>1452</v>
      </c>
      <c r="B1455" s="2" t="s">
        <v>1514</v>
      </c>
      <c r="C1455" s="2" t="str">
        <f>"1096603X"</f>
        <v>1096603X</v>
      </c>
      <c r="D1455" s="2">
        <v>4.3230000000000004</v>
      </c>
      <c r="E1455" s="2">
        <v>51</v>
      </c>
      <c r="F1455" s="2" t="s">
        <v>6</v>
      </c>
    </row>
    <row r="1456" spans="1:6" ht="25.5">
      <c r="A1456" s="2">
        <v>1453</v>
      </c>
      <c r="B1456" s="2" t="s">
        <v>1515</v>
      </c>
      <c r="C1456" s="2" t="str">
        <f>"16833511"</f>
        <v>16833511</v>
      </c>
      <c r="D1456" s="2">
        <v>0.40899999999999997</v>
      </c>
      <c r="E1456" s="2">
        <v>7</v>
      </c>
      <c r="F1456" s="2" t="s">
        <v>1516</v>
      </c>
    </row>
    <row r="1457" spans="1:6" ht="25.5">
      <c r="A1457" s="2">
        <v>1454</v>
      </c>
      <c r="B1457" s="2" t="s">
        <v>1517</v>
      </c>
      <c r="C1457" s="2" t="str">
        <f>"10985336"</f>
        <v>10985336</v>
      </c>
      <c r="D1457" s="2">
        <v>1.637</v>
      </c>
      <c r="E1457" s="2">
        <v>206</v>
      </c>
      <c r="F1457" s="2" t="s">
        <v>6</v>
      </c>
    </row>
    <row r="1458" spans="1:6" ht="25.5">
      <c r="A1458" s="2">
        <v>1455</v>
      </c>
      <c r="B1458" s="2" t="s">
        <v>1518</v>
      </c>
      <c r="C1458" s="2" t="str">
        <f>"16877675"</f>
        <v>16877675</v>
      </c>
      <c r="D1458" s="2">
        <v>0</v>
      </c>
      <c r="E1458" s="2">
        <v>1</v>
      </c>
      <c r="F1458" s="2" t="s">
        <v>6</v>
      </c>
    </row>
    <row r="1459" spans="1:6" ht="25.5">
      <c r="A1459" s="2">
        <v>1456</v>
      </c>
      <c r="B1459" s="2" t="s">
        <v>1519</v>
      </c>
      <c r="C1459" s="2" t="str">
        <f>"22120661"</f>
        <v>22120661</v>
      </c>
      <c r="D1459" s="2">
        <v>0</v>
      </c>
      <c r="E1459" s="2">
        <v>0</v>
      </c>
      <c r="F1459" s="2" t="s">
        <v>75</v>
      </c>
    </row>
    <row r="1460" spans="1:6" ht="25.5">
      <c r="A1460" s="2">
        <v>1457</v>
      </c>
      <c r="B1460" s="2" t="s">
        <v>1520</v>
      </c>
      <c r="C1460" s="2" t="str">
        <f>"01681591"</f>
        <v>01681591</v>
      </c>
      <c r="D1460" s="2">
        <v>0.755</v>
      </c>
      <c r="E1460" s="2">
        <v>57</v>
      </c>
      <c r="F1460" s="2" t="s">
        <v>75</v>
      </c>
    </row>
    <row r="1461" spans="1:6" ht="25.5">
      <c r="A1461" s="2">
        <v>1458</v>
      </c>
      <c r="B1461" s="2" t="s">
        <v>1521</v>
      </c>
      <c r="C1461" s="2" t="str">
        <f>"08839514"</f>
        <v>08839514</v>
      </c>
      <c r="D1461" s="2">
        <v>0.34</v>
      </c>
      <c r="E1461" s="2">
        <v>35</v>
      </c>
      <c r="F1461" s="2" t="s">
        <v>16</v>
      </c>
    </row>
    <row r="1462" spans="1:6" ht="25.5">
      <c r="A1462" s="2">
        <v>1459</v>
      </c>
      <c r="B1462" s="2" t="s">
        <v>1522</v>
      </c>
      <c r="C1462" s="2" t="str">
        <f>"02732289"</f>
        <v>02732289</v>
      </c>
      <c r="D1462" s="2">
        <v>0.68799999999999994</v>
      </c>
      <c r="E1462" s="2">
        <v>56</v>
      </c>
      <c r="F1462" s="2" t="s">
        <v>6</v>
      </c>
    </row>
    <row r="1463" spans="1:6" ht="25.5">
      <c r="A1463" s="2">
        <v>1460</v>
      </c>
      <c r="B1463" s="2" t="s">
        <v>1523</v>
      </c>
      <c r="C1463" s="2" t="str">
        <f>"16083024"</f>
        <v>16083024</v>
      </c>
      <c r="D1463" s="2">
        <v>0.25900000000000001</v>
      </c>
      <c r="E1463" s="2">
        <v>17</v>
      </c>
      <c r="F1463" s="2" t="s">
        <v>129</v>
      </c>
    </row>
    <row r="1464" spans="1:6" ht="25.5">
      <c r="A1464" s="2">
        <v>1461</v>
      </c>
      <c r="B1464" s="2" t="s">
        <v>1524</v>
      </c>
      <c r="C1464" s="2" t="str">
        <f>"11762322"</f>
        <v>11762322</v>
      </c>
      <c r="D1464" s="2">
        <v>0.41299999999999998</v>
      </c>
      <c r="E1464" s="2">
        <v>8</v>
      </c>
      <c r="F1464" s="2" t="s">
        <v>75</v>
      </c>
    </row>
    <row r="1465" spans="1:6" ht="25.5">
      <c r="A1465" s="2">
        <v>1462</v>
      </c>
      <c r="B1465" s="2" t="s">
        <v>1525</v>
      </c>
      <c r="C1465" s="2" t="str">
        <f>"09205268"</f>
        <v>09205268</v>
      </c>
      <c r="D1465" s="2">
        <v>0.13600000000000001</v>
      </c>
      <c r="E1465" s="2">
        <v>10</v>
      </c>
      <c r="F1465" s="2" t="s">
        <v>12</v>
      </c>
    </row>
    <row r="1466" spans="1:6" ht="25.5">
      <c r="A1466" s="2">
        <v>1463</v>
      </c>
      <c r="B1466" s="2" t="s">
        <v>1526</v>
      </c>
      <c r="C1466" s="2" t="str">
        <f>"18733875"</f>
        <v>18733875</v>
      </c>
      <c r="D1466" s="2">
        <v>1.3540000000000001</v>
      </c>
      <c r="E1466" s="2">
        <v>123</v>
      </c>
      <c r="F1466" s="2" t="s">
        <v>75</v>
      </c>
    </row>
    <row r="1467" spans="1:6" ht="25.5">
      <c r="A1467" s="2">
        <v>1464</v>
      </c>
      <c r="B1467" s="2" t="s">
        <v>1527</v>
      </c>
      <c r="C1467" s="2" t="str">
        <f>"18733883"</f>
        <v>18733883</v>
      </c>
      <c r="D1467" s="2">
        <v>2.2999999999999998</v>
      </c>
      <c r="E1467" s="2">
        <v>122</v>
      </c>
      <c r="F1467" s="2" t="s">
        <v>75</v>
      </c>
    </row>
    <row r="1468" spans="1:6" ht="25.5">
      <c r="A1468" s="2">
        <v>1465</v>
      </c>
      <c r="B1468" s="2" t="s">
        <v>1528</v>
      </c>
      <c r="C1468" s="2" t="str">
        <f>"15729095"</f>
        <v>15729095</v>
      </c>
      <c r="D1468" s="2">
        <v>0.60199999999999998</v>
      </c>
      <c r="E1468" s="2">
        <v>17</v>
      </c>
      <c r="F1468" s="2" t="s">
        <v>75</v>
      </c>
    </row>
    <row r="1469" spans="1:6" ht="25.5">
      <c r="A1469" s="2">
        <v>1466</v>
      </c>
      <c r="B1469" s="2" t="s">
        <v>1529</v>
      </c>
      <c r="C1469" s="2" t="str">
        <f>"01691317"</f>
        <v>01691317</v>
      </c>
      <c r="D1469" s="2">
        <v>0.999</v>
      </c>
      <c r="E1469" s="2">
        <v>63</v>
      </c>
      <c r="F1469" s="2" t="s">
        <v>75</v>
      </c>
    </row>
    <row r="1470" spans="1:6" ht="25.5">
      <c r="A1470" s="2">
        <v>1467</v>
      </c>
      <c r="B1470" s="2" t="s">
        <v>1530</v>
      </c>
      <c r="C1470" s="2" t="str">
        <f>"10990720"</f>
        <v>10990720</v>
      </c>
      <c r="D1470" s="2">
        <v>0.84099999999999997</v>
      </c>
      <c r="E1470" s="2">
        <v>48</v>
      </c>
      <c r="F1470" s="2" t="s">
        <v>16</v>
      </c>
    </row>
    <row r="1471" spans="1:6" ht="25.5">
      <c r="A1471" s="2">
        <v>1468</v>
      </c>
      <c r="B1471" s="2" t="s">
        <v>1531</v>
      </c>
      <c r="C1471" s="2" t="str">
        <f>"15734897"</f>
        <v>15734897</v>
      </c>
      <c r="D1471" s="2">
        <v>0.45</v>
      </c>
      <c r="E1471" s="2">
        <v>26</v>
      </c>
      <c r="F1471" s="2" t="s">
        <v>75</v>
      </c>
    </row>
    <row r="1472" spans="1:6" ht="25.5">
      <c r="A1472" s="2">
        <v>1469</v>
      </c>
      <c r="B1472" s="2" t="s">
        <v>1532</v>
      </c>
      <c r="C1472" s="2" t="str">
        <f>"10544887"</f>
        <v>10544887</v>
      </c>
      <c r="D1472" s="2">
        <v>0.47399999999999998</v>
      </c>
      <c r="E1472" s="2">
        <v>14</v>
      </c>
      <c r="F1472" s="2" t="s">
        <v>6</v>
      </c>
    </row>
    <row r="1473" spans="1:6" ht="25.5">
      <c r="A1473" s="2">
        <v>1470</v>
      </c>
      <c r="B1473" s="2" t="s">
        <v>1533</v>
      </c>
      <c r="C1473" s="2" t="str">
        <f>"1532480X"</f>
        <v>1532480X</v>
      </c>
      <c r="D1473" s="2">
        <v>0.55500000000000005</v>
      </c>
      <c r="E1473" s="2">
        <v>14</v>
      </c>
      <c r="F1473" s="2" t="s">
        <v>16</v>
      </c>
    </row>
    <row r="1474" spans="1:6" ht="25.5">
      <c r="A1474" s="2">
        <v>1471</v>
      </c>
      <c r="B1474" s="2" t="s">
        <v>1534</v>
      </c>
      <c r="C1474" s="2" t="str">
        <f>"17850037"</f>
        <v>17850037</v>
      </c>
      <c r="D1474" s="2">
        <v>0.38600000000000001</v>
      </c>
      <c r="E1474" s="2">
        <v>12</v>
      </c>
      <c r="F1474" s="2" t="s">
        <v>135</v>
      </c>
    </row>
    <row r="1475" spans="1:6" ht="25.5">
      <c r="A1475" s="2">
        <v>1472</v>
      </c>
      <c r="B1475" s="2" t="s">
        <v>1535</v>
      </c>
      <c r="C1475" s="2" t="str">
        <f>"15784487"</f>
        <v>15784487</v>
      </c>
      <c r="D1475" s="2">
        <v>0.24</v>
      </c>
      <c r="E1475" s="2">
        <v>3</v>
      </c>
      <c r="F1475" s="2" t="s">
        <v>351</v>
      </c>
    </row>
    <row r="1476" spans="1:6" ht="25.5">
      <c r="A1476" s="2">
        <v>1473</v>
      </c>
      <c r="B1476" s="2" t="s">
        <v>1536</v>
      </c>
      <c r="C1476" s="2" t="str">
        <f>"20405790"</f>
        <v>20405790</v>
      </c>
      <c r="D1476" s="2">
        <v>1.242</v>
      </c>
      <c r="E1476" s="2">
        <v>20</v>
      </c>
      <c r="F1476" s="2" t="s">
        <v>16</v>
      </c>
    </row>
    <row r="1477" spans="1:6" ht="25.5">
      <c r="A1477" s="2">
        <v>1474</v>
      </c>
      <c r="B1477" s="2" t="s">
        <v>1537</v>
      </c>
      <c r="C1477" s="2" t="str">
        <f>"00036846"</f>
        <v>00036846</v>
      </c>
      <c r="D1477" s="2">
        <v>0.58199999999999996</v>
      </c>
      <c r="E1477" s="2">
        <v>40</v>
      </c>
      <c r="F1477" s="2" t="s">
        <v>6</v>
      </c>
    </row>
    <row r="1478" spans="1:6" ht="25.5">
      <c r="A1478" s="2">
        <v>1475</v>
      </c>
      <c r="B1478" s="2" t="s">
        <v>1538</v>
      </c>
      <c r="C1478" s="2" t="str">
        <f>"14664291"</f>
        <v>14664291</v>
      </c>
      <c r="D1478" s="2">
        <v>0.35199999999999998</v>
      </c>
      <c r="E1478" s="2">
        <v>25</v>
      </c>
      <c r="F1478" s="2" t="s">
        <v>6</v>
      </c>
    </row>
    <row r="1479" spans="1:6" ht="25.5">
      <c r="A1479" s="2">
        <v>1476</v>
      </c>
      <c r="B1479" s="2" t="s">
        <v>1539</v>
      </c>
      <c r="C1479" s="2" t="str">
        <f>"03062619"</f>
        <v>03062619</v>
      </c>
      <c r="D1479" s="2">
        <v>2.6230000000000002</v>
      </c>
      <c r="E1479" s="2">
        <v>52</v>
      </c>
      <c r="F1479" s="2" t="s">
        <v>75</v>
      </c>
    </row>
    <row r="1480" spans="1:6" ht="25.5">
      <c r="A1480" s="2">
        <v>1477</v>
      </c>
      <c r="B1480" s="2" t="s">
        <v>1540</v>
      </c>
      <c r="C1480" s="2" t="str">
        <f>"08838542"</f>
        <v>08838542</v>
      </c>
      <c r="D1480" s="2">
        <v>0.39700000000000002</v>
      </c>
      <c r="E1480" s="2">
        <v>32</v>
      </c>
      <c r="F1480" s="2" t="s">
        <v>6</v>
      </c>
    </row>
    <row r="1481" spans="1:6" ht="25.5">
      <c r="A1481" s="2">
        <v>1478</v>
      </c>
      <c r="B1481" s="2" t="s">
        <v>1541</v>
      </c>
      <c r="C1481" s="2" t="str">
        <f>"1347605X"</f>
        <v>1347605X</v>
      </c>
      <c r="D1481" s="2">
        <v>0.49399999999999999</v>
      </c>
      <c r="E1481" s="2">
        <v>26</v>
      </c>
      <c r="F1481" s="2" t="s">
        <v>131</v>
      </c>
    </row>
    <row r="1482" spans="1:6" ht="25.5">
      <c r="A1482" s="2">
        <v>1479</v>
      </c>
      <c r="B1482" s="2" t="s">
        <v>1542</v>
      </c>
      <c r="C1482" s="2" t="str">
        <f>"15330389"</f>
        <v>15330389</v>
      </c>
      <c r="D1482" s="2">
        <v>0.22</v>
      </c>
      <c r="E1482" s="2">
        <v>5</v>
      </c>
      <c r="F1482" s="2" t="s">
        <v>6</v>
      </c>
    </row>
    <row r="1483" spans="1:6" ht="25.5">
      <c r="A1483" s="2">
        <v>1480</v>
      </c>
      <c r="B1483" s="2" t="s">
        <v>1543</v>
      </c>
      <c r="C1483" s="2" t="str">
        <f>"00036870"</f>
        <v>00036870</v>
      </c>
      <c r="D1483" s="2">
        <v>0.97499999999999998</v>
      </c>
      <c r="E1483" s="2">
        <v>47</v>
      </c>
      <c r="F1483" s="2" t="s">
        <v>16</v>
      </c>
    </row>
    <row r="1484" spans="1:6" ht="25.5">
      <c r="A1484" s="2">
        <v>1481</v>
      </c>
      <c r="B1484" s="2" t="s">
        <v>1544</v>
      </c>
      <c r="C1484" s="2" t="str">
        <f>"14664305"</f>
        <v>14664305</v>
      </c>
      <c r="D1484" s="2">
        <v>0.40799999999999997</v>
      </c>
      <c r="E1484" s="2">
        <v>29</v>
      </c>
      <c r="F1484" s="2" t="s">
        <v>6</v>
      </c>
    </row>
    <row r="1485" spans="1:6" ht="25.5">
      <c r="A1485" s="2">
        <v>1482</v>
      </c>
      <c r="B1485" s="2" t="s">
        <v>1545</v>
      </c>
      <c r="C1485" s="2" t="str">
        <f>"15769402"</f>
        <v>15769402</v>
      </c>
      <c r="D1485" s="2">
        <v>0.39700000000000002</v>
      </c>
      <c r="E1485" s="2">
        <v>5</v>
      </c>
      <c r="F1485" s="2" t="s">
        <v>351</v>
      </c>
    </row>
    <row r="1486" spans="1:6" ht="25.5">
      <c r="A1486" s="2">
        <v>1483</v>
      </c>
      <c r="B1486" s="2" t="s">
        <v>1546</v>
      </c>
      <c r="C1486" s="2" t="str">
        <f>"08832927"</f>
        <v>08832927</v>
      </c>
      <c r="D1486" s="2">
        <v>0.93799999999999994</v>
      </c>
      <c r="E1486" s="2">
        <v>72</v>
      </c>
      <c r="F1486" s="2" t="s">
        <v>16</v>
      </c>
    </row>
    <row r="1487" spans="1:6" ht="25.5">
      <c r="A1487" s="2">
        <v>1484</v>
      </c>
      <c r="B1487" s="2" t="s">
        <v>1547</v>
      </c>
      <c r="C1487" s="2" t="str">
        <f>"01436228"</f>
        <v>01436228</v>
      </c>
      <c r="D1487" s="2">
        <v>0.89400000000000002</v>
      </c>
      <c r="E1487" s="2">
        <v>32</v>
      </c>
      <c r="F1487" s="2" t="s">
        <v>75</v>
      </c>
    </row>
    <row r="1488" spans="1:6" ht="25.5">
      <c r="A1488" s="2">
        <v>1485</v>
      </c>
      <c r="B1488" s="2" t="s">
        <v>1548</v>
      </c>
      <c r="C1488" s="2" t="str">
        <f>"18669298"</f>
        <v>18669298</v>
      </c>
      <c r="D1488" s="2">
        <v>0.26900000000000002</v>
      </c>
      <c r="E1488" s="2">
        <v>4</v>
      </c>
      <c r="F1488" s="2" t="s">
        <v>12</v>
      </c>
    </row>
    <row r="1489" spans="1:6" ht="25.5">
      <c r="A1489" s="2">
        <v>1486</v>
      </c>
      <c r="B1489" s="2" t="s">
        <v>1549</v>
      </c>
      <c r="C1489" s="2" t="str">
        <f>"16727975"</f>
        <v>16727975</v>
      </c>
      <c r="D1489" s="2">
        <v>0.49</v>
      </c>
      <c r="E1489" s="2">
        <v>8</v>
      </c>
      <c r="F1489" s="2" t="s">
        <v>46</v>
      </c>
    </row>
    <row r="1490" spans="1:6" ht="25.5">
      <c r="A1490" s="2">
        <v>1487</v>
      </c>
      <c r="B1490" s="2" t="s">
        <v>1550</v>
      </c>
      <c r="C1490" s="2" t="str">
        <f>"18325505"</f>
        <v>18325505</v>
      </c>
      <c r="D1490" s="2">
        <v>0.104</v>
      </c>
      <c r="E1490" s="2">
        <v>5</v>
      </c>
      <c r="F1490" s="2" t="s">
        <v>127</v>
      </c>
    </row>
    <row r="1491" spans="1:6" ht="25.5">
      <c r="A1491" s="2">
        <v>1488</v>
      </c>
      <c r="B1491" s="2" t="s">
        <v>1551</v>
      </c>
      <c r="C1491" s="2" t="str">
        <f>"11755652"</f>
        <v>11755652</v>
      </c>
      <c r="D1491" s="2">
        <v>0.60899999999999999</v>
      </c>
      <c r="E1491" s="2">
        <v>18</v>
      </c>
      <c r="F1491" s="2" t="s">
        <v>16</v>
      </c>
    </row>
    <row r="1492" spans="1:6" ht="25.5">
      <c r="A1492" s="2">
        <v>1489</v>
      </c>
      <c r="B1492" s="2" t="s">
        <v>1552</v>
      </c>
      <c r="C1492" s="2" t="str">
        <f>"15412016"</f>
        <v>15412016</v>
      </c>
      <c r="D1492" s="2">
        <v>0.69199999999999995</v>
      </c>
      <c r="E1492" s="2">
        <v>38</v>
      </c>
      <c r="F1492" s="2" t="s">
        <v>6</v>
      </c>
    </row>
    <row r="1493" spans="1:6" ht="25.5">
      <c r="A1493" s="2">
        <v>1490</v>
      </c>
      <c r="B1493" s="2" t="s">
        <v>1553</v>
      </c>
      <c r="C1493" s="2" t="str">
        <f>"15737497"</f>
        <v>15737497</v>
      </c>
      <c r="D1493" s="2">
        <v>1.0269999999999999</v>
      </c>
      <c r="E1493" s="2">
        <v>34</v>
      </c>
      <c r="F1493" s="2" t="s">
        <v>75</v>
      </c>
    </row>
    <row r="1494" spans="1:6" ht="25.5">
      <c r="A1494" s="2">
        <v>1491</v>
      </c>
      <c r="B1494" s="2" t="s">
        <v>1554</v>
      </c>
      <c r="C1494" s="2" t="str">
        <f>"1477450X"</f>
        <v>1477450X</v>
      </c>
      <c r="D1494" s="2">
        <v>1.411</v>
      </c>
      <c r="E1494" s="2">
        <v>41</v>
      </c>
      <c r="F1494" s="2" t="s">
        <v>16</v>
      </c>
    </row>
    <row r="1495" spans="1:6" ht="25.5">
      <c r="A1495" s="2">
        <v>1492</v>
      </c>
      <c r="B1495" s="2" t="s">
        <v>1555</v>
      </c>
      <c r="C1495" s="2" t="str">
        <f>"09379347"</f>
        <v>09379347</v>
      </c>
      <c r="D1495" s="2">
        <v>0.35199999999999998</v>
      </c>
      <c r="E1495" s="2">
        <v>27</v>
      </c>
      <c r="F1495" s="2" t="s">
        <v>288</v>
      </c>
    </row>
    <row r="1496" spans="1:6" ht="25.5">
      <c r="A1496" s="2">
        <v>1493</v>
      </c>
      <c r="B1496" s="2" t="s">
        <v>1556</v>
      </c>
      <c r="C1496" s="2" t="str">
        <f>"14664313"</f>
        <v>14664313</v>
      </c>
      <c r="D1496" s="2">
        <v>0.67900000000000005</v>
      </c>
      <c r="E1496" s="2">
        <v>12</v>
      </c>
      <c r="F1496" s="2" t="s">
        <v>6</v>
      </c>
    </row>
    <row r="1497" spans="1:6" ht="25.5">
      <c r="A1497" s="2">
        <v>1494</v>
      </c>
      <c r="B1497" s="2" t="s">
        <v>1557</v>
      </c>
      <c r="C1497" s="2" t="str">
        <f>"0307904X"</f>
        <v>0307904X</v>
      </c>
      <c r="D1497" s="2">
        <v>0.93600000000000005</v>
      </c>
      <c r="E1497" s="2">
        <v>37</v>
      </c>
      <c r="F1497" s="2" t="s">
        <v>6</v>
      </c>
    </row>
    <row r="1498" spans="1:6" ht="25.5">
      <c r="A1498" s="2">
        <v>1495</v>
      </c>
      <c r="B1498" s="2" t="s">
        <v>1558</v>
      </c>
      <c r="C1498" s="2" t="str">
        <f>"1312885X"</f>
        <v>1312885X</v>
      </c>
      <c r="D1498" s="2">
        <v>0.23499999999999999</v>
      </c>
      <c r="E1498" s="2">
        <v>13</v>
      </c>
      <c r="F1498" s="2" t="s">
        <v>293</v>
      </c>
    </row>
    <row r="1499" spans="1:6" ht="25.5">
      <c r="A1499" s="2">
        <v>1496</v>
      </c>
      <c r="B1499" s="2" t="s">
        <v>1559</v>
      </c>
      <c r="C1499" s="2" t="str">
        <f>"10051031"</f>
        <v>10051031</v>
      </c>
      <c r="D1499" s="2">
        <v>0.221</v>
      </c>
      <c r="E1499" s="2">
        <v>6</v>
      </c>
      <c r="F1499" s="2" t="s">
        <v>12</v>
      </c>
    </row>
    <row r="1500" spans="1:6" ht="25.5">
      <c r="A1500" s="2">
        <v>1497</v>
      </c>
      <c r="B1500" s="2" t="s">
        <v>1560</v>
      </c>
      <c r="C1500" s="2" t="str">
        <f>"18735649"</f>
        <v>18735649</v>
      </c>
      <c r="D1500" s="2">
        <v>0.98799999999999999</v>
      </c>
      <c r="E1500" s="2">
        <v>74</v>
      </c>
      <c r="F1500" s="2" t="s">
        <v>6</v>
      </c>
    </row>
    <row r="1501" spans="1:6" ht="25.5">
      <c r="A1501" s="2">
        <v>1498</v>
      </c>
      <c r="B1501" s="2" t="s">
        <v>1561</v>
      </c>
      <c r="C1501" s="2" t="str">
        <f>"19350090"</f>
        <v>19350090</v>
      </c>
      <c r="D1501" s="2">
        <v>0.185</v>
      </c>
      <c r="E1501" s="2">
        <v>5</v>
      </c>
      <c r="F1501" s="2" t="s">
        <v>6</v>
      </c>
    </row>
    <row r="1502" spans="1:6" ht="25.5">
      <c r="A1502" s="2">
        <v>1499</v>
      </c>
      <c r="B1502" s="2" t="s">
        <v>1562</v>
      </c>
      <c r="C1502" s="2" t="str">
        <f>"02534827"</f>
        <v>02534827</v>
      </c>
      <c r="D1502" s="2">
        <v>0.36</v>
      </c>
      <c r="E1502" s="2">
        <v>19</v>
      </c>
      <c r="F1502" s="2" t="s">
        <v>75</v>
      </c>
    </row>
    <row r="1503" spans="1:6" ht="25.5">
      <c r="A1503" s="2">
        <v>1500</v>
      </c>
      <c r="B1503" s="2" t="s">
        <v>1563</v>
      </c>
      <c r="C1503" s="2" t="str">
        <f>"14320606"</f>
        <v>14320606</v>
      </c>
      <c r="D1503" s="2">
        <v>0.73099999999999998</v>
      </c>
      <c r="E1503" s="2">
        <v>27</v>
      </c>
      <c r="F1503" s="2" t="s">
        <v>6</v>
      </c>
    </row>
    <row r="1504" spans="1:6" ht="25.5">
      <c r="A1504" s="2">
        <v>1501</v>
      </c>
      <c r="B1504" s="2" t="s">
        <v>1564</v>
      </c>
      <c r="C1504" s="2" t="str">
        <f>"16072510"</f>
        <v>16072510</v>
      </c>
      <c r="D1504" s="2">
        <v>0.20399999999999999</v>
      </c>
      <c r="E1504" s="2">
        <v>12</v>
      </c>
      <c r="F1504" s="2" t="s">
        <v>46</v>
      </c>
    </row>
    <row r="1505" spans="1:6" ht="25.5">
      <c r="A1505" s="2">
        <v>1502</v>
      </c>
      <c r="B1505" s="2" t="s">
        <v>1565</v>
      </c>
      <c r="C1505" s="2" t="str">
        <f>"08939659"</f>
        <v>08939659</v>
      </c>
      <c r="D1505" s="2">
        <v>1.1870000000000001</v>
      </c>
      <c r="E1505" s="2">
        <v>47</v>
      </c>
      <c r="F1505" s="2" t="s">
        <v>16</v>
      </c>
    </row>
    <row r="1506" spans="1:6" ht="25.5">
      <c r="A1506" s="2">
        <v>1503</v>
      </c>
      <c r="B1506" s="2" t="s">
        <v>1566</v>
      </c>
      <c r="C1506" s="2" t="str">
        <f>"16871200"</f>
        <v>16871200</v>
      </c>
      <c r="D1506" s="2">
        <v>0.26400000000000001</v>
      </c>
      <c r="E1506" s="2">
        <v>6</v>
      </c>
      <c r="F1506" s="2" t="s">
        <v>16</v>
      </c>
    </row>
    <row r="1507" spans="1:6" ht="25.5">
      <c r="A1507" s="2">
        <v>1504</v>
      </c>
      <c r="B1507" s="2" t="s">
        <v>1567</v>
      </c>
      <c r="C1507" s="2" t="str">
        <f>"15324818"</f>
        <v>15324818</v>
      </c>
      <c r="D1507" s="2">
        <v>0.435</v>
      </c>
      <c r="E1507" s="2">
        <v>22</v>
      </c>
      <c r="F1507" s="2" t="s">
        <v>6</v>
      </c>
    </row>
    <row r="1508" spans="1:6" ht="25.5">
      <c r="A1508" s="2">
        <v>1505</v>
      </c>
      <c r="B1508" s="2" t="s">
        <v>1568</v>
      </c>
      <c r="C1508" s="2" t="str">
        <f>"16609336"</f>
        <v>16609336</v>
      </c>
      <c r="D1508" s="2">
        <v>0.125</v>
      </c>
      <c r="E1508" s="2">
        <v>9</v>
      </c>
      <c r="F1508" s="2" t="s">
        <v>12</v>
      </c>
    </row>
    <row r="1509" spans="1:6" ht="25.5">
      <c r="A1509" s="2">
        <v>1506</v>
      </c>
      <c r="B1509" s="2" t="s">
        <v>1569</v>
      </c>
      <c r="C1509" s="2" t="str">
        <f>"10888535"</f>
        <v>10888535</v>
      </c>
      <c r="D1509" s="2">
        <v>1.258</v>
      </c>
      <c r="E1509" s="2">
        <v>66</v>
      </c>
      <c r="F1509" s="2" t="s">
        <v>6</v>
      </c>
    </row>
    <row r="1510" spans="1:6" ht="25.5">
      <c r="A1510" s="2">
        <v>1507</v>
      </c>
      <c r="B1510" s="2" t="s">
        <v>1570</v>
      </c>
      <c r="C1510" s="2" t="str">
        <f>"14320614"</f>
        <v>14320614</v>
      </c>
      <c r="D1510" s="2">
        <v>1.3069999999999999</v>
      </c>
      <c r="E1510" s="2">
        <v>115</v>
      </c>
      <c r="F1510" s="2" t="s">
        <v>12</v>
      </c>
    </row>
    <row r="1511" spans="1:6" ht="25.5">
      <c r="A1511" s="2">
        <v>1508</v>
      </c>
      <c r="B1511" s="2" t="s">
        <v>1571</v>
      </c>
      <c r="C1511" s="2" t="str">
        <f>"15324826"</f>
        <v>15324826</v>
      </c>
      <c r="D1511" s="2">
        <v>0.52</v>
      </c>
      <c r="E1511" s="2">
        <v>29</v>
      </c>
      <c r="F1511" s="2" t="s">
        <v>16</v>
      </c>
    </row>
    <row r="1512" spans="1:6" ht="25.5">
      <c r="A1512" s="2">
        <v>1509</v>
      </c>
      <c r="B1512" s="2" t="s">
        <v>1572</v>
      </c>
      <c r="C1512" s="2" t="str">
        <f>"01689274"</f>
        <v>01689274</v>
      </c>
      <c r="D1512" s="2">
        <v>1.208</v>
      </c>
      <c r="E1512" s="2">
        <v>44</v>
      </c>
      <c r="F1512" s="2" t="s">
        <v>75</v>
      </c>
    </row>
    <row r="1513" spans="1:6" ht="25.5">
      <c r="A1513" s="2">
        <v>1510</v>
      </c>
      <c r="B1513" s="2" t="s">
        <v>1573</v>
      </c>
      <c r="C1513" s="2" t="str">
        <f>"15328201"</f>
        <v>15328201</v>
      </c>
      <c r="D1513" s="2">
        <v>0.434</v>
      </c>
      <c r="E1513" s="2">
        <v>31</v>
      </c>
      <c r="F1513" s="2" t="s">
        <v>16</v>
      </c>
    </row>
    <row r="1514" spans="1:6" ht="25.5">
      <c r="A1514" s="2">
        <v>1511</v>
      </c>
      <c r="B1514" s="2" t="s">
        <v>1574</v>
      </c>
      <c r="C1514" s="2" t="str">
        <f>"01411187"</f>
        <v>01411187</v>
      </c>
      <c r="D1514" s="2">
        <v>0.97099999999999997</v>
      </c>
      <c r="E1514" s="2">
        <v>30</v>
      </c>
      <c r="F1514" s="2" t="s">
        <v>75</v>
      </c>
    </row>
    <row r="1515" spans="1:6" ht="25.5">
      <c r="A1515" s="2">
        <v>1512</v>
      </c>
      <c r="B1515" s="2" t="s">
        <v>1575</v>
      </c>
      <c r="C1515" s="2" t="str">
        <f>"18758533"</f>
        <v>18758533</v>
      </c>
      <c r="D1515" s="2">
        <v>0.61</v>
      </c>
      <c r="E1515" s="2">
        <v>3</v>
      </c>
      <c r="F1515" s="2" t="s">
        <v>75</v>
      </c>
    </row>
    <row r="1516" spans="1:6" ht="25.5">
      <c r="A1516" s="2">
        <v>1513</v>
      </c>
      <c r="B1516" s="2" t="s">
        <v>1576</v>
      </c>
      <c r="C1516" s="2" t="str">
        <f>"15394522"</f>
        <v>15394522</v>
      </c>
      <c r="D1516" s="2">
        <v>0.96599999999999997</v>
      </c>
      <c r="E1516" s="2">
        <v>118</v>
      </c>
      <c r="F1516" s="2" t="s">
        <v>6</v>
      </c>
    </row>
    <row r="1517" spans="1:6" ht="25.5">
      <c r="A1517" s="2">
        <v>1514</v>
      </c>
      <c r="B1517" s="2" t="s">
        <v>1577</v>
      </c>
      <c r="C1517" s="2" t="str">
        <f>"10990739"</f>
        <v>10990739</v>
      </c>
      <c r="D1517" s="2">
        <v>0.628</v>
      </c>
      <c r="E1517" s="2">
        <v>49</v>
      </c>
      <c r="F1517" s="2" t="s">
        <v>16</v>
      </c>
    </row>
    <row r="1518" spans="1:6" ht="25.5">
      <c r="A1518" s="2">
        <v>1515</v>
      </c>
      <c r="B1518" s="2" t="s">
        <v>1578</v>
      </c>
      <c r="C1518" s="2" t="str">
        <f>"14320630"</f>
        <v>14320630</v>
      </c>
      <c r="D1518" s="2">
        <v>0.75600000000000001</v>
      </c>
      <c r="E1518" s="2">
        <v>97</v>
      </c>
      <c r="F1518" s="2" t="s">
        <v>12</v>
      </c>
    </row>
    <row r="1519" spans="1:6" ht="25.5">
      <c r="A1519" s="2">
        <v>1516</v>
      </c>
      <c r="B1519" s="2" t="s">
        <v>1579</v>
      </c>
      <c r="C1519" s="2" t="str">
        <f>"09462171"</f>
        <v>09462171</v>
      </c>
      <c r="D1519" s="2">
        <v>1.0720000000000001</v>
      </c>
      <c r="E1519" s="2">
        <v>83</v>
      </c>
      <c r="F1519" s="2" t="s">
        <v>12</v>
      </c>
    </row>
    <row r="1520" spans="1:6" ht="25.5">
      <c r="A1520" s="2">
        <v>1517</v>
      </c>
      <c r="B1520" s="2" t="s">
        <v>1580</v>
      </c>
      <c r="C1520" s="2" t="str">
        <f>"18820778"</f>
        <v>18820778</v>
      </c>
      <c r="D1520" s="2">
        <v>1.341</v>
      </c>
      <c r="E1520" s="2">
        <v>32</v>
      </c>
      <c r="F1520" s="2" t="s">
        <v>131</v>
      </c>
    </row>
    <row r="1521" spans="1:6" ht="25.5">
      <c r="A1521" s="2">
        <v>1518</v>
      </c>
      <c r="B1521" s="2" t="s">
        <v>1581</v>
      </c>
      <c r="C1521" s="2" t="str">
        <f>"10773118"</f>
        <v>10773118</v>
      </c>
      <c r="D1521" s="2">
        <v>1.9379999999999999</v>
      </c>
      <c r="E1521" s="2">
        <v>290</v>
      </c>
      <c r="F1521" s="2" t="s">
        <v>6</v>
      </c>
    </row>
    <row r="1522" spans="1:6" ht="25.5">
      <c r="A1522" s="2">
        <v>1519</v>
      </c>
      <c r="B1522" s="2" t="s">
        <v>1582</v>
      </c>
      <c r="C1522" s="2" t="str">
        <f>"17155312"</f>
        <v>17155312</v>
      </c>
      <c r="D1522" s="2">
        <v>0.80700000000000005</v>
      </c>
      <c r="E1522" s="2">
        <v>46</v>
      </c>
      <c r="F1522" s="2" t="s">
        <v>64</v>
      </c>
    </row>
    <row r="1523" spans="1:6" ht="25.5">
      <c r="A1523" s="2">
        <v>1520</v>
      </c>
      <c r="B1523" s="2" t="s">
        <v>1583</v>
      </c>
      <c r="C1523" s="2" t="str">
        <f>"14691817"</f>
        <v>14691817</v>
      </c>
      <c r="D1523" s="2">
        <v>1.0509999999999999</v>
      </c>
      <c r="E1523" s="2">
        <v>41</v>
      </c>
      <c r="F1523" s="2" t="s">
        <v>16</v>
      </c>
    </row>
    <row r="1524" spans="1:6" ht="25.5">
      <c r="A1524" s="2">
        <v>1521</v>
      </c>
      <c r="B1524" s="2" t="s">
        <v>1584</v>
      </c>
      <c r="C1524" s="2" t="str">
        <f>"15523497"</f>
        <v>15523497</v>
      </c>
      <c r="D1524" s="2">
        <v>1.728</v>
      </c>
      <c r="E1524" s="2">
        <v>36</v>
      </c>
      <c r="F1524" s="2" t="s">
        <v>6</v>
      </c>
    </row>
    <row r="1525" spans="1:6" ht="25.5">
      <c r="A1525" s="2">
        <v>1522</v>
      </c>
      <c r="B1525" s="2" t="s">
        <v>1585</v>
      </c>
      <c r="C1525" s="2" t="str">
        <f>"0269994X"</f>
        <v>0269994X</v>
      </c>
      <c r="D1525" s="2">
        <v>1.1080000000000001</v>
      </c>
      <c r="E1525" s="2">
        <v>44</v>
      </c>
      <c r="F1525" s="2" t="s">
        <v>16</v>
      </c>
    </row>
    <row r="1526" spans="1:6" ht="25.5">
      <c r="A1526" s="2">
        <v>1523</v>
      </c>
      <c r="B1526" s="2" t="s">
        <v>1586</v>
      </c>
      <c r="C1526" s="2" t="str">
        <f>"17580857"</f>
        <v>17580857</v>
      </c>
      <c r="D1526" s="2">
        <v>0.56699999999999995</v>
      </c>
      <c r="E1526" s="2">
        <v>4</v>
      </c>
      <c r="F1526" s="2" t="s">
        <v>6</v>
      </c>
    </row>
    <row r="1527" spans="1:6" ht="25.5">
      <c r="A1527" s="2">
        <v>1524</v>
      </c>
      <c r="B1527" s="2" t="s">
        <v>1587</v>
      </c>
      <c r="C1527" s="2" t="str">
        <f>"15733270"</f>
        <v>15733270</v>
      </c>
      <c r="D1527" s="2">
        <v>0.45800000000000002</v>
      </c>
      <c r="E1527" s="2">
        <v>35</v>
      </c>
      <c r="F1527" s="2" t="s">
        <v>6</v>
      </c>
    </row>
    <row r="1528" spans="1:6" ht="25.5">
      <c r="A1528" s="2">
        <v>1525</v>
      </c>
      <c r="B1528" s="2" t="s">
        <v>1588</v>
      </c>
      <c r="C1528" s="2" t="str">
        <f>"09698043"</f>
        <v>09698043</v>
      </c>
      <c r="D1528" s="2">
        <v>0.61099999999999999</v>
      </c>
      <c r="E1528" s="2">
        <v>46</v>
      </c>
      <c r="F1528" s="2" t="s">
        <v>16</v>
      </c>
    </row>
    <row r="1529" spans="1:6" ht="25.5">
      <c r="A1529" s="2">
        <v>1526</v>
      </c>
      <c r="B1529" s="2" t="s">
        <v>1589</v>
      </c>
      <c r="C1529" s="2" t="str">
        <f>"01609963"</f>
        <v>01609963</v>
      </c>
      <c r="D1529" s="2">
        <v>0.153</v>
      </c>
      <c r="E1529" s="2">
        <v>8</v>
      </c>
      <c r="F1529" s="2" t="s">
        <v>6</v>
      </c>
    </row>
    <row r="1530" spans="1:6" ht="25.5">
      <c r="A1530" s="2">
        <v>1527</v>
      </c>
      <c r="B1530" s="2" t="s">
        <v>1590</v>
      </c>
      <c r="C1530" s="2" t="str">
        <f>"18712584"</f>
        <v>18712584</v>
      </c>
      <c r="D1530" s="2">
        <v>0.34799999999999998</v>
      </c>
      <c r="E1530" s="2">
        <v>8</v>
      </c>
      <c r="F1530" s="2" t="s">
        <v>75</v>
      </c>
    </row>
    <row r="1531" spans="1:6" ht="25.5">
      <c r="A1531" s="2">
        <v>1528</v>
      </c>
      <c r="B1531" s="2" t="s">
        <v>1591</v>
      </c>
      <c r="C1531" s="2" t="str">
        <f>"16178106"</f>
        <v>16178106</v>
      </c>
      <c r="D1531" s="2">
        <v>0.29099999999999998</v>
      </c>
      <c r="E1531" s="2">
        <v>17</v>
      </c>
      <c r="F1531" s="2" t="s">
        <v>31</v>
      </c>
    </row>
    <row r="1532" spans="1:6" ht="25.5">
      <c r="A1532" s="2">
        <v>1529</v>
      </c>
      <c r="B1532" s="2" t="s">
        <v>1592</v>
      </c>
      <c r="C1532" s="2" t="str">
        <f>"14545101"</f>
        <v>14545101</v>
      </c>
      <c r="D1532" s="2">
        <v>0.23100000000000001</v>
      </c>
      <c r="E1532" s="2">
        <v>6</v>
      </c>
      <c r="F1532" s="2" t="s">
        <v>19</v>
      </c>
    </row>
    <row r="1533" spans="1:6" ht="25.5">
      <c r="A1533" s="2">
        <v>1530</v>
      </c>
      <c r="B1533" s="2" t="s">
        <v>1593</v>
      </c>
      <c r="C1533" s="2" t="str">
        <f>"15684946"</f>
        <v>15684946</v>
      </c>
      <c r="D1533" s="2">
        <v>1.4810000000000001</v>
      </c>
      <c r="E1533" s="2">
        <v>46</v>
      </c>
      <c r="F1533" s="2" t="s">
        <v>75</v>
      </c>
    </row>
    <row r="1534" spans="1:6" ht="25.5">
      <c r="A1534" s="2">
        <v>1531</v>
      </c>
      <c r="B1534" s="2" t="s">
        <v>1594</v>
      </c>
      <c r="C1534" s="2" t="str">
        <f>"09291393"</f>
        <v>09291393</v>
      </c>
      <c r="D1534" s="2">
        <v>1.032</v>
      </c>
      <c r="E1534" s="2">
        <v>63</v>
      </c>
      <c r="F1534" s="2" t="s">
        <v>75</v>
      </c>
    </row>
    <row r="1535" spans="1:6" ht="25.5">
      <c r="A1535" s="2">
        <v>1532</v>
      </c>
      <c r="B1535" s="2" t="s">
        <v>1595</v>
      </c>
      <c r="C1535" s="2" t="str">
        <f>"0003701X"</f>
        <v>0003701X</v>
      </c>
      <c r="D1535" s="2">
        <v>0.189</v>
      </c>
      <c r="E1535" s="2">
        <v>5</v>
      </c>
      <c r="F1535" s="2" t="s">
        <v>6</v>
      </c>
    </row>
    <row r="1536" spans="1:6" ht="25.5">
      <c r="A1536" s="2">
        <v>1533</v>
      </c>
      <c r="B1536" s="2" t="s">
        <v>1596</v>
      </c>
      <c r="C1536" s="2" t="str">
        <f>"1874463X"</f>
        <v>1874463X</v>
      </c>
      <c r="D1536" s="2">
        <v>0.34300000000000003</v>
      </c>
      <c r="E1536" s="2">
        <v>4</v>
      </c>
      <c r="F1536" s="2" t="s">
        <v>75</v>
      </c>
    </row>
    <row r="1537" spans="1:6" ht="25.5">
      <c r="A1537" s="2">
        <v>1534</v>
      </c>
      <c r="B1537" s="2" t="s">
        <v>1597</v>
      </c>
      <c r="C1537" s="2" t="str">
        <f>"00037028"</f>
        <v>00037028</v>
      </c>
      <c r="D1537" s="2">
        <v>0.51900000000000002</v>
      </c>
      <c r="E1537" s="2">
        <v>75</v>
      </c>
      <c r="F1537" s="2" t="s">
        <v>6</v>
      </c>
    </row>
    <row r="1538" spans="1:6" ht="25.5">
      <c r="A1538" s="2">
        <v>1535</v>
      </c>
      <c r="B1538" s="2" t="s">
        <v>1598</v>
      </c>
      <c r="C1538" s="2" t="str">
        <f>"1520569X"</f>
        <v>1520569X</v>
      </c>
      <c r="D1538" s="2">
        <v>0.876</v>
      </c>
      <c r="E1538" s="2">
        <v>35</v>
      </c>
      <c r="F1538" s="2" t="s">
        <v>16</v>
      </c>
    </row>
    <row r="1539" spans="1:6" ht="25.5">
      <c r="A1539" s="2">
        <v>1536</v>
      </c>
      <c r="B1539" s="2" t="s">
        <v>1599</v>
      </c>
      <c r="C1539" s="2" t="str">
        <f>"15264025"</f>
        <v>15264025</v>
      </c>
      <c r="D1539" s="2">
        <v>0.38500000000000001</v>
      </c>
      <c r="E1539" s="2">
        <v>18</v>
      </c>
      <c r="F1539" s="2" t="s">
        <v>16</v>
      </c>
    </row>
    <row r="1540" spans="1:6" ht="25.5">
      <c r="A1540" s="2">
        <v>1537</v>
      </c>
      <c r="B1540" s="2" t="s">
        <v>1600</v>
      </c>
      <c r="C1540" s="2" t="str">
        <f>"01694332"</f>
        <v>01694332</v>
      </c>
      <c r="D1540" s="2">
        <v>0.83599999999999997</v>
      </c>
      <c r="E1540" s="2">
        <v>91</v>
      </c>
      <c r="F1540" s="2" t="s">
        <v>75</v>
      </c>
    </row>
    <row r="1541" spans="1:6" ht="25.5">
      <c r="A1541" s="2">
        <v>1538</v>
      </c>
      <c r="B1541" s="2" t="s">
        <v>1601</v>
      </c>
      <c r="C1541" s="2" t="str">
        <f>"13594311"</f>
        <v>13594311</v>
      </c>
      <c r="D1541" s="2">
        <v>1.403</v>
      </c>
      <c r="E1541" s="2">
        <v>61</v>
      </c>
      <c r="F1541" s="2" t="s">
        <v>16</v>
      </c>
    </row>
    <row r="1542" spans="1:6" ht="25.5">
      <c r="A1542" s="2">
        <v>1539</v>
      </c>
      <c r="B1542" s="2" t="s">
        <v>1602</v>
      </c>
      <c r="C1542" s="2" t="str">
        <f>"14022001"</f>
        <v>14022001</v>
      </c>
      <c r="D1542" s="2">
        <v>0.98399999999999999</v>
      </c>
      <c r="E1542" s="2">
        <v>36</v>
      </c>
      <c r="F1542" s="2" t="s">
        <v>6</v>
      </c>
    </row>
    <row r="1543" spans="1:6" ht="25.5">
      <c r="A1543" s="2">
        <v>1540</v>
      </c>
      <c r="B1543" s="2" t="s">
        <v>1603</v>
      </c>
      <c r="C1543" s="2" t="str">
        <f>"02724693"</f>
        <v>02724693</v>
      </c>
      <c r="D1543" s="2">
        <v>0.184</v>
      </c>
      <c r="E1543" s="2">
        <v>34</v>
      </c>
      <c r="F1543" s="2" t="s">
        <v>6</v>
      </c>
    </row>
    <row r="1544" spans="1:6" ht="25.5">
      <c r="A1544" s="2">
        <v>1541</v>
      </c>
      <c r="B1544" s="2" t="s">
        <v>1604</v>
      </c>
      <c r="C1544" s="2" t="str">
        <f>"18866581"</f>
        <v>18866581</v>
      </c>
      <c r="D1544" s="2">
        <v>0.125</v>
      </c>
      <c r="E1544" s="2">
        <v>4</v>
      </c>
      <c r="F1544" s="2" t="s">
        <v>351</v>
      </c>
    </row>
    <row r="1545" spans="1:6" ht="25.5">
      <c r="A1545" s="2">
        <v>1542</v>
      </c>
      <c r="B1545" s="2" t="s">
        <v>1605</v>
      </c>
      <c r="C1545" s="2" t="str">
        <f>"01448609"</f>
        <v>01448609</v>
      </c>
      <c r="D1545" s="2">
        <v>0.74399999999999999</v>
      </c>
      <c r="E1545" s="2">
        <v>39</v>
      </c>
      <c r="F1545" s="2" t="s">
        <v>75</v>
      </c>
    </row>
    <row r="1546" spans="1:6" ht="25.5">
      <c r="A1546" s="2">
        <v>1543</v>
      </c>
      <c r="B1546" s="2" t="s">
        <v>1606</v>
      </c>
      <c r="C1546" s="2" t="str">
        <f>"00448486"</f>
        <v>00448486</v>
      </c>
      <c r="D1546" s="2">
        <v>1.0529999999999999</v>
      </c>
      <c r="E1546" s="2">
        <v>94</v>
      </c>
      <c r="F1546" s="2" t="s">
        <v>75</v>
      </c>
    </row>
    <row r="1547" spans="1:6" ht="25.5">
      <c r="A1547" s="2">
        <v>1544</v>
      </c>
      <c r="B1547" s="2" t="s">
        <v>1607</v>
      </c>
      <c r="C1547" s="2" t="str">
        <f>"13657313"</f>
        <v>13657313</v>
      </c>
      <c r="D1547" s="2">
        <v>0.28699999999999998</v>
      </c>
      <c r="E1547" s="2">
        <v>12</v>
      </c>
      <c r="F1547" s="2" t="s">
        <v>16</v>
      </c>
    </row>
    <row r="1548" spans="1:6" ht="25.5">
      <c r="A1548" s="2">
        <v>1545</v>
      </c>
      <c r="B1548" s="2" t="s">
        <v>1608</v>
      </c>
      <c r="C1548" s="2" t="str">
        <f>"18697534"</f>
        <v>18697534</v>
      </c>
      <c r="D1548" s="2">
        <v>0.32100000000000001</v>
      </c>
      <c r="E1548" s="2">
        <v>3</v>
      </c>
      <c r="F1548" s="2" t="s">
        <v>12</v>
      </c>
    </row>
    <row r="1549" spans="1:6" ht="25.5">
      <c r="A1549" s="2">
        <v>1546</v>
      </c>
      <c r="B1549" s="2" t="s">
        <v>1609</v>
      </c>
      <c r="C1549" s="2" t="str">
        <f>"1573143X"</f>
        <v>1573143X</v>
      </c>
      <c r="D1549" s="2">
        <v>0.50700000000000001</v>
      </c>
      <c r="E1549" s="2">
        <v>31</v>
      </c>
      <c r="F1549" s="2" t="s">
        <v>75</v>
      </c>
    </row>
    <row r="1550" spans="1:6" ht="25.5">
      <c r="A1550" s="2">
        <v>1547</v>
      </c>
      <c r="B1550" s="2" t="s">
        <v>1610</v>
      </c>
      <c r="C1550" s="2" t="str">
        <f>"13652095"</f>
        <v>13652095</v>
      </c>
      <c r="D1550" s="2">
        <v>1.173</v>
      </c>
      <c r="E1550" s="2">
        <v>42</v>
      </c>
      <c r="F1550" s="2" t="s">
        <v>16</v>
      </c>
    </row>
    <row r="1551" spans="1:6" ht="25.5">
      <c r="A1551" s="2">
        <v>1548</v>
      </c>
      <c r="B1551" s="2" t="s">
        <v>1611</v>
      </c>
      <c r="C1551" s="2" t="str">
        <f>"13652109"</f>
        <v>13652109</v>
      </c>
      <c r="D1551" s="2">
        <v>0.66700000000000004</v>
      </c>
      <c r="E1551" s="2">
        <v>46</v>
      </c>
      <c r="F1551" s="2" t="s">
        <v>16</v>
      </c>
    </row>
    <row r="1552" spans="1:6" ht="25.5">
      <c r="A1552" s="2">
        <v>1549</v>
      </c>
      <c r="B1552" s="2" t="s">
        <v>1612</v>
      </c>
      <c r="C1552" s="2" t="str">
        <f>"18647782"</f>
        <v>18647782</v>
      </c>
      <c r="D1552" s="2">
        <v>0.68700000000000006</v>
      </c>
      <c r="E1552" s="2">
        <v>17</v>
      </c>
      <c r="F1552" s="2" t="s">
        <v>12</v>
      </c>
    </row>
    <row r="1553" spans="1:6" ht="25.5">
      <c r="A1553" s="2">
        <v>1550</v>
      </c>
      <c r="B1553" s="2" t="s">
        <v>1613</v>
      </c>
      <c r="C1553" s="2" t="str">
        <f>"20469063"</f>
        <v>20469063</v>
      </c>
      <c r="D1553" s="2">
        <v>0</v>
      </c>
      <c r="E1553" s="2">
        <v>2</v>
      </c>
      <c r="F1553" s="2" t="s">
        <v>16</v>
      </c>
    </row>
    <row r="1554" spans="1:6" ht="25.5">
      <c r="A1554" s="2">
        <v>1551</v>
      </c>
      <c r="B1554" s="2" t="s">
        <v>1614</v>
      </c>
      <c r="C1554" s="2" t="str">
        <f>"03043770"</f>
        <v>03043770</v>
      </c>
      <c r="D1554" s="2">
        <v>0.67700000000000005</v>
      </c>
      <c r="E1554" s="2">
        <v>55</v>
      </c>
      <c r="F1554" s="2" t="s">
        <v>75</v>
      </c>
    </row>
    <row r="1555" spans="1:6" ht="25.5">
      <c r="A1555" s="2">
        <v>1552</v>
      </c>
      <c r="B1555" s="2" t="s">
        <v>1615</v>
      </c>
      <c r="C1555" s="2" t="str">
        <f>"10990755"</f>
        <v>10990755</v>
      </c>
      <c r="D1555" s="2">
        <v>0.85</v>
      </c>
      <c r="E1555" s="2">
        <v>44</v>
      </c>
      <c r="F1555" s="2" t="s">
        <v>16</v>
      </c>
    </row>
    <row r="1556" spans="1:6" ht="25.5">
      <c r="A1556" s="2">
        <v>1553</v>
      </c>
      <c r="B1556" s="2" t="s">
        <v>1616</v>
      </c>
      <c r="C1556" s="2" t="str">
        <f>"15735125"</f>
        <v>15735125</v>
      </c>
      <c r="D1556" s="2">
        <v>0.61799999999999999</v>
      </c>
      <c r="E1556" s="2">
        <v>34</v>
      </c>
      <c r="F1556" s="2" t="s">
        <v>75</v>
      </c>
    </row>
    <row r="1557" spans="1:6" ht="25.5">
      <c r="A1557" s="2">
        <v>1554</v>
      </c>
      <c r="B1557" s="2" t="s">
        <v>1617</v>
      </c>
      <c r="C1557" s="2" t="str">
        <f>"15394077"</f>
        <v>15394077</v>
      </c>
      <c r="D1557" s="2">
        <v>0.38100000000000001</v>
      </c>
      <c r="E1557" s="2">
        <v>18</v>
      </c>
      <c r="F1557" s="2" t="s">
        <v>16</v>
      </c>
    </row>
    <row r="1558" spans="1:6" ht="25.5">
      <c r="A1558" s="2">
        <v>1555</v>
      </c>
      <c r="B1558" s="2" t="s">
        <v>1618</v>
      </c>
      <c r="C1558" s="2" t="str">
        <f>"13806165"</f>
        <v>13806165</v>
      </c>
      <c r="D1558" s="2">
        <v>0.63600000000000001</v>
      </c>
      <c r="E1558" s="2">
        <v>30</v>
      </c>
      <c r="F1558" s="2" t="s">
        <v>75</v>
      </c>
    </row>
    <row r="1559" spans="1:6" ht="25.5">
      <c r="A1559" s="2">
        <v>1556</v>
      </c>
      <c r="B1559" s="2" t="s">
        <v>1619</v>
      </c>
      <c r="C1559" s="2" t="str">
        <f>"17444152"</f>
        <v>17444152</v>
      </c>
      <c r="D1559" s="2">
        <v>0.316</v>
      </c>
      <c r="E1559" s="2">
        <v>12</v>
      </c>
      <c r="F1559" s="2" t="s">
        <v>16</v>
      </c>
    </row>
    <row r="1560" spans="1:6" ht="25.5">
      <c r="A1560" s="2">
        <v>1557</v>
      </c>
      <c r="B1560" s="2" t="s">
        <v>1620</v>
      </c>
      <c r="C1560" s="2" t="str">
        <f>"18185487"</f>
        <v>18185487</v>
      </c>
      <c r="D1560" s="2">
        <v>0.28899999999999998</v>
      </c>
      <c r="E1560" s="2">
        <v>5</v>
      </c>
      <c r="F1560" s="2" t="s">
        <v>751</v>
      </c>
    </row>
    <row r="1561" spans="1:6" ht="25.5">
      <c r="A1561" s="2">
        <v>1558</v>
      </c>
      <c r="B1561" s="2" t="s">
        <v>1621</v>
      </c>
      <c r="C1561" s="2" t="str">
        <f>"17652952"</f>
        <v>17652952</v>
      </c>
      <c r="D1561" s="2">
        <v>0.47399999999999998</v>
      </c>
      <c r="E1561" s="2">
        <v>38</v>
      </c>
      <c r="F1561" s="2" t="s">
        <v>66</v>
      </c>
    </row>
    <row r="1562" spans="1:6" ht="25.5">
      <c r="A1562" s="2">
        <v>1559</v>
      </c>
      <c r="B1562" s="2" t="s">
        <v>1622</v>
      </c>
      <c r="C1562" s="2" t="str">
        <f>"19967292"</f>
        <v>19967292</v>
      </c>
      <c r="D1562" s="2">
        <v>0.36799999999999999</v>
      </c>
      <c r="E1562" s="2">
        <v>7</v>
      </c>
      <c r="F1562" s="2" t="s">
        <v>75</v>
      </c>
    </row>
    <row r="1563" spans="1:6" ht="25.5">
      <c r="A1563" s="2">
        <v>1560</v>
      </c>
      <c r="B1563" s="2" t="s">
        <v>1623</v>
      </c>
      <c r="C1563" s="2" t="str">
        <f>"16161564"</f>
        <v>16161564</v>
      </c>
      <c r="D1563" s="2">
        <v>1.151</v>
      </c>
      <c r="E1563" s="2">
        <v>68</v>
      </c>
      <c r="F1563" s="2" t="s">
        <v>12</v>
      </c>
    </row>
    <row r="1564" spans="1:6" ht="25.5">
      <c r="A1564" s="2">
        <v>1561</v>
      </c>
      <c r="B1564" s="2" t="s">
        <v>1624</v>
      </c>
      <c r="C1564" s="2" t="str">
        <f>"14209055"</f>
        <v>14209055</v>
      </c>
      <c r="D1564" s="2">
        <v>0.88100000000000001</v>
      </c>
      <c r="E1564" s="2">
        <v>40</v>
      </c>
      <c r="F1564" s="2" t="s">
        <v>31</v>
      </c>
    </row>
    <row r="1565" spans="1:6" ht="25.5">
      <c r="A1565" s="2">
        <v>1562</v>
      </c>
      <c r="B1565" s="2" t="s">
        <v>1625</v>
      </c>
      <c r="C1565" s="2" t="str">
        <f>"18791514"</f>
        <v>18791514</v>
      </c>
      <c r="D1565" s="2">
        <v>1.615</v>
      </c>
      <c r="E1565" s="2">
        <v>80</v>
      </c>
      <c r="F1565" s="2" t="s">
        <v>75</v>
      </c>
    </row>
    <row r="1566" spans="1:6" ht="25.5">
      <c r="A1566" s="2">
        <v>1563</v>
      </c>
      <c r="B1566" s="2" t="s">
        <v>1626</v>
      </c>
      <c r="C1566" s="2" t="str">
        <f>"20275374"</f>
        <v>20275374</v>
      </c>
      <c r="D1566" s="2">
        <v>0.126</v>
      </c>
      <c r="E1566" s="2">
        <v>1</v>
      </c>
      <c r="F1566" s="2" t="s">
        <v>184</v>
      </c>
    </row>
    <row r="1567" spans="1:6" ht="25.5">
      <c r="A1567" s="2">
        <v>1564</v>
      </c>
      <c r="B1567" s="2" t="s">
        <v>1627</v>
      </c>
      <c r="C1567" s="2" t="str">
        <f>"10154442"</f>
        <v>10154442</v>
      </c>
      <c r="D1567" s="2">
        <v>0.115</v>
      </c>
      <c r="E1567" s="2">
        <v>8</v>
      </c>
      <c r="F1567" s="2" t="s">
        <v>1628</v>
      </c>
    </row>
    <row r="1568" spans="1:6" ht="25.5">
      <c r="A1568" s="2">
        <v>1565</v>
      </c>
      <c r="B1568" s="2" t="s">
        <v>1629</v>
      </c>
      <c r="C1568" s="2" t="str">
        <f>"16000471"</f>
        <v>16000471</v>
      </c>
      <c r="D1568" s="2">
        <v>0.26300000000000001</v>
      </c>
      <c r="E1568" s="2">
        <v>8</v>
      </c>
      <c r="F1568" s="2" t="s">
        <v>163</v>
      </c>
    </row>
    <row r="1569" spans="1:6" ht="25.5">
      <c r="A1569" s="2">
        <v>1566</v>
      </c>
      <c r="B1569" s="2" t="s">
        <v>1630</v>
      </c>
      <c r="C1569" s="2" t="str">
        <f>"13198025"</f>
        <v>13198025</v>
      </c>
      <c r="D1569" s="2">
        <v>0.156</v>
      </c>
      <c r="E1569" s="2">
        <v>12</v>
      </c>
      <c r="F1569" s="2" t="s">
        <v>12</v>
      </c>
    </row>
    <row r="1570" spans="1:6" ht="25.5">
      <c r="A1570" s="2">
        <v>1567</v>
      </c>
      <c r="B1570" s="2" t="s">
        <v>1631</v>
      </c>
      <c r="C1570" s="2" t="str">
        <f>"18785352"</f>
        <v>18785352</v>
      </c>
      <c r="D1570" s="2">
        <v>0.32600000000000001</v>
      </c>
      <c r="E1570" s="2">
        <v>7</v>
      </c>
      <c r="F1570" s="2" t="s">
        <v>75</v>
      </c>
    </row>
    <row r="1571" spans="1:6" ht="25.5">
      <c r="A1571" s="2">
        <v>1568</v>
      </c>
      <c r="B1571" s="2" t="s">
        <v>1632</v>
      </c>
      <c r="C1571" s="2" t="str">
        <f>"18667538"</f>
        <v>18667538</v>
      </c>
      <c r="D1571" s="2">
        <v>0.23799999999999999</v>
      </c>
      <c r="E1571" s="2">
        <v>5</v>
      </c>
      <c r="F1571" s="2" t="s">
        <v>12</v>
      </c>
    </row>
    <row r="1572" spans="1:6" ht="25.5">
      <c r="A1572" s="2">
        <v>1569</v>
      </c>
      <c r="B1572" s="2" t="s">
        <v>1633</v>
      </c>
      <c r="C1572" s="2" t="str">
        <f>"05705398"</f>
        <v>05705398</v>
      </c>
      <c r="D1572" s="2">
        <v>0.13500000000000001</v>
      </c>
      <c r="E1572" s="2">
        <v>5</v>
      </c>
      <c r="F1572" s="2" t="s">
        <v>75</v>
      </c>
    </row>
    <row r="1573" spans="1:6" ht="25.5">
      <c r="A1573" s="2">
        <v>1570</v>
      </c>
      <c r="B1573" s="2" t="s">
        <v>1634</v>
      </c>
      <c r="C1573" s="2" t="str">
        <f>"14740524"</f>
        <v>14740524</v>
      </c>
      <c r="D1573" s="2">
        <v>0.111</v>
      </c>
      <c r="E1573" s="2">
        <v>5</v>
      </c>
      <c r="F1573" s="2" t="s">
        <v>16</v>
      </c>
    </row>
    <row r="1574" spans="1:6" ht="25.5">
      <c r="A1574" s="2">
        <v>1571</v>
      </c>
      <c r="B1574" s="2" t="s">
        <v>1635</v>
      </c>
      <c r="C1574" s="2" t="str">
        <f>"16871979"</f>
        <v>16871979</v>
      </c>
      <c r="D1574" s="2">
        <v>0.16900000000000001</v>
      </c>
      <c r="E1574" s="2">
        <v>3</v>
      </c>
      <c r="F1574" s="2" t="s">
        <v>75</v>
      </c>
    </row>
    <row r="1575" spans="1:6" ht="25.5">
      <c r="A1575" s="2">
        <v>1572</v>
      </c>
      <c r="B1575" s="2" t="s">
        <v>1636</v>
      </c>
      <c r="C1575" s="2" t="str">
        <f>"1858554X"</f>
        <v>1858554X</v>
      </c>
      <c r="D1575" s="2">
        <v>0.121</v>
      </c>
      <c r="E1575" s="2">
        <v>2</v>
      </c>
      <c r="F1575" s="2" t="s">
        <v>1637</v>
      </c>
    </row>
    <row r="1576" spans="1:6" ht="25.5">
      <c r="A1576" s="2">
        <v>1573</v>
      </c>
      <c r="B1576" s="2" t="s">
        <v>1638</v>
      </c>
      <c r="C1576" s="2" t="str">
        <f>"15730255"</f>
        <v>15730255</v>
      </c>
      <c r="D1576" s="2">
        <v>0.1</v>
      </c>
      <c r="E1576" s="2">
        <v>4</v>
      </c>
      <c r="F1576" s="2" t="s">
        <v>75</v>
      </c>
    </row>
    <row r="1577" spans="1:6" ht="25.5">
      <c r="A1577" s="2">
        <v>1574</v>
      </c>
      <c r="B1577" s="2" t="s">
        <v>1639</v>
      </c>
      <c r="C1577" s="2" t="str">
        <f>"14806800"</f>
        <v>14806800</v>
      </c>
      <c r="D1577" s="2">
        <v>0.14599999999999999</v>
      </c>
      <c r="E1577" s="2">
        <v>3</v>
      </c>
      <c r="F1577" s="2" t="s">
        <v>6</v>
      </c>
    </row>
    <row r="1578" spans="1:6" ht="25.5">
      <c r="A1578" s="2">
        <v>1575</v>
      </c>
      <c r="B1578" s="2" t="s">
        <v>1640</v>
      </c>
      <c r="C1578" s="2" t="str">
        <f>"10184171"</f>
        <v>10184171</v>
      </c>
      <c r="D1578" s="2">
        <v>0.156</v>
      </c>
      <c r="E1578" s="2">
        <v>2</v>
      </c>
      <c r="F1578" s="2" t="s">
        <v>12</v>
      </c>
    </row>
    <row r="1579" spans="1:6" ht="25.5">
      <c r="A1579" s="2">
        <v>1576</v>
      </c>
      <c r="B1579" s="2" t="s">
        <v>1641</v>
      </c>
      <c r="C1579" s="2" t="str">
        <f>"14778351"</f>
        <v>14778351</v>
      </c>
      <c r="D1579" s="2">
        <v>0.123</v>
      </c>
      <c r="E1579" s="2">
        <v>3</v>
      </c>
      <c r="F1579" s="2" t="s">
        <v>75</v>
      </c>
    </row>
    <row r="1580" spans="1:6" ht="25.5">
      <c r="A1580" s="2">
        <v>1577</v>
      </c>
      <c r="B1580" s="2" t="s">
        <v>1642</v>
      </c>
      <c r="C1580" s="2" t="str">
        <f>"01035657"</f>
        <v>01035657</v>
      </c>
      <c r="D1580" s="2">
        <v>0.27</v>
      </c>
      <c r="E1580" s="2">
        <v>12</v>
      </c>
      <c r="F1580" s="2" t="s">
        <v>159</v>
      </c>
    </row>
    <row r="1581" spans="1:6" ht="25.5">
      <c r="A1581" s="2">
        <v>1578</v>
      </c>
      <c r="B1581" s="2" t="s">
        <v>1643</v>
      </c>
      <c r="C1581" s="2" t="str">
        <f>"09446052"</f>
        <v>09446052</v>
      </c>
      <c r="D1581" s="2">
        <v>0.159</v>
      </c>
      <c r="E1581" s="2">
        <v>11</v>
      </c>
      <c r="F1581" s="2" t="s">
        <v>12</v>
      </c>
    </row>
    <row r="1582" spans="1:6" ht="25.5">
      <c r="A1582" s="2">
        <v>1579</v>
      </c>
      <c r="B1582" s="2" t="s">
        <v>1644</v>
      </c>
      <c r="C1582" s="2" t="str">
        <f>"02101963"</f>
        <v>02101963</v>
      </c>
      <c r="D1582" s="2">
        <v>0.193</v>
      </c>
      <c r="E1582" s="2">
        <v>4</v>
      </c>
      <c r="F1582" s="2" t="s">
        <v>351</v>
      </c>
    </row>
    <row r="1583" spans="1:6" ht="25.5">
      <c r="A1583" s="2">
        <v>1580</v>
      </c>
      <c r="B1583" s="2" t="s">
        <v>1645</v>
      </c>
      <c r="C1583" s="2" t="str">
        <f>"03071375"</f>
        <v>03071375</v>
      </c>
      <c r="D1583" s="2">
        <v>0.17100000000000001</v>
      </c>
      <c r="E1583" s="2">
        <v>11</v>
      </c>
      <c r="F1583" s="2" t="s">
        <v>16</v>
      </c>
    </row>
    <row r="1584" spans="1:6" ht="25.5">
      <c r="A1584" s="2">
        <v>1581</v>
      </c>
      <c r="B1584" s="2" t="s">
        <v>1646</v>
      </c>
      <c r="C1584" s="2" t="str">
        <f>"19355297"</f>
        <v>19355297</v>
      </c>
      <c r="D1584" s="2">
        <v>0.28899999999999998</v>
      </c>
      <c r="E1584" s="2">
        <v>25</v>
      </c>
      <c r="F1584" s="2" t="s">
        <v>6</v>
      </c>
    </row>
    <row r="1585" spans="1:6" ht="25.5">
      <c r="A1585" s="2">
        <v>1582</v>
      </c>
      <c r="B1585" s="2" t="s">
        <v>1647</v>
      </c>
      <c r="C1585" s="2" t="str">
        <f>"16130642"</f>
        <v>16130642</v>
      </c>
      <c r="D1585" s="2">
        <v>0.104</v>
      </c>
      <c r="E1585" s="2">
        <v>2</v>
      </c>
      <c r="F1585" s="2" t="s">
        <v>12</v>
      </c>
    </row>
    <row r="1586" spans="1:6" ht="25.5">
      <c r="A1586" s="2">
        <v>1583</v>
      </c>
      <c r="B1586" s="2" t="s">
        <v>1648</v>
      </c>
      <c r="C1586" s="2" t="str">
        <f>"14723654"</f>
        <v>14723654</v>
      </c>
      <c r="D1586" s="2">
        <v>0.80800000000000005</v>
      </c>
      <c r="E1586" s="2">
        <v>20</v>
      </c>
      <c r="F1586" s="2" t="s">
        <v>6</v>
      </c>
    </row>
    <row r="1587" spans="1:6" ht="25.5">
      <c r="A1587" s="2">
        <v>1584</v>
      </c>
      <c r="B1587" s="2" t="s">
        <v>1649</v>
      </c>
      <c r="C1587" s="2" t="str">
        <f>"11326891"</f>
        <v>11326891</v>
      </c>
      <c r="D1587" s="2">
        <v>0.34200000000000003</v>
      </c>
      <c r="E1587" s="2">
        <v>10</v>
      </c>
      <c r="F1587" s="2" t="s">
        <v>351</v>
      </c>
    </row>
    <row r="1588" spans="1:6" ht="25.5">
      <c r="A1588" s="2">
        <v>1585</v>
      </c>
      <c r="B1588" s="2" t="s">
        <v>1650</v>
      </c>
      <c r="C1588" s="2" t="str">
        <f>"1589486X"</f>
        <v>1589486X</v>
      </c>
      <c r="D1588" s="2">
        <v>0.123</v>
      </c>
      <c r="E1588" s="2">
        <v>2</v>
      </c>
      <c r="F1588" s="2" t="s">
        <v>135</v>
      </c>
    </row>
    <row r="1589" spans="1:6" ht="25.5">
      <c r="A1589" s="2">
        <v>1586</v>
      </c>
      <c r="B1589" s="2" t="s">
        <v>1651</v>
      </c>
      <c r="C1589" s="2" t="str">
        <f>"18253881"</f>
        <v>18253881</v>
      </c>
      <c r="D1589" s="2">
        <v>0.16700000000000001</v>
      </c>
      <c r="E1589" s="2">
        <v>1</v>
      </c>
      <c r="F1589" s="2" t="s">
        <v>190</v>
      </c>
    </row>
    <row r="1590" spans="1:6" ht="25.5">
      <c r="A1590" s="2">
        <v>1587</v>
      </c>
      <c r="B1590" s="2" t="s">
        <v>1652</v>
      </c>
      <c r="C1590" s="2" t="str">
        <f>"13109537"</f>
        <v>13109537</v>
      </c>
      <c r="D1590" s="2">
        <v>0.124</v>
      </c>
      <c r="E1590" s="2">
        <v>1</v>
      </c>
      <c r="F1590" s="2" t="s">
        <v>293</v>
      </c>
    </row>
    <row r="1591" spans="1:6" ht="25.5">
      <c r="A1591" s="2">
        <v>1588</v>
      </c>
      <c r="B1591" s="2" t="s">
        <v>1653</v>
      </c>
      <c r="C1591" s="2" t="str">
        <f>"18669565"</f>
        <v>18669565</v>
      </c>
      <c r="D1591" s="2">
        <v>0.78900000000000003</v>
      </c>
      <c r="E1591" s="2">
        <v>9</v>
      </c>
      <c r="F1591" s="2" t="s">
        <v>12</v>
      </c>
    </row>
    <row r="1592" spans="1:6" ht="25.5">
      <c r="A1592" s="2">
        <v>1589</v>
      </c>
      <c r="B1592" s="2" t="s">
        <v>1654</v>
      </c>
      <c r="C1592" s="2" t="str">
        <f>"14782294"</f>
        <v>14782294</v>
      </c>
      <c r="D1592" s="2">
        <v>0.223</v>
      </c>
      <c r="E1592" s="2">
        <v>11</v>
      </c>
      <c r="F1592" s="2" t="s">
        <v>16</v>
      </c>
    </row>
    <row r="1593" spans="1:6" ht="25.5">
      <c r="A1593" s="2">
        <v>1590</v>
      </c>
      <c r="B1593" s="2" t="s">
        <v>1655</v>
      </c>
      <c r="C1593" s="2" t="str">
        <f>"10990763"</f>
        <v>10990763</v>
      </c>
      <c r="D1593" s="2">
        <v>0.873</v>
      </c>
      <c r="E1593" s="2">
        <v>12</v>
      </c>
      <c r="F1593" s="2" t="s">
        <v>16</v>
      </c>
    </row>
    <row r="1594" spans="1:6" ht="25.5">
      <c r="A1594" s="2">
        <v>1591</v>
      </c>
      <c r="B1594" s="2" t="s">
        <v>1656</v>
      </c>
      <c r="C1594" s="2" t="str">
        <f>"05706084"</f>
        <v>05706084</v>
      </c>
      <c r="D1594" s="2">
        <v>0.10199999999999999</v>
      </c>
      <c r="E1594" s="2">
        <v>0</v>
      </c>
      <c r="F1594" s="2" t="s">
        <v>16</v>
      </c>
    </row>
    <row r="1595" spans="1:6" ht="25.5">
      <c r="A1595" s="2">
        <v>1592</v>
      </c>
      <c r="B1595" s="2" t="s">
        <v>1657</v>
      </c>
      <c r="C1595" s="2" t="str">
        <f>"15558622"</f>
        <v>15558622</v>
      </c>
      <c r="D1595" s="2">
        <v>0.23499999999999999</v>
      </c>
      <c r="E1595" s="2">
        <v>7</v>
      </c>
      <c r="F1595" s="2" t="s">
        <v>6</v>
      </c>
    </row>
    <row r="1596" spans="1:6" ht="25.5">
      <c r="A1596" s="2">
        <v>1593</v>
      </c>
      <c r="B1596" s="2" t="s">
        <v>1658</v>
      </c>
      <c r="C1596" s="2" t="str">
        <f>"19435746"</f>
        <v>19435746</v>
      </c>
      <c r="D1596" s="2">
        <v>0.109</v>
      </c>
      <c r="E1596" s="2">
        <v>3</v>
      </c>
      <c r="F1596" s="2" t="s">
        <v>6</v>
      </c>
    </row>
    <row r="1597" spans="1:6" ht="25.5">
      <c r="A1597" s="2">
        <v>1594</v>
      </c>
      <c r="B1597" s="2" t="s">
        <v>1659</v>
      </c>
      <c r="C1597" s="2" t="str">
        <f>"15630110"</f>
        <v>15630110</v>
      </c>
      <c r="D1597" s="2">
        <v>0.27100000000000002</v>
      </c>
      <c r="E1597" s="2">
        <v>6</v>
      </c>
      <c r="F1597" s="2" t="s">
        <v>75</v>
      </c>
    </row>
    <row r="1598" spans="1:6" ht="25.5">
      <c r="A1598" s="2">
        <v>1595</v>
      </c>
      <c r="B1598" s="2" t="s">
        <v>1660</v>
      </c>
      <c r="C1598" s="2" t="str">
        <f>"00038121"</f>
        <v>00038121</v>
      </c>
      <c r="D1598" s="2">
        <v>0.61899999999999999</v>
      </c>
      <c r="E1598" s="2">
        <v>11</v>
      </c>
      <c r="F1598" s="2" t="s">
        <v>127</v>
      </c>
    </row>
    <row r="1599" spans="1:6" ht="25.5">
      <c r="A1599" s="2">
        <v>1596</v>
      </c>
      <c r="B1599" s="2" t="s">
        <v>1661</v>
      </c>
      <c r="C1599" s="2" t="str">
        <f>"14754754"</f>
        <v>14754754</v>
      </c>
      <c r="D1599" s="2">
        <v>0.82699999999999996</v>
      </c>
      <c r="E1599" s="2">
        <v>36</v>
      </c>
      <c r="F1599" s="2" t="s">
        <v>16</v>
      </c>
    </row>
    <row r="1600" spans="1:6" ht="25.5">
      <c r="A1600" s="2">
        <v>1597</v>
      </c>
      <c r="B1600" s="2" t="s">
        <v>1662</v>
      </c>
      <c r="C1600" s="2" t="str">
        <f>"0342734X"</f>
        <v>0342734X</v>
      </c>
      <c r="D1600" s="2">
        <v>0.19</v>
      </c>
      <c r="E1600" s="2">
        <v>7</v>
      </c>
      <c r="F1600" s="2" t="s">
        <v>12</v>
      </c>
    </row>
    <row r="1601" spans="1:6" ht="25.5">
      <c r="A1601" s="2">
        <v>1598</v>
      </c>
      <c r="B1601" s="2" t="s">
        <v>1663</v>
      </c>
      <c r="C1601" s="2" t="str">
        <f>"09488359"</f>
        <v>09488359</v>
      </c>
      <c r="D1601" s="2">
        <v>0.1</v>
      </c>
      <c r="E1601" s="2">
        <v>3</v>
      </c>
      <c r="F1601" s="2" t="s">
        <v>12</v>
      </c>
    </row>
    <row r="1602" spans="1:6" ht="25.5">
      <c r="A1602" s="2">
        <v>1599</v>
      </c>
      <c r="B1602" s="2" t="s">
        <v>1664</v>
      </c>
      <c r="C1602" s="2" t="str">
        <f>"03918165"</f>
        <v>03918165</v>
      </c>
      <c r="D1602" s="2">
        <v>0.10100000000000001</v>
      </c>
      <c r="E1602" s="2">
        <v>3</v>
      </c>
      <c r="F1602" s="2" t="s">
        <v>190</v>
      </c>
    </row>
    <row r="1603" spans="1:6" ht="25.5">
      <c r="A1603" s="2">
        <v>1600</v>
      </c>
      <c r="B1603" s="2" t="s">
        <v>1665</v>
      </c>
      <c r="C1603" s="2" t="str">
        <f>"03900592"</f>
        <v>03900592</v>
      </c>
      <c r="D1603" s="2">
        <v>0.1</v>
      </c>
      <c r="E1603" s="2">
        <v>4</v>
      </c>
      <c r="F1603" s="2" t="s">
        <v>190</v>
      </c>
    </row>
    <row r="1604" spans="1:6" ht="25.5">
      <c r="A1604" s="2">
        <v>1601</v>
      </c>
      <c r="B1604" s="2" t="s">
        <v>1666</v>
      </c>
      <c r="C1604" s="2" t="str">
        <f>"1551823X"</f>
        <v>1551823X</v>
      </c>
      <c r="D1604" s="2">
        <v>0.10199999999999999</v>
      </c>
      <c r="E1604" s="2">
        <v>0</v>
      </c>
      <c r="F1604" s="2" t="s">
        <v>12</v>
      </c>
    </row>
    <row r="1605" spans="1:6" ht="25.5">
      <c r="A1605" s="2">
        <v>1602</v>
      </c>
      <c r="B1605" s="2" t="s">
        <v>1667</v>
      </c>
      <c r="C1605" s="2" t="str">
        <f>"03231267"</f>
        <v>03231267</v>
      </c>
      <c r="D1605" s="2">
        <v>0.28799999999999998</v>
      </c>
      <c r="E1605" s="2">
        <v>7</v>
      </c>
      <c r="F1605" s="2" t="s">
        <v>208</v>
      </c>
    </row>
    <row r="1606" spans="1:6" ht="25.5">
      <c r="A1606" s="2">
        <v>1603</v>
      </c>
      <c r="B1606" s="2" t="s">
        <v>1668</v>
      </c>
      <c r="C1606" s="2" t="str">
        <f>"21043655"</f>
        <v>21043655</v>
      </c>
      <c r="D1606" s="2">
        <v>0.111</v>
      </c>
      <c r="E1606" s="2">
        <v>1</v>
      </c>
      <c r="F1606" s="2" t="s">
        <v>66</v>
      </c>
    </row>
    <row r="1607" spans="1:6">
      <c r="A1607" s="2">
        <v>1604</v>
      </c>
      <c r="B1607" s="2" t="s">
        <v>1669</v>
      </c>
      <c r="C1607" s="2" t="str">
        <f>"0"</f>
        <v>0</v>
      </c>
      <c r="D1607" s="2">
        <v>0.1</v>
      </c>
      <c r="E1607" s="2">
        <v>2</v>
      </c>
      <c r="F1607" s="2" t="s">
        <v>6</v>
      </c>
    </row>
    <row r="1608" spans="1:6" ht="25.5">
      <c r="A1608" s="2">
        <v>1605</v>
      </c>
      <c r="B1608" s="2" t="s">
        <v>1670</v>
      </c>
      <c r="C1608" s="2" t="str">
        <f>"00038504"</f>
        <v>00038504</v>
      </c>
      <c r="D1608" s="2">
        <v>0.159</v>
      </c>
      <c r="E1608" s="2">
        <v>5</v>
      </c>
      <c r="F1608" s="2" t="s">
        <v>16</v>
      </c>
    </row>
    <row r="1609" spans="1:6" ht="25.5">
      <c r="A1609" s="2">
        <v>1606</v>
      </c>
      <c r="B1609" s="2" t="s">
        <v>1671</v>
      </c>
      <c r="C1609" s="2" t="str">
        <f>"00038520"</f>
        <v>00038520</v>
      </c>
      <c r="D1609" s="2">
        <v>0.1</v>
      </c>
      <c r="E1609" s="2">
        <v>0</v>
      </c>
      <c r="F1609" s="2" t="s">
        <v>16</v>
      </c>
    </row>
    <row r="1610" spans="1:6" ht="25.5">
      <c r="A1610" s="2">
        <v>1607</v>
      </c>
      <c r="B1610" s="2" t="s">
        <v>1672</v>
      </c>
      <c r="C1610" s="2" t="str">
        <f>"17527589"</f>
        <v>17527589</v>
      </c>
      <c r="D1610" s="2">
        <v>0.32200000000000001</v>
      </c>
      <c r="E1610" s="2">
        <v>5</v>
      </c>
      <c r="F1610" s="2" t="s">
        <v>16</v>
      </c>
    </row>
    <row r="1611" spans="1:6" ht="25.5">
      <c r="A1611" s="2">
        <v>1608</v>
      </c>
      <c r="B1611" s="2" t="s">
        <v>1673</v>
      </c>
      <c r="C1611" s="2" t="str">
        <f>"0066622X"</f>
        <v>0066622X</v>
      </c>
      <c r="D1611" s="2">
        <v>0.14299999999999999</v>
      </c>
      <c r="E1611" s="2">
        <v>4</v>
      </c>
      <c r="F1611" s="2" t="s">
        <v>16</v>
      </c>
    </row>
    <row r="1612" spans="1:6" ht="25.5">
      <c r="A1612" s="2">
        <v>1609</v>
      </c>
      <c r="B1612" s="2" t="s">
        <v>1674</v>
      </c>
      <c r="C1612" s="2" t="str">
        <f>"0003858X"</f>
        <v>0003858X</v>
      </c>
      <c r="D1612" s="2">
        <v>0.1</v>
      </c>
      <c r="E1612" s="2">
        <v>4</v>
      </c>
      <c r="F1612" s="2" t="s">
        <v>6</v>
      </c>
    </row>
    <row r="1613" spans="1:6" ht="25.5">
      <c r="A1613" s="2">
        <v>1610</v>
      </c>
      <c r="B1613" s="2" t="s">
        <v>1675</v>
      </c>
      <c r="C1613" s="2" t="str">
        <f>"13591355"</f>
        <v>13591355</v>
      </c>
      <c r="D1613" s="2">
        <v>0.12</v>
      </c>
      <c r="E1613" s="2">
        <v>1</v>
      </c>
      <c r="F1613" s="2" t="s">
        <v>16</v>
      </c>
    </row>
    <row r="1614" spans="1:6" ht="25.5">
      <c r="A1614" s="2">
        <v>1611</v>
      </c>
      <c r="B1614" s="2" t="s">
        <v>1676</v>
      </c>
      <c r="C1614" s="2" t="str">
        <f>"0003861X"</f>
        <v>0003861X</v>
      </c>
      <c r="D1614" s="2">
        <v>0.1</v>
      </c>
      <c r="E1614" s="2">
        <v>1</v>
      </c>
      <c r="F1614" s="2" t="s">
        <v>16</v>
      </c>
    </row>
    <row r="1615" spans="1:6" ht="25.5">
      <c r="A1615" s="2">
        <v>1612</v>
      </c>
      <c r="B1615" s="2" t="s">
        <v>1677</v>
      </c>
      <c r="C1615" s="2" t="str">
        <f>"00038628"</f>
        <v>00038628</v>
      </c>
      <c r="D1615" s="2">
        <v>0.33900000000000002</v>
      </c>
      <c r="E1615" s="2">
        <v>13</v>
      </c>
      <c r="F1615" s="2" t="s">
        <v>16</v>
      </c>
    </row>
    <row r="1616" spans="1:6" ht="25.5">
      <c r="A1616" s="2">
        <v>1613</v>
      </c>
      <c r="B1616" s="2" t="s">
        <v>1678</v>
      </c>
      <c r="C1616" s="2" t="str">
        <f>"17550475"</f>
        <v>17550475</v>
      </c>
      <c r="D1616" s="2">
        <v>0.123</v>
      </c>
      <c r="E1616" s="2">
        <v>2</v>
      </c>
      <c r="F1616" s="2" t="s">
        <v>16</v>
      </c>
    </row>
    <row r="1617" spans="1:6" ht="25.5">
      <c r="A1617" s="2">
        <v>1614</v>
      </c>
      <c r="B1617" s="2" t="s">
        <v>1679</v>
      </c>
      <c r="C1617" s="2" t="str">
        <f>"18877052"</f>
        <v>18877052</v>
      </c>
      <c r="D1617" s="2">
        <v>0.13300000000000001</v>
      </c>
      <c r="E1617" s="2">
        <v>1</v>
      </c>
      <c r="F1617" s="2" t="s">
        <v>351</v>
      </c>
    </row>
    <row r="1618" spans="1:6" ht="25.5">
      <c r="A1618" s="2">
        <v>1615</v>
      </c>
      <c r="B1618" s="2" t="s">
        <v>1680</v>
      </c>
      <c r="C1618" s="2" t="str">
        <f>"00448680"</f>
        <v>00448680</v>
      </c>
      <c r="D1618" s="2">
        <v>0.122</v>
      </c>
      <c r="E1618" s="2">
        <v>1</v>
      </c>
      <c r="F1618" s="2" t="s">
        <v>241</v>
      </c>
    </row>
    <row r="1619" spans="1:6" ht="25.5">
      <c r="A1619" s="2">
        <v>1616</v>
      </c>
      <c r="B1619" s="2" t="s">
        <v>1681</v>
      </c>
      <c r="C1619" s="2" t="str">
        <f>"13890166"</f>
        <v>13890166</v>
      </c>
      <c r="D1619" s="2">
        <v>0.29899999999999999</v>
      </c>
      <c r="E1619" s="2">
        <v>13</v>
      </c>
      <c r="F1619" s="2" t="s">
        <v>75</v>
      </c>
    </row>
    <row r="1620" spans="1:6" ht="25.5">
      <c r="A1620" s="2">
        <v>1617</v>
      </c>
      <c r="B1620" s="2" t="s">
        <v>1682</v>
      </c>
      <c r="C1620" s="2" t="str">
        <f>"14208938"</f>
        <v>14208938</v>
      </c>
      <c r="D1620" s="2">
        <v>0.53900000000000003</v>
      </c>
      <c r="E1620" s="2">
        <v>23</v>
      </c>
      <c r="F1620" s="2" t="s">
        <v>31</v>
      </c>
    </row>
    <row r="1621" spans="1:6" ht="25.5">
      <c r="A1621" s="2">
        <v>1618</v>
      </c>
      <c r="B1621" s="2" t="s">
        <v>1683</v>
      </c>
      <c r="C1621" s="2" t="str">
        <f>"15214184"</f>
        <v>15214184</v>
      </c>
      <c r="D1621" s="2">
        <v>0.53300000000000003</v>
      </c>
      <c r="E1621" s="2">
        <v>34</v>
      </c>
      <c r="F1621" s="2" t="s">
        <v>12</v>
      </c>
    </row>
    <row r="1622" spans="1:6" ht="25.5">
      <c r="A1622" s="2">
        <v>1619</v>
      </c>
      <c r="B1622" s="2" t="s">
        <v>1684</v>
      </c>
      <c r="C1622" s="2" t="str">
        <f>"14320657"</f>
        <v>14320657</v>
      </c>
      <c r="D1622" s="2">
        <v>0.23300000000000001</v>
      </c>
      <c r="E1622" s="2">
        <v>10</v>
      </c>
      <c r="F1622" s="2" t="s">
        <v>12</v>
      </c>
    </row>
    <row r="1623" spans="1:6" ht="25.5">
      <c r="A1623" s="2">
        <v>1620</v>
      </c>
      <c r="B1623" s="2" t="s">
        <v>1685</v>
      </c>
      <c r="C1623" s="2" t="str">
        <f>"14320665"</f>
        <v>14320665</v>
      </c>
      <c r="D1623" s="2">
        <v>0.42</v>
      </c>
      <c r="E1623" s="2">
        <v>19</v>
      </c>
      <c r="F1623" s="2" t="s">
        <v>6</v>
      </c>
    </row>
    <row r="1624" spans="1:6" ht="25.5">
      <c r="A1624" s="2">
        <v>1621</v>
      </c>
      <c r="B1624" s="2" t="s">
        <v>1686</v>
      </c>
      <c r="C1624" s="2" t="str">
        <f>"14320673"</f>
        <v>14320673</v>
      </c>
      <c r="D1624" s="2">
        <v>3.43</v>
      </c>
      <c r="E1624" s="2">
        <v>51</v>
      </c>
      <c r="F1624" s="2" t="s">
        <v>6</v>
      </c>
    </row>
    <row r="1625" spans="1:6" ht="25.5">
      <c r="A1625" s="2">
        <v>1622</v>
      </c>
      <c r="B1625" s="2" t="s">
        <v>1687</v>
      </c>
      <c r="C1625" s="2" t="str">
        <f>"00846724"</f>
        <v>00846724</v>
      </c>
      <c r="D1625" s="2">
        <v>0.38600000000000001</v>
      </c>
      <c r="E1625" s="2">
        <v>7</v>
      </c>
      <c r="F1625" s="2" t="s">
        <v>75</v>
      </c>
    </row>
    <row r="1626" spans="1:6" ht="25.5">
      <c r="A1626" s="2">
        <v>1623</v>
      </c>
      <c r="B1626" s="2" t="s">
        <v>1688</v>
      </c>
      <c r="C1626" s="2" t="str">
        <f>"14320681"</f>
        <v>14320681</v>
      </c>
      <c r="D1626" s="2">
        <v>0.60799999999999998</v>
      </c>
      <c r="E1626" s="2">
        <v>29</v>
      </c>
      <c r="F1626" s="2" t="s">
        <v>12</v>
      </c>
    </row>
    <row r="1627" spans="1:6" ht="25.5">
      <c r="A1627" s="2">
        <v>1624</v>
      </c>
      <c r="B1627" s="2" t="s">
        <v>1689</v>
      </c>
      <c r="C1627" s="2" t="str">
        <f>"00040738"</f>
        <v>00040738</v>
      </c>
      <c r="D1627" s="2">
        <v>0.109</v>
      </c>
      <c r="E1627" s="2">
        <v>0</v>
      </c>
      <c r="F1627" s="2" t="s">
        <v>169</v>
      </c>
    </row>
    <row r="1628" spans="1:6" ht="25.5">
      <c r="A1628" s="2">
        <v>1625</v>
      </c>
      <c r="B1628" s="2" t="s">
        <v>1690</v>
      </c>
      <c r="C1628" s="2" t="str">
        <f>"14509520"</f>
        <v>14509520</v>
      </c>
      <c r="D1628" s="2">
        <v>0.104</v>
      </c>
      <c r="E1628" s="2">
        <v>7</v>
      </c>
      <c r="F1628" s="2" t="s">
        <v>212</v>
      </c>
    </row>
    <row r="1629" spans="1:6" ht="25.5">
      <c r="A1629" s="2">
        <v>1626</v>
      </c>
      <c r="B1629" s="2" t="s">
        <v>1691</v>
      </c>
      <c r="C1629" s="2" t="str">
        <f>"0929693X"</f>
        <v>0929693X</v>
      </c>
      <c r="D1629" s="2">
        <v>0.19</v>
      </c>
      <c r="E1629" s="2">
        <v>27</v>
      </c>
      <c r="F1629" s="2" t="s">
        <v>66</v>
      </c>
    </row>
    <row r="1630" spans="1:6" ht="25.5">
      <c r="A1630" s="2">
        <v>1627</v>
      </c>
      <c r="B1630" s="2" t="s">
        <v>1692</v>
      </c>
      <c r="C1630" s="2" t="str">
        <f>"00039632"</f>
        <v>00039632</v>
      </c>
      <c r="D1630" s="2">
        <v>0.1</v>
      </c>
      <c r="E1630" s="2">
        <v>1</v>
      </c>
      <c r="F1630" s="2" t="s">
        <v>66</v>
      </c>
    </row>
    <row r="1631" spans="1:6" ht="25.5">
      <c r="A1631" s="2">
        <v>1628</v>
      </c>
      <c r="B1631" s="2" t="s">
        <v>1693</v>
      </c>
      <c r="C1631" s="2" t="str">
        <f>"17775825"</f>
        <v>17775825</v>
      </c>
      <c r="D1631" s="2">
        <v>0.1</v>
      </c>
      <c r="E1631" s="2">
        <v>5</v>
      </c>
      <c r="F1631" s="2" t="s">
        <v>66</v>
      </c>
    </row>
    <row r="1632" spans="1:6" ht="25.5">
      <c r="A1632" s="2">
        <v>1629</v>
      </c>
      <c r="B1632" s="2" t="s">
        <v>1694</v>
      </c>
      <c r="C1632" s="2" t="str">
        <f>"1261694X"</f>
        <v>1261694X</v>
      </c>
      <c r="D1632" s="2">
        <v>0.122</v>
      </c>
      <c r="E1632" s="2">
        <v>2</v>
      </c>
      <c r="F1632" s="2" t="s">
        <v>66</v>
      </c>
    </row>
    <row r="1633" spans="1:6" ht="25.5">
      <c r="A1633" s="2">
        <v>1630</v>
      </c>
      <c r="B1633" s="2" t="s">
        <v>1695</v>
      </c>
      <c r="C1633" s="2" t="str">
        <f>"17758785"</f>
        <v>17758785</v>
      </c>
      <c r="D1633" s="2">
        <v>0.2</v>
      </c>
      <c r="E1633" s="2">
        <v>8</v>
      </c>
      <c r="F1633" s="2" t="s">
        <v>66</v>
      </c>
    </row>
    <row r="1634" spans="1:6" ht="25.5">
      <c r="A1634" s="2">
        <v>1631</v>
      </c>
      <c r="B1634" s="2" t="s">
        <v>1696</v>
      </c>
      <c r="C1634" s="2" t="str">
        <f>"14740583"</f>
        <v>14740583</v>
      </c>
      <c r="D1634" s="2">
        <v>0.23499999999999999</v>
      </c>
      <c r="E1634" s="2">
        <v>16</v>
      </c>
      <c r="F1634" s="2" t="s">
        <v>16</v>
      </c>
    </row>
    <row r="1635" spans="1:6" ht="25.5">
      <c r="A1635" s="2">
        <v>1632</v>
      </c>
      <c r="B1635" s="2" t="s">
        <v>1697</v>
      </c>
      <c r="C1635" s="2" t="str">
        <f>"00039810"</f>
        <v>00039810</v>
      </c>
      <c r="D1635" s="2">
        <v>0.10199999999999999</v>
      </c>
      <c r="E1635" s="2">
        <v>2</v>
      </c>
      <c r="F1635" s="2" t="s">
        <v>190</v>
      </c>
    </row>
    <row r="1636" spans="1:6" ht="25.5">
      <c r="A1636" s="2">
        <v>1633</v>
      </c>
      <c r="B1636" s="2" t="s">
        <v>1698</v>
      </c>
      <c r="C1636" s="2" t="str">
        <f>"00039829"</f>
        <v>00039829</v>
      </c>
      <c r="D1636" s="2">
        <v>0.52600000000000002</v>
      </c>
      <c r="E1636" s="2">
        <v>23</v>
      </c>
      <c r="F1636" s="2" t="s">
        <v>190</v>
      </c>
    </row>
    <row r="1637" spans="1:6" ht="25.5">
      <c r="A1637" s="2">
        <v>1634</v>
      </c>
      <c r="B1637" s="2" t="s">
        <v>1699</v>
      </c>
      <c r="C1637" s="2" t="str">
        <f>"19650531"</f>
        <v>19650531</v>
      </c>
      <c r="D1637" s="2">
        <v>0.14399999999999999</v>
      </c>
      <c r="E1637" s="2">
        <v>2</v>
      </c>
      <c r="F1637" s="2" t="s">
        <v>66</v>
      </c>
    </row>
    <row r="1638" spans="1:6" ht="25.5">
      <c r="A1638" s="2">
        <v>1635</v>
      </c>
      <c r="B1638" s="2" t="s">
        <v>1700</v>
      </c>
      <c r="C1638" s="2" t="str">
        <f>"01375075"</f>
        <v>01375075</v>
      </c>
      <c r="D1638" s="2">
        <v>0.28199999999999997</v>
      </c>
      <c r="E1638" s="2">
        <v>8</v>
      </c>
      <c r="F1638" s="2" t="s">
        <v>169</v>
      </c>
    </row>
    <row r="1639" spans="1:6" ht="25.5">
      <c r="A1639" s="2">
        <v>1636</v>
      </c>
      <c r="B1639" s="2" t="s">
        <v>1701</v>
      </c>
      <c r="C1639" s="2" t="str">
        <f>"14763567"</f>
        <v>14763567</v>
      </c>
      <c r="D1639" s="2">
        <v>0.23699999999999999</v>
      </c>
      <c r="E1639" s="2">
        <v>9</v>
      </c>
      <c r="F1639" s="2" t="s">
        <v>16</v>
      </c>
    </row>
    <row r="1640" spans="1:6" ht="25.5">
      <c r="A1640" s="2">
        <v>1637</v>
      </c>
      <c r="B1640" s="2" t="s">
        <v>1702</v>
      </c>
      <c r="C1640" s="2" t="str">
        <f>"00039853"</f>
        <v>00039853</v>
      </c>
      <c r="D1640" s="2">
        <v>0.10100000000000001</v>
      </c>
      <c r="E1640" s="2">
        <v>1</v>
      </c>
      <c r="F1640" s="2" t="s">
        <v>6</v>
      </c>
    </row>
    <row r="1641" spans="1:6" ht="25.5">
      <c r="A1641" s="2">
        <v>1638</v>
      </c>
      <c r="B1641" s="2" t="s">
        <v>1703</v>
      </c>
      <c r="C1641" s="2" t="str">
        <f>"1745039X"</f>
        <v>1745039X</v>
      </c>
      <c r="D1641" s="2">
        <v>0.54800000000000004</v>
      </c>
      <c r="E1641" s="2">
        <v>24</v>
      </c>
      <c r="F1641" s="2" t="s">
        <v>16</v>
      </c>
    </row>
    <row r="1642" spans="1:6" ht="25.5">
      <c r="A1642" s="2">
        <v>1639</v>
      </c>
      <c r="B1642" s="2" t="s">
        <v>1704</v>
      </c>
      <c r="C1642" s="2" t="str">
        <f>"19446497"</f>
        <v>19446497</v>
      </c>
      <c r="D1642" s="2">
        <v>0.10199999999999999</v>
      </c>
      <c r="E1642" s="2">
        <v>2</v>
      </c>
      <c r="F1642" s="2" t="s">
        <v>6</v>
      </c>
    </row>
    <row r="1643" spans="1:6" ht="25.5">
      <c r="A1643" s="2">
        <v>1640</v>
      </c>
      <c r="B1643" s="2" t="s">
        <v>1705</v>
      </c>
      <c r="C1643" s="2" t="str">
        <f>"10960384"</f>
        <v>10960384</v>
      </c>
      <c r="D1643" s="2">
        <v>1.131</v>
      </c>
      <c r="E1643" s="2">
        <v>115</v>
      </c>
      <c r="F1643" s="2" t="s">
        <v>6</v>
      </c>
    </row>
    <row r="1644" spans="1:6" ht="25.5">
      <c r="A1644" s="2">
        <v>1641</v>
      </c>
      <c r="B1644" s="2" t="s">
        <v>1706</v>
      </c>
      <c r="C1644" s="2" t="str">
        <f>"03544664"</f>
        <v>03544664</v>
      </c>
      <c r="D1644" s="2">
        <v>0.30299999999999999</v>
      </c>
      <c r="E1644" s="2">
        <v>7</v>
      </c>
      <c r="F1644" s="2" t="s">
        <v>212</v>
      </c>
    </row>
    <row r="1645" spans="1:6" ht="25.5">
      <c r="A1645" s="2">
        <v>1642</v>
      </c>
      <c r="B1645" s="2" t="s">
        <v>1707</v>
      </c>
      <c r="C1645" s="2" t="str">
        <f>"16438698"</f>
        <v>16438698</v>
      </c>
      <c r="D1645" s="2">
        <v>0.23</v>
      </c>
      <c r="E1645" s="2">
        <v>5</v>
      </c>
      <c r="F1645" s="2" t="s">
        <v>6</v>
      </c>
    </row>
    <row r="1646" spans="1:6" ht="25.5">
      <c r="A1646" s="2">
        <v>1643</v>
      </c>
      <c r="B1646" s="2" t="s">
        <v>1708</v>
      </c>
      <c r="C1646" s="2" t="str">
        <f>"18752136"</f>
        <v>18752136</v>
      </c>
      <c r="D1646" s="2">
        <v>0.63400000000000001</v>
      </c>
      <c r="E1646" s="2">
        <v>25</v>
      </c>
      <c r="F1646" s="2" t="s">
        <v>66</v>
      </c>
    </row>
    <row r="1647" spans="1:6" ht="25.5">
      <c r="A1647" s="2">
        <v>1644</v>
      </c>
      <c r="B1647" s="2" t="s">
        <v>1709</v>
      </c>
      <c r="C1647" s="2" t="str">
        <f>"18786480"</f>
        <v>18786480</v>
      </c>
      <c r="D1647" s="2">
        <v>0.107</v>
      </c>
      <c r="E1647" s="2">
        <v>1</v>
      </c>
      <c r="F1647" s="2" t="s">
        <v>66</v>
      </c>
    </row>
    <row r="1648" spans="1:6" ht="25.5">
      <c r="A1648" s="2">
        <v>1645</v>
      </c>
      <c r="B1648" s="2" t="s">
        <v>1710</v>
      </c>
      <c r="C1648" s="2" t="str">
        <f>"16449665"</f>
        <v>16449665</v>
      </c>
      <c r="D1648" s="2">
        <v>0.35</v>
      </c>
      <c r="E1648" s="2">
        <v>8</v>
      </c>
      <c r="F1648" s="2" t="s">
        <v>169</v>
      </c>
    </row>
    <row r="1649" spans="1:6" ht="25.5">
      <c r="A1649" s="2">
        <v>1646</v>
      </c>
      <c r="B1649" s="2" t="s">
        <v>1711</v>
      </c>
      <c r="C1649" s="2" t="str">
        <f>"12302945"</f>
        <v>12302945</v>
      </c>
      <c r="D1649" s="2">
        <v>0.21</v>
      </c>
      <c r="E1649" s="2">
        <v>6</v>
      </c>
      <c r="F1649" s="2" t="s">
        <v>169</v>
      </c>
    </row>
    <row r="1650" spans="1:6" ht="25.5">
      <c r="A1650" s="2">
        <v>1647</v>
      </c>
      <c r="B1650" s="2" t="s">
        <v>1712</v>
      </c>
      <c r="C1650" s="2" t="str">
        <f>"19898436"</f>
        <v>19898436</v>
      </c>
      <c r="D1650" s="2">
        <v>0.13100000000000001</v>
      </c>
      <c r="E1650" s="2">
        <v>2</v>
      </c>
      <c r="F1650" s="2" t="s">
        <v>351</v>
      </c>
    </row>
    <row r="1651" spans="1:6" ht="25.5">
      <c r="A1651" s="2">
        <v>1648</v>
      </c>
      <c r="B1651" s="2" t="s">
        <v>1713</v>
      </c>
      <c r="C1651" s="2" t="str">
        <f>"08876177"</f>
        <v>08876177</v>
      </c>
      <c r="D1651" s="2">
        <v>0.79900000000000004</v>
      </c>
      <c r="E1651" s="2">
        <v>53</v>
      </c>
      <c r="F1651" s="2" t="s">
        <v>75</v>
      </c>
    </row>
    <row r="1652" spans="1:6" ht="25.5">
      <c r="A1652" s="2">
        <v>1649</v>
      </c>
      <c r="B1652" s="2" t="s">
        <v>1714</v>
      </c>
      <c r="C1652" s="2" t="str">
        <f>"11343060"</f>
        <v>11343060</v>
      </c>
      <c r="D1652" s="2">
        <v>2.1749999999999998</v>
      </c>
      <c r="E1652" s="2">
        <v>27</v>
      </c>
      <c r="F1652" s="2" t="s">
        <v>75</v>
      </c>
    </row>
    <row r="1653" spans="1:6" ht="25.5">
      <c r="A1653" s="2">
        <v>1650</v>
      </c>
      <c r="B1653" s="2" t="s">
        <v>1715</v>
      </c>
      <c r="C1653" s="2" t="str">
        <f>"12302384"</f>
        <v>12302384</v>
      </c>
      <c r="D1653" s="2">
        <v>0.26600000000000001</v>
      </c>
      <c r="E1653" s="2">
        <v>3</v>
      </c>
      <c r="F1653" s="2" t="s">
        <v>169</v>
      </c>
    </row>
    <row r="1654" spans="1:6" ht="25.5">
      <c r="A1654" s="2">
        <v>1651</v>
      </c>
      <c r="B1654" s="2" t="s">
        <v>1716</v>
      </c>
      <c r="C1654" s="2" t="str">
        <f>"03403696"</f>
        <v>03403696</v>
      </c>
      <c r="D1654" s="2">
        <v>0.95899999999999996</v>
      </c>
      <c r="E1654" s="2">
        <v>54</v>
      </c>
      <c r="F1654" s="2" t="s">
        <v>12</v>
      </c>
    </row>
    <row r="1655" spans="1:6" ht="25.5">
      <c r="A1655" s="2">
        <v>1652</v>
      </c>
      <c r="B1655" s="2" t="s">
        <v>1717</v>
      </c>
      <c r="C1655" s="2" t="str">
        <f>"14682044"</f>
        <v>14682044</v>
      </c>
      <c r="D1655" s="2">
        <v>1.173</v>
      </c>
      <c r="E1655" s="2">
        <v>95</v>
      </c>
      <c r="F1655" s="2" t="s">
        <v>16</v>
      </c>
    </row>
    <row r="1656" spans="1:6" ht="25.5">
      <c r="A1656" s="2">
        <v>1653</v>
      </c>
      <c r="B1656" s="2" t="s">
        <v>1718</v>
      </c>
      <c r="C1656" s="2" t="str">
        <f>"17430593"</f>
        <v>17430593</v>
      </c>
      <c r="D1656" s="2">
        <v>0.52</v>
      </c>
      <c r="E1656" s="2">
        <v>11</v>
      </c>
      <c r="F1656" s="2" t="s">
        <v>16</v>
      </c>
    </row>
    <row r="1657" spans="1:6" ht="25.5">
      <c r="A1657" s="2">
        <v>1654</v>
      </c>
      <c r="B1657" s="2" t="s">
        <v>1719</v>
      </c>
      <c r="C1657" s="2" t="str">
        <f>"14682052"</f>
        <v>14682052</v>
      </c>
      <c r="D1657" s="2">
        <v>1.413</v>
      </c>
      <c r="E1657" s="2">
        <v>74</v>
      </c>
      <c r="F1657" s="2" t="s">
        <v>16</v>
      </c>
    </row>
    <row r="1658" spans="1:6" ht="25.5">
      <c r="A1658" s="2">
        <v>1655</v>
      </c>
      <c r="B1658" s="2" t="s">
        <v>1720</v>
      </c>
      <c r="C1658" s="2" t="str">
        <f>"17535174"</f>
        <v>17535174</v>
      </c>
      <c r="D1658" s="2">
        <v>0.434</v>
      </c>
      <c r="E1658" s="2">
        <v>5</v>
      </c>
      <c r="F1658" s="2" t="s">
        <v>6</v>
      </c>
    </row>
    <row r="1659" spans="1:6" ht="25.5">
      <c r="A1659" s="2">
        <v>1656</v>
      </c>
      <c r="B1659" s="2" t="s">
        <v>1721</v>
      </c>
      <c r="C1659" s="2" t="str">
        <f>"14274221"</f>
        <v>14274221</v>
      </c>
      <c r="D1659" s="2">
        <v>0.219</v>
      </c>
      <c r="E1659" s="2">
        <v>4</v>
      </c>
      <c r="F1659" s="2" t="s">
        <v>169</v>
      </c>
    </row>
    <row r="1660" spans="1:6" ht="25.5">
      <c r="A1660" s="2">
        <v>1657</v>
      </c>
      <c r="B1660" s="2" t="s">
        <v>1722</v>
      </c>
      <c r="C1660" s="2" t="str">
        <f>"19338244"</f>
        <v>19338244</v>
      </c>
      <c r="D1660" s="2">
        <v>0.44500000000000001</v>
      </c>
      <c r="E1660" s="2">
        <v>41</v>
      </c>
      <c r="F1660" s="2" t="s">
        <v>6</v>
      </c>
    </row>
    <row r="1661" spans="1:6" ht="25.5">
      <c r="A1661" s="2">
        <v>1658</v>
      </c>
      <c r="B1661" s="2" t="s">
        <v>1723</v>
      </c>
      <c r="C1661" s="2" t="str">
        <f>"14320703"</f>
        <v>14320703</v>
      </c>
      <c r="D1661" s="2">
        <v>0.90500000000000003</v>
      </c>
      <c r="E1661" s="2">
        <v>68</v>
      </c>
      <c r="F1661" s="2" t="s">
        <v>6</v>
      </c>
    </row>
    <row r="1662" spans="1:6" ht="25.5">
      <c r="A1662" s="2">
        <v>1659</v>
      </c>
      <c r="B1662" s="2" t="s">
        <v>1724</v>
      </c>
      <c r="C1662" s="2" t="str">
        <f>"03248461"</f>
        <v>03248461</v>
      </c>
      <c r="D1662" s="2">
        <v>0.26100000000000001</v>
      </c>
      <c r="E1662" s="2">
        <v>5</v>
      </c>
      <c r="F1662" s="2" t="s">
        <v>169</v>
      </c>
    </row>
    <row r="1663" spans="1:6" ht="38.25">
      <c r="A1663" s="2">
        <v>1660</v>
      </c>
      <c r="B1663" s="2" t="s">
        <v>1725</v>
      </c>
      <c r="C1663" s="2" t="str">
        <f>"15212491"</f>
        <v>15212491</v>
      </c>
      <c r="D1663" s="2">
        <v>0.68200000000000005</v>
      </c>
      <c r="E1663" s="2">
        <v>34</v>
      </c>
      <c r="F1663" s="2" t="s">
        <v>6</v>
      </c>
    </row>
    <row r="1664" spans="1:6" ht="25.5">
      <c r="A1664" s="2">
        <v>1661</v>
      </c>
      <c r="B1664" s="2" t="s">
        <v>1726</v>
      </c>
      <c r="C1664" s="2" t="str">
        <f>"03542440"</f>
        <v>03542440</v>
      </c>
      <c r="D1664" s="2">
        <v>0</v>
      </c>
      <c r="E1664" s="2">
        <v>3</v>
      </c>
      <c r="F1664" s="2" t="s">
        <v>212</v>
      </c>
    </row>
    <row r="1665" spans="1:6" ht="25.5">
      <c r="A1665" s="2">
        <v>1662</v>
      </c>
      <c r="B1665" s="2" t="s">
        <v>1727</v>
      </c>
      <c r="C1665" s="2" t="str">
        <f>"01674943"</f>
        <v>01674943</v>
      </c>
      <c r="D1665" s="2">
        <v>0.58299999999999996</v>
      </c>
      <c r="E1665" s="2">
        <v>36</v>
      </c>
      <c r="F1665" s="2" t="s">
        <v>732</v>
      </c>
    </row>
    <row r="1666" spans="1:6" ht="25.5">
      <c r="A1666" s="2">
        <v>1663</v>
      </c>
      <c r="B1666" s="2" t="s">
        <v>1728</v>
      </c>
      <c r="C1666" s="2" t="str">
        <f>"14320711"</f>
        <v>14320711</v>
      </c>
      <c r="D1666" s="2">
        <v>0.45800000000000002</v>
      </c>
      <c r="E1666" s="2">
        <v>34</v>
      </c>
      <c r="F1666" s="2" t="s">
        <v>12</v>
      </c>
    </row>
    <row r="1667" spans="1:6" ht="25.5">
      <c r="A1667" s="2">
        <v>1664</v>
      </c>
      <c r="B1667" s="2" t="s">
        <v>1729</v>
      </c>
      <c r="C1667" s="2" t="str">
        <f>"11053992"</f>
        <v>11053992</v>
      </c>
      <c r="D1667" s="2">
        <v>0.106</v>
      </c>
      <c r="E1667" s="2">
        <v>7</v>
      </c>
      <c r="F1667" s="2" t="s">
        <v>313</v>
      </c>
    </row>
    <row r="1668" spans="1:6" ht="25.5">
      <c r="A1668" s="2">
        <v>1665</v>
      </c>
      <c r="B1668" s="2" t="s">
        <v>1730</v>
      </c>
      <c r="C1668" s="2" t="str">
        <f>"13491717"</f>
        <v>13491717</v>
      </c>
      <c r="D1668" s="2">
        <v>0.28299999999999997</v>
      </c>
      <c r="E1668" s="2">
        <v>34</v>
      </c>
      <c r="F1668" s="2" t="s">
        <v>131</v>
      </c>
    </row>
    <row r="1669" spans="1:6" ht="25.5">
      <c r="A1669" s="2">
        <v>1666</v>
      </c>
      <c r="B1669" s="2" t="s">
        <v>1731</v>
      </c>
      <c r="C1669" s="2" t="str">
        <f>"15206327"</f>
        <v>15206327</v>
      </c>
      <c r="D1669" s="2">
        <v>0.57199999999999995</v>
      </c>
      <c r="E1669" s="2">
        <v>44</v>
      </c>
      <c r="F1669" s="2" t="s">
        <v>16</v>
      </c>
    </row>
    <row r="1670" spans="1:6" ht="25.5">
      <c r="A1670" s="2">
        <v>1667</v>
      </c>
      <c r="B1670" s="2" t="s">
        <v>1732</v>
      </c>
      <c r="C1670" s="2" t="str">
        <f>"10292977"</f>
        <v>10292977</v>
      </c>
      <c r="D1670" s="2">
        <v>0.312</v>
      </c>
      <c r="E1670" s="2">
        <v>20</v>
      </c>
      <c r="F1670" s="2" t="s">
        <v>299</v>
      </c>
    </row>
    <row r="1671" spans="1:6" ht="25.5">
      <c r="A1671" s="2">
        <v>1668</v>
      </c>
      <c r="B1671" s="2" t="s">
        <v>1733</v>
      </c>
      <c r="C1671" s="2" t="str">
        <f>"18972764"</f>
        <v>18972764</v>
      </c>
      <c r="D1671" s="2">
        <v>0.45400000000000001</v>
      </c>
      <c r="E1671" s="2">
        <v>7</v>
      </c>
      <c r="F1671" s="2" t="s">
        <v>169</v>
      </c>
    </row>
    <row r="1672" spans="1:6" ht="25.5">
      <c r="A1672" s="2">
        <v>1669</v>
      </c>
      <c r="B1672" s="2" t="s">
        <v>1734</v>
      </c>
      <c r="C1672" s="2" t="str">
        <f>"03732029"</f>
        <v>03732029</v>
      </c>
      <c r="D1672" s="2">
        <v>0.28899999999999998</v>
      </c>
      <c r="E1672" s="2">
        <v>14</v>
      </c>
      <c r="F1672" s="2" t="s">
        <v>169</v>
      </c>
    </row>
    <row r="1673" spans="1:6" ht="25.5">
      <c r="A1673" s="2">
        <v>1670</v>
      </c>
      <c r="B1673" s="2" t="s">
        <v>1735</v>
      </c>
      <c r="C1673" s="2" t="str">
        <f>"01884409"</f>
        <v>01884409</v>
      </c>
      <c r="D1673" s="2">
        <v>0.59799999999999998</v>
      </c>
      <c r="E1673" s="2">
        <v>49</v>
      </c>
      <c r="F1673" s="2" t="s">
        <v>6</v>
      </c>
    </row>
    <row r="1674" spans="1:6" ht="25.5">
      <c r="A1674" s="2">
        <v>1671</v>
      </c>
      <c r="B1674" s="2" t="s">
        <v>1736</v>
      </c>
      <c r="C1674" s="2" t="str">
        <f>"17341922"</f>
        <v>17341922</v>
      </c>
      <c r="D1674" s="2">
        <v>0.26800000000000002</v>
      </c>
      <c r="E1674" s="2">
        <v>16</v>
      </c>
      <c r="F1674" s="2" t="s">
        <v>169</v>
      </c>
    </row>
    <row r="1675" spans="1:6" ht="25.5">
      <c r="A1675" s="2">
        <v>1672</v>
      </c>
      <c r="B1675" s="2" t="s">
        <v>1737</v>
      </c>
      <c r="C1675" s="2" t="str">
        <f>"17333490"</f>
        <v>17333490</v>
      </c>
      <c r="D1675" s="2">
        <v>0.22500000000000001</v>
      </c>
      <c r="E1675" s="2">
        <v>10</v>
      </c>
      <c r="F1675" s="2" t="s">
        <v>169</v>
      </c>
    </row>
    <row r="1676" spans="1:6" ht="25.5">
      <c r="A1676" s="2">
        <v>1673</v>
      </c>
      <c r="B1676" s="2" t="s">
        <v>1738</v>
      </c>
      <c r="C1676" s="2" t="str">
        <f>"1432072X"</f>
        <v>1432072X</v>
      </c>
      <c r="D1676" s="2">
        <v>0.77900000000000003</v>
      </c>
      <c r="E1676" s="2">
        <v>73</v>
      </c>
      <c r="F1676" s="2" t="s">
        <v>12</v>
      </c>
    </row>
    <row r="1677" spans="1:6" ht="25.5">
      <c r="A1677" s="2">
        <v>1674</v>
      </c>
      <c r="B1677" s="2" t="s">
        <v>1739</v>
      </c>
      <c r="C1677" s="2" t="str">
        <f>"08607001"</f>
        <v>08607001</v>
      </c>
      <c r="D1677" s="2">
        <v>0.27600000000000002</v>
      </c>
      <c r="E1677" s="2">
        <v>6</v>
      </c>
      <c r="F1677" s="2" t="s">
        <v>12</v>
      </c>
    </row>
    <row r="1678" spans="1:6" ht="25.5">
      <c r="A1678" s="2">
        <v>1675</v>
      </c>
      <c r="B1678" s="2" t="s">
        <v>1740</v>
      </c>
      <c r="C1678" s="2" t="str">
        <f>"02609541"</f>
        <v>02609541</v>
      </c>
      <c r="D1678" s="2">
        <v>0.123</v>
      </c>
      <c r="E1678" s="2">
        <v>3</v>
      </c>
      <c r="F1678" s="2" t="s">
        <v>16</v>
      </c>
    </row>
    <row r="1679" spans="1:6" ht="25.5">
      <c r="A1679" s="2">
        <v>1676</v>
      </c>
      <c r="B1679" s="2" t="s">
        <v>1741</v>
      </c>
      <c r="C1679" s="2" t="str">
        <f>"00039969"</f>
        <v>00039969</v>
      </c>
      <c r="D1679" s="2">
        <v>0.47499999999999998</v>
      </c>
      <c r="E1679" s="2">
        <v>52</v>
      </c>
      <c r="F1679" s="2" t="s">
        <v>16</v>
      </c>
    </row>
    <row r="1680" spans="1:6" ht="25.5">
      <c r="A1680" s="2">
        <v>1677</v>
      </c>
      <c r="B1680" s="2" t="s">
        <v>1742</v>
      </c>
      <c r="C1680" s="2" t="str">
        <f>"14343916"</f>
        <v>14343916</v>
      </c>
      <c r="D1680" s="2">
        <v>0.78</v>
      </c>
      <c r="E1680" s="2">
        <v>42</v>
      </c>
      <c r="F1680" s="2" t="s">
        <v>12</v>
      </c>
    </row>
    <row r="1681" spans="1:6" ht="25.5">
      <c r="A1681" s="2">
        <v>1678</v>
      </c>
      <c r="B1681" s="2" t="s">
        <v>1743</v>
      </c>
      <c r="C1681" s="2" t="str">
        <f>"18623522"</f>
        <v>18623522</v>
      </c>
      <c r="D1681" s="2">
        <v>0.41599999999999998</v>
      </c>
      <c r="E1681" s="2">
        <v>6</v>
      </c>
      <c r="F1681" s="2" t="s">
        <v>16</v>
      </c>
    </row>
    <row r="1682" spans="1:6" ht="25.5">
      <c r="A1682" s="2">
        <v>1679</v>
      </c>
      <c r="B1682" s="2" t="s">
        <v>1744</v>
      </c>
      <c r="C1682" s="2" t="str">
        <f>"00039985"</f>
        <v>00039985</v>
      </c>
      <c r="D1682" s="2">
        <v>0.995</v>
      </c>
      <c r="E1682" s="2">
        <v>73</v>
      </c>
      <c r="F1682" s="2" t="s">
        <v>6</v>
      </c>
    </row>
    <row r="1683" spans="1:6" ht="25.5">
      <c r="A1683" s="2">
        <v>1680</v>
      </c>
      <c r="B1683" s="2" t="s">
        <v>1745</v>
      </c>
      <c r="C1683" s="2" t="str">
        <f>"15050580"</f>
        <v>15050580</v>
      </c>
      <c r="D1683" s="2">
        <v>0.113</v>
      </c>
      <c r="E1683" s="2">
        <v>1</v>
      </c>
      <c r="F1683" s="2" t="s">
        <v>169</v>
      </c>
    </row>
    <row r="1684" spans="1:6" ht="25.5">
      <c r="A1684" s="2">
        <v>1681</v>
      </c>
      <c r="B1684" s="2" t="s">
        <v>1746</v>
      </c>
      <c r="C1684" s="2" t="str">
        <f>"02536269"</f>
        <v>02536269</v>
      </c>
      <c r="D1684" s="2">
        <v>0.50600000000000001</v>
      </c>
      <c r="E1684" s="2">
        <v>44</v>
      </c>
      <c r="F1684" s="2" t="s">
        <v>274</v>
      </c>
    </row>
    <row r="1685" spans="1:6" ht="25.5">
      <c r="A1685" s="2">
        <v>1682</v>
      </c>
      <c r="B1685" s="2" t="s">
        <v>1747</v>
      </c>
      <c r="C1685" s="2" t="str">
        <f>"1532821X"</f>
        <v>1532821X</v>
      </c>
      <c r="D1685" s="2">
        <v>1.046</v>
      </c>
      <c r="E1685" s="2">
        <v>111</v>
      </c>
      <c r="F1685" s="2" t="s">
        <v>16</v>
      </c>
    </row>
    <row r="1686" spans="1:6" ht="25.5">
      <c r="A1686" s="2">
        <v>1683</v>
      </c>
      <c r="B1686" s="2" t="s">
        <v>1748</v>
      </c>
      <c r="C1686" s="2" t="str">
        <f>"17444160"</f>
        <v>17444160</v>
      </c>
      <c r="D1686" s="2">
        <v>0.747</v>
      </c>
      <c r="E1686" s="2">
        <v>30</v>
      </c>
      <c r="F1686" s="2" t="s">
        <v>16</v>
      </c>
    </row>
    <row r="1687" spans="1:6" ht="25.5">
      <c r="A1687" s="2">
        <v>1684</v>
      </c>
      <c r="B1687" s="2" t="s">
        <v>1749</v>
      </c>
      <c r="C1687" s="2" t="str">
        <f>"03235408"</f>
        <v>03235408</v>
      </c>
      <c r="D1687" s="2">
        <v>0.20300000000000001</v>
      </c>
      <c r="E1687" s="2">
        <v>8</v>
      </c>
      <c r="F1687" s="2" t="s">
        <v>16</v>
      </c>
    </row>
    <row r="1688" spans="1:6" ht="25.5">
      <c r="A1688" s="2">
        <v>1685</v>
      </c>
      <c r="B1688" s="2" t="s">
        <v>1750</v>
      </c>
      <c r="C1688" s="2" t="str">
        <f>"12306428"</f>
        <v>12306428</v>
      </c>
      <c r="D1688" s="2">
        <v>0.251</v>
      </c>
      <c r="E1688" s="2">
        <v>4</v>
      </c>
      <c r="F1688" s="2" t="s">
        <v>16</v>
      </c>
    </row>
    <row r="1689" spans="1:6" ht="25.5">
      <c r="A1689" s="2">
        <v>1686</v>
      </c>
      <c r="B1689" s="2" t="s">
        <v>1751</v>
      </c>
      <c r="C1689" s="2" t="str">
        <f>"15328228"</f>
        <v>15328228</v>
      </c>
      <c r="D1689" s="2">
        <v>0.41199999999999998</v>
      </c>
      <c r="E1689" s="2">
        <v>30</v>
      </c>
      <c r="F1689" s="2" t="s">
        <v>16</v>
      </c>
    </row>
    <row r="1690" spans="1:6" ht="25.5">
      <c r="A1690" s="2">
        <v>1687</v>
      </c>
      <c r="B1690" s="2" t="s">
        <v>1752</v>
      </c>
      <c r="C1690" s="2" t="str">
        <f>"15092046"</f>
        <v>15092046</v>
      </c>
      <c r="D1690" s="2">
        <v>0.114</v>
      </c>
      <c r="E1690" s="2">
        <v>4</v>
      </c>
      <c r="F1690" s="2" t="s">
        <v>169</v>
      </c>
    </row>
    <row r="1691" spans="1:6" ht="25.5">
      <c r="A1691" s="2">
        <v>1688</v>
      </c>
      <c r="B1691" s="2" t="s">
        <v>1753</v>
      </c>
      <c r="C1691" s="2" t="str">
        <f>"07787367"</f>
        <v>07787367</v>
      </c>
      <c r="D1691" s="2">
        <v>0.13</v>
      </c>
      <c r="E1691" s="2">
        <v>9</v>
      </c>
      <c r="F1691" s="2" t="s">
        <v>16</v>
      </c>
    </row>
    <row r="1692" spans="1:6" ht="25.5">
      <c r="A1692" s="2">
        <v>1689</v>
      </c>
      <c r="B1692" s="2" t="s">
        <v>1754</v>
      </c>
      <c r="C1692" s="2" t="str">
        <f>"03653439"</f>
        <v>03653439</v>
      </c>
      <c r="D1692" s="2">
        <v>0</v>
      </c>
      <c r="E1692" s="2">
        <v>0</v>
      </c>
      <c r="F1692" s="2" t="s">
        <v>299</v>
      </c>
    </row>
    <row r="1693" spans="1:6" ht="25.5">
      <c r="A1693" s="2">
        <v>1690</v>
      </c>
      <c r="B1693" s="2" t="s">
        <v>1755</v>
      </c>
      <c r="C1693" s="2" t="str">
        <f>"15732800"</f>
        <v>15732800</v>
      </c>
      <c r="D1693" s="2">
        <v>1.1559999999999999</v>
      </c>
      <c r="E1693" s="2">
        <v>55</v>
      </c>
      <c r="F1693" s="2" t="s">
        <v>6</v>
      </c>
    </row>
    <row r="1694" spans="1:6" ht="25.5">
      <c r="A1694" s="2">
        <v>1691</v>
      </c>
      <c r="B1694" s="2" t="s">
        <v>1756</v>
      </c>
      <c r="C1694" s="2" t="str">
        <f>"13811118"</f>
        <v>13811118</v>
      </c>
      <c r="D1694" s="2">
        <v>1.0229999999999999</v>
      </c>
      <c r="E1694" s="2">
        <v>23</v>
      </c>
      <c r="F1694" s="2" t="s">
        <v>6</v>
      </c>
    </row>
    <row r="1695" spans="1:6" ht="25.5">
      <c r="A1695" s="2">
        <v>1692</v>
      </c>
      <c r="B1695" s="2" t="s">
        <v>1757</v>
      </c>
      <c r="C1695" s="2" t="str">
        <f>"15849244"</f>
        <v>15849244</v>
      </c>
      <c r="D1695" s="2">
        <v>0.11799999999999999</v>
      </c>
      <c r="E1695" s="2">
        <v>2</v>
      </c>
      <c r="F1695" s="2" t="s">
        <v>19</v>
      </c>
    </row>
    <row r="1696" spans="1:6" ht="25.5">
      <c r="A1696" s="2">
        <v>1693</v>
      </c>
      <c r="B1696" s="2" t="s">
        <v>1758</v>
      </c>
      <c r="C1696" s="2" t="str">
        <f>"12310956"</f>
        <v>12310956</v>
      </c>
      <c r="D1696" s="2">
        <v>0.28899999999999998</v>
      </c>
      <c r="E1696" s="2">
        <v>6</v>
      </c>
      <c r="F1696" s="2" t="s">
        <v>169</v>
      </c>
    </row>
    <row r="1697" spans="1:6" ht="25.5">
      <c r="A1697" s="2">
        <v>1694</v>
      </c>
      <c r="B1697" s="2" t="s">
        <v>1759</v>
      </c>
      <c r="C1697" s="2" t="str">
        <f>"14320738"</f>
        <v>14320738</v>
      </c>
      <c r="D1697" s="2">
        <v>1.0660000000000001</v>
      </c>
      <c r="E1697" s="2">
        <v>57</v>
      </c>
      <c r="F1697" s="2" t="s">
        <v>12</v>
      </c>
    </row>
    <row r="1698" spans="1:6" ht="25.5">
      <c r="A1698" s="2">
        <v>1695</v>
      </c>
      <c r="B1698" s="2" t="s">
        <v>1760</v>
      </c>
      <c r="C1698" s="2" t="str">
        <f>"08669546"</f>
        <v>08669546</v>
      </c>
      <c r="D1698" s="2">
        <v>0.128</v>
      </c>
      <c r="E1698" s="2">
        <v>1</v>
      </c>
      <c r="F1698" s="2" t="s">
        <v>16</v>
      </c>
    </row>
    <row r="1699" spans="1:6" ht="25.5">
      <c r="A1699" s="2">
        <v>1696</v>
      </c>
      <c r="B1699" s="2" t="s">
        <v>1761</v>
      </c>
      <c r="C1699" s="2" t="str">
        <f>"1517784X"</f>
        <v>1517784X</v>
      </c>
      <c r="D1699" s="2">
        <v>0.152</v>
      </c>
      <c r="E1699" s="2">
        <v>5</v>
      </c>
      <c r="F1699" s="2" t="s">
        <v>159</v>
      </c>
    </row>
    <row r="1700" spans="1:6" ht="25.5">
      <c r="A1700" s="2">
        <v>1697</v>
      </c>
      <c r="B1700" s="2" t="s">
        <v>1762</v>
      </c>
      <c r="C1700" s="2" t="str">
        <f>"14328798"</f>
        <v>14328798</v>
      </c>
      <c r="D1700" s="2">
        <v>0.755</v>
      </c>
      <c r="E1700" s="2">
        <v>75</v>
      </c>
      <c r="F1700" s="2" t="s">
        <v>288</v>
      </c>
    </row>
    <row r="1701" spans="1:6" ht="25.5">
      <c r="A1701" s="2">
        <v>1698</v>
      </c>
      <c r="B1701" s="2" t="s">
        <v>1763</v>
      </c>
      <c r="C1701" s="2" t="str">
        <f>"14351102"</f>
        <v>14351102</v>
      </c>
      <c r="D1701" s="2">
        <v>0.85199999999999998</v>
      </c>
      <c r="E1701" s="2">
        <v>36</v>
      </c>
      <c r="F1701" s="2" t="s">
        <v>288</v>
      </c>
    </row>
    <row r="1702" spans="1:6" ht="25.5">
      <c r="A1702" s="2">
        <v>1699</v>
      </c>
      <c r="B1702" s="2" t="s">
        <v>1764</v>
      </c>
      <c r="C1702" s="2" t="str">
        <f>"00038970"</f>
        <v>00038970</v>
      </c>
      <c r="D1702" s="2">
        <v>0.10100000000000001</v>
      </c>
      <c r="E1702" s="2">
        <v>2</v>
      </c>
      <c r="F1702" s="2" t="s">
        <v>12</v>
      </c>
    </row>
    <row r="1703" spans="1:6" ht="25.5">
      <c r="A1703" s="2">
        <v>1700</v>
      </c>
      <c r="B1703" s="2" t="s">
        <v>1765</v>
      </c>
      <c r="C1703" s="2" t="str">
        <f>"00039098"</f>
        <v>00039098</v>
      </c>
      <c r="D1703" s="2">
        <v>0.26900000000000002</v>
      </c>
      <c r="E1703" s="2">
        <v>16</v>
      </c>
      <c r="F1703" s="2" t="s">
        <v>12</v>
      </c>
    </row>
    <row r="1704" spans="1:6" ht="25.5">
      <c r="A1704" s="2">
        <v>1701</v>
      </c>
      <c r="B1704" s="2" t="s">
        <v>1766</v>
      </c>
      <c r="C1704" s="2" t="str">
        <f>"16130650"</f>
        <v>16130650</v>
      </c>
      <c r="D1704" s="2">
        <v>0.16</v>
      </c>
      <c r="E1704" s="2">
        <v>6</v>
      </c>
      <c r="F1704" s="2" t="s">
        <v>12</v>
      </c>
    </row>
    <row r="1705" spans="1:6" ht="25.5">
      <c r="A1705" s="2">
        <v>1702</v>
      </c>
      <c r="B1705" s="2" t="s">
        <v>1767</v>
      </c>
      <c r="C1705" s="2" t="str">
        <f>"00039225"</f>
        <v>00039225</v>
      </c>
      <c r="D1705" s="2">
        <v>0.214</v>
      </c>
      <c r="E1705" s="2">
        <v>12</v>
      </c>
      <c r="F1705" s="2" t="s">
        <v>12</v>
      </c>
    </row>
    <row r="1706" spans="1:6" ht="25.5">
      <c r="A1706" s="2">
        <v>1703</v>
      </c>
      <c r="B1706" s="2" t="s">
        <v>1768</v>
      </c>
      <c r="C1706" s="2" t="str">
        <f>"0003925X"</f>
        <v>0003925X</v>
      </c>
      <c r="D1706" s="2">
        <v>0.184</v>
      </c>
      <c r="E1706" s="2">
        <v>10</v>
      </c>
      <c r="F1706" s="2" t="s">
        <v>12</v>
      </c>
    </row>
    <row r="1707" spans="1:6" ht="25.5">
      <c r="A1707" s="2">
        <v>1704</v>
      </c>
      <c r="B1707" s="2" t="s">
        <v>1769</v>
      </c>
      <c r="C1707" s="2" t="str">
        <f>"00039284"</f>
        <v>00039284</v>
      </c>
      <c r="D1707" s="2">
        <v>0.13300000000000001</v>
      </c>
      <c r="E1707" s="2">
        <v>6</v>
      </c>
      <c r="F1707" s="2" t="s">
        <v>12</v>
      </c>
    </row>
    <row r="1708" spans="1:6" ht="25.5">
      <c r="A1708" s="2">
        <v>1705</v>
      </c>
      <c r="B1708" s="2" t="s">
        <v>1770</v>
      </c>
      <c r="C1708" s="2" t="str">
        <f>"00039292"</f>
        <v>00039292</v>
      </c>
      <c r="D1708" s="2">
        <v>0.13</v>
      </c>
      <c r="E1708" s="2">
        <v>2</v>
      </c>
      <c r="F1708" s="2" t="s">
        <v>12</v>
      </c>
    </row>
    <row r="1709" spans="1:6" ht="25.5">
      <c r="A1709" s="2">
        <v>1706</v>
      </c>
      <c r="B1709" s="2" t="s">
        <v>1771</v>
      </c>
      <c r="C1709" s="2" t="str">
        <f>"00666459"</f>
        <v>00666459</v>
      </c>
      <c r="D1709" s="2">
        <v>0.1</v>
      </c>
      <c r="E1709" s="2">
        <v>4</v>
      </c>
      <c r="F1709" s="2" t="s">
        <v>12</v>
      </c>
    </row>
    <row r="1710" spans="1:6" ht="25.5">
      <c r="A1710" s="2">
        <v>1707</v>
      </c>
      <c r="B1710" s="2" t="s">
        <v>1772</v>
      </c>
      <c r="C1710" s="2" t="str">
        <f>"18688888"</f>
        <v>18688888</v>
      </c>
      <c r="D1710" s="2">
        <v>0.10100000000000001</v>
      </c>
      <c r="E1710" s="2">
        <v>4</v>
      </c>
      <c r="F1710" s="2" t="s">
        <v>12</v>
      </c>
    </row>
    <row r="1711" spans="1:6" ht="25.5">
      <c r="A1711" s="2">
        <v>1708</v>
      </c>
      <c r="B1711" s="2" t="s">
        <v>1773</v>
      </c>
      <c r="C1711" s="2" t="str">
        <f>"00666505"</f>
        <v>00666505</v>
      </c>
      <c r="D1711" s="2">
        <v>0.28299999999999997</v>
      </c>
      <c r="E1711" s="2">
        <v>5</v>
      </c>
      <c r="F1711" s="2" t="s">
        <v>12</v>
      </c>
    </row>
    <row r="1712" spans="1:6" ht="25.5">
      <c r="A1712" s="2">
        <v>1709</v>
      </c>
      <c r="B1712" s="2" t="s">
        <v>1774</v>
      </c>
      <c r="C1712" s="2" t="str">
        <f>"00039438"</f>
        <v>00039438</v>
      </c>
      <c r="D1712" s="2">
        <v>0.25900000000000001</v>
      </c>
      <c r="E1712" s="2">
        <v>17</v>
      </c>
      <c r="F1712" s="2" t="s">
        <v>12</v>
      </c>
    </row>
    <row r="1713" spans="1:6" ht="25.5">
      <c r="A1713" s="2">
        <v>1710</v>
      </c>
      <c r="B1713" s="2" t="s">
        <v>1775</v>
      </c>
      <c r="C1713" s="2" t="str">
        <f>"19700792"</f>
        <v>19700792</v>
      </c>
      <c r="D1713" s="2">
        <v>0.10100000000000001</v>
      </c>
      <c r="E1713" s="2">
        <v>0</v>
      </c>
      <c r="F1713" s="2" t="s">
        <v>190</v>
      </c>
    </row>
    <row r="1714" spans="1:6" ht="25.5">
      <c r="A1714" s="2">
        <v>1711</v>
      </c>
      <c r="B1714" s="2" t="s">
        <v>1776</v>
      </c>
      <c r="C1714" s="2" t="str">
        <f>"11243562"</f>
        <v>11243562</v>
      </c>
      <c r="D1714" s="2">
        <v>0.245</v>
      </c>
      <c r="E1714" s="2">
        <v>13</v>
      </c>
      <c r="F1714" s="2" t="s">
        <v>190</v>
      </c>
    </row>
    <row r="1715" spans="1:6" ht="25.5">
      <c r="A1715" s="2">
        <v>1712</v>
      </c>
      <c r="B1715" s="2" t="s">
        <v>1777</v>
      </c>
      <c r="C1715" s="2" t="str">
        <f>"03917770"</f>
        <v>03917770</v>
      </c>
      <c r="D1715" s="2">
        <v>0.10100000000000001</v>
      </c>
      <c r="E1715" s="2">
        <v>2</v>
      </c>
      <c r="F1715" s="2" t="s">
        <v>190</v>
      </c>
    </row>
    <row r="1716" spans="1:6" ht="25.5">
      <c r="A1716" s="2">
        <v>1713</v>
      </c>
      <c r="B1716" s="2" t="s">
        <v>1778</v>
      </c>
      <c r="C1716" s="2" t="str">
        <f>"00666742"</f>
        <v>00666742</v>
      </c>
      <c r="D1716" s="2">
        <v>0.10100000000000001</v>
      </c>
      <c r="E1716" s="2">
        <v>1</v>
      </c>
      <c r="F1716" s="2" t="s">
        <v>351</v>
      </c>
    </row>
    <row r="1717" spans="1:6" ht="25.5">
      <c r="A1717" s="2">
        <v>1714</v>
      </c>
      <c r="B1717" s="2" t="s">
        <v>1779</v>
      </c>
      <c r="C1717" s="2" t="str">
        <f>"19888511"</f>
        <v>19888511</v>
      </c>
      <c r="D1717" s="2">
        <v>0.11</v>
      </c>
      <c r="E1717" s="2">
        <v>2</v>
      </c>
      <c r="F1717" s="2" t="s">
        <v>351</v>
      </c>
    </row>
    <row r="1718" spans="1:6" ht="25.5">
      <c r="A1718" s="2">
        <v>1715</v>
      </c>
      <c r="B1718" s="2" t="s">
        <v>1780</v>
      </c>
      <c r="C1718" s="2" t="str">
        <f>"00448699"</f>
        <v>00448699</v>
      </c>
      <c r="D1718" s="2">
        <v>0.13300000000000001</v>
      </c>
      <c r="E1718" s="2">
        <v>1</v>
      </c>
      <c r="F1718" s="2" t="s">
        <v>208</v>
      </c>
    </row>
    <row r="1719" spans="1:6" ht="25.5">
      <c r="A1719" s="2">
        <v>1716</v>
      </c>
      <c r="B1719" s="2" t="s">
        <v>1781</v>
      </c>
      <c r="C1719" s="2" t="str">
        <f>"03250075"</f>
        <v>03250075</v>
      </c>
      <c r="D1719" s="2">
        <v>0.182</v>
      </c>
      <c r="E1719" s="2">
        <v>7</v>
      </c>
      <c r="F1719" s="2" t="s">
        <v>192</v>
      </c>
    </row>
    <row r="1720" spans="1:6" ht="25.5">
      <c r="A1720" s="2">
        <v>1717</v>
      </c>
      <c r="B1720" s="2" t="s">
        <v>1782</v>
      </c>
      <c r="C1720" s="2" t="str">
        <f>"15792129"</f>
        <v>15792129</v>
      </c>
      <c r="D1720" s="2">
        <v>0.29499999999999998</v>
      </c>
      <c r="E1720" s="2">
        <v>29</v>
      </c>
      <c r="F1720" s="2" t="s">
        <v>351</v>
      </c>
    </row>
    <row r="1721" spans="1:6" ht="25.5">
      <c r="A1721" s="2">
        <v>1718</v>
      </c>
      <c r="B1721" s="2" t="s">
        <v>1783</v>
      </c>
      <c r="C1721" s="2" t="str">
        <f>"14059940"</f>
        <v>14059940</v>
      </c>
      <c r="D1721" s="2">
        <v>0.11899999999999999</v>
      </c>
      <c r="E1721" s="2">
        <v>11</v>
      </c>
      <c r="F1721" s="2" t="s">
        <v>200</v>
      </c>
    </row>
    <row r="1722" spans="1:6" ht="25.5">
      <c r="A1722" s="2">
        <v>1719</v>
      </c>
      <c r="B1722" s="2" t="s">
        <v>1784</v>
      </c>
      <c r="C1722" s="2" t="str">
        <f>"03656691"</f>
        <v>03656691</v>
      </c>
      <c r="D1722" s="2">
        <v>0.22700000000000001</v>
      </c>
      <c r="E1722" s="2">
        <v>13</v>
      </c>
      <c r="F1722" s="2" t="s">
        <v>16</v>
      </c>
    </row>
    <row r="1723" spans="1:6" ht="25.5">
      <c r="A1723" s="2">
        <v>1720</v>
      </c>
      <c r="B1723" s="2" t="s">
        <v>1785</v>
      </c>
      <c r="C1723" s="2" t="str">
        <f>"16989465"</f>
        <v>16989465</v>
      </c>
      <c r="D1723" s="2">
        <v>0.10100000000000001</v>
      </c>
      <c r="E1723" s="2">
        <v>1</v>
      </c>
      <c r="F1723" s="2" t="s">
        <v>351</v>
      </c>
    </row>
    <row r="1724" spans="1:6" ht="25.5">
      <c r="A1724" s="2">
        <v>1721</v>
      </c>
      <c r="B1724" s="2" t="s">
        <v>1786</v>
      </c>
      <c r="C1724" s="2" t="str">
        <f>"02128799"</f>
        <v>02128799</v>
      </c>
      <c r="D1724" s="2">
        <v>0.11</v>
      </c>
      <c r="E1724" s="2">
        <v>5</v>
      </c>
      <c r="F1724" s="2" t="s">
        <v>351</v>
      </c>
    </row>
    <row r="1725" spans="1:6" ht="25.5">
      <c r="A1725" s="2">
        <v>1722</v>
      </c>
      <c r="B1725" s="2" t="s">
        <v>1787</v>
      </c>
      <c r="C1725" s="2" t="str">
        <f>"07176201"</f>
        <v>07176201</v>
      </c>
      <c r="D1725" s="2">
        <v>0.27100000000000002</v>
      </c>
      <c r="E1725" s="2">
        <v>12</v>
      </c>
      <c r="F1725" s="2" t="s">
        <v>182</v>
      </c>
    </row>
    <row r="1726" spans="1:6" ht="25.5">
      <c r="A1726" s="2">
        <v>1723</v>
      </c>
      <c r="B1726" s="2" t="s">
        <v>1788</v>
      </c>
      <c r="C1726" s="2" t="str">
        <f>"15760367"</f>
        <v>15760367</v>
      </c>
      <c r="D1726" s="2">
        <v>0.10100000000000001</v>
      </c>
      <c r="E1726" s="2">
        <v>4</v>
      </c>
      <c r="F1726" s="2" t="s">
        <v>351</v>
      </c>
    </row>
    <row r="1727" spans="1:6" ht="25.5">
      <c r="A1727" s="2">
        <v>1724</v>
      </c>
      <c r="B1727" s="2" t="s">
        <v>1789</v>
      </c>
      <c r="C1727" s="2" t="str">
        <f>"00040592"</f>
        <v>00040592</v>
      </c>
      <c r="D1727" s="2">
        <v>0.219</v>
      </c>
      <c r="E1727" s="2">
        <v>4</v>
      </c>
      <c r="F1727" s="2" t="s">
        <v>351</v>
      </c>
    </row>
    <row r="1728" spans="1:6" ht="25.5">
      <c r="A1728" s="2">
        <v>1725</v>
      </c>
      <c r="B1728" s="2" t="s">
        <v>1790</v>
      </c>
      <c r="C1728" s="2" t="str">
        <f>"15768260"</f>
        <v>15768260</v>
      </c>
      <c r="D1728" s="2">
        <v>0.19500000000000001</v>
      </c>
      <c r="E1728" s="2">
        <v>15</v>
      </c>
      <c r="F1728" s="2" t="s">
        <v>351</v>
      </c>
    </row>
    <row r="1729" spans="1:6" ht="25.5">
      <c r="A1729" s="2">
        <v>1726</v>
      </c>
      <c r="B1729" s="2" t="s">
        <v>1791</v>
      </c>
      <c r="C1729" s="2" t="str">
        <f>"00040622"</f>
        <v>00040622</v>
      </c>
      <c r="D1729" s="2">
        <v>0.18099999999999999</v>
      </c>
      <c r="E1729" s="2">
        <v>19</v>
      </c>
      <c r="F1729" s="2" t="s">
        <v>40</v>
      </c>
    </row>
    <row r="1730" spans="1:6" ht="25.5">
      <c r="A1730" s="2">
        <v>1727</v>
      </c>
      <c r="B1730" s="2" t="s">
        <v>1792</v>
      </c>
      <c r="C1730" s="2" t="str">
        <f>"07980264"</f>
        <v>07980264</v>
      </c>
      <c r="D1730" s="2">
        <v>0.10199999999999999</v>
      </c>
      <c r="E1730" s="2">
        <v>2</v>
      </c>
      <c r="F1730" s="2" t="s">
        <v>40</v>
      </c>
    </row>
    <row r="1731" spans="1:6" ht="25.5">
      <c r="A1731" s="2">
        <v>1728</v>
      </c>
      <c r="B1731" s="2" t="s">
        <v>1793</v>
      </c>
      <c r="C1731" s="2" t="str">
        <f>"16614917"</f>
        <v>16614917</v>
      </c>
      <c r="D1731" s="2">
        <v>0.84599999999999997</v>
      </c>
      <c r="E1731" s="2">
        <v>33</v>
      </c>
      <c r="F1731" s="2" t="s">
        <v>31</v>
      </c>
    </row>
    <row r="1732" spans="1:6" ht="25.5">
      <c r="A1732" s="2">
        <v>1729</v>
      </c>
      <c r="B1732" s="2" t="s">
        <v>1794</v>
      </c>
      <c r="C1732" s="2" t="str">
        <f>"12125059"</f>
        <v>12125059</v>
      </c>
      <c r="D1732" s="2">
        <v>0.217</v>
      </c>
      <c r="E1732" s="2">
        <v>9</v>
      </c>
      <c r="F1732" s="2" t="s">
        <v>208</v>
      </c>
    </row>
    <row r="1733" spans="1:6" ht="25.5">
      <c r="A1733" s="2">
        <v>1730</v>
      </c>
      <c r="B1733" s="2" t="s">
        <v>1795</v>
      </c>
      <c r="C1733" s="2" t="str">
        <f>"03248267"</f>
        <v>03248267</v>
      </c>
      <c r="D1733" s="2">
        <v>0.11</v>
      </c>
      <c r="E1733" s="2">
        <v>3</v>
      </c>
      <c r="F1733" s="2" t="s">
        <v>169</v>
      </c>
    </row>
    <row r="1734" spans="1:6" ht="25.5">
      <c r="A1734" s="2">
        <v>1731</v>
      </c>
      <c r="B1734" s="2" t="s">
        <v>1796</v>
      </c>
      <c r="C1734" s="2" t="str">
        <f>"19946961"</f>
        <v>19946961</v>
      </c>
      <c r="D1734" s="2">
        <v>0.10100000000000001</v>
      </c>
      <c r="E1734" s="2">
        <v>1</v>
      </c>
      <c r="F1734" s="2" t="s">
        <v>6</v>
      </c>
    </row>
    <row r="1735" spans="1:6" ht="25.5">
      <c r="A1735" s="2">
        <v>1732</v>
      </c>
      <c r="B1735" s="2" t="s">
        <v>1797</v>
      </c>
      <c r="C1735" s="2" t="str">
        <f>"00040843"</f>
        <v>00040843</v>
      </c>
      <c r="D1735" s="2">
        <v>0.51500000000000001</v>
      </c>
      <c r="E1735" s="2">
        <v>35</v>
      </c>
      <c r="F1735" s="2" t="s">
        <v>64</v>
      </c>
    </row>
    <row r="1736" spans="1:6" ht="25.5">
      <c r="A1736" s="2">
        <v>1733</v>
      </c>
      <c r="B1736" s="2" t="s">
        <v>1798</v>
      </c>
      <c r="C1736" s="2" t="str">
        <f>"15230430"</f>
        <v>15230430</v>
      </c>
      <c r="D1736" s="2">
        <v>0.72199999999999998</v>
      </c>
      <c r="E1736" s="2">
        <v>46</v>
      </c>
      <c r="F1736" s="2" t="s">
        <v>6</v>
      </c>
    </row>
    <row r="1737" spans="1:6" ht="25.5">
      <c r="A1737" s="2">
        <v>1734</v>
      </c>
      <c r="B1737" s="2" t="s">
        <v>1799</v>
      </c>
      <c r="C1737" s="2" t="str">
        <f>"00666939"</f>
        <v>00666939</v>
      </c>
      <c r="D1737" s="2">
        <v>0.29799999999999999</v>
      </c>
      <c r="E1737" s="2">
        <v>13</v>
      </c>
      <c r="F1737" s="2" t="s">
        <v>6</v>
      </c>
    </row>
    <row r="1738" spans="1:6" ht="25.5">
      <c r="A1738" s="2">
        <v>1735</v>
      </c>
      <c r="B1738" s="2" t="s">
        <v>1800</v>
      </c>
      <c r="C1738" s="2" t="str">
        <f>"03732266"</f>
        <v>03732266</v>
      </c>
      <c r="D1738" s="2">
        <v>0.41</v>
      </c>
      <c r="E1738" s="2">
        <v>30</v>
      </c>
      <c r="F1738" s="2" t="s">
        <v>75</v>
      </c>
    </row>
    <row r="1739" spans="1:6" ht="25.5">
      <c r="A1739" s="2">
        <v>1736</v>
      </c>
      <c r="B1739" s="2" t="s">
        <v>1801</v>
      </c>
      <c r="C1739" s="2" t="str">
        <f>"05707358"</f>
        <v>05707358</v>
      </c>
      <c r="D1739" s="2">
        <v>0.30399999999999999</v>
      </c>
      <c r="E1739" s="2">
        <v>16</v>
      </c>
      <c r="F1739" s="2" t="s">
        <v>351</v>
      </c>
    </row>
    <row r="1740" spans="1:6" ht="25.5">
      <c r="A1740" s="2">
        <v>1737</v>
      </c>
      <c r="B1740" s="2" t="s">
        <v>1802</v>
      </c>
      <c r="C1740" s="2" t="str">
        <f>"14754762"</f>
        <v>14754762</v>
      </c>
      <c r="D1740" s="2">
        <v>1.2589999999999999</v>
      </c>
      <c r="E1740" s="2">
        <v>41</v>
      </c>
      <c r="F1740" s="2" t="s">
        <v>16</v>
      </c>
    </row>
    <row r="1741" spans="1:6" ht="25.5">
      <c r="A1741" s="2">
        <v>1738</v>
      </c>
      <c r="B1741" s="2" t="s">
        <v>1803</v>
      </c>
      <c r="C1741" s="2" t="str">
        <f>"15910075"</f>
        <v>15910075</v>
      </c>
      <c r="D1741" s="2">
        <v>0.1</v>
      </c>
      <c r="E1741" s="2">
        <v>1</v>
      </c>
      <c r="F1741" s="2" t="s">
        <v>190</v>
      </c>
    </row>
    <row r="1742" spans="1:6" ht="25.5">
      <c r="A1742" s="2">
        <v>1739</v>
      </c>
      <c r="B1742" s="2" t="s">
        <v>1804</v>
      </c>
      <c r="C1742" s="2" t="str">
        <f>"00040975"</f>
        <v>00040975</v>
      </c>
      <c r="D1742" s="2">
        <v>0.115</v>
      </c>
      <c r="E1742" s="2">
        <v>7</v>
      </c>
      <c r="F1742" s="2" t="s">
        <v>6</v>
      </c>
    </row>
    <row r="1743" spans="1:6" ht="25.5">
      <c r="A1743" s="2">
        <v>1740</v>
      </c>
      <c r="B1743" s="2" t="s">
        <v>1805</v>
      </c>
      <c r="C1743" s="2" t="str">
        <f>"02541637"</f>
        <v>02541637</v>
      </c>
      <c r="D1743" s="2">
        <v>0.1</v>
      </c>
      <c r="E1743" s="2">
        <v>1</v>
      </c>
      <c r="F1743" s="2" t="s">
        <v>40</v>
      </c>
    </row>
    <row r="1744" spans="1:6" ht="25.5">
      <c r="A1744" s="2">
        <v>1741</v>
      </c>
      <c r="B1744" s="2" t="s">
        <v>1806</v>
      </c>
      <c r="C1744" s="2" t="str">
        <f>"19577737"</f>
        <v>19577737</v>
      </c>
      <c r="D1744" s="2">
        <v>0.11700000000000001</v>
      </c>
      <c r="E1744" s="2">
        <v>2</v>
      </c>
      <c r="F1744" s="2" t="s">
        <v>66</v>
      </c>
    </row>
    <row r="1745" spans="1:6" ht="25.5">
      <c r="A1745" s="2">
        <v>1742</v>
      </c>
      <c r="B1745" s="2" t="s">
        <v>1807</v>
      </c>
      <c r="C1745" s="2" t="str">
        <f>"19462174"</f>
        <v>19462174</v>
      </c>
      <c r="D1745" s="2">
        <v>3.173</v>
      </c>
      <c r="E1745" s="2">
        <v>5</v>
      </c>
      <c r="F1745" s="2" t="s">
        <v>16</v>
      </c>
    </row>
    <row r="1746" spans="1:6" ht="25.5">
      <c r="A1746" s="2">
        <v>1743</v>
      </c>
      <c r="B1746" s="2" t="s">
        <v>1808</v>
      </c>
      <c r="C1746" s="2" t="str">
        <f>"12335835"</f>
        <v>12335835</v>
      </c>
      <c r="D1746" s="2">
        <v>0.129</v>
      </c>
      <c r="E1746" s="2">
        <v>1</v>
      </c>
      <c r="F1746" s="2" t="s">
        <v>169</v>
      </c>
    </row>
    <row r="1747" spans="1:6" ht="25.5">
      <c r="A1747" s="2">
        <v>1744</v>
      </c>
      <c r="B1747" s="2" t="s">
        <v>1809</v>
      </c>
      <c r="C1747" s="2" t="str">
        <f>"0920427X"</f>
        <v>0920427X</v>
      </c>
      <c r="D1747" s="2">
        <v>0.307</v>
      </c>
      <c r="E1747" s="2">
        <v>10</v>
      </c>
      <c r="F1747" s="2" t="s">
        <v>75</v>
      </c>
    </row>
    <row r="1748" spans="1:6" ht="25.5">
      <c r="A1748" s="2">
        <v>1745</v>
      </c>
      <c r="B1748" s="2" t="s">
        <v>1810</v>
      </c>
      <c r="C1748" s="2" t="str">
        <f>"15811204"</f>
        <v>15811204</v>
      </c>
      <c r="D1748" s="2">
        <v>0.122</v>
      </c>
      <c r="E1748" s="2">
        <v>7</v>
      </c>
      <c r="F1748" s="2" t="s">
        <v>154</v>
      </c>
    </row>
    <row r="1749" spans="1:6" ht="25.5">
      <c r="A1749" s="2">
        <v>1746</v>
      </c>
      <c r="B1749" s="2" t="s">
        <v>1811</v>
      </c>
      <c r="C1749" s="2" t="str">
        <f>"00041963"</f>
        <v>00041963</v>
      </c>
      <c r="D1749" s="2">
        <v>0.158</v>
      </c>
      <c r="E1749" s="2">
        <v>1</v>
      </c>
      <c r="F1749" s="2" t="s">
        <v>212</v>
      </c>
    </row>
    <row r="1750" spans="1:6" ht="25.5">
      <c r="A1750" s="2">
        <v>1747</v>
      </c>
      <c r="B1750" s="2" t="s">
        <v>1812</v>
      </c>
      <c r="C1750" s="2" t="str">
        <f>"00041254"</f>
        <v>00041254</v>
      </c>
      <c r="D1750" s="2">
        <v>0.27500000000000002</v>
      </c>
      <c r="E1750" s="2">
        <v>14</v>
      </c>
      <c r="F1750" s="2" t="s">
        <v>149</v>
      </c>
    </row>
    <row r="1751" spans="1:6" ht="25.5">
      <c r="A1751" s="2">
        <v>1748</v>
      </c>
      <c r="B1751" s="2" t="s">
        <v>1813</v>
      </c>
      <c r="C1751" s="2" t="str">
        <f>"15324990"</f>
        <v>15324990</v>
      </c>
      <c r="D1751" s="2">
        <v>0.308</v>
      </c>
      <c r="E1751" s="2">
        <v>21</v>
      </c>
      <c r="F1751" s="2" t="s">
        <v>16</v>
      </c>
    </row>
    <row r="1752" spans="1:6" ht="25.5">
      <c r="A1752" s="2">
        <v>1749</v>
      </c>
      <c r="B1752" s="2" t="s">
        <v>1814</v>
      </c>
      <c r="C1752" s="2" t="str">
        <f>"00041327"</f>
        <v>00041327</v>
      </c>
      <c r="D1752" s="2">
        <v>0.111</v>
      </c>
      <c r="E1752" s="2">
        <v>3</v>
      </c>
      <c r="F1752" s="2" t="s">
        <v>16</v>
      </c>
    </row>
    <row r="1753" spans="1:6" ht="25.5">
      <c r="A1753" s="2">
        <v>1750</v>
      </c>
      <c r="B1753" s="2" t="s">
        <v>1815</v>
      </c>
      <c r="C1753" s="2" t="str">
        <f>"00955809"</f>
        <v>00955809</v>
      </c>
      <c r="D1753" s="2">
        <v>0.1</v>
      </c>
      <c r="E1753" s="2">
        <v>1</v>
      </c>
      <c r="F1753" s="2" t="s">
        <v>6</v>
      </c>
    </row>
    <row r="1754" spans="1:6" ht="25.5">
      <c r="A1754" s="2">
        <v>1751</v>
      </c>
      <c r="B1754" s="2" t="s">
        <v>1816</v>
      </c>
      <c r="C1754" s="2" t="str">
        <f>"00041823"</f>
        <v>00041823</v>
      </c>
      <c r="D1754" s="2">
        <v>0.1</v>
      </c>
      <c r="E1754" s="2">
        <v>3</v>
      </c>
      <c r="F1754" s="2" t="s">
        <v>6</v>
      </c>
    </row>
    <row r="1755" spans="1:6" ht="25.5">
      <c r="A1755" s="2">
        <v>1752</v>
      </c>
      <c r="B1755" s="2" t="s">
        <v>1817</v>
      </c>
      <c r="C1755" s="2" t="str">
        <f>"00041955"</f>
        <v>00041955</v>
      </c>
      <c r="D1755" s="2">
        <v>0.109</v>
      </c>
      <c r="E1755" s="2">
        <v>6</v>
      </c>
      <c r="F1755" s="2" t="s">
        <v>129</v>
      </c>
    </row>
    <row r="1756" spans="1:6" ht="25.5">
      <c r="A1756" s="2">
        <v>1753</v>
      </c>
      <c r="B1756" s="2" t="s">
        <v>1818</v>
      </c>
      <c r="C1756" s="2" t="str">
        <f>"18712487"</f>
        <v>18712487</v>
      </c>
      <c r="D1756" s="2">
        <v>0.77700000000000002</v>
      </c>
      <c r="E1756" s="2">
        <v>16</v>
      </c>
      <c r="F1756" s="2" t="s">
        <v>75</v>
      </c>
    </row>
    <row r="1757" spans="1:6" ht="25.5">
      <c r="A1757" s="2">
        <v>1754</v>
      </c>
      <c r="B1757" s="2" t="s">
        <v>1819</v>
      </c>
      <c r="C1757" s="2" t="str">
        <f>"00667668"</f>
        <v>00667668</v>
      </c>
      <c r="D1757" s="2">
        <v>0</v>
      </c>
      <c r="E1757" s="2">
        <v>0</v>
      </c>
      <c r="F1757" s="2" t="s">
        <v>151</v>
      </c>
    </row>
    <row r="1758" spans="1:6" ht="25.5">
      <c r="A1758" s="2">
        <v>1755</v>
      </c>
      <c r="B1758" s="2" t="s">
        <v>1820</v>
      </c>
      <c r="C1758" s="2" t="str">
        <f>"14246376"</f>
        <v>14246376</v>
      </c>
      <c r="D1758" s="2">
        <v>0.35199999999999998</v>
      </c>
      <c r="E1758" s="2">
        <v>29</v>
      </c>
      <c r="F1758" s="2" t="s">
        <v>6</v>
      </c>
    </row>
    <row r="1759" spans="1:6" ht="25.5">
      <c r="A1759" s="2">
        <v>1756</v>
      </c>
      <c r="B1759" s="2" t="s">
        <v>1821</v>
      </c>
      <c r="C1759" s="2" t="str">
        <f>"0095327X"</f>
        <v>0095327X</v>
      </c>
      <c r="D1759" s="2">
        <v>0.41099999999999998</v>
      </c>
      <c r="E1759" s="2">
        <v>19</v>
      </c>
      <c r="F1759" s="2" t="s">
        <v>6</v>
      </c>
    </row>
    <row r="1760" spans="1:6" ht="25.5">
      <c r="A1760" s="2">
        <v>1757</v>
      </c>
      <c r="B1760" s="2" t="s">
        <v>1822</v>
      </c>
      <c r="C1760" s="2" t="str">
        <f>"17416124"</f>
        <v>17416124</v>
      </c>
      <c r="D1760" s="2">
        <v>0.10199999999999999</v>
      </c>
      <c r="E1760" s="2">
        <v>1</v>
      </c>
      <c r="F1760" s="2" t="s">
        <v>16</v>
      </c>
    </row>
    <row r="1761" spans="1:6" ht="25.5">
      <c r="A1761" s="2">
        <v>1758</v>
      </c>
      <c r="B1761" s="2" t="s">
        <v>1823</v>
      </c>
      <c r="C1761" s="2" t="str">
        <f>"18196608"</f>
        <v>18196608</v>
      </c>
      <c r="D1761" s="2">
        <v>0.11799999999999999</v>
      </c>
      <c r="E1761" s="2">
        <v>2</v>
      </c>
      <c r="F1761" s="2" t="s">
        <v>43</v>
      </c>
    </row>
    <row r="1762" spans="1:6" ht="25.5">
      <c r="A1762" s="2">
        <v>1759</v>
      </c>
      <c r="B1762" s="2" t="s">
        <v>1824</v>
      </c>
      <c r="C1762" s="2" t="str">
        <f>"07176996"</f>
        <v>07176996</v>
      </c>
      <c r="D1762" s="2">
        <v>0.1</v>
      </c>
      <c r="E1762" s="2">
        <v>1</v>
      </c>
      <c r="F1762" s="2" t="s">
        <v>182</v>
      </c>
    </row>
    <row r="1763" spans="1:6" ht="25.5">
      <c r="A1763" s="2">
        <v>1760</v>
      </c>
      <c r="B1763" s="2" t="s">
        <v>1825</v>
      </c>
      <c r="C1763" s="2" t="str">
        <f>"03275159"</f>
        <v>03275159</v>
      </c>
      <c r="D1763" s="2">
        <v>0.10199999999999999</v>
      </c>
      <c r="E1763" s="2">
        <v>1</v>
      </c>
      <c r="F1763" s="2" t="s">
        <v>192</v>
      </c>
    </row>
    <row r="1764" spans="1:6" ht="25.5">
      <c r="A1764" s="2">
        <v>1761</v>
      </c>
      <c r="B1764" s="2" t="s">
        <v>1826</v>
      </c>
      <c r="C1764" s="2" t="str">
        <f>"16952731"</f>
        <v>16952731</v>
      </c>
      <c r="D1764" s="2">
        <v>0.10199999999999999</v>
      </c>
      <c r="E1764" s="2">
        <v>1</v>
      </c>
      <c r="F1764" s="2" t="s">
        <v>351</v>
      </c>
    </row>
    <row r="1765" spans="1:6" ht="25.5">
      <c r="A1765" s="2">
        <v>1762</v>
      </c>
      <c r="B1765" s="2" t="s">
        <v>1827</v>
      </c>
      <c r="C1765" s="2" t="str">
        <f>"19894104"</f>
        <v>19894104</v>
      </c>
      <c r="D1765" s="2">
        <v>0</v>
      </c>
      <c r="E1765" s="2">
        <v>0</v>
      </c>
      <c r="F1765" s="2" t="s">
        <v>351</v>
      </c>
    </row>
    <row r="1766" spans="1:6" ht="25.5">
      <c r="A1766" s="2">
        <v>1763</v>
      </c>
      <c r="B1766" s="2" t="s">
        <v>1828</v>
      </c>
      <c r="C1766" s="2" t="str">
        <f>"18085741"</f>
        <v>18085741</v>
      </c>
      <c r="D1766" s="2">
        <v>0.10100000000000001</v>
      </c>
      <c r="E1766" s="2">
        <v>1</v>
      </c>
      <c r="F1766" s="2" t="s">
        <v>159</v>
      </c>
    </row>
    <row r="1767" spans="1:6" ht="25.5">
      <c r="A1767" s="2">
        <v>1764</v>
      </c>
      <c r="B1767" s="2" t="s">
        <v>1829</v>
      </c>
      <c r="C1767" s="2" t="str">
        <f>"01020935"</f>
        <v>01020935</v>
      </c>
      <c r="D1767" s="2">
        <v>0.312</v>
      </c>
      <c r="E1767" s="2">
        <v>16</v>
      </c>
      <c r="F1767" s="2" t="s">
        <v>159</v>
      </c>
    </row>
    <row r="1768" spans="1:6" ht="25.5">
      <c r="A1768" s="2">
        <v>1765</v>
      </c>
      <c r="B1768" s="2" t="s">
        <v>1830</v>
      </c>
      <c r="C1768" s="2" t="str">
        <f>"0066782X"</f>
        <v>0066782X</v>
      </c>
      <c r="D1768" s="2">
        <v>0.253</v>
      </c>
      <c r="E1768" s="2">
        <v>25</v>
      </c>
      <c r="F1768" s="2" t="s">
        <v>159</v>
      </c>
    </row>
    <row r="1769" spans="1:6" ht="25.5">
      <c r="A1769" s="2">
        <v>1766</v>
      </c>
      <c r="B1769" s="2" t="s">
        <v>1831</v>
      </c>
      <c r="C1769" s="2" t="str">
        <f>"00042730"</f>
        <v>00042730</v>
      </c>
      <c r="D1769" s="2">
        <v>0.32900000000000001</v>
      </c>
      <c r="E1769" s="2">
        <v>21</v>
      </c>
      <c r="F1769" s="2" t="s">
        <v>159</v>
      </c>
    </row>
    <row r="1770" spans="1:6" ht="25.5">
      <c r="A1770" s="2">
        <v>1767</v>
      </c>
      <c r="B1770" s="2" t="s">
        <v>1832</v>
      </c>
      <c r="C1770" s="2" t="str">
        <f>"00042749"</f>
        <v>00042749</v>
      </c>
      <c r="D1770" s="2">
        <v>0.313</v>
      </c>
      <c r="E1770" s="2">
        <v>13</v>
      </c>
      <c r="F1770" s="2" t="s">
        <v>159</v>
      </c>
    </row>
    <row r="1771" spans="1:6" ht="25.5">
      <c r="A1771" s="2">
        <v>1768</v>
      </c>
      <c r="B1771" s="2" t="s">
        <v>1833</v>
      </c>
      <c r="C1771" s="2" t="str">
        <f>"18095267"</f>
        <v>18095267</v>
      </c>
      <c r="D1771" s="2">
        <v>0.114</v>
      </c>
      <c r="E1771" s="2">
        <v>2</v>
      </c>
      <c r="F1771" s="2" t="s">
        <v>159</v>
      </c>
    </row>
    <row r="1772" spans="1:6" ht="25.5">
      <c r="A1772" s="2">
        <v>1769</v>
      </c>
      <c r="B1772" s="2" t="s">
        <v>1834</v>
      </c>
      <c r="C1772" s="2" t="str">
        <f>"16784219"</f>
        <v>16784219</v>
      </c>
      <c r="D1772" s="2">
        <v>0.24</v>
      </c>
      <c r="E1772" s="2">
        <v>16</v>
      </c>
      <c r="F1772" s="2" t="s">
        <v>159</v>
      </c>
    </row>
    <row r="1773" spans="1:6" ht="25.5">
      <c r="A1773" s="2">
        <v>1770</v>
      </c>
      <c r="B1773" s="2" t="s">
        <v>1835</v>
      </c>
      <c r="C1773" s="2" t="str">
        <f>"08713413"</f>
        <v>08713413</v>
      </c>
      <c r="D1773" s="2">
        <v>0.10100000000000001</v>
      </c>
      <c r="E1773" s="2">
        <v>3</v>
      </c>
      <c r="F1773" s="2" t="s">
        <v>159</v>
      </c>
    </row>
    <row r="1774" spans="1:6" ht="25.5">
      <c r="A1774" s="2">
        <v>1771</v>
      </c>
      <c r="B1774" s="2" t="s">
        <v>1836</v>
      </c>
      <c r="C1774" s="2" t="str">
        <f>"0004282X"</f>
        <v>0004282X</v>
      </c>
      <c r="D1774" s="2">
        <v>0.28100000000000003</v>
      </c>
      <c r="E1774" s="2">
        <v>30</v>
      </c>
      <c r="F1774" s="2" t="s">
        <v>159</v>
      </c>
    </row>
    <row r="1775" spans="1:6" ht="25.5">
      <c r="A1775" s="2">
        <v>1772</v>
      </c>
      <c r="B1775" s="2" t="s">
        <v>1837</v>
      </c>
      <c r="C1775" s="2" t="str">
        <f>"03817032"</f>
        <v>03817032</v>
      </c>
      <c r="D1775" s="2">
        <v>0.36799999999999999</v>
      </c>
      <c r="E1775" s="2">
        <v>19</v>
      </c>
      <c r="F1775" s="2" t="s">
        <v>64</v>
      </c>
    </row>
    <row r="1776" spans="1:6" ht="25.5">
      <c r="A1776" s="2">
        <v>1773</v>
      </c>
      <c r="B1776" s="2" t="s">
        <v>1838</v>
      </c>
      <c r="C1776" s="2" t="str">
        <f>"11307099"</f>
        <v>11307099</v>
      </c>
      <c r="D1776" s="2">
        <v>0.10100000000000001</v>
      </c>
      <c r="E1776" s="2">
        <v>0</v>
      </c>
      <c r="F1776" s="2" t="s">
        <v>351</v>
      </c>
    </row>
    <row r="1777" spans="1:6" ht="25.5">
      <c r="A1777" s="2">
        <v>1774</v>
      </c>
      <c r="B1777" s="2" t="s">
        <v>1839</v>
      </c>
      <c r="C1777" s="2" t="str">
        <f>"18553974"</f>
        <v>18553974</v>
      </c>
      <c r="D1777" s="2">
        <v>0.39100000000000001</v>
      </c>
      <c r="E1777" s="2">
        <v>3</v>
      </c>
      <c r="F1777" s="2" t="s">
        <v>154</v>
      </c>
    </row>
    <row r="1778" spans="1:6" ht="25.5">
      <c r="A1778" s="2">
        <v>1775</v>
      </c>
      <c r="B1778" s="2" t="s">
        <v>1840</v>
      </c>
      <c r="C1778" s="2" t="str">
        <f>"05711371"</f>
        <v>05711371</v>
      </c>
      <c r="D1778" s="2">
        <v>0.10199999999999999</v>
      </c>
      <c r="E1778" s="2">
        <v>2</v>
      </c>
      <c r="F1778" s="2" t="s">
        <v>6</v>
      </c>
    </row>
    <row r="1779" spans="1:6" ht="25.5">
      <c r="A1779" s="2">
        <v>1776</v>
      </c>
      <c r="B1779" s="2" t="s">
        <v>1841</v>
      </c>
      <c r="C1779" s="2" t="str">
        <f>"00042927"</f>
        <v>00042927</v>
      </c>
      <c r="D1779" s="2">
        <v>0.155</v>
      </c>
      <c r="E1779" s="2">
        <v>11</v>
      </c>
      <c r="F1779" s="2" t="s">
        <v>351</v>
      </c>
    </row>
    <row r="1780" spans="1:6" ht="25.5">
      <c r="A1780" s="2">
        <v>1777</v>
      </c>
      <c r="B1780" s="2" t="s">
        <v>1842</v>
      </c>
      <c r="C1780" s="2" t="str">
        <f>"00043079"</f>
        <v>00043079</v>
      </c>
      <c r="D1780" s="2">
        <v>0.13</v>
      </c>
      <c r="E1780" s="2">
        <v>7</v>
      </c>
      <c r="F1780" s="2" t="s">
        <v>6</v>
      </c>
    </row>
    <row r="1781" spans="1:6" ht="25.5">
      <c r="A1781" s="2">
        <v>1778</v>
      </c>
      <c r="B1781" s="2" t="s">
        <v>1843</v>
      </c>
      <c r="C1781" s="2" t="str">
        <f>"1474273X"</f>
        <v>1474273X</v>
      </c>
      <c r="D1781" s="2">
        <v>0</v>
      </c>
      <c r="E1781" s="2">
        <v>1</v>
      </c>
      <c r="F1781" s="2" t="s">
        <v>16</v>
      </c>
    </row>
    <row r="1782" spans="1:6" ht="25.5">
      <c r="A1782" s="2">
        <v>1779</v>
      </c>
      <c r="B1782" s="2" t="s">
        <v>1844</v>
      </c>
      <c r="C1782" s="2" t="str">
        <f>"00043400"</f>
        <v>00043400</v>
      </c>
      <c r="D1782" s="2">
        <v>0.11</v>
      </c>
      <c r="E1782" s="2">
        <v>3</v>
      </c>
      <c r="F1782" s="2" t="s">
        <v>190</v>
      </c>
    </row>
    <row r="1783" spans="1:6" ht="25.5">
      <c r="A1783" s="2">
        <v>1780</v>
      </c>
      <c r="B1783" s="2" t="s">
        <v>1845</v>
      </c>
      <c r="C1783" s="2" t="str">
        <f>"19882408"</f>
        <v>19882408</v>
      </c>
      <c r="D1783" s="2">
        <v>0.111</v>
      </c>
      <c r="E1783" s="2">
        <v>1</v>
      </c>
      <c r="F1783" s="2" t="s">
        <v>351</v>
      </c>
    </row>
    <row r="1784" spans="1:6" ht="25.5">
      <c r="A1784" s="2">
        <v>1781</v>
      </c>
      <c r="B1784" s="2" t="s">
        <v>1846</v>
      </c>
      <c r="C1784" s="2" t="str">
        <f>"03937267"</f>
        <v>03937267</v>
      </c>
      <c r="D1784" s="2">
        <v>0.10199999999999999</v>
      </c>
      <c r="E1784" s="2">
        <v>1</v>
      </c>
      <c r="F1784" s="2" t="s">
        <v>190</v>
      </c>
    </row>
    <row r="1785" spans="1:6" ht="25.5">
      <c r="A1785" s="2">
        <v>1782</v>
      </c>
      <c r="B1785" s="2" t="s">
        <v>1847</v>
      </c>
      <c r="C1785" s="2" t="str">
        <f>"15244636"</f>
        <v>15244636</v>
      </c>
      <c r="D1785" s="2">
        <v>2.609</v>
      </c>
      <c r="E1785" s="2">
        <v>188</v>
      </c>
      <c r="F1785" s="2" t="s">
        <v>6</v>
      </c>
    </row>
    <row r="1786" spans="1:6" ht="25.5">
      <c r="A1786" s="2">
        <v>1783</v>
      </c>
      <c r="B1786" s="2" t="s">
        <v>1848</v>
      </c>
      <c r="C1786" s="2" t="str">
        <f>"18729312"</f>
        <v>18729312</v>
      </c>
      <c r="D1786" s="2">
        <v>0.45100000000000001</v>
      </c>
      <c r="E1786" s="2">
        <v>9</v>
      </c>
      <c r="F1786" s="2" t="s">
        <v>75</v>
      </c>
    </row>
    <row r="1787" spans="1:6" ht="25.5">
      <c r="A1787" s="2">
        <v>1784</v>
      </c>
      <c r="B1787" s="2" t="s">
        <v>1849</v>
      </c>
      <c r="C1787" s="2" t="str">
        <f>"10867058"</f>
        <v>10867058</v>
      </c>
      <c r="D1787" s="2">
        <v>0.105</v>
      </c>
      <c r="E1787" s="2">
        <v>3</v>
      </c>
      <c r="F1787" s="2" t="s">
        <v>6</v>
      </c>
    </row>
    <row r="1788" spans="1:6" ht="25.5">
      <c r="A1788" s="2">
        <v>1785</v>
      </c>
      <c r="B1788" s="2" t="s">
        <v>1850</v>
      </c>
      <c r="C1788" s="2" t="str">
        <f>"14678365"</f>
        <v>14678365</v>
      </c>
      <c r="D1788" s="2">
        <v>0.152</v>
      </c>
      <c r="E1788" s="2">
        <v>8</v>
      </c>
      <c r="F1788" s="2" t="s">
        <v>16</v>
      </c>
    </row>
    <row r="1789" spans="1:6" ht="25.5">
      <c r="A1789" s="2">
        <v>1786</v>
      </c>
      <c r="B1789" s="2" t="s">
        <v>1851</v>
      </c>
      <c r="C1789" s="2" t="str">
        <f>"15290131"</f>
        <v>15290131</v>
      </c>
      <c r="D1789" s="2">
        <v>3.012</v>
      </c>
      <c r="E1789" s="2">
        <v>211</v>
      </c>
      <c r="F1789" s="2" t="s">
        <v>6</v>
      </c>
    </row>
    <row r="1790" spans="1:6" ht="25.5">
      <c r="A1790" s="2">
        <v>1787</v>
      </c>
      <c r="B1790" s="2" t="s">
        <v>1852</v>
      </c>
      <c r="C1790" s="2" t="str">
        <f>"08937524"</f>
        <v>08937524</v>
      </c>
      <c r="D1790" s="2">
        <v>1.806</v>
      </c>
      <c r="E1790" s="2">
        <v>82</v>
      </c>
      <c r="F1790" s="2" t="s">
        <v>6</v>
      </c>
    </row>
    <row r="1791" spans="1:6" ht="25.5">
      <c r="A1791" s="2">
        <v>1788</v>
      </c>
      <c r="B1791" s="2" t="s">
        <v>1853</v>
      </c>
      <c r="C1791" s="2" t="str">
        <f>"14786354"</f>
        <v>14786354</v>
      </c>
      <c r="D1791" s="2">
        <v>1.8140000000000001</v>
      </c>
      <c r="E1791" s="2">
        <v>84</v>
      </c>
      <c r="F1791" s="2" t="s">
        <v>16</v>
      </c>
    </row>
    <row r="1792" spans="1:6" ht="25.5">
      <c r="A1792" s="2">
        <v>1789</v>
      </c>
      <c r="B1792" s="2" t="s">
        <v>1854</v>
      </c>
      <c r="C1792" s="2" t="str">
        <f>"0136006X"</f>
        <v>0136006X</v>
      </c>
      <c r="D1792" s="2">
        <v>0.215</v>
      </c>
      <c r="E1792" s="2">
        <v>2</v>
      </c>
      <c r="F1792" s="2" t="s">
        <v>129</v>
      </c>
    </row>
    <row r="1793" spans="1:6" ht="25.5">
      <c r="A1793" s="2">
        <v>1790</v>
      </c>
      <c r="B1793" s="2" t="s">
        <v>1855</v>
      </c>
      <c r="C1793" s="2" t="str">
        <f>"18728855"</f>
        <v>18728855</v>
      </c>
      <c r="D1793" s="2">
        <v>0.68</v>
      </c>
      <c r="E1793" s="2">
        <v>10</v>
      </c>
      <c r="F1793" s="2" t="s">
        <v>75</v>
      </c>
    </row>
    <row r="1794" spans="1:6" ht="25.5">
      <c r="A1794" s="2">
        <v>1791</v>
      </c>
      <c r="B1794" s="2" t="s">
        <v>1856</v>
      </c>
      <c r="C1794" s="2" t="str">
        <f>"14678039"</f>
        <v>14678039</v>
      </c>
      <c r="D1794" s="2">
        <v>1.0429999999999999</v>
      </c>
      <c r="E1794" s="2">
        <v>35</v>
      </c>
      <c r="F1794" s="2" t="s">
        <v>16</v>
      </c>
    </row>
    <row r="1795" spans="1:6" ht="25.5">
      <c r="A1795" s="2">
        <v>1792</v>
      </c>
      <c r="B1795" s="2" t="s">
        <v>1857</v>
      </c>
      <c r="C1795" s="2" t="str">
        <f>"18648312"</f>
        <v>18648312</v>
      </c>
      <c r="D1795" s="2">
        <v>1.125</v>
      </c>
      <c r="E1795" s="2">
        <v>6</v>
      </c>
      <c r="F1795" s="2" t="s">
        <v>12</v>
      </c>
    </row>
    <row r="1796" spans="1:6" ht="25.5">
      <c r="A1796" s="2">
        <v>1793</v>
      </c>
      <c r="B1796" s="2" t="s">
        <v>1858</v>
      </c>
      <c r="C1796" s="2" t="str">
        <f>"15263231"</f>
        <v>15263231</v>
      </c>
      <c r="D1796" s="2">
        <v>2.5459999999999998</v>
      </c>
      <c r="E1796" s="2">
        <v>92</v>
      </c>
      <c r="F1796" s="2" t="s">
        <v>16</v>
      </c>
    </row>
    <row r="1797" spans="1:6" ht="25.5">
      <c r="A1797" s="2">
        <v>1794</v>
      </c>
      <c r="B1797" s="2" t="s">
        <v>1859</v>
      </c>
      <c r="C1797" s="2" t="str">
        <f>"22126287"</f>
        <v>22126287</v>
      </c>
      <c r="D1797" s="2">
        <v>0</v>
      </c>
      <c r="E1797" s="2">
        <v>0</v>
      </c>
      <c r="F1797" s="2" t="s">
        <v>6</v>
      </c>
    </row>
    <row r="1798" spans="1:6" ht="25.5">
      <c r="A1798" s="2">
        <v>1795</v>
      </c>
      <c r="B1798" s="2" t="s">
        <v>1860</v>
      </c>
      <c r="C1798" s="2" t="str">
        <f>"09337946"</f>
        <v>09337946</v>
      </c>
      <c r="D1798" s="2">
        <v>0.127</v>
      </c>
      <c r="E1798" s="2">
        <v>7</v>
      </c>
      <c r="F1798" s="2" t="s">
        <v>12</v>
      </c>
    </row>
    <row r="1799" spans="1:6" ht="25.5">
      <c r="A1799" s="2">
        <v>1796</v>
      </c>
      <c r="B1799" s="2" t="s">
        <v>1861</v>
      </c>
      <c r="C1799" s="2" t="str">
        <f>"10786279"</f>
        <v>10786279</v>
      </c>
      <c r="D1799" s="2">
        <v>0.123</v>
      </c>
      <c r="E1799" s="2">
        <v>3</v>
      </c>
      <c r="F1799" s="2" t="s">
        <v>6</v>
      </c>
    </row>
    <row r="1800" spans="1:6" ht="25.5">
      <c r="A1800" s="2">
        <v>1797</v>
      </c>
      <c r="B1800" s="2" t="s">
        <v>1862</v>
      </c>
      <c r="C1800" s="2" t="str">
        <f>"00043648"</f>
        <v>00043648</v>
      </c>
      <c r="D1800" s="2">
        <v>0.10100000000000001</v>
      </c>
      <c r="E1800" s="2">
        <v>3</v>
      </c>
      <c r="F1800" s="2" t="s">
        <v>31</v>
      </c>
    </row>
    <row r="1801" spans="1:6" ht="25.5">
      <c r="A1801" s="2">
        <v>1798</v>
      </c>
      <c r="B1801" s="2" t="s">
        <v>1863</v>
      </c>
      <c r="C1801" s="2" t="str">
        <f>"03919064"</f>
        <v>03919064</v>
      </c>
      <c r="D1801" s="2">
        <v>0.1</v>
      </c>
      <c r="E1801" s="2">
        <v>3</v>
      </c>
      <c r="F1801" s="2" t="s">
        <v>169</v>
      </c>
    </row>
    <row r="1802" spans="1:6" ht="25.5">
      <c r="A1802" s="2">
        <v>1799</v>
      </c>
      <c r="B1802" s="2" t="s">
        <v>1864</v>
      </c>
      <c r="C1802" s="2" t="str">
        <f>"15324184"</f>
        <v>15324184</v>
      </c>
      <c r="D1802" s="2">
        <v>0.25900000000000001</v>
      </c>
      <c r="E1802" s="2">
        <v>23</v>
      </c>
      <c r="F1802" s="2" t="s">
        <v>16</v>
      </c>
    </row>
    <row r="1803" spans="1:6" ht="25.5">
      <c r="A1803" s="2">
        <v>1800</v>
      </c>
      <c r="B1803" s="2" t="s">
        <v>1865</v>
      </c>
      <c r="C1803" s="2" t="str">
        <f>"00043702"</f>
        <v>00043702</v>
      </c>
      <c r="D1803" s="2">
        <v>3.0329999999999999</v>
      </c>
      <c r="E1803" s="2">
        <v>90</v>
      </c>
      <c r="F1803" s="2" t="s">
        <v>75</v>
      </c>
    </row>
    <row r="1804" spans="1:6" ht="25.5">
      <c r="A1804" s="2">
        <v>1801</v>
      </c>
      <c r="B1804" s="2" t="s">
        <v>1866</v>
      </c>
      <c r="C1804" s="2" t="str">
        <f>"15728382"</f>
        <v>15728382</v>
      </c>
      <c r="D1804" s="2">
        <v>1.2430000000000001</v>
      </c>
      <c r="E1804" s="2">
        <v>19</v>
      </c>
      <c r="F1804" s="2" t="s">
        <v>75</v>
      </c>
    </row>
    <row r="1805" spans="1:6" ht="25.5">
      <c r="A1805" s="2">
        <v>1802</v>
      </c>
      <c r="B1805" s="2" t="s">
        <v>1867</v>
      </c>
      <c r="C1805" s="2" t="str">
        <f>"14691760"</f>
        <v>14691760</v>
      </c>
      <c r="D1805" s="2">
        <v>0.435</v>
      </c>
      <c r="E1805" s="2">
        <v>30</v>
      </c>
      <c r="F1805" s="2" t="s">
        <v>16</v>
      </c>
    </row>
    <row r="1806" spans="1:6" ht="25.5">
      <c r="A1806" s="2">
        <v>1803</v>
      </c>
      <c r="B1806" s="2" t="s">
        <v>1868</v>
      </c>
      <c r="C1806" s="2" t="str">
        <f>"09333657"</f>
        <v>09333657</v>
      </c>
      <c r="D1806" s="2">
        <v>0.7</v>
      </c>
      <c r="E1806" s="2">
        <v>48</v>
      </c>
      <c r="F1806" s="2" t="s">
        <v>75</v>
      </c>
    </row>
    <row r="1807" spans="1:6" ht="25.5">
      <c r="A1807" s="2">
        <v>1804</v>
      </c>
      <c r="B1807" s="2" t="s">
        <v>1869</v>
      </c>
      <c r="C1807" s="2" t="str">
        <f>"15737462"</f>
        <v>15737462</v>
      </c>
      <c r="D1807" s="2">
        <v>1.0740000000000001</v>
      </c>
      <c r="E1807" s="2">
        <v>36</v>
      </c>
      <c r="F1807" s="2" t="s">
        <v>75</v>
      </c>
    </row>
    <row r="1808" spans="1:6" ht="25.5">
      <c r="A1808" s="2">
        <v>1805</v>
      </c>
      <c r="B1808" s="2" t="s">
        <v>1870</v>
      </c>
      <c r="C1808" s="2" t="str">
        <f>"15309185"</f>
        <v>15309185</v>
      </c>
      <c r="D1808" s="2">
        <v>0.51600000000000001</v>
      </c>
      <c r="E1808" s="2">
        <v>35</v>
      </c>
      <c r="F1808" s="2" t="s">
        <v>6</v>
      </c>
    </row>
    <row r="1809" spans="1:6" ht="25.5">
      <c r="A1809" s="2">
        <v>1806</v>
      </c>
      <c r="B1809" s="2" t="s">
        <v>1871</v>
      </c>
      <c r="C1809" s="2" t="str">
        <f>"14335298"</f>
        <v>14335298</v>
      </c>
      <c r="D1809" s="2">
        <v>0.251</v>
      </c>
      <c r="E1809" s="2">
        <v>10</v>
      </c>
      <c r="F1809" s="2" t="s">
        <v>131</v>
      </c>
    </row>
    <row r="1810" spans="1:6" ht="25.5">
      <c r="A1810" s="2">
        <v>1807</v>
      </c>
      <c r="B1810" s="2" t="s">
        <v>1872</v>
      </c>
      <c r="C1810" s="2" t="str">
        <f>"15251594"</f>
        <v>15251594</v>
      </c>
      <c r="D1810" s="2">
        <v>0.78300000000000003</v>
      </c>
      <c r="E1810" s="2">
        <v>50</v>
      </c>
      <c r="F1810" s="2" t="s">
        <v>16</v>
      </c>
    </row>
    <row r="1811" spans="1:6" ht="25.5">
      <c r="A1811" s="2">
        <v>1808</v>
      </c>
      <c r="B1811" s="2" t="s">
        <v>1873</v>
      </c>
      <c r="C1811" s="2" t="str">
        <f>"15093859"</f>
        <v>15093859</v>
      </c>
      <c r="D1811" s="2">
        <v>0.27</v>
      </c>
      <c r="E1811" s="2">
        <v>4</v>
      </c>
      <c r="F1811" s="2" t="s">
        <v>169</v>
      </c>
    </row>
    <row r="1812" spans="1:6" ht="25.5">
      <c r="A1812" s="2">
        <v>1809</v>
      </c>
      <c r="B1812" s="2" t="s">
        <v>1874</v>
      </c>
      <c r="C1812" s="2" t="str">
        <f>"00043214"</f>
        <v>00043214</v>
      </c>
      <c r="D1812" s="2">
        <v>0.1</v>
      </c>
      <c r="E1812" s="2">
        <v>2</v>
      </c>
      <c r="F1812" s="2" t="s">
        <v>6</v>
      </c>
    </row>
    <row r="1813" spans="1:6" ht="25.5">
      <c r="A1813" s="2">
        <v>1810</v>
      </c>
      <c r="B1813" s="2" t="s">
        <v>1875</v>
      </c>
      <c r="C1813" s="2" t="str">
        <f>"00043249"</f>
        <v>00043249</v>
      </c>
      <c r="D1813" s="2">
        <v>0.1</v>
      </c>
      <c r="E1813" s="2">
        <v>4</v>
      </c>
      <c r="F1813" s="2" t="s">
        <v>6</v>
      </c>
    </row>
    <row r="1814" spans="1:6" ht="25.5">
      <c r="A1814" s="2">
        <v>1811</v>
      </c>
      <c r="B1814" s="2" t="s">
        <v>1876</v>
      </c>
      <c r="C1814" s="2" t="str">
        <f>"00043273"</f>
        <v>00043273</v>
      </c>
      <c r="D1814" s="2">
        <v>0.1</v>
      </c>
      <c r="E1814" s="2">
        <v>1</v>
      </c>
      <c r="F1814" s="2" t="s">
        <v>6</v>
      </c>
    </row>
    <row r="1815" spans="1:6" ht="25.5">
      <c r="A1815" s="2">
        <v>1812</v>
      </c>
      <c r="B1815" s="2" t="s">
        <v>1877</v>
      </c>
      <c r="C1815" s="2" t="str">
        <f>"16955951"</f>
        <v>16955951</v>
      </c>
      <c r="D1815" s="2">
        <v>0.10100000000000001</v>
      </c>
      <c r="E1815" s="2">
        <v>1</v>
      </c>
      <c r="F1815" s="2" t="s">
        <v>351</v>
      </c>
    </row>
    <row r="1816" spans="1:6" ht="25.5">
      <c r="A1816" s="2">
        <v>1813</v>
      </c>
      <c r="B1816" s="2" t="s">
        <v>1878</v>
      </c>
      <c r="C1816" s="2" t="str">
        <f>"14740222"</f>
        <v>14740222</v>
      </c>
      <c r="D1816" s="2">
        <v>0.33900000000000002</v>
      </c>
      <c r="E1816" s="2">
        <v>10</v>
      </c>
      <c r="F1816" s="2" t="s">
        <v>16</v>
      </c>
    </row>
    <row r="1817" spans="1:6" ht="25.5">
      <c r="A1817" s="2">
        <v>1814</v>
      </c>
      <c r="B1817" s="2" t="s">
        <v>1879</v>
      </c>
      <c r="C1817" s="2" t="str">
        <f>"18735878"</f>
        <v>18735878</v>
      </c>
      <c r="D1817" s="2">
        <v>0.309</v>
      </c>
      <c r="E1817" s="2">
        <v>14</v>
      </c>
      <c r="F1817" s="2" t="s">
        <v>16</v>
      </c>
    </row>
    <row r="1818" spans="1:6" ht="25.5">
      <c r="A1818" s="2">
        <v>1815</v>
      </c>
      <c r="B1818" s="2" t="s">
        <v>1880</v>
      </c>
      <c r="C1818" s="2" t="str">
        <f>"00044083"</f>
        <v>00044083</v>
      </c>
      <c r="D1818" s="2">
        <v>0.1</v>
      </c>
      <c r="E1818" s="2">
        <v>2</v>
      </c>
      <c r="F1818" s="2" t="s">
        <v>46</v>
      </c>
    </row>
    <row r="1819" spans="1:6" ht="25.5">
      <c r="A1819" s="2">
        <v>1816</v>
      </c>
      <c r="B1819" s="2" t="s">
        <v>1881</v>
      </c>
      <c r="C1819" s="2" t="str">
        <f>"07421656"</f>
        <v>07421656</v>
      </c>
      <c r="D1819" s="2">
        <v>0.216</v>
      </c>
      <c r="E1819" s="2">
        <v>7</v>
      </c>
      <c r="F1819" s="2" t="s">
        <v>6</v>
      </c>
    </row>
    <row r="1820" spans="1:6" ht="25.5">
      <c r="A1820" s="2">
        <v>1817</v>
      </c>
      <c r="B1820" s="2" t="s">
        <v>1882</v>
      </c>
      <c r="C1820" s="2" t="str">
        <f>"16980476"</f>
        <v>16980476</v>
      </c>
      <c r="D1820" s="2">
        <v>0.113</v>
      </c>
      <c r="E1820" s="2">
        <v>0</v>
      </c>
      <c r="F1820" s="2" t="s">
        <v>351</v>
      </c>
    </row>
    <row r="1821" spans="1:6" ht="25.5">
      <c r="A1821" s="2">
        <v>1818</v>
      </c>
      <c r="B1821" s="2" t="s">
        <v>1883</v>
      </c>
      <c r="C1821" s="2" t="str">
        <f>"22516638"</f>
        <v>22516638</v>
      </c>
      <c r="D1821" s="2">
        <v>0.11700000000000001</v>
      </c>
      <c r="E1821" s="2">
        <v>1</v>
      </c>
      <c r="F1821" s="2" t="s">
        <v>299</v>
      </c>
    </row>
    <row r="1822" spans="1:6" ht="25.5">
      <c r="A1822" s="2">
        <v>1819</v>
      </c>
      <c r="B1822" s="2" t="s">
        <v>1884</v>
      </c>
      <c r="C1822" s="2" t="str">
        <f>"16167066"</f>
        <v>16167066</v>
      </c>
      <c r="D1822" s="2">
        <v>0.19800000000000001</v>
      </c>
      <c r="E1822" s="2">
        <v>43</v>
      </c>
      <c r="F1822" s="2" t="s">
        <v>12</v>
      </c>
    </row>
    <row r="1823" spans="1:6" ht="25.5">
      <c r="A1823" s="2">
        <v>1820</v>
      </c>
      <c r="B1823" s="2" t="s">
        <v>1885</v>
      </c>
      <c r="C1823" s="2" t="str">
        <f>"07236913"</f>
        <v>07236913</v>
      </c>
      <c r="D1823" s="2">
        <v>0.10199999999999999</v>
      </c>
      <c r="E1823" s="2">
        <v>3</v>
      </c>
      <c r="F1823" s="2" t="s">
        <v>12</v>
      </c>
    </row>
    <row r="1824" spans="1:6" ht="25.5">
      <c r="A1824" s="2">
        <v>1821</v>
      </c>
      <c r="B1824" s="2" t="s">
        <v>1886</v>
      </c>
      <c r="C1824" s="2" t="str">
        <f>"10582916"</f>
        <v>10582916</v>
      </c>
      <c r="D1824" s="2">
        <v>0.54</v>
      </c>
      <c r="E1824" s="2">
        <v>41</v>
      </c>
      <c r="F1824" s="2" t="s">
        <v>6</v>
      </c>
    </row>
    <row r="1825" spans="1:6" ht="25.5">
      <c r="A1825" s="2">
        <v>1822</v>
      </c>
      <c r="B1825" s="2" t="s">
        <v>1887</v>
      </c>
      <c r="C1825" s="2" t="str">
        <f>"02104466"</f>
        <v>02104466</v>
      </c>
      <c r="D1825" s="2">
        <v>0.11</v>
      </c>
      <c r="E1825" s="2">
        <v>6</v>
      </c>
      <c r="F1825" s="2" t="s">
        <v>351</v>
      </c>
    </row>
    <row r="1826" spans="1:6" ht="25.5">
      <c r="A1826" s="2">
        <v>1823</v>
      </c>
      <c r="B1826" s="2" t="s">
        <v>1888</v>
      </c>
      <c r="C1826" s="2" t="str">
        <f>"16554418"</f>
        <v>16554418</v>
      </c>
      <c r="D1826" s="2">
        <v>0</v>
      </c>
      <c r="E1826" s="2">
        <v>0</v>
      </c>
      <c r="F1826" s="2" t="s">
        <v>297</v>
      </c>
    </row>
    <row r="1827" spans="1:6" ht="25.5">
      <c r="A1827" s="2">
        <v>1824</v>
      </c>
      <c r="B1827" s="2" t="s">
        <v>1889</v>
      </c>
      <c r="C1827" s="2" t="str">
        <f>"03649962"</f>
        <v>03649962</v>
      </c>
      <c r="D1827" s="2">
        <v>0.41299999999999998</v>
      </c>
      <c r="E1827" s="2">
        <v>22</v>
      </c>
      <c r="F1827" s="2" t="s">
        <v>6</v>
      </c>
    </row>
    <row r="1828" spans="1:6" ht="25.5">
      <c r="A1828" s="2">
        <v>1825</v>
      </c>
      <c r="B1828" s="2" t="s">
        <v>1890</v>
      </c>
      <c r="C1828" s="2" t="str">
        <f>"10412336"</f>
        <v>10412336</v>
      </c>
      <c r="D1828" s="2">
        <v>0.10100000000000001</v>
      </c>
      <c r="E1828" s="2">
        <v>0</v>
      </c>
      <c r="F1828" s="2" t="s">
        <v>6</v>
      </c>
    </row>
    <row r="1829" spans="1:6" ht="25.5">
      <c r="A1829" s="2">
        <v>1826</v>
      </c>
      <c r="B1829" s="2" t="s">
        <v>1891</v>
      </c>
      <c r="C1829" s="2" t="str">
        <f>"00012505"</f>
        <v>00012505</v>
      </c>
      <c r="D1829" s="2">
        <v>0.36399999999999999</v>
      </c>
      <c r="E1829" s="2">
        <v>35</v>
      </c>
      <c r="F1829" s="2" t="s">
        <v>6</v>
      </c>
    </row>
    <row r="1830" spans="1:6" ht="25.5">
      <c r="A1830" s="2">
        <v>1827</v>
      </c>
      <c r="B1830" s="2" t="s">
        <v>1892</v>
      </c>
      <c r="C1830" s="2" t="str">
        <f>"16102932"</f>
        <v>16102932</v>
      </c>
      <c r="D1830" s="2">
        <v>0.21099999999999999</v>
      </c>
      <c r="E1830" s="2">
        <v>5</v>
      </c>
      <c r="F1830" s="2" t="s">
        <v>12</v>
      </c>
    </row>
    <row r="1831" spans="1:6" ht="25.5">
      <c r="A1831" s="2">
        <v>1828</v>
      </c>
      <c r="B1831" s="2" t="s">
        <v>1893</v>
      </c>
      <c r="C1831" s="2" t="str">
        <f>"01173375"</f>
        <v>01173375</v>
      </c>
      <c r="D1831" s="2">
        <v>0.10199999999999999</v>
      </c>
      <c r="E1831" s="2">
        <v>1</v>
      </c>
      <c r="F1831" s="2" t="s">
        <v>304</v>
      </c>
    </row>
    <row r="1832" spans="1:6" ht="25.5">
      <c r="A1832" s="2">
        <v>1829</v>
      </c>
      <c r="B1832" s="2" t="s">
        <v>1894</v>
      </c>
      <c r="C1832" s="2" t="str">
        <f>"21804184"</f>
        <v>21804184</v>
      </c>
      <c r="D1832" s="2">
        <v>0.108</v>
      </c>
      <c r="E1832" s="2">
        <v>1</v>
      </c>
      <c r="F1832" s="2" t="s">
        <v>37</v>
      </c>
    </row>
    <row r="1833" spans="1:6" ht="25.5">
      <c r="A1833" s="2">
        <v>1830</v>
      </c>
      <c r="B1833" s="2" t="s">
        <v>1895</v>
      </c>
      <c r="C1833" s="2" t="str">
        <f>"19858299"</f>
        <v>19858299</v>
      </c>
      <c r="D1833" s="2">
        <v>0.12</v>
      </c>
      <c r="E1833" s="2">
        <v>2</v>
      </c>
      <c r="F1833" s="2" t="s">
        <v>37</v>
      </c>
    </row>
    <row r="1834" spans="1:6" ht="25.5">
      <c r="A1834" s="2">
        <v>1831</v>
      </c>
      <c r="B1834" s="2" t="s">
        <v>1896</v>
      </c>
      <c r="C1834" s="2" t="str">
        <f>"14771500"</f>
        <v>14771500</v>
      </c>
      <c r="D1834" s="2">
        <v>0.113</v>
      </c>
      <c r="E1834" s="2">
        <v>1</v>
      </c>
      <c r="F1834" s="2" t="s">
        <v>16</v>
      </c>
    </row>
    <row r="1835" spans="1:6" ht="25.5">
      <c r="A1835" s="2">
        <v>1832</v>
      </c>
      <c r="B1835" s="2" t="s">
        <v>1896</v>
      </c>
      <c r="C1835" s="2" t="str">
        <f>"19401590"</f>
        <v>19401590</v>
      </c>
      <c r="D1835" s="2">
        <v>0.13800000000000001</v>
      </c>
      <c r="E1835" s="2">
        <v>4</v>
      </c>
      <c r="F1835" s="2" t="s">
        <v>6</v>
      </c>
    </row>
    <row r="1836" spans="1:6" ht="25.5">
      <c r="A1836" s="2">
        <v>1833</v>
      </c>
      <c r="B1836" s="2" t="s">
        <v>1897</v>
      </c>
      <c r="C1836" s="2" t="str">
        <f>"09717730"</f>
        <v>09717730</v>
      </c>
      <c r="D1836" s="2">
        <v>0.14499999999999999</v>
      </c>
      <c r="E1836" s="2">
        <v>7</v>
      </c>
      <c r="F1836" s="2" t="s">
        <v>488</v>
      </c>
    </row>
    <row r="1837" spans="1:6" ht="25.5">
      <c r="A1837" s="2">
        <v>1834</v>
      </c>
      <c r="B1837" s="2" t="s">
        <v>1898</v>
      </c>
      <c r="C1837" s="2" t="str">
        <f>"19481993"</f>
        <v>19481993</v>
      </c>
      <c r="D1837" s="2">
        <v>0.60399999999999998</v>
      </c>
      <c r="E1837" s="2">
        <v>5</v>
      </c>
      <c r="F1837" s="2" t="s">
        <v>6</v>
      </c>
    </row>
    <row r="1838" spans="1:6" ht="25.5">
      <c r="A1838" s="2">
        <v>1835</v>
      </c>
      <c r="B1838" s="2" t="s">
        <v>1899</v>
      </c>
      <c r="C1838" s="2" t="str">
        <f>"00668281"</f>
        <v>00668281</v>
      </c>
      <c r="D1838" s="2">
        <v>0.10100000000000001</v>
      </c>
      <c r="E1838" s="2">
        <v>1</v>
      </c>
      <c r="F1838" s="2" t="s">
        <v>241</v>
      </c>
    </row>
    <row r="1839" spans="1:6" ht="25.5">
      <c r="A1839" s="2">
        <v>1836</v>
      </c>
      <c r="B1839" s="2" t="s">
        <v>1900</v>
      </c>
      <c r="C1839" s="2" t="str">
        <f>"01171968"</f>
        <v>01171968</v>
      </c>
      <c r="D1839" s="2">
        <v>0.23200000000000001</v>
      </c>
      <c r="E1839" s="2">
        <v>13</v>
      </c>
      <c r="F1839" s="2" t="s">
        <v>304</v>
      </c>
    </row>
    <row r="1840" spans="1:6" ht="25.5">
      <c r="A1840" s="2">
        <v>1837</v>
      </c>
      <c r="B1840" s="2" t="s">
        <v>1901</v>
      </c>
      <c r="C1840" s="2" t="str">
        <f>"10112367"</f>
        <v>10112367</v>
      </c>
      <c r="D1840" s="2">
        <v>0.39600000000000002</v>
      </c>
      <c r="E1840" s="2">
        <v>28</v>
      </c>
      <c r="F1840" s="2" t="s">
        <v>274</v>
      </c>
    </row>
    <row r="1841" spans="1:6" ht="25.5">
      <c r="A1841" s="2">
        <v>1838</v>
      </c>
      <c r="B1841" s="2" t="s">
        <v>1902</v>
      </c>
      <c r="C1841" s="2" t="str">
        <f>"19057415"</f>
        <v>19057415</v>
      </c>
      <c r="D1841" s="2">
        <v>0.151</v>
      </c>
      <c r="E1841" s="2">
        <v>6</v>
      </c>
      <c r="F1841" s="2" t="s">
        <v>75</v>
      </c>
    </row>
    <row r="1842" spans="1:6" ht="25.5">
      <c r="A1842" s="2">
        <v>1839</v>
      </c>
      <c r="B1842" s="2" t="s">
        <v>1903</v>
      </c>
      <c r="C1842" s="2" t="str">
        <f>"09727566"</f>
        <v>09727566</v>
      </c>
      <c r="D1842" s="2">
        <v>0.156</v>
      </c>
      <c r="E1842" s="2">
        <v>4</v>
      </c>
      <c r="F1842" s="2" t="s">
        <v>488</v>
      </c>
    </row>
    <row r="1843" spans="1:6" ht="25.5">
      <c r="A1843" s="2">
        <v>1840</v>
      </c>
      <c r="B1843" s="2" t="s">
        <v>1904</v>
      </c>
      <c r="C1843" s="2" t="str">
        <f>"14769328"</f>
        <v>14769328</v>
      </c>
      <c r="D1843" s="2">
        <v>0.35599999999999998</v>
      </c>
      <c r="E1843" s="2">
        <v>6</v>
      </c>
      <c r="F1843" s="2" t="s">
        <v>16</v>
      </c>
    </row>
    <row r="1844" spans="1:6" ht="25.5">
      <c r="A1844" s="2">
        <v>1841</v>
      </c>
      <c r="B1844" s="2" t="s">
        <v>1905</v>
      </c>
      <c r="C1844" s="2" t="str">
        <f>"02184923"</f>
        <v>02184923</v>
      </c>
      <c r="D1844" s="2">
        <v>0.24399999999999999</v>
      </c>
      <c r="E1844" s="2">
        <v>14</v>
      </c>
      <c r="F1844" s="2" t="s">
        <v>6</v>
      </c>
    </row>
    <row r="1845" spans="1:6" ht="25.5">
      <c r="A1845" s="2">
        <v>1842</v>
      </c>
      <c r="B1845" s="2" t="s">
        <v>1906</v>
      </c>
      <c r="C1845" s="2" t="str">
        <f>"02189275"</f>
        <v>02189275</v>
      </c>
      <c r="D1845" s="2">
        <v>0.115</v>
      </c>
      <c r="E1845" s="2">
        <v>1</v>
      </c>
      <c r="F1845" s="2" t="s">
        <v>543</v>
      </c>
    </row>
    <row r="1846" spans="1:6" ht="25.5">
      <c r="A1846" s="2">
        <v>1843</v>
      </c>
      <c r="B1846" s="2" t="s">
        <v>1907</v>
      </c>
      <c r="C1846" s="2" t="str">
        <f>"01161105"</f>
        <v>01161105</v>
      </c>
      <c r="D1846" s="2">
        <v>0.191</v>
      </c>
      <c r="E1846" s="2">
        <v>11</v>
      </c>
      <c r="F1846" s="2" t="s">
        <v>304</v>
      </c>
    </row>
    <row r="1847" spans="1:6" ht="25.5">
      <c r="A1847" s="2">
        <v>1844</v>
      </c>
      <c r="B1847" s="2" t="s">
        <v>1908</v>
      </c>
      <c r="C1847" s="2" t="str">
        <f>"09729488"</f>
        <v>09729488</v>
      </c>
      <c r="D1847" s="2">
        <v>0.1</v>
      </c>
      <c r="E1847" s="2">
        <v>2</v>
      </c>
      <c r="F1847" s="2" t="s">
        <v>488</v>
      </c>
    </row>
    <row r="1848" spans="1:6" ht="25.5">
      <c r="A1848" s="2">
        <v>1845</v>
      </c>
      <c r="B1848" s="2" t="s">
        <v>1909</v>
      </c>
      <c r="C1848" s="2" t="str">
        <f>"14678381"</f>
        <v>14678381</v>
      </c>
      <c r="D1848" s="2">
        <v>0.18099999999999999</v>
      </c>
      <c r="E1848" s="2">
        <v>15</v>
      </c>
      <c r="F1848" s="2" t="s">
        <v>16</v>
      </c>
    </row>
    <row r="1849" spans="1:6" ht="25.5">
      <c r="A1849" s="2">
        <v>1846</v>
      </c>
      <c r="B1849" s="2" t="s">
        <v>1910</v>
      </c>
      <c r="C1849" s="2" t="str">
        <f>"15360083"</f>
        <v>15360083</v>
      </c>
      <c r="D1849" s="2">
        <v>0.33600000000000002</v>
      </c>
      <c r="E1849" s="2">
        <v>5</v>
      </c>
      <c r="F1849" s="2" t="s">
        <v>6</v>
      </c>
    </row>
    <row r="1850" spans="1:6" ht="25.5">
      <c r="A1850" s="2">
        <v>1847</v>
      </c>
      <c r="B1850" s="2" t="s">
        <v>1911</v>
      </c>
      <c r="C1850" s="2" t="str">
        <f>"18328105"</f>
        <v>18328105</v>
      </c>
      <c r="D1850" s="2">
        <v>0.16700000000000001</v>
      </c>
      <c r="E1850" s="2">
        <v>7</v>
      </c>
      <c r="F1850" s="2" t="s">
        <v>16</v>
      </c>
    </row>
    <row r="1851" spans="1:6" ht="25.5">
      <c r="A1851" s="2">
        <v>1848</v>
      </c>
      <c r="B1851" s="2" t="s">
        <v>1912</v>
      </c>
      <c r="C1851" s="2" t="str">
        <f>"17381460"</f>
        <v>17381460</v>
      </c>
      <c r="D1851" s="2">
        <v>0.107</v>
      </c>
      <c r="E1851" s="2">
        <v>1</v>
      </c>
      <c r="F1851" s="2" t="s">
        <v>16</v>
      </c>
    </row>
    <row r="1852" spans="1:6" ht="25.5">
      <c r="A1852" s="2">
        <v>1849</v>
      </c>
      <c r="B1852" s="2" t="s">
        <v>1913</v>
      </c>
      <c r="C1852" s="2" t="str">
        <f>"14692953"</f>
        <v>14692953</v>
      </c>
      <c r="D1852" s="2">
        <v>0.125</v>
      </c>
      <c r="E1852" s="2">
        <v>4</v>
      </c>
      <c r="F1852" s="2" t="s">
        <v>6</v>
      </c>
    </row>
    <row r="1853" spans="1:6" ht="25.5">
      <c r="A1853" s="2">
        <v>1850</v>
      </c>
      <c r="B1853" s="2" t="s">
        <v>1914</v>
      </c>
      <c r="C1853" s="2" t="str">
        <f>"18826865"</f>
        <v>18826865</v>
      </c>
      <c r="D1853" s="2">
        <v>0.10299999999999999</v>
      </c>
      <c r="E1853" s="2">
        <v>3</v>
      </c>
      <c r="F1853" s="2" t="s">
        <v>131</v>
      </c>
    </row>
    <row r="1854" spans="1:6" ht="25.5">
      <c r="A1854" s="2">
        <v>1851</v>
      </c>
      <c r="B1854" s="2" t="s">
        <v>1915</v>
      </c>
      <c r="C1854" s="2" t="str">
        <f>"17935571"</f>
        <v>17935571</v>
      </c>
      <c r="D1854" s="2">
        <v>0.252</v>
      </c>
      <c r="E1854" s="2">
        <v>5</v>
      </c>
      <c r="F1854" s="2" t="s">
        <v>543</v>
      </c>
    </row>
    <row r="1855" spans="1:6" ht="25.5">
      <c r="A1855" s="2">
        <v>1852</v>
      </c>
      <c r="B1855" s="2" t="s">
        <v>1916</v>
      </c>
      <c r="C1855" s="2" t="str">
        <f>"20950357"</f>
        <v>20950357</v>
      </c>
      <c r="D1855" s="2">
        <v>0.215</v>
      </c>
      <c r="E1855" s="2">
        <v>3</v>
      </c>
      <c r="F1855" s="2" t="s">
        <v>46</v>
      </c>
    </row>
    <row r="1856" spans="1:6" ht="25.5">
      <c r="A1856" s="2">
        <v>1853</v>
      </c>
      <c r="B1856" s="2" t="s">
        <v>1917</v>
      </c>
      <c r="C1856" s="2" t="str">
        <f>"18191894"</f>
        <v>18191894</v>
      </c>
      <c r="D1856" s="2">
        <v>0.39400000000000002</v>
      </c>
      <c r="E1856" s="2">
        <v>6</v>
      </c>
      <c r="F1856" s="2" t="s">
        <v>6</v>
      </c>
    </row>
    <row r="1857" spans="1:6" ht="25.5">
      <c r="A1857" s="2">
        <v>1854</v>
      </c>
      <c r="B1857" s="2" t="s">
        <v>1918</v>
      </c>
      <c r="C1857" s="2" t="str">
        <f>"1008682X"</f>
        <v>1008682X</v>
      </c>
      <c r="D1857" s="2">
        <v>0.52</v>
      </c>
      <c r="E1857" s="2">
        <v>36</v>
      </c>
      <c r="F1857" s="2" t="s">
        <v>16</v>
      </c>
    </row>
    <row r="1858" spans="1:6" ht="25.5">
      <c r="A1858" s="2">
        <v>1855</v>
      </c>
      <c r="B1858" s="2" t="s">
        <v>1919</v>
      </c>
      <c r="C1858" s="2" t="str">
        <f>"16839919"</f>
        <v>16839919</v>
      </c>
      <c r="D1858" s="2">
        <v>0.53100000000000003</v>
      </c>
      <c r="E1858" s="2">
        <v>10</v>
      </c>
      <c r="F1858" s="2" t="s">
        <v>6</v>
      </c>
    </row>
    <row r="1859" spans="1:6" ht="25.5">
      <c r="A1859" s="2">
        <v>1856</v>
      </c>
      <c r="B1859" s="2" t="s">
        <v>1920</v>
      </c>
      <c r="C1859" s="2" t="str">
        <f>"18191878"</f>
        <v>18191878</v>
      </c>
      <c r="D1859" s="2">
        <v>0.35199999999999998</v>
      </c>
      <c r="E1859" s="2">
        <v>5</v>
      </c>
      <c r="F1859" s="2" t="s">
        <v>6</v>
      </c>
    </row>
    <row r="1860" spans="1:6" ht="25.5">
      <c r="A1860" s="2">
        <v>1857</v>
      </c>
      <c r="B1860" s="2" t="s">
        <v>1921</v>
      </c>
      <c r="C1860" s="2" t="str">
        <f>"19963343"</f>
        <v>19963343</v>
      </c>
      <c r="D1860" s="2">
        <v>0.71099999999999997</v>
      </c>
      <c r="E1860" s="2">
        <v>6</v>
      </c>
      <c r="F1860" s="2" t="s">
        <v>43</v>
      </c>
    </row>
    <row r="1861" spans="1:6" ht="25.5">
      <c r="A1861" s="2">
        <v>1858</v>
      </c>
      <c r="B1861" s="2" t="s">
        <v>1922</v>
      </c>
      <c r="C1861" s="2" t="str">
        <f>"22871160"</f>
        <v>22871160</v>
      </c>
      <c r="D1861" s="2">
        <v>0.23100000000000001</v>
      </c>
      <c r="E1861" s="2">
        <v>4</v>
      </c>
      <c r="F1861" s="2" t="s">
        <v>131</v>
      </c>
    </row>
    <row r="1862" spans="1:6" ht="25.5">
      <c r="A1862" s="2">
        <v>1859</v>
      </c>
      <c r="B1862" s="2" t="s">
        <v>1923</v>
      </c>
      <c r="C1862" s="2" t="str">
        <f>"18159923"</f>
        <v>18159923</v>
      </c>
      <c r="D1862" s="2">
        <v>0.314</v>
      </c>
      <c r="E1862" s="2">
        <v>6</v>
      </c>
      <c r="F1862" s="2" t="s">
        <v>6</v>
      </c>
    </row>
    <row r="1863" spans="1:6" ht="25.5">
      <c r="A1863" s="2">
        <v>1860</v>
      </c>
      <c r="B1863" s="2" t="s">
        <v>1924</v>
      </c>
      <c r="C1863" s="2" t="str">
        <f>"21803137"</f>
        <v>21803137</v>
      </c>
      <c r="D1863" s="2">
        <v>0.111</v>
      </c>
      <c r="E1863" s="2">
        <v>2</v>
      </c>
      <c r="F1863" s="2" t="s">
        <v>37</v>
      </c>
    </row>
    <row r="1864" spans="1:6" ht="25.5">
      <c r="A1864" s="2">
        <v>1861</v>
      </c>
      <c r="B1864" s="2" t="s">
        <v>1925</v>
      </c>
      <c r="C1864" s="2" t="str">
        <f>"18140068"</f>
        <v>18140068</v>
      </c>
      <c r="D1864" s="2">
        <v>0.20100000000000001</v>
      </c>
      <c r="E1864" s="2">
        <v>2</v>
      </c>
      <c r="F1864" s="2" t="s">
        <v>6</v>
      </c>
    </row>
    <row r="1865" spans="1:6" ht="25.5">
      <c r="A1865" s="2">
        <v>1862</v>
      </c>
      <c r="B1865" s="2" t="s">
        <v>1926</v>
      </c>
      <c r="C1865" s="2" t="str">
        <f>"09707077"</f>
        <v>09707077</v>
      </c>
      <c r="D1865" s="2">
        <v>0.16500000000000001</v>
      </c>
      <c r="E1865" s="2">
        <v>20</v>
      </c>
      <c r="F1865" s="2" t="s">
        <v>488</v>
      </c>
    </row>
    <row r="1866" spans="1:6" ht="25.5">
      <c r="A1866" s="2">
        <v>1863</v>
      </c>
      <c r="B1866" s="2" t="s">
        <v>1927</v>
      </c>
      <c r="C1866" s="2" t="str">
        <f>"15630854"</f>
        <v>15630854</v>
      </c>
      <c r="D1866" s="2">
        <v>0.217</v>
      </c>
      <c r="E1866" s="2">
        <v>4</v>
      </c>
      <c r="F1866" s="2" t="s">
        <v>299</v>
      </c>
    </row>
    <row r="1867" spans="1:6" ht="25.5">
      <c r="A1867" s="2">
        <v>1864</v>
      </c>
      <c r="B1867" s="2" t="s">
        <v>1928</v>
      </c>
      <c r="C1867" s="2" t="str">
        <f>"19921470"</f>
        <v>19921470</v>
      </c>
      <c r="D1867" s="2">
        <v>0.47199999999999998</v>
      </c>
      <c r="E1867" s="2">
        <v>6</v>
      </c>
      <c r="F1867" s="2" t="s">
        <v>43</v>
      </c>
    </row>
    <row r="1868" spans="1:6" ht="25.5">
      <c r="A1868" s="2">
        <v>1865</v>
      </c>
      <c r="B1868" s="2" t="s">
        <v>1929</v>
      </c>
      <c r="C1868" s="2" t="str">
        <f>"01292986"</f>
        <v>01292986</v>
      </c>
      <c r="D1868" s="2">
        <v>0.27100000000000002</v>
      </c>
      <c r="E1868" s="2">
        <v>5</v>
      </c>
      <c r="F1868" s="2" t="s">
        <v>6</v>
      </c>
    </row>
    <row r="1869" spans="1:6" ht="25.5">
      <c r="A1869" s="2">
        <v>1866</v>
      </c>
      <c r="B1869" s="2" t="s">
        <v>1930</v>
      </c>
      <c r="C1869" s="2" t="str">
        <f>"19320205"</f>
        <v>19320205</v>
      </c>
      <c r="D1869" s="2">
        <v>0.10100000000000001</v>
      </c>
      <c r="E1869" s="2">
        <v>1</v>
      </c>
      <c r="F1869" s="2" t="s">
        <v>6</v>
      </c>
    </row>
    <row r="1870" spans="1:6" ht="25.5">
      <c r="A1870" s="2">
        <v>1867</v>
      </c>
      <c r="B1870" s="2" t="s">
        <v>1931</v>
      </c>
      <c r="C1870" s="2" t="str">
        <f>"15618625"</f>
        <v>15618625</v>
      </c>
      <c r="D1870" s="2">
        <v>0.84499999999999997</v>
      </c>
      <c r="E1870" s="2">
        <v>23</v>
      </c>
      <c r="F1870" s="2" t="s">
        <v>165</v>
      </c>
    </row>
    <row r="1871" spans="1:6" ht="25.5">
      <c r="A1871" s="2">
        <v>1868</v>
      </c>
      <c r="B1871" s="2" t="s">
        <v>1932</v>
      </c>
      <c r="C1871" s="2" t="str">
        <f>"1871014X"</f>
        <v>1871014X</v>
      </c>
      <c r="D1871" s="2">
        <v>0.19600000000000001</v>
      </c>
      <c r="E1871" s="2">
        <v>5</v>
      </c>
      <c r="F1871" s="2" t="s">
        <v>75</v>
      </c>
    </row>
    <row r="1872" spans="1:6" ht="25.5">
      <c r="A1872" s="2">
        <v>1869</v>
      </c>
      <c r="B1872" s="2" t="s">
        <v>1933</v>
      </c>
      <c r="C1872" s="2" t="str">
        <f>"19947879"</f>
        <v>19947879</v>
      </c>
      <c r="D1872" s="2">
        <v>0.56799999999999995</v>
      </c>
      <c r="E1872" s="2">
        <v>6</v>
      </c>
      <c r="F1872" s="2" t="s">
        <v>43</v>
      </c>
    </row>
    <row r="1873" spans="1:6" ht="25.5">
      <c r="A1873" s="2">
        <v>1870</v>
      </c>
      <c r="B1873" s="2" t="s">
        <v>1934</v>
      </c>
      <c r="C1873" s="2" t="str">
        <f>"18191886"</f>
        <v>18191886</v>
      </c>
      <c r="D1873" s="2">
        <v>0.20899999999999999</v>
      </c>
      <c r="E1873" s="2">
        <v>4</v>
      </c>
      <c r="F1873" s="2" t="s">
        <v>6</v>
      </c>
    </row>
    <row r="1874" spans="1:6" ht="25.5">
      <c r="A1874" s="2">
        <v>1871</v>
      </c>
      <c r="B1874" s="2" t="s">
        <v>1935</v>
      </c>
      <c r="C1874" s="2" t="str">
        <f>"17585910"</f>
        <v>17585910</v>
      </c>
      <c r="D1874" s="2">
        <v>0.115</v>
      </c>
      <c r="E1874" s="2">
        <v>1</v>
      </c>
      <c r="F1874" s="2" t="s">
        <v>131</v>
      </c>
    </row>
    <row r="1875" spans="1:6" ht="25.5">
      <c r="A1875" s="2">
        <v>1872</v>
      </c>
      <c r="B1875" s="2" t="s">
        <v>1936</v>
      </c>
      <c r="C1875" s="2" t="str">
        <f>"19921462"</f>
        <v>19921462</v>
      </c>
      <c r="D1875" s="2">
        <v>0.20799999999999999</v>
      </c>
      <c r="E1875" s="2">
        <v>4</v>
      </c>
      <c r="F1875" s="2" t="s">
        <v>43</v>
      </c>
    </row>
    <row r="1876" spans="1:6" ht="25.5">
      <c r="A1876" s="2">
        <v>1873</v>
      </c>
      <c r="B1876" s="2" t="s">
        <v>1937</v>
      </c>
      <c r="C1876" s="2" t="str">
        <f>"19935994"</f>
        <v>19935994</v>
      </c>
      <c r="D1876" s="2">
        <v>0.13900000000000001</v>
      </c>
      <c r="E1876" s="2">
        <v>3</v>
      </c>
      <c r="F1876" s="2" t="s">
        <v>43</v>
      </c>
    </row>
    <row r="1877" spans="1:6" ht="25.5">
      <c r="A1877" s="2">
        <v>1874</v>
      </c>
      <c r="B1877" s="2" t="s">
        <v>1938</v>
      </c>
      <c r="C1877" s="2" t="str">
        <f>"09728201"</f>
        <v>09728201</v>
      </c>
      <c r="D1877" s="2">
        <v>0.104</v>
      </c>
      <c r="E1877" s="2">
        <v>1</v>
      </c>
      <c r="F1877" s="2" t="s">
        <v>488</v>
      </c>
    </row>
    <row r="1878" spans="1:6" ht="25.5">
      <c r="A1878" s="2">
        <v>1875</v>
      </c>
      <c r="B1878" s="2" t="s">
        <v>1939</v>
      </c>
      <c r="C1878" s="2" t="str">
        <f>"10936106"</f>
        <v>10936106</v>
      </c>
      <c r="D1878" s="2">
        <v>0.55700000000000005</v>
      </c>
      <c r="E1878" s="2">
        <v>6</v>
      </c>
      <c r="F1878" s="2" t="s">
        <v>6</v>
      </c>
    </row>
    <row r="1879" spans="1:6" ht="25.5">
      <c r="A1879" s="2">
        <v>1876</v>
      </c>
      <c r="B1879" s="2" t="s">
        <v>1940</v>
      </c>
      <c r="C1879" s="2" t="str">
        <f>"09723005"</f>
        <v>09723005</v>
      </c>
      <c r="D1879" s="2">
        <v>0.13400000000000001</v>
      </c>
      <c r="E1879" s="2">
        <v>10</v>
      </c>
      <c r="F1879" s="2" t="s">
        <v>6</v>
      </c>
    </row>
    <row r="1880" spans="1:6" ht="25.5">
      <c r="A1880" s="2">
        <v>1877</v>
      </c>
      <c r="B1880" s="2" t="s">
        <v>1941</v>
      </c>
      <c r="C1880" s="2" t="str">
        <f>"15602133"</f>
        <v>15602133</v>
      </c>
      <c r="D1880" s="2">
        <v>0.111</v>
      </c>
      <c r="E1880" s="2">
        <v>3</v>
      </c>
      <c r="F1880" s="2" t="s">
        <v>46</v>
      </c>
    </row>
    <row r="1881" spans="1:6" ht="25.5">
      <c r="A1881" s="2">
        <v>1878</v>
      </c>
      <c r="B1881" s="2" t="s">
        <v>1942</v>
      </c>
      <c r="C1881" s="2" t="str">
        <f>"09742441"</f>
        <v>09742441</v>
      </c>
      <c r="D1881" s="2">
        <v>0.222</v>
      </c>
      <c r="E1881" s="2">
        <v>7</v>
      </c>
      <c r="F1881" s="2" t="s">
        <v>488</v>
      </c>
    </row>
    <row r="1882" spans="1:6" ht="25.5">
      <c r="A1882" s="2">
        <v>1879</v>
      </c>
      <c r="B1882" s="2" t="s">
        <v>1943</v>
      </c>
      <c r="C1882" s="2" t="str">
        <f>"22501460"</f>
        <v>22501460</v>
      </c>
      <c r="D1882" s="2">
        <v>0.187</v>
      </c>
      <c r="E1882" s="2">
        <v>4</v>
      </c>
      <c r="F1882" s="2" t="s">
        <v>488</v>
      </c>
    </row>
    <row r="1883" spans="1:6" ht="25.5">
      <c r="A1883" s="2">
        <v>1880</v>
      </c>
      <c r="B1883" s="2" t="s">
        <v>1944</v>
      </c>
      <c r="C1883" s="2" t="str">
        <f>"18180876"</f>
        <v>18180876</v>
      </c>
      <c r="D1883" s="2">
        <v>0.249</v>
      </c>
      <c r="E1883" s="2">
        <v>4</v>
      </c>
      <c r="F1883" s="2" t="s">
        <v>46</v>
      </c>
    </row>
    <row r="1884" spans="1:6" ht="25.5">
      <c r="A1884" s="2">
        <v>1881</v>
      </c>
      <c r="B1884" s="2" t="s">
        <v>1945</v>
      </c>
      <c r="C1884" s="2" t="str">
        <f>"1998409X"</f>
        <v>1998409X</v>
      </c>
      <c r="D1884" s="2">
        <v>0.27</v>
      </c>
      <c r="E1884" s="2">
        <v>7</v>
      </c>
      <c r="F1884" s="2" t="s">
        <v>488</v>
      </c>
    </row>
    <row r="1885" spans="1:6" ht="25.5">
      <c r="A1885" s="2">
        <v>1882</v>
      </c>
      <c r="B1885" s="2" t="s">
        <v>1946</v>
      </c>
      <c r="C1885" s="2" t="str">
        <f>"18191541"</f>
        <v>18191541</v>
      </c>
      <c r="D1885" s="2">
        <v>0.13400000000000001</v>
      </c>
      <c r="E1885" s="2">
        <v>3</v>
      </c>
      <c r="F1885" s="2" t="s">
        <v>6</v>
      </c>
    </row>
    <row r="1886" spans="1:6" ht="25.5">
      <c r="A1886" s="2">
        <v>1883</v>
      </c>
      <c r="B1886" s="2" t="s">
        <v>1947</v>
      </c>
      <c r="C1886" s="2" t="str">
        <f>"18125697"</f>
        <v>18125697</v>
      </c>
      <c r="D1886" s="2">
        <v>0.34599999999999997</v>
      </c>
      <c r="E1886" s="2">
        <v>11</v>
      </c>
      <c r="F1886" s="2" t="s">
        <v>43</v>
      </c>
    </row>
    <row r="1887" spans="1:6" ht="25.5">
      <c r="A1887" s="2">
        <v>1884</v>
      </c>
      <c r="B1887" s="2" t="s">
        <v>1948</v>
      </c>
      <c r="C1887" s="2" t="str">
        <f>"02185377"</f>
        <v>02185377</v>
      </c>
      <c r="D1887" s="2">
        <v>0.16900000000000001</v>
      </c>
      <c r="E1887" s="2">
        <v>3</v>
      </c>
      <c r="F1887" s="2" t="s">
        <v>6</v>
      </c>
    </row>
    <row r="1888" spans="1:6" ht="25.5">
      <c r="A1888" s="2">
        <v>1885</v>
      </c>
      <c r="B1888" s="2" t="s">
        <v>1949</v>
      </c>
      <c r="C1888" s="2" t="str">
        <f>"18193609"</f>
        <v>18193609</v>
      </c>
      <c r="D1888" s="2">
        <v>0.33600000000000002</v>
      </c>
      <c r="E1888" s="2">
        <v>4</v>
      </c>
      <c r="F1888" s="2" t="s">
        <v>6</v>
      </c>
    </row>
    <row r="1889" spans="1:6" ht="25.5">
      <c r="A1889" s="2">
        <v>1886</v>
      </c>
      <c r="B1889" s="2" t="s">
        <v>1950</v>
      </c>
      <c r="C1889" s="2" t="str">
        <f>"18762018"</f>
        <v>18762018</v>
      </c>
      <c r="D1889" s="2">
        <v>0.15</v>
      </c>
      <c r="E1889" s="2">
        <v>5</v>
      </c>
      <c r="F1889" s="2" t="s">
        <v>75</v>
      </c>
    </row>
    <row r="1890" spans="1:6" ht="25.5">
      <c r="A1890" s="2">
        <v>1887</v>
      </c>
      <c r="B1890" s="2" t="s">
        <v>1951</v>
      </c>
      <c r="C1890" s="2" t="str">
        <f>"19921454"</f>
        <v>19921454</v>
      </c>
      <c r="D1890" s="2">
        <v>0.30599999999999999</v>
      </c>
      <c r="E1890" s="2">
        <v>4</v>
      </c>
      <c r="F1890" s="2" t="s">
        <v>43</v>
      </c>
    </row>
    <row r="1891" spans="1:6" ht="25.5">
      <c r="A1891" s="2">
        <v>1888</v>
      </c>
      <c r="B1891" s="2" t="s">
        <v>1952</v>
      </c>
      <c r="C1891" s="2" t="str">
        <f>"1467839X"</f>
        <v>1467839X</v>
      </c>
      <c r="D1891" s="2">
        <v>0.53</v>
      </c>
      <c r="E1891" s="2">
        <v>27</v>
      </c>
      <c r="F1891" s="2" t="s">
        <v>16</v>
      </c>
    </row>
    <row r="1892" spans="1:6" ht="25.5">
      <c r="A1892" s="2">
        <v>1889</v>
      </c>
      <c r="B1892" s="2" t="s">
        <v>1953</v>
      </c>
      <c r="C1892" s="2" t="str">
        <f>"15685314"</f>
        <v>15685314</v>
      </c>
      <c r="D1892" s="2">
        <v>0.126</v>
      </c>
      <c r="E1892" s="2">
        <v>7</v>
      </c>
      <c r="F1892" s="2" t="s">
        <v>75</v>
      </c>
    </row>
    <row r="1893" spans="1:6" ht="25.5">
      <c r="A1893" s="2">
        <v>1890</v>
      </c>
      <c r="B1893" s="2" t="s">
        <v>1954</v>
      </c>
      <c r="C1893" s="2" t="str">
        <f>"09719237"</f>
        <v>09719237</v>
      </c>
      <c r="D1893" s="2">
        <v>0.10100000000000001</v>
      </c>
      <c r="E1893" s="2">
        <v>4</v>
      </c>
      <c r="F1893" s="2" t="s">
        <v>488</v>
      </c>
    </row>
    <row r="1894" spans="1:6" ht="25.5">
      <c r="A1894" s="2">
        <v>1891</v>
      </c>
      <c r="B1894" s="2" t="s">
        <v>1955</v>
      </c>
      <c r="C1894" s="2" t="str">
        <f>"20087209"</f>
        <v>20087209</v>
      </c>
      <c r="D1894" s="2">
        <v>0.23499999999999999</v>
      </c>
      <c r="E1894" s="2">
        <v>3</v>
      </c>
      <c r="F1894" s="2" t="s">
        <v>299</v>
      </c>
    </row>
    <row r="1895" spans="1:6" ht="25.5">
      <c r="A1895" s="2">
        <v>1892</v>
      </c>
      <c r="B1895" s="2" t="s">
        <v>1956</v>
      </c>
      <c r="C1895" s="2" t="str">
        <f>"10159584"</f>
        <v>10159584</v>
      </c>
      <c r="D1895" s="2">
        <v>0.26100000000000001</v>
      </c>
      <c r="E1895" s="2">
        <v>20</v>
      </c>
      <c r="F1895" s="2" t="s">
        <v>165</v>
      </c>
    </row>
    <row r="1896" spans="1:6" ht="25.5">
      <c r="A1896" s="2">
        <v>1893</v>
      </c>
      <c r="B1896" s="2" t="s">
        <v>1957</v>
      </c>
      <c r="C1896" s="2" t="str">
        <f>"21586721"</f>
        <v>21586721</v>
      </c>
      <c r="D1896" s="2">
        <v>0.17599999999999999</v>
      </c>
      <c r="E1896" s="2">
        <v>2</v>
      </c>
      <c r="F1896" s="2" t="s">
        <v>6</v>
      </c>
    </row>
    <row r="1897" spans="1:6" ht="25.5">
      <c r="A1897" s="2">
        <v>1894</v>
      </c>
      <c r="B1897" s="2" t="s">
        <v>1958</v>
      </c>
      <c r="C1897" s="2" t="str">
        <f>"09729860"</f>
        <v>09729860</v>
      </c>
      <c r="D1897" s="2">
        <v>0</v>
      </c>
      <c r="E1897" s="2">
        <v>1</v>
      </c>
      <c r="F1897" s="2" t="s">
        <v>75</v>
      </c>
    </row>
    <row r="1898" spans="1:6" ht="25.5">
      <c r="A1898" s="2">
        <v>1895</v>
      </c>
      <c r="B1898" s="2" t="s">
        <v>1959</v>
      </c>
      <c r="C1898" s="2" t="str">
        <f>"12259276"</f>
        <v>12259276</v>
      </c>
      <c r="D1898" s="2">
        <v>0.107</v>
      </c>
      <c r="E1898" s="2">
        <v>6</v>
      </c>
      <c r="F1898" s="2" t="s">
        <v>274</v>
      </c>
    </row>
    <row r="1899" spans="1:6" ht="25.5">
      <c r="A1899" s="2">
        <v>1896</v>
      </c>
      <c r="B1899" s="2" t="s">
        <v>1960</v>
      </c>
      <c r="C1899" s="2" t="str">
        <f>"18195164"</f>
        <v>18195164</v>
      </c>
      <c r="D1899" s="2">
        <v>0.17599999999999999</v>
      </c>
      <c r="E1899" s="2">
        <v>2</v>
      </c>
      <c r="F1899" s="2" t="s">
        <v>165</v>
      </c>
    </row>
    <row r="1900" spans="1:6" ht="25.5">
      <c r="A1900" s="2">
        <v>1897</v>
      </c>
      <c r="B1900" s="2" t="s">
        <v>1961</v>
      </c>
      <c r="C1900" s="2" t="str">
        <f>"15734218"</f>
        <v>15734218</v>
      </c>
      <c r="D1900" s="2">
        <v>0.11</v>
      </c>
      <c r="E1900" s="2">
        <v>2</v>
      </c>
      <c r="F1900" s="2" t="s">
        <v>75</v>
      </c>
    </row>
    <row r="1901" spans="1:6" ht="25.5">
      <c r="A1901" s="2">
        <v>1898</v>
      </c>
      <c r="B1901" s="2" t="s">
        <v>1962</v>
      </c>
      <c r="C1901" s="2" t="str">
        <f>"19851944"</f>
        <v>19851944</v>
      </c>
      <c r="D1901" s="2">
        <v>0.22900000000000001</v>
      </c>
      <c r="E1901" s="2">
        <v>5</v>
      </c>
      <c r="F1901" s="2" t="s">
        <v>37</v>
      </c>
    </row>
    <row r="1902" spans="1:6" ht="25.5">
      <c r="A1902" s="2">
        <v>1899</v>
      </c>
      <c r="B1902" s="2" t="s">
        <v>1963</v>
      </c>
      <c r="C1902" s="2" t="str">
        <f>"19761317"</f>
        <v>19761317</v>
      </c>
      <c r="D1902" s="2">
        <v>0.19700000000000001</v>
      </c>
      <c r="E1902" s="2">
        <v>4</v>
      </c>
      <c r="F1902" s="2" t="s">
        <v>274</v>
      </c>
    </row>
    <row r="1903" spans="1:6" ht="25.5">
      <c r="A1903" s="2">
        <v>1900</v>
      </c>
      <c r="B1903" s="2" t="s">
        <v>1964</v>
      </c>
      <c r="C1903" s="2" t="str">
        <f>"14678411"</f>
        <v>14678411</v>
      </c>
      <c r="D1903" s="2">
        <v>0.24199999999999999</v>
      </c>
      <c r="E1903" s="2">
        <v>10</v>
      </c>
      <c r="F1903" s="2" t="s">
        <v>16</v>
      </c>
    </row>
    <row r="1904" spans="1:6" ht="25.5">
      <c r="A1904" s="2">
        <v>1901</v>
      </c>
      <c r="B1904" s="2" t="s">
        <v>1965</v>
      </c>
      <c r="C1904" s="2" t="str">
        <f>"0125877X"</f>
        <v>0125877X</v>
      </c>
      <c r="D1904" s="2">
        <v>0.25700000000000001</v>
      </c>
      <c r="E1904" s="2">
        <v>17</v>
      </c>
      <c r="F1904" s="2" t="s">
        <v>1966</v>
      </c>
    </row>
    <row r="1905" spans="1:6" ht="25.5">
      <c r="A1905" s="2">
        <v>1902</v>
      </c>
      <c r="B1905" s="2" t="s">
        <v>1967</v>
      </c>
      <c r="C1905" s="2" t="str">
        <f>"15137368"</f>
        <v>15137368</v>
      </c>
      <c r="D1905" s="2">
        <v>0.311</v>
      </c>
      <c r="E1905" s="2">
        <v>30</v>
      </c>
      <c r="F1905" s="2" t="s">
        <v>1966</v>
      </c>
    </row>
    <row r="1906" spans="1:6" ht="25.5">
      <c r="A1906" s="2">
        <v>1903</v>
      </c>
      <c r="B1906" s="2" t="s">
        <v>1968</v>
      </c>
      <c r="C1906" s="2" t="str">
        <f>"22211691"</f>
        <v>22211691</v>
      </c>
      <c r="D1906" s="2">
        <v>0.49</v>
      </c>
      <c r="E1906" s="2">
        <v>16</v>
      </c>
      <c r="F1906" s="2" t="s">
        <v>75</v>
      </c>
    </row>
    <row r="1907" spans="1:6" ht="25.5">
      <c r="A1907" s="2">
        <v>1904</v>
      </c>
      <c r="B1907" s="2" t="s">
        <v>1969</v>
      </c>
      <c r="C1907" s="2" t="str">
        <f>"22221808"</f>
        <v>22221808</v>
      </c>
      <c r="D1907" s="2">
        <v>0.36399999999999999</v>
      </c>
      <c r="E1907" s="2">
        <v>9</v>
      </c>
      <c r="F1907" s="2" t="s">
        <v>75</v>
      </c>
    </row>
    <row r="1908" spans="1:6" ht="25.5">
      <c r="A1908" s="2">
        <v>1905</v>
      </c>
      <c r="B1908" s="2" t="s">
        <v>1970</v>
      </c>
      <c r="C1908" s="2" t="str">
        <f>"19957645"</f>
        <v>19957645</v>
      </c>
      <c r="D1908" s="2">
        <v>0.24</v>
      </c>
      <c r="E1908" s="2">
        <v>15</v>
      </c>
      <c r="F1908" s="2" t="s">
        <v>543</v>
      </c>
    </row>
    <row r="1909" spans="1:6" ht="25.5">
      <c r="A1909" s="2">
        <v>1906</v>
      </c>
      <c r="B1909" s="2" t="s">
        <v>1971</v>
      </c>
      <c r="C1909" s="2" t="str">
        <f>"02589184"</f>
        <v>02589184</v>
      </c>
      <c r="D1909" s="2">
        <v>0.27300000000000002</v>
      </c>
      <c r="E1909" s="2">
        <v>8</v>
      </c>
      <c r="F1909" s="2" t="s">
        <v>6</v>
      </c>
    </row>
    <row r="1910" spans="1:6" ht="25.5">
      <c r="A1910" s="2">
        <v>1907</v>
      </c>
      <c r="B1910" s="2" t="s">
        <v>1972</v>
      </c>
      <c r="C1910" s="2" t="str">
        <f>"15358283"</f>
        <v>15358283</v>
      </c>
      <c r="D1910" s="2">
        <v>0.34899999999999998</v>
      </c>
      <c r="E1910" s="2">
        <v>16</v>
      </c>
      <c r="F1910" s="2" t="s">
        <v>6</v>
      </c>
    </row>
    <row r="1911" spans="1:6" ht="25.5">
      <c r="A1911" s="2">
        <v>1908</v>
      </c>
      <c r="B1911" s="2" t="s">
        <v>1973</v>
      </c>
      <c r="C1911" s="2" t="str">
        <f>"14692961"</f>
        <v>14692961</v>
      </c>
      <c r="D1911" s="2">
        <v>0.125</v>
      </c>
      <c r="E1911" s="2">
        <v>6</v>
      </c>
      <c r="F1911" s="2" t="s">
        <v>16</v>
      </c>
    </row>
    <row r="1912" spans="1:6" ht="25.5">
      <c r="A1912" s="2">
        <v>1909</v>
      </c>
      <c r="B1912" s="2" t="s">
        <v>1974</v>
      </c>
      <c r="C1912" s="2" t="str">
        <f>"19430787"</f>
        <v>19430787</v>
      </c>
      <c r="D1912" s="2">
        <v>0.14099999999999999</v>
      </c>
      <c r="E1912" s="2">
        <v>2</v>
      </c>
      <c r="F1912" s="2" t="s">
        <v>6</v>
      </c>
    </row>
    <row r="1913" spans="1:6" ht="25.5">
      <c r="A1913" s="2">
        <v>1910</v>
      </c>
      <c r="B1913" s="2" t="s">
        <v>1975</v>
      </c>
      <c r="C1913" s="2" t="str">
        <f>"17441749"</f>
        <v>17441749</v>
      </c>
      <c r="D1913" s="2">
        <v>0.53900000000000003</v>
      </c>
      <c r="E1913" s="2">
        <v>7</v>
      </c>
      <c r="F1913" s="2" t="s">
        <v>6</v>
      </c>
    </row>
    <row r="1914" spans="1:6" ht="25.5">
      <c r="A1914" s="2">
        <v>1911</v>
      </c>
      <c r="B1914" s="2" t="s">
        <v>1976</v>
      </c>
      <c r="C1914" s="2" t="str">
        <f>"13217348"</f>
        <v>13217348</v>
      </c>
      <c r="D1914" s="2">
        <v>0.11899999999999999</v>
      </c>
      <c r="E1914" s="2">
        <v>2</v>
      </c>
      <c r="F1914" s="2" t="s">
        <v>16</v>
      </c>
    </row>
    <row r="1915" spans="1:6" ht="25.5">
      <c r="A1915" s="2">
        <v>1912</v>
      </c>
      <c r="B1915" s="2" t="s">
        <v>1977</v>
      </c>
      <c r="C1915" s="2" t="str">
        <f>"14799855"</f>
        <v>14799855</v>
      </c>
      <c r="D1915" s="2">
        <v>0.79400000000000004</v>
      </c>
      <c r="E1915" s="2">
        <v>3</v>
      </c>
      <c r="F1915" s="2" t="s">
        <v>6</v>
      </c>
    </row>
    <row r="1916" spans="1:6" ht="25.5">
      <c r="A1916" s="2">
        <v>1913</v>
      </c>
      <c r="B1916" s="2" t="s">
        <v>1978</v>
      </c>
      <c r="C1916" s="2" t="str">
        <f>"19112025"</f>
        <v>19112025</v>
      </c>
      <c r="D1916" s="2">
        <v>0.13200000000000001</v>
      </c>
      <c r="E1916" s="2">
        <v>2</v>
      </c>
      <c r="F1916" s="2" t="s">
        <v>64</v>
      </c>
    </row>
    <row r="1917" spans="1:6" ht="25.5">
      <c r="A1917" s="2">
        <v>1914</v>
      </c>
      <c r="B1917" s="2" t="s">
        <v>1979</v>
      </c>
      <c r="C1917" s="2" t="str">
        <f>"17531403"</f>
        <v>17531403</v>
      </c>
      <c r="D1917" s="2">
        <v>0.182</v>
      </c>
      <c r="E1917" s="2">
        <v>4</v>
      </c>
      <c r="F1917" s="2" t="s">
        <v>16</v>
      </c>
    </row>
    <row r="1918" spans="1:6" ht="25.5">
      <c r="A1918" s="2">
        <v>1915</v>
      </c>
      <c r="B1918" s="2" t="s">
        <v>1980</v>
      </c>
      <c r="C1918" s="2" t="str">
        <f>"19767846"</f>
        <v>19767846</v>
      </c>
      <c r="D1918" s="2">
        <v>0.20100000000000001</v>
      </c>
      <c r="E1918" s="2">
        <v>2</v>
      </c>
      <c r="F1918" s="2" t="s">
        <v>274</v>
      </c>
    </row>
    <row r="1919" spans="1:6" ht="25.5">
      <c r="A1919" s="2">
        <v>1916</v>
      </c>
      <c r="B1919" s="2" t="s">
        <v>1981</v>
      </c>
      <c r="C1919" s="2" t="str">
        <f>"14678403"</f>
        <v>14678403</v>
      </c>
      <c r="D1919" s="2">
        <v>0.14799999999999999</v>
      </c>
      <c r="E1919" s="2">
        <v>3</v>
      </c>
      <c r="F1919" s="2" t="s">
        <v>6</v>
      </c>
    </row>
    <row r="1920" spans="1:6" ht="25.5">
      <c r="A1920" s="2">
        <v>1917</v>
      </c>
      <c r="B1920" s="2" t="s">
        <v>1982</v>
      </c>
      <c r="C1920" s="2" t="str">
        <f>"00044687"</f>
        <v>00044687</v>
      </c>
      <c r="D1920" s="2">
        <v>0.48099999999999998</v>
      </c>
      <c r="E1920" s="2">
        <v>19</v>
      </c>
      <c r="F1920" s="2" t="s">
        <v>6</v>
      </c>
    </row>
    <row r="1921" spans="1:6" ht="25.5">
      <c r="A1921" s="2">
        <v>1918</v>
      </c>
      <c r="B1921" s="2" t="s">
        <v>1983</v>
      </c>
      <c r="C1921" s="2" t="str">
        <f>"15272109"</f>
        <v>15272109</v>
      </c>
      <c r="D1921" s="2">
        <v>0.113</v>
      </c>
      <c r="E1921" s="2">
        <v>3</v>
      </c>
      <c r="F1921" s="2" t="s">
        <v>6</v>
      </c>
    </row>
    <row r="1922" spans="1:6" ht="25.5">
      <c r="A1922" s="2">
        <v>1919</v>
      </c>
      <c r="B1922" s="2" t="s">
        <v>1984</v>
      </c>
      <c r="C1922" s="2" t="str">
        <f>"13602381"</f>
        <v>13602381</v>
      </c>
      <c r="D1922" s="2">
        <v>0.27</v>
      </c>
      <c r="E1922" s="2">
        <v>13</v>
      </c>
      <c r="F1922" s="2" t="s">
        <v>6</v>
      </c>
    </row>
    <row r="1923" spans="1:6">
      <c r="A1923" s="2">
        <v>1920</v>
      </c>
      <c r="B1923" s="2" t="s">
        <v>1985</v>
      </c>
      <c r="C1923" s="2" t="str">
        <f>"0"</f>
        <v>0</v>
      </c>
      <c r="D1923" s="2">
        <v>0.18</v>
      </c>
      <c r="E1923" s="2">
        <v>5</v>
      </c>
      <c r="F1923" s="2" t="s">
        <v>488</v>
      </c>
    </row>
    <row r="1924" spans="1:6" ht="25.5">
      <c r="A1924" s="2">
        <v>1921</v>
      </c>
      <c r="B1924" s="2" t="s">
        <v>1986</v>
      </c>
      <c r="C1924" s="2" t="str">
        <f>"01195646"</f>
        <v>01195646</v>
      </c>
      <c r="D1924" s="2">
        <v>0.55400000000000005</v>
      </c>
      <c r="E1924" s="2">
        <v>8</v>
      </c>
      <c r="F1924" s="2" t="s">
        <v>304</v>
      </c>
    </row>
    <row r="1925" spans="1:6" ht="25.5">
      <c r="A1925" s="2">
        <v>1922</v>
      </c>
      <c r="B1925" s="2" t="s">
        <v>1987</v>
      </c>
      <c r="C1925" s="2" t="str">
        <f>"15981037"</f>
        <v>15981037</v>
      </c>
      <c r="D1925" s="2">
        <v>0.48299999999999998</v>
      </c>
      <c r="E1925" s="2">
        <v>7</v>
      </c>
      <c r="F1925" s="2" t="s">
        <v>75</v>
      </c>
    </row>
    <row r="1926" spans="1:6" ht="25.5">
      <c r="A1926" s="2">
        <v>1923</v>
      </c>
      <c r="B1926" s="2" t="s">
        <v>1988</v>
      </c>
      <c r="C1926" s="2" t="str">
        <f>"15736946"</f>
        <v>15736946</v>
      </c>
      <c r="D1926" s="2">
        <v>0.222</v>
      </c>
      <c r="E1926" s="2">
        <v>11</v>
      </c>
      <c r="F1926" s="2" t="s">
        <v>6</v>
      </c>
    </row>
    <row r="1927" spans="1:6" ht="25.5">
      <c r="A1927" s="2">
        <v>1924</v>
      </c>
      <c r="B1927" s="2" t="s">
        <v>1989</v>
      </c>
      <c r="C1927" s="2" t="str">
        <f>"16094913"</f>
        <v>16094913</v>
      </c>
      <c r="D1927" s="2">
        <v>0.26600000000000001</v>
      </c>
      <c r="E1927" s="2">
        <v>3</v>
      </c>
      <c r="F1927" s="2" t="s">
        <v>1990</v>
      </c>
    </row>
    <row r="1928" spans="1:6" ht="25.5">
      <c r="A1928" s="2">
        <v>1925</v>
      </c>
      <c r="B1928" s="2" t="s">
        <v>1991</v>
      </c>
      <c r="C1928" s="2" t="str">
        <f>"15220966"</f>
        <v>15220966</v>
      </c>
      <c r="D1928" s="2">
        <v>0.14199999999999999</v>
      </c>
      <c r="E1928" s="2">
        <v>4</v>
      </c>
      <c r="F1928" s="2" t="s">
        <v>6</v>
      </c>
    </row>
    <row r="1929" spans="1:6" ht="25.5">
      <c r="A1929" s="2">
        <v>1926</v>
      </c>
      <c r="B1929" s="2" t="s">
        <v>1992</v>
      </c>
      <c r="C1929" s="2" t="str">
        <f>"16081625"</f>
        <v>16081625</v>
      </c>
      <c r="D1929" s="2">
        <v>0.21099999999999999</v>
      </c>
      <c r="E1929" s="2">
        <v>2</v>
      </c>
      <c r="F1929" s="2" t="s">
        <v>46</v>
      </c>
    </row>
    <row r="1930" spans="1:6" ht="25.5">
      <c r="A1930" s="2">
        <v>1927</v>
      </c>
      <c r="B1930" s="2" t="s">
        <v>1993</v>
      </c>
      <c r="C1930" s="2" t="str">
        <f>"14442213"</f>
        <v>14442213</v>
      </c>
      <c r="D1930" s="2">
        <v>0.246</v>
      </c>
      <c r="E1930" s="2">
        <v>5</v>
      </c>
      <c r="F1930" s="2" t="s">
        <v>6</v>
      </c>
    </row>
    <row r="1931" spans="1:6" ht="25.5">
      <c r="A1931" s="2">
        <v>1928</v>
      </c>
      <c r="B1931" s="2" t="s">
        <v>1994</v>
      </c>
      <c r="C1931" s="2" t="str">
        <f>"19767951"</f>
        <v>19767951</v>
      </c>
      <c r="D1931" s="2">
        <v>0.53400000000000003</v>
      </c>
      <c r="E1931" s="2">
        <v>7</v>
      </c>
      <c r="F1931" s="2" t="s">
        <v>274</v>
      </c>
    </row>
    <row r="1932" spans="1:6" ht="25.5">
      <c r="A1932" s="2">
        <v>1929</v>
      </c>
      <c r="B1932" s="2" t="s">
        <v>1995</v>
      </c>
      <c r="C1932" s="2" t="str">
        <f>"17574331"</f>
        <v>17574331</v>
      </c>
      <c r="D1932" s="2">
        <v>0.16700000000000001</v>
      </c>
      <c r="E1932" s="2">
        <v>4</v>
      </c>
      <c r="F1932" s="2" t="s">
        <v>16</v>
      </c>
    </row>
    <row r="1933" spans="1:6" ht="25.5">
      <c r="A1933" s="2">
        <v>1930</v>
      </c>
      <c r="B1933" s="2" t="s">
        <v>1996</v>
      </c>
      <c r="C1933" s="2" t="str">
        <f>"19322135"</f>
        <v>19322135</v>
      </c>
      <c r="D1933" s="2">
        <v>0.38400000000000001</v>
      </c>
      <c r="E1933" s="2">
        <v>13</v>
      </c>
      <c r="F1933" s="2" t="s">
        <v>16</v>
      </c>
    </row>
    <row r="1934" spans="1:6" ht="25.5">
      <c r="A1934" s="2">
        <v>1931</v>
      </c>
      <c r="B1934" s="2" t="s">
        <v>1997</v>
      </c>
      <c r="C1934" s="2" t="str">
        <f>"14406047"</f>
        <v>14406047</v>
      </c>
      <c r="D1934" s="2">
        <v>0.41099999999999998</v>
      </c>
      <c r="E1934" s="2">
        <v>38</v>
      </c>
      <c r="F1934" s="2" t="s">
        <v>127</v>
      </c>
    </row>
    <row r="1935" spans="1:6" ht="25.5">
      <c r="A1935" s="2">
        <v>1932</v>
      </c>
      <c r="B1935" s="2" t="s">
        <v>1998</v>
      </c>
      <c r="C1935" s="2" t="str">
        <f>"17437563"</f>
        <v>17437563</v>
      </c>
      <c r="D1935" s="2">
        <v>0.35099999999999998</v>
      </c>
      <c r="E1935" s="2">
        <v>8</v>
      </c>
      <c r="F1935" s="2" t="s">
        <v>16</v>
      </c>
    </row>
    <row r="1936" spans="1:6" ht="25.5">
      <c r="A1936" s="2">
        <v>1933</v>
      </c>
      <c r="B1936" s="2" t="s">
        <v>1999</v>
      </c>
      <c r="C1936" s="2" t="str">
        <f>"02188791"</f>
        <v>02188791</v>
      </c>
      <c r="D1936" s="2">
        <v>0.318</v>
      </c>
      <c r="E1936" s="2">
        <v>4</v>
      </c>
      <c r="F1936" s="2" t="s">
        <v>16</v>
      </c>
    </row>
    <row r="1937" spans="1:6" ht="25.5">
      <c r="A1937" s="2">
        <v>1934</v>
      </c>
      <c r="B1937" s="2" t="s">
        <v>2000</v>
      </c>
      <c r="C1937" s="2" t="str">
        <f>"13852140"</f>
        <v>13852140</v>
      </c>
      <c r="D1937" s="2">
        <v>0.107</v>
      </c>
      <c r="E1937" s="2">
        <v>3</v>
      </c>
      <c r="F1937" s="2" t="s">
        <v>127</v>
      </c>
    </row>
    <row r="1938" spans="1:6" ht="25.5">
      <c r="A1938" s="2">
        <v>1935</v>
      </c>
      <c r="B1938" s="2" t="s">
        <v>2001</v>
      </c>
      <c r="C1938" s="2" t="str">
        <f>"20416156"</f>
        <v>20416156</v>
      </c>
      <c r="D1938" s="2">
        <v>0.25800000000000001</v>
      </c>
      <c r="E1938" s="2">
        <v>4</v>
      </c>
      <c r="F1938" s="2" t="s">
        <v>16</v>
      </c>
    </row>
    <row r="1939" spans="1:6" ht="25.5">
      <c r="A1939" s="2">
        <v>1936</v>
      </c>
      <c r="B1939" s="2" t="s">
        <v>2002</v>
      </c>
      <c r="C1939" s="2" t="str">
        <f>"17447941"</f>
        <v>17447941</v>
      </c>
      <c r="D1939" s="2">
        <v>0.29799999999999999</v>
      </c>
      <c r="E1939" s="2">
        <v>11</v>
      </c>
      <c r="F1939" s="2" t="s">
        <v>16</v>
      </c>
    </row>
    <row r="1940" spans="1:6" ht="25.5">
      <c r="A1940" s="2">
        <v>1937</v>
      </c>
      <c r="B1940" s="2" t="s">
        <v>2003</v>
      </c>
      <c r="C1940" s="2" t="str">
        <f>"02174561"</f>
        <v>02174561</v>
      </c>
      <c r="D1940" s="2">
        <v>1.2749999999999999</v>
      </c>
      <c r="E1940" s="2">
        <v>33</v>
      </c>
      <c r="F1940" s="2" t="s">
        <v>6</v>
      </c>
    </row>
    <row r="1941" spans="1:6" ht="25.5">
      <c r="A1941" s="2">
        <v>1938</v>
      </c>
      <c r="B1941" s="2" t="s">
        <v>2004</v>
      </c>
      <c r="C1941" s="2" t="str">
        <f>"01287451"</f>
        <v>01287451</v>
      </c>
      <c r="D1941" s="2">
        <v>0.17799999999999999</v>
      </c>
      <c r="E1941" s="2">
        <v>7</v>
      </c>
      <c r="F1941" s="2" t="s">
        <v>37</v>
      </c>
    </row>
    <row r="1942" spans="1:6" ht="25.5">
      <c r="A1942" s="2">
        <v>1939</v>
      </c>
      <c r="B1942" s="2" t="s">
        <v>2005</v>
      </c>
      <c r="C1942" s="2" t="str">
        <f>"02175959"</f>
        <v>02175959</v>
      </c>
      <c r="D1942" s="2">
        <v>0.48799999999999999</v>
      </c>
      <c r="E1942" s="2">
        <v>17</v>
      </c>
      <c r="F1942" s="2" t="s">
        <v>543</v>
      </c>
    </row>
    <row r="1943" spans="1:6" ht="25.5">
      <c r="A1943" s="2">
        <v>1940</v>
      </c>
      <c r="B1943" s="2" t="s">
        <v>2006</v>
      </c>
      <c r="C1943" s="2" t="str">
        <f>"10105395"</f>
        <v>10105395</v>
      </c>
      <c r="D1943" s="2">
        <v>0.49</v>
      </c>
      <c r="E1943" s="2">
        <v>14</v>
      </c>
      <c r="F1943" s="2" t="s">
        <v>6</v>
      </c>
    </row>
    <row r="1944" spans="1:6" ht="25.5">
      <c r="A1944" s="2">
        <v>1941</v>
      </c>
      <c r="B1944" s="2" t="s">
        <v>2007</v>
      </c>
      <c r="C1944" s="2" t="str">
        <f>"02185385"</f>
        <v>02185385</v>
      </c>
      <c r="D1944" s="2">
        <v>0.113</v>
      </c>
      <c r="E1944" s="2">
        <v>4</v>
      </c>
      <c r="F1944" s="2" t="s">
        <v>543</v>
      </c>
    </row>
    <row r="1945" spans="1:6" ht="25.5">
      <c r="A1945" s="2">
        <v>1942</v>
      </c>
      <c r="B1945" s="2" t="s">
        <v>2008</v>
      </c>
      <c r="C1945" s="2" t="str">
        <f>"14692945"</f>
        <v>14692945</v>
      </c>
      <c r="D1945" s="2">
        <v>0.58699999999999997</v>
      </c>
      <c r="E1945" s="2">
        <v>11</v>
      </c>
      <c r="F1945" s="2" t="s">
        <v>6</v>
      </c>
    </row>
    <row r="1946" spans="1:6" ht="25.5">
      <c r="A1946" s="2">
        <v>1943</v>
      </c>
      <c r="B1946" s="2" t="s">
        <v>2009</v>
      </c>
      <c r="C1946" s="2" t="str">
        <f>"17416507"</f>
        <v>17416507</v>
      </c>
      <c r="D1946" s="2">
        <v>0.28999999999999998</v>
      </c>
      <c r="E1946" s="2">
        <v>10</v>
      </c>
      <c r="F1946" s="2" t="s">
        <v>16</v>
      </c>
    </row>
    <row r="1947" spans="1:6" ht="25.5">
      <c r="A1947" s="2">
        <v>1944</v>
      </c>
      <c r="B1947" s="2" t="s">
        <v>2010</v>
      </c>
      <c r="C1947" s="2" t="str">
        <f>"15718158"</f>
        <v>15718158</v>
      </c>
      <c r="D1947" s="2">
        <v>0.10100000000000001</v>
      </c>
      <c r="E1947" s="2">
        <v>3</v>
      </c>
      <c r="F1947" s="2" t="s">
        <v>75</v>
      </c>
    </row>
    <row r="1948" spans="1:6" ht="25.5">
      <c r="A1948" s="2">
        <v>1945</v>
      </c>
      <c r="B1948" s="2" t="s">
        <v>2011</v>
      </c>
      <c r="C1948" s="2" t="str">
        <f>"10192557"</f>
        <v>10192557</v>
      </c>
      <c r="D1948" s="2">
        <v>0.105</v>
      </c>
      <c r="E1948" s="2">
        <v>1</v>
      </c>
      <c r="F1948" s="2" t="s">
        <v>46</v>
      </c>
    </row>
    <row r="1949" spans="1:6" ht="25.5">
      <c r="A1949" s="2">
        <v>1946</v>
      </c>
      <c r="B1949" s="2" t="s">
        <v>2012</v>
      </c>
      <c r="C1949" s="2" t="str">
        <f>"10293132"</f>
        <v>10293132</v>
      </c>
      <c r="D1949" s="2">
        <v>0.159</v>
      </c>
      <c r="E1949" s="2">
        <v>2</v>
      </c>
      <c r="F1949" s="2" t="s">
        <v>165</v>
      </c>
    </row>
    <row r="1950" spans="1:6" ht="25.5">
      <c r="A1950" s="2">
        <v>1947</v>
      </c>
      <c r="B1950" s="2" t="s">
        <v>2013</v>
      </c>
      <c r="C1950" s="2" t="str">
        <f>"15644278"</f>
        <v>15644278</v>
      </c>
      <c r="D1950" s="2">
        <v>0.17599999999999999</v>
      </c>
      <c r="E1950" s="2">
        <v>13</v>
      </c>
      <c r="F1950" s="2" t="s">
        <v>1966</v>
      </c>
    </row>
    <row r="1951" spans="1:6" ht="25.5">
      <c r="A1951" s="2">
        <v>1948</v>
      </c>
      <c r="B1951" s="2" t="s">
        <v>2014</v>
      </c>
      <c r="C1951" s="2" t="str">
        <f>"17585872"</f>
        <v>17585872</v>
      </c>
      <c r="D1951" s="2">
        <v>0.16</v>
      </c>
      <c r="E1951" s="2">
        <v>3</v>
      </c>
      <c r="F1951" s="2" t="s">
        <v>6</v>
      </c>
    </row>
    <row r="1952" spans="1:6" ht="25.5">
      <c r="A1952" s="2">
        <v>1949</v>
      </c>
      <c r="B1952" s="2" t="s">
        <v>2015</v>
      </c>
      <c r="C1952" s="2" t="str">
        <f>"13439006"</f>
        <v>13439006</v>
      </c>
      <c r="D1952" s="2">
        <v>0.19900000000000001</v>
      </c>
      <c r="E1952" s="2">
        <v>2</v>
      </c>
      <c r="F1952" s="2" t="s">
        <v>6</v>
      </c>
    </row>
    <row r="1953" spans="1:6" ht="25.5">
      <c r="A1953" s="2">
        <v>1950</v>
      </c>
      <c r="B1953" s="2" t="s">
        <v>2016</v>
      </c>
      <c r="C1953" s="2" t="str">
        <f>"01198386"</f>
        <v>01198386</v>
      </c>
      <c r="D1953" s="2">
        <v>0.13400000000000001</v>
      </c>
      <c r="E1953" s="2">
        <v>2</v>
      </c>
      <c r="F1953" s="2" t="s">
        <v>304</v>
      </c>
    </row>
    <row r="1954" spans="1:6" ht="25.5">
      <c r="A1954" s="2">
        <v>1951</v>
      </c>
      <c r="B1954" s="2" t="s">
        <v>2017</v>
      </c>
      <c r="C1954" s="2" t="str">
        <f>"14678373"</f>
        <v>14678373</v>
      </c>
      <c r="D1954" s="2">
        <v>0.54400000000000004</v>
      </c>
      <c r="E1954" s="2">
        <v>17</v>
      </c>
      <c r="F1954" s="2" t="s">
        <v>16</v>
      </c>
    </row>
    <row r="1955" spans="1:6" ht="25.5">
      <c r="A1955" s="2">
        <v>1952</v>
      </c>
      <c r="B1955" s="2" t="s">
        <v>2018</v>
      </c>
      <c r="C1955" s="2" t="str">
        <f>"19853106"</f>
        <v>19853106</v>
      </c>
      <c r="D1955" s="2">
        <v>0</v>
      </c>
      <c r="E1955" s="2">
        <v>0</v>
      </c>
      <c r="F1955" s="2" t="s">
        <v>37</v>
      </c>
    </row>
    <row r="1956" spans="1:6" ht="25.5">
      <c r="A1956" s="2">
        <v>1953</v>
      </c>
      <c r="B1956" s="2" t="s">
        <v>2019</v>
      </c>
      <c r="C1956" s="2" t="str">
        <f>"0001253X"</f>
        <v>0001253X</v>
      </c>
      <c r="D1956" s="2">
        <v>0.64</v>
      </c>
      <c r="E1956" s="2">
        <v>22</v>
      </c>
      <c r="F1956" s="2" t="s">
        <v>16</v>
      </c>
    </row>
    <row r="1957" spans="1:6" ht="25.5">
      <c r="A1957" s="2">
        <v>1954</v>
      </c>
      <c r="B1957" s="2" t="s">
        <v>2020</v>
      </c>
      <c r="C1957" s="2" t="str">
        <f>"18236782"</f>
        <v>18236782</v>
      </c>
      <c r="D1957" s="2">
        <v>0.112</v>
      </c>
      <c r="E1957" s="2">
        <v>1</v>
      </c>
      <c r="F1957" s="2" t="s">
        <v>37</v>
      </c>
    </row>
    <row r="1958" spans="1:6" ht="25.5">
      <c r="A1958" s="2">
        <v>1955</v>
      </c>
      <c r="B1958" s="2" t="s">
        <v>2021</v>
      </c>
      <c r="C1958" s="2" t="str">
        <f>"17590914"</f>
        <v>17590914</v>
      </c>
      <c r="D1958" s="2">
        <v>1.022</v>
      </c>
      <c r="E1958" s="2">
        <v>11</v>
      </c>
      <c r="F1958" s="2" t="s">
        <v>16</v>
      </c>
    </row>
    <row r="1959" spans="1:6" ht="25.5">
      <c r="A1959" s="2">
        <v>1956</v>
      </c>
      <c r="B1959" s="2" t="s">
        <v>2022</v>
      </c>
      <c r="C1959" s="2" t="str">
        <f>"19332890"</f>
        <v>19332890</v>
      </c>
      <c r="D1959" s="2">
        <v>0.10100000000000001</v>
      </c>
      <c r="E1959" s="2">
        <v>0</v>
      </c>
      <c r="F1959" s="2" t="s">
        <v>16</v>
      </c>
    </row>
    <row r="1960" spans="1:6" ht="25.5">
      <c r="A1960" s="2">
        <v>1957</v>
      </c>
      <c r="B1960" s="2" t="s">
        <v>2023</v>
      </c>
      <c r="C1960" s="2" t="str">
        <f>"02702932"</f>
        <v>02702932</v>
      </c>
      <c r="D1960" s="2">
        <v>0.36899999999999999</v>
      </c>
      <c r="E1960" s="2">
        <v>27</v>
      </c>
      <c r="F1960" s="2" t="s">
        <v>6</v>
      </c>
    </row>
    <row r="1961" spans="1:6" ht="25.5">
      <c r="A1961" s="2">
        <v>1958</v>
      </c>
      <c r="B1961" s="2" t="s">
        <v>2024</v>
      </c>
      <c r="C1961" s="2" t="str">
        <f>"1540658X"</f>
        <v>1540658X</v>
      </c>
      <c r="D1961" s="2">
        <v>0.7</v>
      </c>
      <c r="E1961" s="2">
        <v>35</v>
      </c>
      <c r="F1961" s="2" t="s">
        <v>6</v>
      </c>
    </row>
    <row r="1962" spans="1:6" ht="25.5">
      <c r="A1962" s="2">
        <v>1959</v>
      </c>
      <c r="B1962" s="2" t="s">
        <v>2025</v>
      </c>
      <c r="C1962" s="2" t="str">
        <f>"01445154"</f>
        <v>01445154</v>
      </c>
      <c r="D1962" s="2">
        <v>0.30099999999999999</v>
      </c>
      <c r="E1962" s="2">
        <v>18</v>
      </c>
      <c r="F1962" s="2" t="s">
        <v>16</v>
      </c>
    </row>
    <row r="1963" spans="1:6" ht="25.5">
      <c r="A1963" s="2">
        <v>1960</v>
      </c>
      <c r="B1963" s="2" t="s">
        <v>2026</v>
      </c>
      <c r="C1963" s="2" t="str">
        <f>"10752935"</f>
        <v>10752935</v>
      </c>
      <c r="D1963" s="2">
        <v>0.46600000000000003</v>
      </c>
      <c r="E1963" s="2">
        <v>12</v>
      </c>
      <c r="F1963" s="2" t="s">
        <v>16</v>
      </c>
    </row>
    <row r="1964" spans="1:6" ht="25.5">
      <c r="A1964" s="2">
        <v>1961</v>
      </c>
      <c r="B1964" s="2" t="s">
        <v>2027</v>
      </c>
      <c r="C1964" s="2" t="str">
        <f>"10731911"</f>
        <v>10731911</v>
      </c>
      <c r="D1964" s="2">
        <v>1.075</v>
      </c>
      <c r="E1964" s="2">
        <v>43</v>
      </c>
      <c r="F1964" s="2" t="s">
        <v>6</v>
      </c>
    </row>
    <row r="1965" spans="1:6" ht="25.5">
      <c r="A1965" s="2">
        <v>1962</v>
      </c>
      <c r="B1965" s="2" t="s">
        <v>2028</v>
      </c>
      <c r="C1965" s="2" t="str">
        <f>"1469297X"</f>
        <v>1469297X</v>
      </c>
      <c r="D1965" s="2">
        <v>1.173</v>
      </c>
      <c r="E1965" s="2">
        <v>37</v>
      </c>
      <c r="F1965" s="2" t="s">
        <v>6</v>
      </c>
    </row>
    <row r="1966" spans="1:6" ht="25.5">
      <c r="A1966" s="2">
        <v>1963</v>
      </c>
      <c r="B1966" s="2" t="s">
        <v>2029</v>
      </c>
      <c r="C1966" s="2" t="str">
        <f>"15345084"</f>
        <v>15345084</v>
      </c>
      <c r="D1966" s="2">
        <v>0.39100000000000001</v>
      </c>
      <c r="E1966" s="2">
        <v>4</v>
      </c>
      <c r="F1966" s="2" t="s">
        <v>6</v>
      </c>
    </row>
    <row r="1967" spans="1:6" ht="25.5">
      <c r="A1967" s="2">
        <v>1964</v>
      </c>
      <c r="B1967" s="2" t="s">
        <v>2030</v>
      </c>
      <c r="C1967" s="2" t="str">
        <f>"1465329X"</f>
        <v>1465329X</v>
      </c>
      <c r="D1967" s="2">
        <v>0.51400000000000001</v>
      </c>
      <c r="E1967" s="2">
        <v>4</v>
      </c>
      <c r="F1967" s="2" t="s">
        <v>6</v>
      </c>
    </row>
    <row r="1968" spans="1:6" ht="25.5">
      <c r="A1968" s="2">
        <v>1965</v>
      </c>
      <c r="B1968" s="2" t="s">
        <v>2031</v>
      </c>
      <c r="C1968" s="2" t="str">
        <f>"15925986"</f>
        <v>15925986</v>
      </c>
      <c r="D1968" s="2">
        <v>0.2</v>
      </c>
      <c r="E1968" s="2">
        <v>4</v>
      </c>
      <c r="F1968" s="2" t="s">
        <v>190</v>
      </c>
    </row>
    <row r="1969" spans="1:6" ht="25.5">
      <c r="A1969" s="2">
        <v>1966</v>
      </c>
      <c r="B1969" s="2" t="s">
        <v>2032</v>
      </c>
      <c r="C1969" s="2" t="str">
        <f>"10400435"</f>
        <v>10400435</v>
      </c>
      <c r="D1969" s="2">
        <v>0.36099999999999999</v>
      </c>
      <c r="E1969" s="2">
        <v>24</v>
      </c>
      <c r="F1969" s="2" t="s">
        <v>6</v>
      </c>
    </row>
    <row r="1970" spans="1:6" ht="25.5">
      <c r="A1970" s="2">
        <v>1967</v>
      </c>
      <c r="B1970" s="2" t="s">
        <v>2033</v>
      </c>
      <c r="C1970" s="2" t="str">
        <f>"18638171"</f>
        <v>18638171</v>
      </c>
      <c r="D1970" s="2">
        <v>0.42</v>
      </c>
      <c r="E1970" s="2">
        <v>9</v>
      </c>
      <c r="F1970" s="2" t="s">
        <v>12</v>
      </c>
    </row>
    <row r="1971" spans="1:6" ht="25.5">
      <c r="A1971" s="2">
        <v>1968</v>
      </c>
      <c r="B1971" s="2" t="s">
        <v>2034</v>
      </c>
      <c r="C1971" s="2" t="str">
        <f>"18638163"</f>
        <v>18638163</v>
      </c>
      <c r="D1971" s="2">
        <v>0.113</v>
      </c>
      <c r="E1971" s="2">
        <v>2</v>
      </c>
      <c r="F1971" s="2" t="s">
        <v>12</v>
      </c>
    </row>
    <row r="1972" spans="1:6" ht="25.5">
      <c r="A1972" s="2">
        <v>1969</v>
      </c>
      <c r="B1972" s="2" t="s">
        <v>2035</v>
      </c>
      <c r="C1972" s="2" t="str">
        <f>"17831350"</f>
        <v>17831350</v>
      </c>
      <c r="D1972" s="2">
        <v>0.91100000000000003</v>
      </c>
      <c r="E1972" s="2">
        <v>13</v>
      </c>
      <c r="F1972" s="2" t="s">
        <v>161</v>
      </c>
    </row>
    <row r="1973" spans="1:6" ht="25.5">
      <c r="A1973" s="2">
        <v>1970</v>
      </c>
      <c r="B1973" s="2" t="s">
        <v>2036</v>
      </c>
      <c r="C1973" s="2" t="str">
        <f>"15578070"</f>
        <v>15578070</v>
      </c>
      <c r="D1973" s="2">
        <v>0.91600000000000004</v>
      </c>
      <c r="E1973" s="2">
        <v>40</v>
      </c>
      <c r="F1973" s="2" t="s">
        <v>6</v>
      </c>
    </row>
    <row r="1974" spans="1:6" ht="25.5">
      <c r="A1974" s="2">
        <v>1971</v>
      </c>
      <c r="B1974" s="2" t="s">
        <v>2037</v>
      </c>
      <c r="C1974" s="2" t="str">
        <f>"15383881"</f>
        <v>15383881</v>
      </c>
      <c r="D1974" s="2">
        <v>2.52</v>
      </c>
      <c r="E1974" s="2">
        <v>159</v>
      </c>
      <c r="F1974" s="2" t="s">
        <v>16</v>
      </c>
    </row>
    <row r="1975" spans="1:6" ht="25.5">
      <c r="A1975" s="2">
        <v>1972</v>
      </c>
      <c r="B1975" s="2" t="s">
        <v>2038</v>
      </c>
      <c r="C1975" s="2" t="str">
        <f>"15213994"</f>
        <v>15213994</v>
      </c>
      <c r="D1975" s="2">
        <v>0.72199999999999998</v>
      </c>
      <c r="E1975" s="2">
        <v>31</v>
      </c>
      <c r="F1975" s="2" t="s">
        <v>12</v>
      </c>
    </row>
    <row r="1976" spans="1:6" ht="25.5">
      <c r="A1976" s="2">
        <v>1973</v>
      </c>
      <c r="B1976" s="2" t="s">
        <v>2039</v>
      </c>
      <c r="C1976" s="2" t="str">
        <f>"14320746"</f>
        <v>14320746</v>
      </c>
      <c r="D1976" s="2">
        <v>1.7809999999999999</v>
      </c>
      <c r="E1976" s="2">
        <v>177</v>
      </c>
      <c r="F1976" s="2" t="s">
        <v>66</v>
      </c>
    </row>
    <row r="1977" spans="1:6" ht="25.5">
      <c r="A1977" s="2">
        <v>1974</v>
      </c>
      <c r="B1977" s="2" t="s">
        <v>2040</v>
      </c>
      <c r="C1977" s="2" t="str">
        <f>"14320754"</f>
        <v>14320754</v>
      </c>
      <c r="D1977" s="2">
        <v>5.5119999999999996</v>
      </c>
      <c r="E1977" s="2">
        <v>34</v>
      </c>
      <c r="F1977" s="2" t="s">
        <v>12</v>
      </c>
    </row>
    <row r="1978" spans="1:6" ht="25.5">
      <c r="A1978" s="2">
        <v>1975</v>
      </c>
      <c r="B1978" s="2" t="s">
        <v>2041</v>
      </c>
      <c r="C1978" s="2" t="str">
        <f>"14684004"</f>
        <v>14684004</v>
      </c>
      <c r="D1978" s="2">
        <v>0.13500000000000001</v>
      </c>
      <c r="E1978" s="2">
        <v>13</v>
      </c>
      <c r="F1978" s="2" t="s">
        <v>16</v>
      </c>
    </row>
    <row r="1979" spans="1:6" ht="25.5">
      <c r="A1979" s="2">
        <v>1976</v>
      </c>
      <c r="B1979" s="2" t="s">
        <v>2042</v>
      </c>
      <c r="C1979" s="2" t="str">
        <f>"15626873"</f>
        <v>15626873</v>
      </c>
      <c r="D1979" s="2">
        <v>0.41599999999999998</v>
      </c>
      <c r="E1979" s="2">
        <v>24</v>
      </c>
      <c r="F1979" s="2" t="s">
        <v>129</v>
      </c>
    </row>
    <row r="1980" spans="1:6" ht="25.5">
      <c r="A1980" s="2">
        <v>1977</v>
      </c>
      <c r="B1980" s="2" t="s">
        <v>2043</v>
      </c>
      <c r="C1980" s="2" t="str">
        <f>"15626881"</f>
        <v>15626881</v>
      </c>
      <c r="D1980" s="2">
        <v>0.28699999999999998</v>
      </c>
      <c r="E1980" s="2">
        <v>18</v>
      </c>
      <c r="F1980" s="2" t="s">
        <v>129</v>
      </c>
    </row>
    <row r="1981" spans="1:6" ht="25.5">
      <c r="A1981" s="2">
        <v>1978</v>
      </c>
      <c r="B1981" s="2" t="s">
        <v>2044</v>
      </c>
      <c r="C1981" s="2" t="str">
        <f>"09276505"</f>
        <v>09276505</v>
      </c>
      <c r="D1981" s="2">
        <v>2.7050000000000001</v>
      </c>
      <c r="E1981" s="2">
        <v>69</v>
      </c>
      <c r="F1981" s="2" t="s">
        <v>75</v>
      </c>
    </row>
    <row r="1982" spans="1:6" ht="25.5">
      <c r="A1982" s="2">
        <v>1979</v>
      </c>
      <c r="B1982" s="2" t="s">
        <v>2045</v>
      </c>
      <c r="C1982" s="2" t="str">
        <f>"19903421"</f>
        <v>19903421</v>
      </c>
      <c r="D1982" s="2">
        <v>0.27</v>
      </c>
      <c r="E1982" s="2">
        <v>6</v>
      </c>
      <c r="F1982" s="2" t="s">
        <v>6</v>
      </c>
    </row>
    <row r="1983" spans="1:6" ht="25.5">
      <c r="A1983" s="2">
        <v>1980</v>
      </c>
      <c r="B1983" s="2" t="s">
        <v>2046</v>
      </c>
      <c r="C1983" s="2" t="str">
        <f>"15384357"</f>
        <v>15384357</v>
      </c>
      <c r="D1983" s="2">
        <v>3.0680000000000001</v>
      </c>
      <c r="E1983" s="2">
        <v>50</v>
      </c>
      <c r="F1983" s="2" t="s">
        <v>16</v>
      </c>
    </row>
    <row r="1984" spans="1:6" ht="25.5">
      <c r="A1984" s="2">
        <v>1981</v>
      </c>
      <c r="B1984" s="2" t="s">
        <v>2047</v>
      </c>
      <c r="C1984" s="2" t="str">
        <f>"20418213"</f>
        <v>20418213</v>
      </c>
      <c r="D1984" s="2">
        <v>2.3540000000000001</v>
      </c>
      <c r="E1984" s="2">
        <v>283</v>
      </c>
      <c r="F1984" s="2" t="s">
        <v>16</v>
      </c>
    </row>
    <row r="1985" spans="1:6" ht="25.5">
      <c r="A1985" s="2">
        <v>1982</v>
      </c>
      <c r="B1985" s="2" t="s">
        <v>2048</v>
      </c>
      <c r="C1985" s="2" t="str">
        <f>"15384365"</f>
        <v>15384365</v>
      </c>
      <c r="D1985" s="2">
        <v>6.4409999999999998</v>
      </c>
      <c r="E1985" s="2">
        <v>147</v>
      </c>
      <c r="F1985" s="2" t="s">
        <v>16</v>
      </c>
    </row>
    <row r="1986" spans="1:6" ht="25.5">
      <c r="A1986" s="2">
        <v>1983</v>
      </c>
      <c r="B1986" s="2" t="s">
        <v>2049</v>
      </c>
      <c r="C1986" s="2" t="str">
        <f>"15738191"</f>
        <v>15738191</v>
      </c>
      <c r="D1986" s="2">
        <v>0.159</v>
      </c>
      <c r="E1986" s="2">
        <v>10</v>
      </c>
      <c r="F1986" s="2" t="s">
        <v>12</v>
      </c>
    </row>
    <row r="1987" spans="1:6" ht="25.5">
      <c r="A1987" s="2">
        <v>1984</v>
      </c>
      <c r="B1987" s="2" t="s">
        <v>2050</v>
      </c>
      <c r="C1987" s="2" t="str">
        <f>"1572946X"</f>
        <v>1572946X</v>
      </c>
      <c r="D1987" s="2">
        <v>0.57299999999999995</v>
      </c>
      <c r="E1987" s="2">
        <v>39</v>
      </c>
      <c r="F1987" s="2" t="s">
        <v>75</v>
      </c>
    </row>
    <row r="1988" spans="1:6" ht="25.5">
      <c r="A1988" s="2">
        <v>1985</v>
      </c>
      <c r="B1988" s="2" t="s">
        <v>2051</v>
      </c>
      <c r="C1988" s="2" t="str">
        <f>"18106536"</f>
        <v>18106536</v>
      </c>
      <c r="D1988" s="2">
        <v>0.371</v>
      </c>
      <c r="E1988" s="2">
        <v>8</v>
      </c>
      <c r="F1988" s="2" t="s">
        <v>12</v>
      </c>
    </row>
    <row r="1989" spans="1:6" ht="25.5">
      <c r="A1989" s="2">
        <v>1986</v>
      </c>
      <c r="B1989" s="2" t="s">
        <v>2052</v>
      </c>
      <c r="C1989" s="2" t="str">
        <f>"15572943"</f>
        <v>15572943</v>
      </c>
      <c r="D1989" s="2">
        <v>0.159</v>
      </c>
      <c r="E1989" s="2">
        <v>2</v>
      </c>
      <c r="F1989" s="2" t="s">
        <v>6</v>
      </c>
    </row>
    <row r="1990" spans="1:6" ht="25.5">
      <c r="A1990" s="2">
        <v>1987</v>
      </c>
      <c r="B1990" s="2" t="s">
        <v>2053</v>
      </c>
      <c r="C1990" s="2" t="str">
        <f>"09217134"</f>
        <v>09217134</v>
      </c>
      <c r="D1990" s="2">
        <v>0.66200000000000003</v>
      </c>
      <c r="E1990" s="2">
        <v>25</v>
      </c>
      <c r="F1990" s="2" t="s">
        <v>75</v>
      </c>
    </row>
    <row r="1991" spans="1:6" ht="25.5">
      <c r="A1991" s="2">
        <v>1988</v>
      </c>
      <c r="B1991" s="2" t="s">
        <v>2054</v>
      </c>
      <c r="C1991" s="2" t="str">
        <f>"18853730"</f>
        <v>18853730</v>
      </c>
      <c r="D1991" s="2">
        <v>0.10100000000000001</v>
      </c>
      <c r="E1991" s="2">
        <v>0</v>
      </c>
      <c r="F1991" s="2" t="s">
        <v>351</v>
      </c>
    </row>
    <row r="1992" spans="1:6" ht="25.5">
      <c r="A1992" s="2">
        <v>1989</v>
      </c>
      <c r="B1992" s="2" t="s">
        <v>2055</v>
      </c>
      <c r="C1992" s="2" t="str">
        <f>"03413055"</f>
        <v>03413055</v>
      </c>
      <c r="D1992" s="2">
        <v>0.11</v>
      </c>
      <c r="E1992" s="2">
        <v>7</v>
      </c>
      <c r="F1992" s="2" t="s">
        <v>12</v>
      </c>
    </row>
    <row r="1993" spans="1:6" ht="25.5">
      <c r="A1993" s="2">
        <v>1990</v>
      </c>
      <c r="B1993" s="2" t="s">
        <v>2056</v>
      </c>
      <c r="C1993" s="2" t="str">
        <f>"11397357"</f>
        <v>11397357</v>
      </c>
      <c r="D1993" s="2">
        <v>0.14599999999999999</v>
      </c>
      <c r="E1993" s="2">
        <v>5</v>
      </c>
      <c r="F1993" s="2" t="s">
        <v>351</v>
      </c>
    </row>
    <row r="1994" spans="1:6" ht="25.5">
      <c r="A1994" s="2">
        <v>1991</v>
      </c>
      <c r="B1994" s="2" t="s">
        <v>2057</v>
      </c>
      <c r="C1994" s="2" t="str">
        <f>"15781275"</f>
        <v>15781275</v>
      </c>
      <c r="D1994" s="2">
        <v>0.186</v>
      </c>
      <c r="E1994" s="2">
        <v>25</v>
      </c>
      <c r="F1994" s="2" t="s">
        <v>351</v>
      </c>
    </row>
    <row r="1995" spans="1:6" ht="25.5">
      <c r="A1995" s="2">
        <v>1992</v>
      </c>
      <c r="B1995" s="2" t="s">
        <v>2058</v>
      </c>
      <c r="C1995" s="2" t="str">
        <f>"07180462"</f>
        <v>07180462</v>
      </c>
      <c r="D1995" s="2">
        <v>0.1</v>
      </c>
      <c r="E1995" s="2">
        <v>2</v>
      </c>
      <c r="F1995" s="2" t="s">
        <v>182</v>
      </c>
    </row>
    <row r="1996" spans="1:6" ht="25.5">
      <c r="A1996" s="2">
        <v>1993</v>
      </c>
      <c r="B1996" s="2" t="s">
        <v>2059</v>
      </c>
      <c r="C1996" s="2" t="str">
        <f>"00046493"</f>
        <v>00046493</v>
      </c>
      <c r="D1996" s="2">
        <v>0.10100000000000001</v>
      </c>
      <c r="E1996" s="2">
        <v>1</v>
      </c>
      <c r="F1996" s="2" t="s">
        <v>190</v>
      </c>
    </row>
    <row r="1997" spans="1:6" ht="25.5">
      <c r="A1997" s="2">
        <v>1994</v>
      </c>
      <c r="B1997" s="2" t="s">
        <v>2060</v>
      </c>
      <c r="C1997" s="2" t="str">
        <f>"00046574"</f>
        <v>00046574</v>
      </c>
      <c r="D1997" s="2">
        <v>0.11</v>
      </c>
      <c r="E1997" s="2">
        <v>2</v>
      </c>
      <c r="F1997" s="2" t="s">
        <v>190</v>
      </c>
    </row>
    <row r="1998" spans="1:6" ht="25.5">
      <c r="A1998" s="2">
        <v>1995</v>
      </c>
      <c r="B1998" s="2" t="s">
        <v>2061</v>
      </c>
      <c r="C1998" s="2" t="str">
        <f>"15788946"</f>
        <v>15788946</v>
      </c>
      <c r="D1998" s="2">
        <v>0.159</v>
      </c>
      <c r="E1998" s="2">
        <v>2</v>
      </c>
      <c r="F1998" s="2" t="s">
        <v>351</v>
      </c>
    </row>
    <row r="1999" spans="1:6" ht="25.5">
      <c r="A1999" s="2">
        <v>1996</v>
      </c>
      <c r="B1999" s="2" t="s">
        <v>2062</v>
      </c>
      <c r="C1999" s="2" t="str">
        <f>"00219150"</f>
        <v>00219150</v>
      </c>
      <c r="D1999" s="2">
        <v>1.3879999999999999</v>
      </c>
      <c r="E1999" s="2">
        <v>116</v>
      </c>
      <c r="F1999" s="2" t="s">
        <v>732</v>
      </c>
    </row>
    <row r="2000" spans="1:6" ht="25.5">
      <c r="A2000" s="2">
        <v>1997</v>
      </c>
      <c r="B2000" s="2" t="s">
        <v>2063</v>
      </c>
      <c r="C2000" s="2" t="str">
        <f>"15675688"</f>
        <v>15675688</v>
      </c>
      <c r="D2000" s="2">
        <v>0.52900000000000003</v>
      </c>
      <c r="E2000" s="2">
        <v>34</v>
      </c>
      <c r="F2000" s="2" t="s">
        <v>732</v>
      </c>
    </row>
    <row r="2001" spans="1:6" ht="25.5">
      <c r="A2001" s="2">
        <v>1998</v>
      </c>
      <c r="B2001" s="2" t="s">
        <v>2064</v>
      </c>
      <c r="C2001" s="2" t="str">
        <f>"07928424"</f>
        <v>07928424</v>
      </c>
      <c r="D2001" s="2">
        <v>0.104</v>
      </c>
      <c r="E2001" s="2">
        <v>1</v>
      </c>
      <c r="F2001" s="2" t="s">
        <v>2065</v>
      </c>
    </row>
    <row r="2002" spans="1:6" ht="25.5">
      <c r="A2002" s="2">
        <v>1999</v>
      </c>
      <c r="B2002" s="2" t="s">
        <v>2066</v>
      </c>
      <c r="C2002" s="2" t="str">
        <f>"02611929"</f>
        <v>02611929</v>
      </c>
      <c r="D2002" s="2">
        <v>0.30599999999999999</v>
      </c>
      <c r="E2002" s="2">
        <v>40</v>
      </c>
      <c r="F2002" s="2" t="s">
        <v>16</v>
      </c>
    </row>
    <row r="2003" spans="1:6" ht="25.5">
      <c r="A2003" s="2">
        <v>2000</v>
      </c>
      <c r="B2003" s="2" t="s">
        <v>2067</v>
      </c>
      <c r="C2003" s="2" t="str">
        <f>"01974254"</f>
        <v>01974254</v>
      </c>
      <c r="D2003" s="2">
        <v>0.17</v>
      </c>
      <c r="E2003" s="2">
        <v>13</v>
      </c>
      <c r="F2003" s="2" t="s">
        <v>75</v>
      </c>
    </row>
    <row r="2004" spans="1:6" ht="25.5">
      <c r="A2004" s="2">
        <v>2001</v>
      </c>
      <c r="B2004" s="2" t="s">
        <v>2068</v>
      </c>
      <c r="C2004" s="2" t="str">
        <f>"08435561"</f>
        <v>08435561</v>
      </c>
      <c r="D2004" s="2">
        <v>0.19</v>
      </c>
      <c r="E2004" s="2">
        <v>14</v>
      </c>
      <c r="F2004" s="2" t="s">
        <v>64</v>
      </c>
    </row>
    <row r="2005" spans="1:6" ht="25.5">
      <c r="A2005" s="2">
        <v>2002</v>
      </c>
      <c r="B2005" s="2" t="s">
        <v>2069</v>
      </c>
      <c r="C2005" s="2" t="str">
        <f>"15456889"</f>
        <v>15456889</v>
      </c>
      <c r="D2005" s="2">
        <v>0.19700000000000001</v>
      </c>
      <c r="E2005" s="2">
        <v>2</v>
      </c>
      <c r="F2005" s="2" t="s">
        <v>16</v>
      </c>
    </row>
    <row r="2006" spans="1:6" ht="25.5">
      <c r="A2006" s="2">
        <v>2003</v>
      </c>
      <c r="B2006" s="2" t="s">
        <v>2070</v>
      </c>
      <c r="C2006" s="2" t="str">
        <f>"14788810"</f>
        <v>14788810</v>
      </c>
      <c r="D2006" s="2">
        <v>0.123</v>
      </c>
      <c r="E2006" s="2">
        <v>1</v>
      </c>
      <c r="F2006" s="2" t="s">
        <v>16</v>
      </c>
    </row>
    <row r="2007" spans="1:6" ht="25.5">
      <c r="A2007" s="2">
        <v>2004</v>
      </c>
      <c r="B2007" s="2" t="s">
        <v>2071</v>
      </c>
      <c r="C2007" s="2" t="str">
        <f>"02106124"</f>
        <v>02106124</v>
      </c>
      <c r="D2007" s="2">
        <v>0.10199999999999999</v>
      </c>
      <c r="E2007" s="2">
        <v>1</v>
      </c>
      <c r="F2007" s="2" t="s">
        <v>351</v>
      </c>
    </row>
    <row r="2008" spans="1:6" ht="25.5">
      <c r="A2008" s="2">
        <v>2005</v>
      </c>
      <c r="B2008" s="2" t="s">
        <v>2072</v>
      </c>
      <c r="C2008" s="2" t="str">
        <f>"15584275"</f>
        <v>15584275</v>
      </c>
      <c r="D2008" s="2">
        <v>0.32900000000000001</v>
      </c>
      <c r="E2008" s="2">
        <v>11</v>
      </c>
      <c r="F2008" s="2" t="s">
        <v>16</v>
      </c>
    </row>
    <row r="2009" spans="1:6" ht="25.5">
      <c r="A2009" s="2">
        <v>2006</v>
      </c>
      <c r="B2009" s="2" t="s">
        <v>2073</v>
      </c>
      <c r="C2009" s="2" t="str">
        <f>"01876236"</f>
        <v>01876236</v>
      </c>
      <c r="D2009" s="2">
        <v>0.48499999999999999</v>
      </c>
      <c r="E2009" s="2">
        <v>13</v>
      </c>
      <c r="F2009" s="2" t="s">
        <v>200</v>
      </c>
    </row>
    <row r="2010" spans="1:6">
      <c r="A2010" s="2">
        <v>2007</v>
      </c>
      <c r="B2010" s="2" t="s">
        <v>2074</v>
      </c>
      <c r="C2010" s="2" t="str">
        <f>"0"</f>
        <v>0</v>
      </c>
      <c r="D2010" s="2">
        <v>0.49399999999999999</v>
      </c>
      <c r="E2010" s="2">
        <v>3</v>
      </c>
      <c r="F2010" s="2" t="s">
        <v>190</v>
      </c>
    </row>
    <row r="2011" spans="1:6" ht="25.5">
      <c r="A2011" s="2">
        <v>2008</v>
      </c>
      <c r="B2011" s="2" t="s">
        <v>2075</v>
      </c>
      <c r="C2011" s="2" t="str">
        <f>"07055900"</f>
        <v>07055900</v>
      </c>
      <c r="D2011" s="2">
        <v>0.91800000000000004</v>
      </c>
      <c r="E2011" s="2">
        <v>34</v>
      </c>
      <c r="F2011" s="2" t="s">
        <v>64</v>
      </c>
    </row>
    <row r="2012" spans="1:6" ht="25.5">
      <c r="A2012" s="2">
        <v>2009</v>
      </c>
      <c r="B2012" s="2" t="s">
        <v>2076</v>
      </c>
      <c r="C2012" s="2" t="str">
        <f>"16807324"</f>
        <v>16807324</v>
      </c>
      <c r="D2012" s="2">
        <v>3.0739999999999998</v>
      </c>
      <c r="E2012" s="2">
        <v>88</v>
      </c>
      <c r="F2012" s="2" t="s">
        <v>12</v>
      </c>
    </row>
    <row r="2013" spans="1:6" ht="25.5">
      <c r="A2013" s="2">
        <v>2010</v>
      </c>
      <c r="B2013" s="2" t="s">
        <v>2077</v>
      </c>
      <c r="C2013" s="2" t="str">
        <f>"16807375"</f>
        <v>16807375</v>
      </c>
      <c r="D2013" s="2">
        <v>0.126</v>
      </c>
      <c r="E2013" s="2">
        <v>0</v>
      </c>
      <c r="F2013" s="2" t="s">
        <v>12</v>
      </c>
    </row>
    <row r="2014" spans="1:6" ht="25.5">
      <c r="A2014" s="2">
        <v>2011</v>
      </c>
      <c r="B2014" s="2" t="s">
        <v>2078</v>
      </c>
      <c r="C2014" s="2" t="str">
        <f>"13522310"</f>
        <v>13522310</v>
      </c>
      <c r="D2014" s="2">
        <v>1.6759999999999999</v>
      </c>
      <c r="E2014" s="2">
        <v>135</v>
      </c>
      <c r="F2014" s="2" t="s">
        <v>16</v>
      </c>
    </row>
    <row r="2015" spans="1:6" ht="25.5">
      <c r="A2015" s="2">
        <v>2012</v>
      </c>
      <c r="B2015" s="2" t="s">
        <v>2079</v>
      </c>
      <c r="C2015" s="2" t="str">
        <f>"18678548"</f>
        <v>18678548</v>
      </c>
      <c r="D2015" s="2">
        <v>1.5149999999999999</v>
      </c>
      <c r="E2015" s="2">
        <v>16</v>
      </c>
      <c r="F2015" s="2" t="s">
        <v>12</v>
      </c>
    </row>
    <row r="2016" spans="1:6" ht="25.5">
      <c r="A2016" s="2">
        <v>2013</v>
      </c>
      <c r="B2016" s="2" t="s">
        <v>2080</v>
      </c>
      <c r="C2016" s="2" t="str">
        <f>"01698095"</f>
        <v>01698095</v>
      </c>
      <c r="D2016" s="2">
        <v>1.1100000000000001</v>
      </c>
      <c r="E2016" s="2">
        <v>45</v>
      </c>
      <c r="F2016" s="2" t="s">
        <v>75</v>
      </c>
    </row>
    <row r="2017" spans="1:6" ht="25.5">
      <c r="A2017" s="2">
        <v>2014</v>
      </c>
      <c r="B2017" s="2" t="s">
        <v>2081</v>
      </c>
      <c r="C2017" s="2" t="str">
        <f>"1530261X"</f>
        <v>1530261X</v>
      </c>
      <c r="D2017" s="2">
        <v>1.0880000000000001</v>
      </c>
      <c r="E2017" s="2">
        <v>19</v>
      </c>
      <c r="F2017" s="2" t="s">
        <v>6</v>
      </c>
    </row>
    <row r="2018" spans="1:6" ht="25.5">
      <c r="A2018" s="2">
        <v>2015</v>
      </c>
      <c r="B2018" s="2" t="s">
        <v>2082</v>
      </c>
      <c r="C2018" s="2" t="str">
        <f>"00775630"</f>
        <v>00775630</v>
      </c>
      <c r="D2018" s="2">
        <v>0.21299999999999999</v>
      </c>
      <c r="E2018" s="2">
        <v>14</v>
      </c>
      <c r="F2018" s="2" t="s">
        <v>6</v>
      </c>
    </row>
    <row r="2019" spans="1:6" ht="25.5">
      <c r="A2019" s="2">
        <v>2016</v>
      </c>
      <c r="B2019" s="2" t="s">
        <v>2083</v>
      </c>
      <c r="C2019" s="2" t="str">
        <f>"10902090"</f>
        <v>10902090</v>
      </c>
      <c r="D2019" s="2">
        <v>0.89500000000000002</v>
      </c>
      <c r="E2019" s="2">
        <v>41</v>
      </c>
      <c r="F2019" s="2" t="s">
        <v>6</v>
      </c>
    </row>
    <row r="2020" spans="1:6" ht="25.5">
      <c r="A2020" s="2">
        <v>2017</v>
      </c>
      <c r="B2020" s="2" t="s">
        <v>2084</v>
      </c>
      <c r="C2020" s="2" t="str">
        <f>"15738205"</f>
        <v>15738205</v>
      </c>
      <c r="D2020" s="2">
        <v>0.13600000000000001</v>
      </c>
      <c r="E2020" s="2">
        <v>8</v>
      </c>
      <c r="F2020" s="2" t="s">
        <v>12</v>
      </c>
    </row>
    <row r="2021" spans="1:6" ht="25.5">
      <c r="A2021" s="2">
        <v>2018</v>
      </c>
      <c r="B2021" s="2" t="s">
        <v>2085</v>
      </c>
      <c r="C2021" s="2" t="str">
        <f>"01955373"</f>
        <v>01955373</v>
      </c>
      <c r="D2021" s="2">
        <v>0.38600000000000001</v>
      </c>
      <c r="E2021" s="2">
        <v>23</v>
      </c>
      <c r="F2021" s="2" t="s">
        <v>6</v>
      </c>
    </row>
    <row r="2022" spans="1:6" ht="25.5">
      <c r="A2022" s="2">
        <v>2019</v>
      </c>
      <c r="B2022" s="2" t="s">
        <v>2086</v>
      </c>
      <c r="C2022" s="2" t="str">
        <f>"10445110"</f>
        <v>10445110</v>
      </c>
      <c r="D2022" s="2">
        <v>0.42</v>
      </c>
      <c r="E2022" s="2">
        <v>30</v>
      </c>
      <c r="F2022" s="2" t="s">
        <v>6</v>
      </c>
    </row>
    <row r="2023" spans="1:6" ht="25.5">
      <c r="A2023" s="2">
        <v>2020</v>
      </c>
      <c r="B2023" s="2" t="s">
        <v>2087</v>
      </c>
      <c r="C2023" s="2" t="str">
        <f>"18822606"</f>
        <v>18822606</v>
      </c>
      <c r="D2023" s="2">
        <v>0.109</v>
      </c>
      <c r="E2023" s="2">
        <v>1</v>
      </c>
      <c r="F2023" s="2" t="s">
        <v>131</v>
      </c>
    </row>
    <row r="2024" spans="1:6" ht="25.5">
      <c r="A2024" s="2">
        <v>2021</v>
      </c>
      <c r="B2024" s="2" t="s">
        <v>2088</v>
      </c>
      <c r="C2024" s="2" t="str">
        <f>"14692988"</f>
        <v>14692988</v>
      </c>
      <c r="D2024" s="2">
        <v>0.75600000000000001</v>
      </c>
      <c r="E2024" s="2">
        <v>36</v>
      </c>
      <c r="F2024" s="2" t="s">
        <v>6</v>
      </c>
    </row>
    <row r="2025" spans="1:6" ht="25.5">
      <c r="A2025" s="2">
        <v>2022</v>
      </c>
      <c r="B2025" s="2" t="s">
        <v>2089</v>
      </c>
      <c r="C2025" s="2" t="str">
        <f>"1943393X"</f>
        <v>1943393X</v>
      </c>
      <c r="D2025" s="2">
        <v>1.256</v>
      </c>
      <c r="E2025" s="2">
        <v>71</v>
      </c>
      <c r="F2025" s="2" t="s">
        <v>6</v>
      </c>
    </row>
    <row r="2026" spans="1:6" ht="25.5">
      <c r="A2026" s="2">
        <v>2023</v>
      </c>
      <c r="B2026" s="2" t="s">
        <v>2090</v>
      </c>
      <c r="C2026" s="2" t="str">
        <f>"11206330"</f>
        <v>11206330</v>
      </c>
      <c r="D2026" s="2">
        <v>0.74</v>
      </c>
      <c r="E2026" s="2">
        <v>12</v>
      </c>
      <c r="F2026" s="2" t="s">
        <v>31</v>
      </c>
    </row>
    <row r="2027" spans="1:6" ht="25.5">
      <c r="A2027" s="2">
        <v>2024</v>
      </c>
      <c r="B2027" s="2" t="s">
        <v>2091</v>
      </c>
      <c r="C2027" s="2" t="str">
        <f>"11206349"</f>
        <v>11206349</v>
      </c>
      <c r="D2027" s="2">
        <v>0.22500000000000001</v>
      </c>
      <c r="E2027" s="2">
        <v>9</v>
      </c>
      <c r="F2027" s="2" t="s">
        <v>190</v>
      </c>
    </row>
    <row r="2028" spans="1:6" ht="25.5">
      <c r="A2028" s="2">
        <v>2025</v>
      </c>
      <c r="B2028" s="2" t="s">
        <v>2092</v>
      </c>
      <c r="C2028" s="2" t="str">
        <f>"18251242"</f>
        <v>18251242</v>
      </c>
      <c r="D2028" s="2">
        <v>0.106</v>
      </c>
      <c r="E2028" s="2">
        <v>3</v>
      </c>
      <c r="F2028" s="2" t="s">
        <v>190</v>
      </c>
    </row>
    <row r="2029" spans="1:6" ht="25.5">
      <c r="A2029" s="2">
        <v>2026</v>
      </c>
      <c r="B2029" s="2" t="s">
        <v>2093</v>
      </c>
      <c r="C2029" s="2" t="str">
        <f>"14315254"</f>
        <v>14315254</v>
      </c>
      <c r="D2029" s="2">
        <v>0.105</v>
      </c>
      <c r="E2029" s="2">
        <v>4</v>
      </c>
      <c r="F2029" s="2" t="s">
        <v>12</v>
      </c>
    </row>
    <row r="2030" spans="1:6" ht="25.5">
      <c r="A2030" s="2">
        <v>2027</v>
      </c>
      <c r="B2030" s="2" t="s">
        <v>2094</v>
      </c>
      <c r="C2030" s="2" t="str">
        <f>"03899160"</f>
        <v>03899160</v>
      </c>
      <c r="D2030" s="2">
        <v>0.1</v>
      </c>
      <c r="E2030" s="2">
        <v>1</v>
      </c>
      <c r="F2030" s="2" t="s">
        <v>131</v>
      </c>
    </row>
    <row r="2031" spans="1:6">
      <c r="A2031" s="2">
        <v>2028</v>
      </c>
      <c r="B2031" s="2" t="s">
        <v>2095</v>
      </c>
      <c r="C2031" s="2" t="str">
        <f>"0"</f>
        <v>0</v>
      </c>
      <c r="D2031" s="2">
        <v>0</v>
      </c>
      <c r="E2031" s="2">
        <v>0</v>
      </c>
      <c r="F2031" s="2" t="s">
        <v>6</v>
      </c>
    </row>
    <row r="2032" spans="1:6" ht="25.5">
      <c r="A2032" s="2">
        <v>2029</v>
      </c>
      <c r="B2032" s="2" t="s">
        <v>2096</v>
      </c>
      <c r="C2032" s="2" t="str">
        <f>"1651386X"</f>
        <v>1651386X</v>
      </c>
      <c r="D2032" s="2">
        <v>0.19</v>
      </c>
      <c r="E2032" s="2">
        <v>12</v>
      </c>
      <c r="F2032" s="2" t="s">
        <v>16</v>
      </c>
    </row>
    <row r="2033" spans="1:6" ht="25.5">
      <c r="A2033" s="2">
        <v>2030</v>
      </c>
      <c r="B2033" s="2" t="s">
        <v>2097</v>
      </c>
      <c r="C2033" s="2" t="str">
        <f>"14219700"</f>
        <v>14219700</v>
      </c>
      <c r="D2033" s="2">
        <v>1.5369999999999999</v>
      </c>
      <c r="E2033" s="2">
        <v>50</v>
      </c>
      <c r="F2033" s="2" t="s">
        <v>31</v>
      </c>
    </row>
    <row r="2034" spans="1:6" ht="25.5">
      <c r="A2034" s="2">
        <v>2031</v>
      </c>
      <c r="B2034" s="2" t="s">
        <v>2098</v>
      </c>
      <c r="C2034" s="2" t="str">
        <f>"02780380"</f>
        <v>02780380</v>
      </c>
      <c r="D2034" s="2">
        <v>0.83799999999999997</v>
      </c>
      <c r="E2034" s="2">
        <v>33</v>
      </c>
      <c r="F2034" s="2" t="s">
        <v>6</v>
      </c>
    </row>
    <row r="2035" spans="1:6" ht="25.5">
      <c r="A2035" s="2">
        <v>2032</v>
      </c>
      <c r="B2035" s="2" t="s">
        <v>2099</v>
      </c>
      <c r="C2035" s="2" t="str">
        <f>"00048038"</f>
        <v>00048038</v>
      </c>
      <c r="D2035" s="2">
        <v>0.94799999999999995</v>
      </c>
      <c r="E2035" s="2">
        <v>63</v>
      </c>
      <c r="F2035" s="2" t="s">
        <v>6</v>
      </c>
    </row>
    <row r="2036" spans="1:6" ht="25.5">
      <c r="A2036" s="2">
        <v>2033</v>
      </c>
      <c r="B2036" s="2" t="s">
        <v>2100</v>
      </c>
      <c r="C2036" s="2" t="str">
        <f>"00012793"</f>
        <v>00012793</v>
      </c>
      <c r="D2036" s="2">
        <v>0.10100000000000001</v>
      </c>
      <c r="E2036" s="2">
        <v>2</v>
      </c>
      <c r="F2036" s="2" t="s">
        <v>127</v>
      </c>
    </row>
    <row r="2037" spans="1:6" ht="25.5">
      <c r="A2037" s="2">
        <v>2034</v>
      </c>
      <c r="B2037" s="2" t="s">
        <v>2101</v>
      </c>
      <c r="C2037" s="2" t="str">
        <f>"03858146"</f>
        <v>03858146</v>
      </c>
      <c r="D2037" s="2">
        <v>0.54200000000000004</v>
      </c>
      <c r="E2037" s="2">
        <v>25</v>
      </c>
      <c r="F2037" s="2" t="s">
        <v>732</v>
      </c>
    </row>
    <row r="2038" spans="1:6" ht="25.5">
      <c r="A2038" s="2">
        <v>2035</v>
      </c>
      <c r="B2038" s="2" t="s">
        <v>2102</v>
      </c>
      <c r="C2038" s="2" t="str">
        <f>"07187262"</f>
        <v>07187262</v>
      </c>
      <c r="D2038" s="2">
        <v>0</v>
      </c>
      <c r="E2038" s="2">
        <v>0</v>
      </c>
      <c r="F2038" s="2" t="s">
        <v>182</v>
      </c>
    </row>
    <row r="2039" spans="1:6" ht="25.5">
      <c r="A2039" s="2">
        <v>2036</v>
      </c>
      <c r="B2039" s="2" t="s">
        <v>2103</v>
      </c>
      <c r="C2039" s="2" t="str">
        <f>"20141246"</f>
        <v>20141246</v>
      </c>
      <c r="D2039" s="2">
        <v>0.10100000000000001</v>
      </c>
      <c r="E2039" s="2">
        <v>0</v>
      </c>
      <c r="F2039" s="2" t="s">
        <v>351</v>
      </c>
    </row>
    <row r="2040" spans="1:6" ht="25.5">
      <c r="A2040" s="2">
        <v>2037</v>
      </c>
      <c r="B2040" s="2" t="s">
        <v>2104</v>
      </c>
      <c r="C2040" s="2" t="str">
        <f>"10367128"</f>
        <v>10367128</v>
      </c>
      <c r="D2040" s="2">
        <v>0.1</v>
      </c>
      <c r="E2040" s="2">
        <v>7</v>
      </c>
      <c r="F2040" s="2" t="s">
        <v>127</v>
      </c>
    </row>
    <row r="2041" spans="1:6" ht="25.5">
      <c r="A2041" s="2">
        <v>2038</v>
      </c>
      <c r="B2041" s="2" t="s">
        <v>2105</v>
      </c>
      <c r="C2041" s="2" t="str">
        <f>"08104123"</f>
        <v>08104123</v>
      </c>
      <c r="D2041" s="2">
        <v>0.115</v>
      </c>
      <c r="E2041" s="2">
        <v>2</v>
      </c>
      <c r="F2041" s="2" t="s">
        <v>127</v>
      </c>
    </row>
    <row r="2042" spans="1:6" ht="25.5">
      <c r="A2042" s="2">
        <v>2039</v>
      </c>
      <c r="B2042" s="2" t="s">
        <v>2106</v>
      </c>
      <c r="C2042" s="2" t="str">
        <f>"15746267"</f>
        <v>15746267</v>
      </c>
      <c r="D2042" s="2">
        <v>0.23</v>
      </c>
      <c r="E2042" s="2">
        <v>8</v>
      </c>
      <c r="F2042" s="2" t="s">
        <v>75</v>
      </c>
    </row>
    <row r="2043" spans="1:6" ht="25.5">
      <c r="A2043" s="2">
        <v>2040</v>
      </c>
      <c r="B2043" s="2" t="s">
        <v>2107</v>
      </c>
      <c r="C2043" s="2" t="str">
        <f>"10344942"</f>
        <v>10344942</v>
      </c>
      <c r="D2043" s="2">
        <v>0.59699999999999998</v>
      </c>
      <c r="E2043" s="2">
        <v>5</v>
      </c>
      <c r="F2043" s="2" t="s">
        <v>127</v>
      </c>
    </row>
    <row r="2044" spans="1:6" ht="25.5">
      <c r="A2044" s="2">
        <v>2041</v>
      </c>
      <c r="B2044" s="2" t="s">
        <v>2108</v>
      </c>
      <c r="C2044" s="2" t="str">
        <f>"18356354"</f>
        <v>18356354</v>
      </c>
      <c r="D2044" s="2">
        <v>0.13</v>
      </c>
      <c r="E2044" s="2">
        <v>2</v>
      </c>
      <c r="F2044" s="2" t="s">
        <v>127</v>
      </c>
    </row>
    <row r="2045" spans="1:6" ht="25.5">
      <c r="A2045" s="2">
        <v>2042</v>
      </c>
      <c r="B2045" s="2" t="s">
        <v>2109</v>
      </c>
      <c r="C2045" s="2" t="str">
        <f>"14400960"</f>
        <v>14400960</v>
      </c>
      <c r="D2045" s="2">
        <v>0.51500000000000001</v>
      </c>
      <c r="E2045" s="2">
        <v>32</v>
      </c>
      <c r="F2045" s="2" t="s">
        <v>16</v>
      </c>
    </row>
    <row r="2046" spans="1:6" ht="25.5">
      <c r="A2046" s="2">
        <v>2043</v>
      </c>
      <c r="B2046" s="2" t="s">
        <v>2110</v>
      </c>
      <c r="C2046" s="2" t="str">
        <f>"11744707"</f>
        <v>11744707</v>
      </c>
      <c r="D2046" s="2">
        <v>0.13800000000000001</v>
      </c>
      <c r="E2046" s="2">
        <v>5</v>
      </c>
      <c r="F2046" s="2" t="s">
        <v>503</v>
      </c>
    </row>
    <row r="2047" spans="1:6" ht="25.5">
      <c r="A2047" s="2">
        <v>2044</v>
      </c>
      <c r="B2047" s="2" t="s">
        <v>2111</v>
      </c>
      <c r="C2047" s="2" t="str">
        <f>"14495554"</f>
        <v>14495554</v>
      </c>
      <c r="D2047" s="2">
        <v>1.085</v>
      </c>
      <c r="E2047" s="2">
        <v>17</v>
      </c>
      <c r="F2047" s="2" t="s">
        <v>127</v>
      </c>
    </row>
    <row r="2048" spans="1:6" ht="25.5">
      <c r="A2048" s="2">
        <v>2045</v>
      </c>
      <c r="B2048" s="2" t="s">
        <v>2112</v>
      </c>
      <c r="C2048" s="2" t="str">
        <f>"14486563"</f>
        <v>14486563</v>
      </c>
      <c r="D2048" s="2">
        <v>0.41599999999999998</v>
      </c>
      <c r="E2048" s="2">
        <v>7</v>
      </c>
      <c r="F2048" s="2" t="s">
        <v>16</v>
      </c>
    </row>
    <row r="2049" spans="1:6" ht="25.5">
      <c r="A2049" s="2">
        <v>2046</v>
      </c>
      <c r="B2049" s="2" t="s">
        <v>2113</v>
      </c>
      <c r="C2049" s="2" t="str">
        <f>"10397841"</f>
        <v>10397841</v>
      </c>
      <c r="D2049" s="2">
        <v>0.10100000000000001</v>
      </c>
      <c r="E2049" s="2">
        <v>2</v>
      </c>
      <c r="F2049" s="2" t="s">
        <v>127</v>
      </c>
    </row>
    <row r="2050" spans="1:6" ht="25.5">
      <c r="A2050" s="2">
        <v>2047</v>
      </c>
      <c r="B2050" s="2" t="s">
        <v>2114</v>
      </c>
      <c r="C2050" s="2" t="str">
        <f>"13205323"</f>
        <v>13205323</v>
      </c>
      <c r="D2050" s="2">
        <v>0.315</v>
      </c>
      <c r="E2050" s="2">
        <v>3</v>
      </c>
      <c r="F2050" s="2" t="s">
        <v>127</v>
      </c>
    </row>
    <row r="2051" spans="1:6" ht="25.5">
      <c r="A2051" s="2">
        <v>2048</v>
      </c>
      <c r="B2051" s="2" t="s">
        <v>2115</v>
      </c>
      <c r="C2051" s="2" t="str">
        <f>"00048402"</f>
        <v>00048402</v>
      </c>
      <c r="D2051" s="2">
        <v>0.82299999999999995</v>
      </c>
      <c r="E2051" s="2">
        <v>18</v>
      </c>
      <c r="F2051" s="2" t="s">
        <v>16</v>
      </c>
    </row>
    <row r="2052" spans="1:6" ht="25.5">
      <c r="A2052" s="2">
        <v>2049</v>
      </c>
      <c r="B2052" s="2" t="s">
        <v>2116</v>
      </c>
      <c r="C2052" s="2" t="str">
        <f>"18336914"</f>
        <v>18336914</v>
      </c>
      <c r="D2052" s="2">
        <v>0.34899999999999998</v>
      </c>
      <c r="E2052" s="2">
        <v>3</v>
      </c>
      <c r="F2052" s="2" t="s">
        <v>127</v>
      </c>
    </row>
    <row r="2053" spans="1:6" ht="25.5">
      <c r="A2053" s="2">
        <v>2050</v>
      </c>
      <c r="B2053" s="2" t="s">
        <v>2117</v>
      </c>
      <c r="C2053" s="2" t="str">
        <f>"17416612"</f>
        <v>17416612</v>
      </c>
      <c r="D2053" s="2">
        <v>0.38200000000000001</v>
      </c>
      <c r="E2053" s="2">
        <v>14</v>
      </c>
      <c r="F2053" s="2" t="s">
        <v>16</v>
      </c>
    </row>
    <row r="2054" spans="1:6" ht="25.5">
      <c r="A2054" s="2">
        <v>2051</v>
      </c>
      <c r="B2054" s="2" t="s">
        <v>2118</v>
      </c>
      <c r="C2054" s="2" t="str">
        <f>"14413582"</f>
        <v>14413582</v>
      </c>
      <c r="D2054" s="2">
        <v>0.27400000000000002</v>
      </c>
      <c r="E2054" s="2">
        <v>11</v>
      </c>
      <c r="F2054" s="2" t="s">
        <v>75</v>
      </c>
    </row>
    <row r="2055" spans="1:6" ht="25.5">
      <c r="A2055" s="2">
        <v>2052</v>
      </c>
      <c r="B2055" s="2" t="s">
        <v>2119</v>
      </c>
      <c r="C2055" s="2" t="str">
        <f>"18361935"</f>
        <v>18361935</v>
      </c>
      <c r="D2055" s="2">
        <v>0.14499999999999999</v>
      </c>
      <c r="E2055" s="2">
        <v>5</v>
      </c>
      <c r="F2055" s="2" t="s">
        <v>127</v>
      </c>
    </row>
    <row r="2056" spans="1:6" ht="25.5">
      <c r="A2056" s="2">
        <v>2053</v>
      </c>
      <c r="B2056" s="2" t="s">
        <v>2120</v>
      </c>
      <c r="C2056" s="2" t="str">
        <f>"01589938"</f>
        <v>01589938</v>
      </c>
      <c r="D2056" s="2">
        <v>0.34</v>
      </c>
      <c r="E2056" s="2">
        <v>16</v>
      </c>
      <c r="F2056" s="2" t="s">
        <v>75</v>
      </c>
    </row>
    <row r="2057" spans="1:6" ht="25.5">
      <c r="A2057" s="2">
        <v>2054</v>
      </c>
      <c r="B2057" s="2" t="s">
        <v>2121</v>
      </c>
      <c r="C2057" s="2" t="str">
        <f>"08153191"</f>
        <v>08153191</v>
      </c>
      <c r="D2057" s="2">
        <v>0.52500000000000002</v>
      </c>
      <c r="E2057" s="2">
        <v>29</v>
      </c>
      <c r="F2057" s="2" t="s">
        <v>75</v>
      </c>
    </row>
    <row r="2058" spans="1:6" ht="25.5">
      <c r="A2058" s="2">
        <v>2055</v>
      </c>
      <c r="B2058" s="2" t="s">
        <v>2122</v>
      </c>
      <c r="C2058" s="2" t="str">
        <f>"14401665"</f>
        <v>14401665</v>
      </c>
      <c r="D2058" s="2">
        <v>0.314</v>
      </c>
      <c r="E2058" s="2">
        <v>21</v>
      </c>
      <c r="F2058" s="2" t="s">
        <v>16</v>
      </c>
    </row>
    <row r="2059" spans="1:6" ht="25.5">
      <c r="A2059" s="2">
        <v>2056</v>
      </c>
      <c r="B2059" s="2" t="s">
        <v>2123</v>
      </c>
      <c r="C2059" s="2" t="str">
        <f>"14429985"</f>
        <v>14429985</v>
      </c>
      <c r="D2059" s="2">
        <v>0.85399999999999998</v>
      </c>
      <c r="E2059" s="2">
        <v>52</v>
      </c>
      <c r="F2059" s="2" t="s">
        <v>16</v>
      </c>
    </row>
    <row r="2060" spans="1:6" ht="25.5">
      <c r="A2060" s="2">
        <v>2057</v>
      </c>
      <c r="B2060" s="2" t="s">
        <v>2124</v>
      </c>
      <c r="C2060" s="2" t="str">
        <f>"07294352"</f>
        <v>07294352</v>
      </c>
      <c r="D2060" s="2">
        <v>0.16400000000000001</v>
      </c>
      <c r="E2060" s="2">
        <v>3</v>
      </c>
      <c r="F2060" s="2" t="s">
        <v>127</v>
      </c>
    </row>
    <row r="2061" spans="1:6" ht="25.5">
      <c r="A2061" s="2">
        <v>2058</v>
      </c>
      <c r="B2061" s="2" t="s">
        <v>2125</v>
      </c>
      <c r="C2061" s="2" t="str">
        <f>"00048623"</f>
        <v>00048623</v>
      </c>
      <c r="D2061" s="2">
        <v>0.42399999999999999</v>
      </c>
      <c r="E2061" s="2">
        <v>4</v>
      </c>
      <c r="F2061" s="2" t="s">
        <v>127</v>
      </c>
    </row>
    <row r="2062" spans="1:6" ht="25.5">
      <c r="A2062" s="2">
        <v>2059</v>
      </c>
      <c r="B2062" s="2" t="s">
        <v>2126</v>
      </c>
      <c r="C2062" s="2" t="str">
        <f>"18352561"</f>
        <v>18352561</v>
      </c>
      <c r="D2062" s="2">
        <v>0.28599999999999998</v>
      </c>
      <c r="E2062" s="2">
        <v>6</v>
      </c>
      <c r="F2062" s="2" t="s">
        <v>16</v>
      </c>
    </row>
    <row r="2063" spans="1:6" ht="25.5">
      <c r="A2063" s="2">
        <v>2060</v>
      </c>
      <c r="B2063" s="2" t="s">
        <v>2127</v>
      </c>
      <c r="C2063" s="2" t="str">
        <f>"00048658"</f>
        <v>00048658</v>
      </c>
      <c r="D2063" s="2">
        <v>0.76800000000000002</v>
      </c>
      <c r="E2063" s="2">
        <v>14</v>
      </c>
      <c r="F2063" s="2" t="s">
        <v>16</v>
      </c>
    </row>
    <row r="2064" spans="1:6" ht="25.5">
      <c r="A2064" s="2">
        <v>2061</v>
      </c>
      <c r="B2064" s="2" t="s">
        <v>2128</v>
      </c>
      <c r="C2064" s="2" t="str">
        <f>"0814723X"</f>
        <v>0814723X</v>
      </c>
      <c r="D2064" s="2">
        <v>0.36499999999999999</v>
      </c>
      <c r="E2064" s="2">
        <v>6</v>
      </c>
      <c r="F2064" s="2" t="s">
        <v>127</v>
      </c>
    </row>
    <row r="2065" spans="1:6" ht="25.5">
      <c r="A2065" s="2">
        <v>2062</v>
      </c>
      <c r="B2065" s="2" t="s">
        <v>2129</v>
      </c>
      <c r="C2065" s="2" t="str">
        <f>"1479828X"</f>
        <v>1479828X</v>
      </c>
      <c r="D2065" s="2">
        <v>0.61599999999999999</v>
      </c>
      <c r="E2065" s="2">
        <v>38</v>
      </c>
      <c r="F2065" s="2" t="s">
        <v>16</v>
      </c>
    </row>
    <row r="2066" spans="1:6" ht="25.5">
      <c r="A2066" s="2">
        <v>2063</v>
      </c>
      <c r="B2066" s="2" t="s">
        <v>2130</v>
      </c>
      <c r="C2066" s="2" t="str">
        <f>"14401614"</f>
        <v>14401614</v>
      </c>
      <c r="D2066" s="2">
        <v>1.3069999999999999</v>
      </c>
      <c r="E2066" s="2">
        <v>64</v>
      </c>
      <c r="F2066" s="2" t="s">
        <v>16</v>
      </c>
    </row>
    <row r="2067" spans="1:6" ht="25.5">
      <c r="A2067" s="2">
        <v>2064</v>
      </c>
      <c r="B2067" s="2" t="s">
        <v>2131</v>
      </c>
      <c r="C2067" s="2" t="str">
        <f>"13260200"</f>
        <v>13260200</v>
      </c>
      <c r="D2067" s="2">
        <v>0.64400000000000002</v>
      </c>
      <c r="E2067" s="2">
        <v>50</v>
      </c>
      <c r="F2067" s="2" t="s">
        <v>127</v>
      </c>
    </row>
    <row r="2068" spans="1:6" ht="25.5">
      <c r="A2068" s="2">
        <v>2065</v>
      </c>
      <c r="B2068" s="2" t="s">
        <v>2132</v>
      </c>
      <c r="C2068" s="2" t="str">
        <f>"1467842X"</f>
        <v>1467842X</v>
      </c>
      <c r="D2068" s="2">
        <v>0.57999999999999996</v>
      </c>
      <c r="E2068" s="2">
        <v>24</v>
      </c>
      <c r="F2068" s="2" t="s">
        <v>16</v>
      </c>
    </row>
    <row r="2069" spans="1:6" ht="25.5">
      <c r="A2069" s="2">
        <v>2066</v>
      </c>
      <c r="B2069" s="2" t="s">
        <v>2133</v>
      </c>
      <c r="C2069" s="2" t="str">
        <f>"03122417"</f>
        <v>03122417</v>
      </c>
      <c r="D2069" s="2">
        <v>0.441</v>
      </c>
      <c r="E2069" s="2">
        <v>9</v>
      </c>
      <c r="F2069" s="2" t="s">
        <v>127</v>
      </c>
    </row>
    <row r="2070" spans="1:6" ht="25.5">
      <c r="A2070" s="2">
        <v>2067</v>
      </c>
      <c r="B2070" s="2" t="s">
        <v>2134</v>
      </c>
      <c r="C2070" s="2" t="str">
        <f>"10367314"</f>
        <v>10367314</v>
      </c>
      <c r="D2070" s="2">
        <v>0.27100000000000002</v>
      </c>
      <c r="E2070" s="2">
        <v>17</v>
      </c>
      <c r="F2070" s="2" t="s">
        <v>732</v>
      </c>
    </row>
    <row r="2071" spans="1:6" ht="25.5">
      <c r="A2071" s="2">
        <v>2068</v>
      </c>
      <c r="B2071" s="2" t="s">
        <v>2135</v>
      </c>
      <c r="C2071" s="2" t="str">
        <f>"18347819"</f>
        <v>18347819</v>
      </c>
      <c r="D2071" s="2">
        <v>0.51800000000000002</v>
      </c>
      <c r="E2071" s="2">
        <v>33</v>
      </c>
      <c r="F2071" s="2" t="s">
        <v>16</v>
      </c>
    </row>
    <row r="2072" spans="1:6" ht="25.5">
      <c r="A2072" s="2">
        <v>2069</v>
      </c>
      <c r="B2072" s="2" t="s">
        <v>2136</v>
      </c>
      <c r="C2072" s="2" t="str">
        <f>"10397116"</f>
        <v>10397116</v>
      </c>
      <c r="D2072" s="2">
        <v>0.1</v>
      </c>
      <c r="E2072" s="2">
        <v>1</v>
      </c>
      <c r="F2072" s="2" t="s">
        <v>16</v>
      </c>
    </row>
    <row r="2073" spans="1:6" ht="25.5">
      <c r="A2073" s="2">
        <v>2070</v>
      </c>
      <c r="B2073" s="2" t="s">
        <v>2137</v>
      </c>
      <c r="C2073" s="2" t="str">
        <f>"14678446"</f>
        <v>14678446</v>
      </c>
      <c r="D2073" s="2">
        <v>0.191</v>
      </c>
      <c r="E2073" s="2">
        <v>6</v>
      </c>
      <c r="F2073" s="2" t="s">
        <v>16</v>
      </c>
    </row>
    <row r="2074" spans="1:6" ht="25.5">
      <c r="A2074" s="2">
        <v>2071</v>
      </c>
      <c r="B2074" s="2" t="s">
        <v>2138</v>
      </c>
      <c r="C2074" s="2" t="str">
        <f>"14678454"</f>
        <v>14678454</v>
      </c>
      <c r="D2074" s="2">
        <v>0.192</v>
      </c>
      <c r="E2074" s="2">
        <v>6</v>
      </c>
      <c r="F2074" s="2" t="s">
        <v>16</v>
      </c>
    </row>
    <row r="2075" spans="1:6" ht="25.5">
      <c r="A2075" s="2">
        <v>2072</v>
      </c>
      <c r="B2075" s="2" t="s">
        <v>2139</v>
      </c>
      <c r="C2075" s="2" t="str">
        <f>"14678462"</f>
        <v>14678462</v>
      </c>
      <c r="D2075" s="2">
        <v>0.27200000000000002</v>
      </c>
      <c r="E2075" s="2">
        <v>14</v>
      </c>
      <c r="F2075" s="2" t="s">
        <v>16</v>
      </c>
    </row>
    <row r="2076" spans="1:6" ht="25.5">
      <c r="A2076" s="2">
        <v>2073</v>
      </c>
      <c r="B2076" s="2" t="s">
        <v>2140</v>
      </c>
      <c r="C2076" s="2" t="str">
        <f>"08165122"</f>
        <v>08165122</v>
      </c>
      <c r="D2076" s="2">
        <v>0.14899999999999999</v>
      </c>
      <c r="E2076" s="2">
        <v>1</v>
      </c>
      <c r="F2076" s="2" t="s">
        <v>16</v>
      </c>
    </row>
    <row r="2077" spans="1:6" ht="25.5">
      <c r="A2077" s="2">
        <v>2074</v>
      </c>
      <c r="B2077" s="2" t="s">
        <v>2141</v>
      </c>
      <c r="C2077" s="2" t="str">
        <f>"08169020"</f>
        <v>08169020</v>
      </c>
      <c r="D2077" s="2">
        <v>0.22600000000000001</v>
      </c>
      <c r="E2077" s="2">
        <v>4</v>
      </c>
      <c r="F2077" s="2" t="s">
        <v>127</v>
      </c>
    </row>
    <row r="2078" spans="1:6" ht="25.5">
      <c r="A2078" s="2">
        <v>2075</v>
      </c>
      <c r="B2078" s="2" t="s">
        <v>2142</v>
      </c>
      <c r="C2078" s="2" t="str">
        <f>"03116999"</f>
        <v>03116999</v>
      </c>
      <c r="D2078" s="2">
        <v>0.19900000000000001</v>
      </c>
      <c r="E2078" s="2">
        <v>11</v>
      </c>
      <c r="F2078" s="2" t="s">
        <v>75</v>
      </c>
    </row>
    <row r="2079" spans="1:6" ht="25.5">
      <c r="A2079" s="2">
        <v>2076</v>
      </c>
      <c r="B2079" s="2" t="s">
        <v>2143</v>
      </c>
      <c r="C2079" s="2" t="str">
        <f>"13291947"</f>
        <v>13291947</v>
      </c>
      <c r="D2079" s="2">
        <v>0.40899999999999997</v>
      </c>
      <c r="E2079" s="2">
        <v>18</v>
      </c>
      <c r="F2079" s="2" t="s">
        <v>6</v>
      </c>
    </row>
    <row r="2080" spans="1:6" ht="25.5">
      <c r="A2080" s="2">
        <v>2077</v>
      </c>
      <c r="B2080" s="2" t="s">
        <v>2144</v>
      </c>
      <c r="C2080" s="2" t="str">
        <f>"13206133"</f>
        <v>13206133</v>
      </c>
      <c r="D2080" s="2">
        <v>0.21199999999999999</v>
      </c>
      <c r="E2080" s="2">
        <v>3</v>
      </c>
      <c r="F2080" s="2" t="s">
        <v>127</v>
      </c>
    </row>
    <row r="2081" spans="1:6" ht="25.5">
      <c r="A2081" s="2">
        <v>2078</v>
      </c>
      <c r="B2081" s="2" t="s">
        <v>2145</v>
      </c>
      <c r="C2081" s="2" t="str">
        <f>"03008495"</f>
        <v>03008495</v>
      </c>
      <c r="D2081" s="2">
        <v>0.31</v>
      </c>
      <c r="E2081" s="2">
        <v>22</v>
      </c>
      <c r="F2081" s="2" t="s">
        <v>127</v>
      </c>
    </row>
    <row r="2082" spans="1:6" ht="25.5">
      <c r="A2082" s="2">
        <v>2079</v>
      </c>
      <c r="B2082" s="2" t="s">
        <v>2146</v>
      </c>
      <c r="C2082" s="2" t="str">
        <f>"14653303"</f>
        <v>14653303</v>
      </c>
      <c r="D2082" s="2">
        <v>0.247</v>
      </c>
      <c r="E2082" s="2">
        <v>10</v>
      </c>
      <c r="F2082" s="2" t="s">
        <v>6</v>
      </c>
    </row>
    <row r="2083" spans="1:6" ht="25.5">
      <c r="A2083" s="2">
        <v>2080</v>
      </c>
      <c r="B2083" s="2" t="s">
        <v>2147</v>
      </c>
      <c r="C2083" s="2" t="str">
        <f>"14480107"</f>
        <v>14480107</v>
      </c>
      <c r="D2083" s="2">
        <v>0.20399999999999999</v>
      </c>
      <c r="E2083" s="2">
        <v>4</v>
      </c>
      <c r="F2083" s="2" t="s">
        <v>127</v>
      </c>
    </row>
    <row r="2084" spans="1:6" ht="25.5">
      <c r="A2084" s="2">
        <v>2081</v>
      </c>
      <c r="B2084" s="2" t="s">
        <v>2148</v>
      </c>
      <c r="C2084" s="2" t="str">
        <f>"00049158"</f>
        <v>00049158</v>
      </c>
      <c r="D2084" s="2">
        <v>0.497</v>
      </c>
      <c r="E2084" s="2">
        <v>20</v>
      </c>
      <c r="F2084" s="2" t="s">
        <v>127</v>
      </c>
    </row>
    <row r="2085" spans="1:6" ht="25.5">
      <c r="A2085" s="2">
        <v>2082</v>
      </c>
      <c r="B2085" s="2" t="s">
        <v>2149</v>
      </c>
      <c r="C2085" s="2" t="str">
        <f>"14653311"</f>
        <v>14653311</v>
      </c>
      <c r="D2085" s="2">
        <v>0.55700000000000005</v>
      </c>
      <c r="E2085" s="2">
        <v>20</v>
      </c>
      <c r="F2085" s="2" t="s">
        <v>6</v>
      </c>
    </row>
    <row r="2086" spans="1:6" ht="25.5">
      <c r="A2086" s="2">
        <v>2083</v>
      </c>
      <c r="B2086" s="2" t="s">
        <v>2150</v>
      </c>
      <c r="C2086" s="2" t="str">
        <f>"01565788"</f>
        <v>01565788</v>
      </c>
      <c r="D2086" s="2">
        <v>0.36199999999999999</v>
      </c>
      <c r="E2086" s="2">
        <v>22</v>
      </c>
      <c r="F2086" s="2" t="s">
        <v>127</v>
      </c>
    </row>
    <row r="2087" spans="1:6" ht="25.5">
      <c r="A2087" s="2">
        <v>2084</v>
      </c>
      <c r="B2087" s="2" t="s">
        <v>2151</v>
      </c>
      <c r="C2087" s="2" t="str">
        <f>"1031461X"</f>
        <v>1031461X</v>
      </c>
      <c r="D2087" s="2">
        <v>0.15</v>
      </c>
      <c r="E2087" s="2">
        <v>9</v>
      </c>
      <c r="F2087" s="2" t="s">
        <v>6</v>
      </c>
    </row>
    <row r="2088" spans="1:6" ht="25.5">
      <c r="A2088" s="2">
        <v>2085</v>
      </c>
      <c r="B2088" s="2" t="s">
        <v>2152</v>
      </c>
      <c r="C2088" s="2" t="str">
        <f>"18339735"</f>
        <v>18339735</v>
      </c>
      <c r="D2088" s="2">
        <v>0.10299999999999999</v>
      </c>
      <c r="E2088" s="2">
        <v>1</v>
      </c>
      <c r="F2088" s="2" t="s">
        <v>127</v>
      </c>
    </row>
    <row r="2089" spans="1:6" ht="25.5">
      <c r="A2089" s="2">
        <v>2086</v>
      </c>
      <c r="B2089" s="2" t="s">
        <v>2153</v>
      </c>
      <c r="C2089" s="2" t="str">
        <f>"14431394"</f>
        <v>14431394</v>
      </c>
      <c r="D2089" s="2">
        <v>0.151</v>
      </c>
      <c r="E2089" s="2">
        <v>4</v>
      </c>
      <c r="F2089" s="2" t="s">
        <v>127</v>
      </c>
    </row>
    <row r="2090" spans="1:6" ht="25.5">
      <c r="A2090" s="2">
        <v>2087</v>
      </c>
      <c r="B2090" s="2" t="s">
        <v>2154</v>
      </c>
      <c r="C2090" s="2" t="str">
        <f>"14474328"</f>
        <v>14474328</v>
      </c>
      <c r="D2090" s="2">
        <v>0.27800000000000002</v>
      </c>
      <c r="E2090" s="2">
        <v>20</v>
      </c>
      <c r="F2090" s="2" t="s">
        <v>127</v>
      </c>
    </row>
    <row r="2091" spans="1:6" ht="25.5">
      <c r="A2091" s="2">
        <v>2088</v>
      </c>
      <c r="B2091" s="2" t="s">
        <v>2155</v>
      </c>
      <c r="C2091" s="2" t="str">
        <f>"14678489"</f>
        <v>14678489</v>
      </c>
      <c r="D2091" s="2">
        <v>0.92500000000000004</v>
      </c>
      <c r="E2091" s="2">
        <v>26</v>
      </c>
      <c r="F2091" s="2" t="s">
        <v>16</v>
      </c>
    </row>
    <row r="2092" spans="1:6" ht="25.5">
      <c r="A2092" s="2">
        <v>2089</v>
      </c>
      <c r="B2092" s="2" t="s">
        <v>2156</v>
      </c>
      <c r="C2092" s="2" t="str">
        <f>"10358811"</f>
        <v>10358811</v>
      </c>
      <c r="D2092" s="2">
        <v>0.38800000000000001</v>
      </c>
      <c r="E2092" s="2">
        <v>8</v>
      </c>
      <c r="F2092" s="2" t="s">
        <v>127</v>
      </c>
    </row>
    <row r="2093" spans="1:6" ht="25.5">
      <c r="A2093" s="2">
        <v>2090</v>
      </c>
      <c r="B2093" s="2" t="s">
        <v>2157</v>
      </c>
      <c r="C2093" s="2" t="str">
        <f>"19918178"</f>
        <v>19918178</v>
      </c>
      <c r="D2093" s="2">
        <v>0.17299999999999999</v>
      </c>
      <c r="E2093" s="2">
        <v>10</v>
      </c>
      <c r="F2093" s="2" t="s">
        <v>43</v>
      </c>
    </row>
    <row r="2094" spans="1:6" ht="25.5">
      <c r="A2094" s="2">
        <v>2091</v>
      </c>
      <c r="B2094" s="2" t="s">
        <v>2158</v>
      </c>
      <c r="C2094" s="2" t="str">
        <f>"00671924"</f>
        <v>00671924</v>
      </c>
      <c r="D2094" s="2">
        <v>0.53600000000000003</v>
      </c>
      <c r="E2094" s="2">
        <v>44</v>
      </c>
      <c r="F2094" s="2" t="s">
        <v>127</v>
      </c>
    </row>
    <row r="2095" spans="1:6" ht="25.5">
      <c r="A2095" s="2">
        <v>2092</v>
      </c>
      <c r="B2095" s="2" t="s">
        <v>2159</v>
      </c>
      <c r="C2095" s="2" t="str">
        <f>"00049425"</f>
        <v>00049425</v>
      </c>
      <c r="D2095" s="2">
        <v>0.66100000000000003</v>
      </c>
      <c r="E2095" s="2">
        <v>50</v>
      </c>
      <c r="F2095" s="2" t="s">
        <v>127</v>
      </c>
    </row>
    <row r="2096" spans="1:6" ht="25.5">
      <c r="A2096" s="2">
        <v>2093</v>
      </c>
      <c r="B2096" s="2" t="s">
        <v>2160</v>
      </c>
      <c r="C2096" s="2" t="str">
        <f>"01560417"</f>
        <v>01560417</v>
      </c>
      <c r="D2096" s="2">
        <v>0.121</v>
      </c>
      <c r="E2096" s="2">
        <v>7</v>
      </c>
      <c r="F2096" s="2" t="s">
        <v>127</v>
      </c>
    </row>
    <row r="2097" spans="1:6" ht="25.5">
      <c r="A2097" s="2">
        <v>2094</v>
      </c>
      <c r="B2097" s="2" t="s">
        <v>2161</v>
      </c>
      <c r="C2097" s="2" t="str">
        <f>"08100713"</f>
        <v>08100713</v>
      </c>
      <c r="D2097" s="2">
        <v>0.11</v>
      </c>
      <c r="E2097" s="2">
        <v>5</v>
      </c>
      <c r="F2097" s="2" t="s">
        <v>127</v>
      </c>
    </row>
    <row r="2098" spans="1:6" ht="25.5">
      <c r="A2098" s="2">
        <v>2095</v>
      </c>
      <c r="B2098" s="2" t="s">
        <v>2162</v>
      </c>
      <c r="C2098" s="2" t="str">
        <f>"18352693"</f>
        <v>18352693</v>
      </c>
      <c r="D2098" s="2">
        <v>0.33600000000000002</v>
      </c>
      <c r="E2098" s="2">
        <v>9</v>
      </c>
      <c r="F2098" s="2" t="s">
        <v>127</v>
      </c>
    </row>
    <row r="2099" spans="1:6" ht="25.5">
      <c r="A2099" s="2">
        <v>2096</v>
      </c>
      <c r="B2099" s="2" t="s">
        <v>2163</v>
      </c>
      <c r="C2099" s="2" t="str">
        <f>"08120099"</f>
        <v>08120099</v>
      </c>
      <c r="D2099" s="2">
        <v>0.755</v>
      </c>
      <c r="E2099" s="2">
        <v>46</v>
      </c>
      <c r="F2099" s="2" t="s">
        <v>16</v>
      </c>
    </row>
    <row r="2100" spans="1:6" ht="25.5">
      <c r="A2100" s="2">
        <v>2097</v>
      </c>
      <c r="B2100" s="2" t="s">
        <v>2164</v>
      </c>
      <c r="C2100" s="2" t="str">
        <f>"00049441"</f>
        <v>00049441</v>
      </c>
      <c r="D2100" s="2">
        <v>0.19600000000000001</v>
      </c>
      <c r="E2100" s="2">
        <v>16</v>
      </c>
      <c r="F2100" s="2" t="s">
        <v>127</v>
      </c>
    </row>
    <row r="2101" spans="1:6" ht="25.5">
      <c r="A2101" s="2">
        <v>2098</v>
      </c>
      <c r="B2101" s="2" t="s">
        <v>2165</v>
      </c>
      <c r="C2101" s="2" t="str">
        <f>"14465442"</f>
        <v>14465442</v>
      </c>
      <c r="D2101" s="2">
        <v>0.17699999999999999</v>
      </c>
      <c r="E2101" s="2">
        <v>8</v>
      </c>
      <c r="F2101" s="2" t="s">
        <v>127</v>
      </c>
    </row>
    <row r="2102" spans="1:6" ht="25.5">
      <c r="A2102" s="2">
        <v>2099</v>
      </c>
      <c r="B2102" s="2" t="s">
        <v>2166</v>
      </c>
      <c r="C2102" s="2" t="str">
        <f>"1448837X"</f>
        <v>1448837X</v>
      </c>
      <c r="D2102" s="2">
        <v>0.14000000000000001</v>
      </c>
      <c r="E2102" s="2">
        <v>7</v>
      </c>
      <c r="F2102" s="2" t="s">
        <v>127</v>
      </c>
    </row>
    <row r="2103" spans="1:6" ht="25.5">
      <c r="A2103" s="2">
        <v>2100</v>
      </c>
      <c r="B2103" s="2" t="s">
        <v>2167</v>
      </c>
      <c r="C2103" s="2" t="str">
        <f>"13241540"</f>
        <v>13241540</v>
      </c>
      <c r="D2103" s="2">
        <v>0.23799999999999999</v>
      </c>
      <c r="E2103" s="2">
        <v>4</v>
      </c>
      <c r="F2103" s="2" t="s">
        <v>127</v>
      </c>
    </row>
    <row r="2104" spans="1:6" ht="25.5">
      <c r="A2104" s="2">
        <v>2101</v>
      </c>
      <c r="B2104" s="2" t="s">
        <v>2168</v>
      </c>
      <c r="C2104" s="2" t="str">
        <f>"14490706"</f>
        <v>14490706</v>
      </c>
      <c r="D2104" s="2">
        <v>0.16800000000000001</v>
      </c>
      <c r="E2104" s="2">
        <v>7</v>
      </c>
      <c r="F2104" s="2" t="s">
        <v>127</v>
      </c>
    </row>
    <row r="2105" spans="1:6" ht="25.5">
      <c r="A2105" s="2">
        <v>2102</v>
      </c>
      <c r="B2105" s="2" t="s">
        <v>2169</v>
      </c>
      <c r="C2105" s="2" t="str">
        <f>"14406055"</f>
        <v>14406055</v>
      </c>
      <c r="D2105" s="2">
        <v>0.44</v>
      </c>
      <c r="E2105" s="2">
        <v>22</v>
      </c>
      <c r="F2105" s="2" t="s">
        <v>16</v>
      </c>
    </row>
    <row r="2106" spans="1:6" ht="25.5">
      <c r="A2106" s="2">
        <v>2103</v>
      </c>
      <c r="B2106" s="2" t="s">
        <v>2170</v>
      </c>
      <c r="C2106" s="2" t="str">
        <f>"08140626"</f>
        <v>08140626</v>
      </c>
      <c r="D2106" s="2">
        <v>0.12</v>
      </c>
      <c r="E2106" s="2">
        <v>2</v>
      </c>
      <c r="F2106" s="2" t="s">
        <v>127</v>
      </c>
    </row>
    <row r="2107" spans="1:6" ht="25.5">
      <c r="A2107" s="2">
        <v>2104</v>
      </c>
      <c r="B2107" s="2" t="s">
        <v>2171</v>
      </c>
      <c r="C2107" s="2" t="str">
        <f>"00450618"</f>
        <v>00450618</v>
      </c>
      <c r="D2107" s="2">
        <v>0.40799999999999997</v>
      </c>
      <c r="E2107" s="2">
        <v>5</v>
      </c>
      <c r="F2107" s="2" t="s">
        <v>16</v>
      </c>
    </row>
    <row r="2108" spans="1:6" ht="25.5">
      <c r="A2108" s="2">
        <v>2105</v>
      </c>
      <c r="B2108" s="2" t="s">
        <v>2172</v>
      </c>
      <c r="C2108" s="2" t="str">
        <f>"00049468"</f>
        <v>00049468</v>
      </c>
      <c r="D2108" s="2">
        <v>0.107</v>
      </c>
      <c r="E2108" s="2">
        <v>2</v>
      </c>
      <c r="F2108" s="2" t="s">
        <v>127</v>
      </c>
    </row>
    <row r="2109" spans="1:6" ht="25.5">
      <c r="A2109" s="2">
        <v>2106</v>
      </c>
      <c r="B2109" s="2" t="s">
        <v>2173</v>
      </c>
      <c r="C2109" s="2" t="str">
        <f>"13227130"</f>
        <v>13227130</v>
      </c>
      <c r="D2109" s="2">
        <v>1.6990000000000001</v>
      </c>
      <c r="E2109" s="2">
        <v>40</v>
      </c>
      <c r="F2109" s="2" t="s">
        <v>16</v>
      </c>
    </row>
    <row r="2110" spans="1:6" ht="25.5">
      <c r="A2110" s="2">
        <v>2107</v>
      </c>
      <c r="B2110" s="2" t="s">
        <v>2174</v>
      </c>
      <c r="C2110" s="2" t="str">
        <f>"10372911"</f>
        <v>10372911</v>
      </c>
      <c r="D2110" s="2">
        <v>0.33400000000000002</v>
      </c>
      <c r="E2110" s="2">
        <v>5</v>
      </c>
      <c r="F2110" s="2" t="s">
        <v>127</v>
      </c>
    </row>
    <row r="2111" spans="1:6" ht="25.5">
      <c r="A2111" s="2">
        <v>2108</v>
      </c>
      <c r="B2111" s="2" t="s">
        <v>2175</v>
      </c>
      <c r="C2111" s="2" t="str">
        <f>"10357718"</f>
        <v>10357718</v>
      </c>
      <c r="D2111" s="2">
        <v>0.34599999999999997</v>
      </c>
      <c r="E2111" s="2">
        <v>11</v>
      </c>
      <c r="F2111" s="2" t="s">
        <v>6</v>
      </c>
    </row>
    <row r="2112" spans="1:6" ht="25.5">
      <c r="A2112" s="2">
        <v>2109</v>
      </c>
      <c r="B2112" s="2" t="s">
        <v>2176</v>
      </c>
      <c r="C2112" s="2" t="str">
        <f>"19404166"</f>
        <v>19404166</v>
      </c>
      <c r="D2112" s="2">
        <v>0.187</v>
      </c>
      <c r="E2112" s="2">
        <v>2</v>
      </c>
      <c r="F2112" s="2" t="s">
        <v>6</v>
      </c>
    </row>
    <row r="2113" spans="1:6" ht="25.5">
      <c r="A2113" s="2">
        <v>2110</v>
      </c>
      <c r="B2113" s="2" t="s">
        <v>2177</v>
      </c>
      <c r="C2113" s="2" t="str">
        <f>"07268602"</f>
        <v>07268602</v>
      </c>
      <c r="D2113" s="2">
        <v>0.27700000000000002</v>
      </c>
      <c r="E2113" s="2">
        <v>4</v>
      </c>
      <c r="F2113" s="2" t="s">
        <v>6</v>
      </c>
    </row>
    <row r="2114" spans="1:6" ht="25.5">
      <c r="A2114" s="2">
        <v>2111</v>
      </c>
      <c r="B2114" s="2" t="s">
        <v>2178</v>
      </c>
      <c r="C2114" s="2" t="str">
        <f>"13272020"</f>
        <v>13272020</v>
      </c>
      <c r="D2114" s="2">
        <v>0.32400000000000001</v>
      </c>
      <c r="E2114" s="2">
        <v>10</v>
      </c>
      <c r="F2114" s="2" t="s">
        <v>16</v>
      </c>
    </row>
    <row r="2115" spans="1:6" ht="25.5">
      <c r="A2115" s="2">
        <v>2112</v>
      </c>
      <c r="B2115" s="2" t="s">
        <v>2179</v>
      </c>
      <c r="C2115" s="2" t="str">
        <f>"14495910"</f>
        <v>14495910</v>
      </c>
      <c r="D2115" s="2">
        <v>0.47599999999999998</v>
      </c>
      <c r="E2115" s="2">
        <v>4</v>
      </c>
      <c r="F2115" s="2" t="s">
        <v>127</v>
      </c>
    </row>
    <row r="2116" spans="1:6" ht="25.5">
      <c r="A2116" s="2">
        <v>2113</v>
      </c>
      <c r="B2116" s="2" t="s">
        <v>2180</v>
      </c>
      <c r="C2116" s="2" t="str">
        <f>"14484846"</f>
        <v>14484846</v>
      </c>
      <c r="D2116" s="2">
        <v>0.16200000000000001</v>
      </c>
      <c r="E2116" s="2">
        <v>2</v>
      </c>
      <c r="F2116" s="2" t="s">
        <v>127</v>
      </c>
    </row>
    <row r="2117" spans="1:6" ht="25.5">
      <c r="A2117" s="2">
        <v>2114</v>
      </c>
      <c r="B2117" s="2" t="s">
        <v>2181</v>
      </c>
      <c r="C2117" s="2" t="str">
        <f>"10338330"</f>
        <v>10338330</v>
      </c>
      <c r="D2117" s="2">
        <v>0.14099999999999999</v>
      </c>
      <c r="E2117" s="2">
        <v>4</v>
      </c>
      <c r="F2117" s="2" t="s">
        <v>127</v>
      </c>
    </row>
    <row r="2118" spans="1:6" ht="25.5">
      <c r="A2118" s="2">
        <v>2115</v>
      </c>
      <c r="B2118" s="2" t="s">
        <v>2182</v>
      </c>
      <c r="C2118" s="2" t="str">
        <f>"10381643"</f>
        <v>10381643</v>
      </c>
      <c r="D2118" s="2">
        <v>0.123</v>
      </c>
      <c r="E2118" s="2">
        <v>5</v>
      </c>
      <c r="F2118" s="2" t="s">
        <v>127</v>
      </c>
    </row>
    <row r="2119" spans="1:6" ht="25.5">
      <c r="A2119" s="2">
        <v>2116</v>
      </c>
      <c r="B2119" s="2" t="s">
        <v>2183</v>
      </c>
      <c r="C2119" s="2" t="str">
        <f>"03118002"</f>
        <v>03118002</v>
      </c>
      <c r="D2119" s="2">
        <v>0.182</v>
      </c>
      <c r="E2119" s="2">
        <v>4</v>
      </c>
      <c r="F2119" s="2" t="s">
        <v>127</v>
      </c>
    </row>
    <row r="2120" spans="1:6" ht="25.5">
      <c r="A2120" s="2">
        <v>2117</v>
      </c>
      <c r="B2120" s="2" t="s">
        <v>2184</v>
      </c>
      <c r="C2120" s="2" t="str">
        <f>"10361146"</f>
        <v>10361146</v>
      </c>
      <c r="D2120" s="2">
        <v>0.31</v>
      </c>
      <c r="E2120" s="2">
        <v>16</v>
      </c>
      <c r="F2120" s="2" t="s">
        <v>6</v>
      </c>
    </row>
    <row r="2121" spans="1:6" ht="25.5">
      <c r="A2121" s="2">
        <v>2118</v>
      </c>
      <c r="B2121" s="2" t="s">
        <v>2185</v>
      </c>
      <c r="C2121" s="2" t="str">
        <f>"14678497"</f>
        <v>14678497</v>
      </c>
      <c r="D2121" s="2">
        <v>0.16700000000000001</v>
      </c>
      <c r="E2121" s="2">
        <v>9</v>
      </c>
      <c r="F2121" s="2" t="s">
        <v>16</v>
      </c>
    </row>
    <row r="2122" spans="1:6" ht="25.5">
      <c r="A2122" s="2">
        <v>2119</v>
      </c>
      <c r="B2122" s="2" t="s">
        <v>2186</v>
      </c>
      <c r="C2122" s="2" t="str">
        <f>"14487527"</f>
        <v>14487527</v>
      </c>
      <c r="D2122" s="2">
        <v>0.29699999999999999</v>
      </c>
      <c r="E2122" s="2">
        <v>10</v>
      </c>
      <c r="F2122" s="2" t="s">
        <v>127</v>
      </c>
    </row>
    <row r="2123" spans="1:6" ht="25.5">
      <c r="A2123" s="2">
        <v>2120</v>
      </c>
      <c r="B2123" s="2" t="s">
        <v>2187</v>
      </c>
      <c r="C2123" s="2" t="str">
        <f>"00049530"</f>
        <v>00049530</v>
      </c>
      <c r="D2123" s="2">
        <v>0.40899999999999997</v>
      </c>
      <c r="E2123" s="2">
        <v>21</v>
      </c>
      <c r="F2123" s="2" t="s">
        <v>6</v>
      </c>
    </row>
    <row r="2124" spans="1:6" ht="25.5">
      <c r="A2124" s="2">
        <v>2121</v>
      </c>
      <c r="B2124" s="2" t="s">
        <v>2188</v>
      </c>
      <c r="C2124" s="2" t="str">
        <f>"03136647"</f>
        <v>03136647</v>
      </c>
      <c r="D2124" s="2">
        <v>0.41499999999999998</v>
      </c>
      <c r="E2124" s="2">
        <v>19</v>
      </c>
      <c r="F2124" s="2" t="s">
        <v>16</v>
      </c>
    </row>
    <row r="2125" spans="1:6" ht="25.5">
      <c r="A2125" s="2">
        <v>2122</v>
      </c>
      <c r="B2125" s="2" t="s">
        <v>2189</v>
      </c>
      <c r="C2125" s="2" t="str">
        <f>"14401584"</f>
        <v>14401584</v>
      </c>
      <c r="D2125" s="2">
        <v>0.61599999999999999</v>
      </c>
      <c r="E2125" s="2">
        <v>26</v>
      </c>
      <c r="F2125" s="2" t="s">
        <v>16</v>
      </c>
    </row>
    <row r="2126" spans="1:6" ht="25.5">
      <c r="A2126" s="2">
        <v>2123</v>
      </c>
      <c r="B2126" s="2" t="s">
        <v>2190</v>
      </c>
      <c r="C2126" s="2" t="str">
        <f>"01576321"</f>
        <v>01576321</v>
      </c>
      <c r="D2126" s="2">
        <v>0.19400000000000001</v>
      </c>
      <c r="E2126" s="2">
        <v>13</v>
      </c>
      <c r="F2126" s="2" t="s">
        <v>127</v>
      </c>
    </row>
    <row r="2127" spans="1:6" ht="25.5">
      <c r="A2127" s="2">
        <v>2124</v>
      </c>
      <c r="B2127" s="2" t="s">
        <v>2191</v>
      </c>
      <c r="C2127" s="2" t="str">
        <f>"13287982"</f>
        <v>13287982</v>
      </c>
      <c r="D2127" s="2">
        <v>0.34699999999999998</v>
      </c>
      <c r="E2127" s="2">
        <v>6</v>
      </c>
      <c r="F2127" s="2" t="s">
        <v>127</v>
      </c>
    </row>
    <row r="2128" spans="1:6" ht="25.5">
      <c r="A2128" s="2">
        <v>2125</v>
      </c>
      <c r="B2128" s="2" t="s">
        <v>2192</v>
      </c>
      <c r="C2128" s="2" t="str">
        <f>"03135373"</f>
        <v>03135373</v>
      </c>
      <c r="D2128" s="2">
        <v>0.33600000000000002</v>
      </c>
      <c r="E2128" s="2">
        <v>4</v>
      </c>
      <c r="F2128" s="2" t="s">
        <v>127</v>
      </c>
    </row>
    <row r="2129" spans="1:6" ht="25.5">
      <c r="A2129" s="2">
        <v>2126</v>
      </c>
      <c r="B2129" s="2" t="s">
        <v>2193</v>
      </c>
      <c r="C2129" s="2" t="str">
        <f>"13241583"</f>
        <v>13241583</v>
      </c>
      <c r="D2129" s="2">
        <v>0.48899999999999999</v>
      </c>
      <c r="E2129" s="2">
        <v>3</v>
      </c>
      <c r="F2129" s="2" t="s">
        <v>127</v>
      </c>
    </row>
    <row r="2130" spans="1:6" ht="25.5">
      <c r="A2130" s="2">
        <v>2127</v>
      </c>
      <c r="B2130" s="2" t="s">
        <v>2194</v>
      </c>
      <c r="C2130" s="2" t="str">
        <f>"0004959X"</f>
        <v>0004959X</v>
      </c>
      <c r="D2130" s="2">
        <v>0.41799999999999998</v>
      </c>
      <c r="E2130" s="2">
        <v>29</v>
      </c>
      <c r="F2130" s="2" t="s">
        <v>127</v>
      </c>
    </row>
    <row r="2131" spans="1:6" ht="25.5">
      <c r="A2131" s="2">
        <v>2128</v>
      </c>
      <c r="B2131" s="2" t="s">
        <v>2195</v>
      </c>
      <c r="C2131" s="2" t="str">
        <f>"00049670"</f>
        <v>00049670</v>
      </c>
      <c r="D2131" s="2">
        <v>0.25800000000000001</v>
      </c>
      <c r="E2131" s="2">
        <v>3</v>
      </c>
      <c r="F2131" s="2" t="s">
        <v>127</v>
      </c>
    </row>
    <row r="2132" spans="1:6" ht="25.5">
      <c r="A2132" s="2">
        <v>2129</v>
      </c>
      <c r="B2132" s="2" t="s">
        <v>2196</v>
      </c>
      <c r="C2132" s="2" t="str">
        <f>"14489791"</f>
        <v>14489791</v>
      </c>
      <c r="D2132" s="2">
        <v>0.1</v>
      </c>
      <c r="E2132" s="2">
        <v>1</v>
      </c>
      <c r="F2132" s="2" t="s">
        <v>127</v>
      </c>
    </row>
    <row r="2133" spans="1:6" ht="25.5">
      <c r="A2133" s="2">
        <v>2130</v>
      </c>
      <c r="B2133" s="2" t="s">
        <v>2197</v>
      </c>
      <c r="C2133" s="2" t="str">
        <f>"00049697"</f>
        <v>00049697</v>
      </c>
      <c r="D2133" s="2">
        <v>0.1</v>
      </c>
      <c r="E2133" s="2">
        <v>3</v>
      </c>
      <c r="F2133" s="2" t="s">
        <v>127</v>
      </c>
    </row>
    <row r="2134" spans="1:6" ht="25.5">
      <c r="A2134" s="2">
        <v>2131</v>
      </c>
      <c r="B2134" s="2" t="s">
        <v>2198</v>
      </c>
      <c r="C2134" s="2" t="str">
        <f>"03100049"</f>
        <v>03100049</v>
      </c>
      <c r="D2134" s="2">
        <v>0.379</v>
      </c>
      <c r="E2134" s="2">
        <v>6</v>
      </c>
      <c r="F2134" s="2" t="s">
        <v>127</v>
      </c>
    </row>
    <row r="2135" spans="1:6" ht="25.5">
      <c r="A2135" s="2">
        <v>2132</v>
      </c>
      <c r="B2135" s="2" t="s">
        <v>2199</v>
      </c>
      <c r="C2135" s="2" t="str">
        <f>"1836716X"</f>
        <v>1836716X</v>
      </c>
      <c r="D2135" s="2">
        <v>0.88500000000000001</v>
      </c>
      <c r="E2135" s="2">
        <v>23</v>
      </c>
      <c r="F2135" s="2" t="s">
        <v>127</v>
      </c>
    </row>
    <row r="2136" spans="1:6" ht="25.5">
      <c r="A2136" s="2">
        <v>2133</v>
      </c>
      <c r="B2136" s="2" t="s">
        <v>2200</v>
      </c>
      <c r="C2136" s="2" t="str">
        <f>"13203185"</f>
        <v>13203185</v>
      </c>
      <c r="D2136" s="2">
        <v>0.109</v>
      </c>
      <c r="E2136" s="2">
        <v>7</v>
      </c>
      <c r="F2136" s="2" t="s">
        <v>127</v>
      </c>
    </row>
    <row r="2137" spans="1:6" ht="25.5">
      <c r="A2137" s="2">
        <v>2134</v>
      </c>
      <c r="B2137" s="2" t="s">
        <v>2201</v>
      </c>
      <c r="C2137" s="2" t="str">
        <f>"14401630"</f>
        <v>14401630</v>
      </c>
      <c r="D2137" s="2">
        <v>0.38800000000000001</v>
      </c>
      <c r="E2137" s="2">
        <v>21</v>
      </c>
      <c r="F2137" s="2" t="s">
        <v>16</v>
      </c>
    </row>
    <row r="2138" spans="1:6" ht="25.5">
      <c r="A2138" s="2">
        <v>2135</v>
      </c>
      <c r="B2138" s="2" t="s">
        <v>2202</v>
      </c>
      <c r="C2138" s="2" t="str">
        <f>"05873908"</f>
        <v>05873908</v>
      </c>
      <c r="D2138" s="2">
        <v>0.309</v>
      </c>
      <c r="E2138" s="2">
        <v>12</v>
      </c>
      <c r="F2138" s="2" t="s">
        <v>127</v>
      </c>
    </row>
    <row r="2139" spans="1:6" ht="25.5">
      <c r="A2139" s="2">
        <v>2136</v>
      </c>
      <c r="B2139" s="2" t="s">
        <v>2203</v>
      </c>
      <c r="C2139" s="2" t="str">
        <f>"21506841"</f>
        <v>21506841</v>
      </c>
      <c r="D2139" s="2">
        <v>0.24199999999999999</v>
      </c>
      <c r="E2139" s="2">
        <v>3</v>
      </c>
      <c r="F2139" s="2" t="s">
        <v>16</v>
      </c>
    </row>
    <row r="2140" spans="1:6" ht="25.5">
      <c r="A2140" s="2">
        <v>2137</v>
      </c>
      <c r="B2140" s="2" t="s">
        <v>2204</v>
      </c>
      <c r="C2140" s="2" t="str">
        <f>"03128008"</f>
        <v>03128008</v>
      </c>
      <c r="D2140" s="2">
        <v>0.17199999999999999</v>
      </c>
      <c r="E2140" s="2">
        <v>12</v>
      </c>
      <c r="F2140" s="2" t="s">
        <v>127</v>
      </c>
    </row>
    <row r="2141" spans="1:6" ht="25.5">
      <c r="A2141" s="2">
        <v>2138</v>
      </c>
      <c r="B2141" s="2" t="s">
        <v>2205</v>
      </c>
      <c r="C2141" s="2" t="str">
        <f>"17429544"</f>
        <v>17429544</v>
      </c>
      <c r="D2141" s="2">
        <v>0.34300000000000003</v>
      </c>
      <c r="E2141" s="2">
        <v>21</v>
      </c>
      <c r="F2141" s="2" t="s">
        <v>6</v>
      </c>
    </row>
    <row r="2142" spans="1:6" ht="25.5">
      <c r="A2142" s="2">
        <v>2139</v>
      </c>
      <c r="B2142" s="2" t="s">
        <v>2206</v>
      </c>
      <c r="C2142" s="2" t="str">
        <f>"01550640"</f>
        <v>01550640</v>
      </c>
      <c r="D2142" s="2">
        <v>0.13500000000000001</v>
      </c>
      <c r="E2142" s="2">
        <v>2</v>
      </c>
      <c r="F2142" s="2" t="s">
        <v>127</v>
      </c>
    </row>
    <row r="2143" spans="1:6" ht="25.5">
      <c r="A2143" s="2">
        <v>2140</v>
      </c>
      <c r="B2143" s="2" t="s">
        <v>2207</v>
      </c>
      <c r="C2143" s="2" t="str">
        <f>"0312407X"</f>
        <v>0312407X</v>
      </c>
      <c r="D2143" s="2">
        <v>0.41</v>
      </c>
      <c r="E2143" s="2">
        <v>8</v>
      </c>
      <c r="F2143" s="2" t="s">
        <v>6</v>
      </c>
    </row>
    <row r="2144" spans="1:6" ht="25.5">
      <c r="A2144" s="2">
        <v>2141</v>
      </c>
      <c r="B2144" s="2" t="s">
        <v>2208</v>
      </c>
      <c r="C2144" s="2" t="str">
        <f>"10301887"</f>
        <v>10301887</v>
      </c>
      <c r="D2144" s="2">
        <v>0.70399999999999996</v>
      </c>
      <c r="E2144" s="2">
        <v>26</v>
      </c>
      <c r="F2144" s="2" t="s">
        <v>127</v>
      </c>
    </row>
    <row r="2145" spans="1:6" ht="25.5">
      <c r="A2145" s="2">
        <v>2142</v>
      </c>
      <c r="B2145" s="2" t="s">
        <v>2209</v>
      </c>
      <c r="C2145" s="2" t="str">
        <f>"00050423"</f>
        <v>00050423</v>
      </c>
      <c r="D2145" s="2">
        <v>0.47</v>
      </c>
      <c r="E2145" s="2">
        <v>34</v>
      </c>
      <c r="F2145" s="2" t="s">
        <v>16</v>
      </c>
    </row>
    <row r="2146" spans="1:6" ht="25.5">
      <c r="A2146" s="2">
        <v>2143</v>
      </c>
      <c r="B2146" s="2" t="s">
        <v>2210</v>
      </c>
      <c r="C2146" s="2" t="str">
        <f>"0310138X"</f>
        <v>0310138X</v>
      </c>
      <c r="D2146" s="2">
        <v>0.115</v>
      </c>
      <c r="E2146" s="2">
        <v>11</v>
      </c>
      <c r="F2146" s="2" t="s">
        <v>127</v>
      </c>
    </row>
    <row r="2147" spans="1:6" ht="25.5">
      <c r="A2147" s="2">
        <v>2144</v>
      </c>
      <c r="B2147" s="2" t="s">
        <v>2211</v>
      </c>
      <c r="C2147" s="2" t="str">
        <f>"00672238"</f>
        <v>00672238</v>
      </c>
      <c r="D2147" s="2">
        <v>0.20799999999999999</v>
      </c>
      <c r="E2147" s="2">
        <v>18</v>
      </c>
      <c r="F2147" s="2" t="s">
        <v>127</v>
      </c>
    </row>
    <row r="2148" spans="1:6" ht="25.5">
      <c r="A2148" s="2">
        <v>2145</v>
      </c>
      <c r="B2148" s="2" t="s">
        <v>2212</v>
      </c>
      <c r="C2148" s="2" t="str">
        <f>"06672378"</f>
        <v>06672378</v>
      </c>
      <c r="D2148" s="2">
        <v>0.10199999999999999</v>
      </c>
      <c r="E2148" s="2">
        <v>1</v>
      </c>
      <c r="F2148" s="2" t="s">
        <v>6</v>
      </c>
    </row>
    <row r="2149" spans="1:6" ht="25.5">
      <c r="A2149" s="2">
        <v>2146</v>
      </c>
      <c r="B2149" s="2" t="s">
        <v>2213</v>
      </c>
      <c r="C2149" s="2" t="str">
        <f>"19987773"</f>
        <v>19987773</v>
      </c>
      <c r="D2149" s="2">
        <v>0.107</v>
      </c>
      <c r="E2149" s="2">
        <v>1</v>
      </c>
      <c r="F2149" s="2" t="s">
        <v>288</v>
      </c>
    </row>
    <row r="2150" spans="1:6" ht="25.5">
      <c r="A2150" s="2">
        <v>2147</v>
      </c>
      <c r="B2150" s="2" t="s">
        <v>2214</v>
      </c>
      <c r="C2150" s="2" t="str">
        <f>"02517493"</f>
        <v>02517493</v>
      </c>
      <c r="D2150" s="2">
        <v>0.36499999999999999</v>
      </c>
      <c r="E2150" s="2">
        <v>7</v>
      </c>
      <c r="F2150" s="2" t="s">
        <v>288</v>
      </c>
    </row>
    <row r="2151" spans="1:6" ht="25.5">
      <c r="A2151" s="2">
        <v>2148</v>
      </c>
      <c r="B2151" s="2" t="s">
        <v>2215</v>
      </c>
      <c r="C2151" s="2" t="str">
        <f>"03795292"</f>
        <v>03795292</v>
      </c>
      <c r="D2151" s="2">
        <v>0.219</v>
      </c>
      <c r="E2151" s="2">
        <v>6</v>
      </c>
      <c r="F2151" s="2" t="s">
        <v>288</v>
      </c>
    </row>
    <row r="2152" spans="1:6" ht="25.5">
      <c r="A2152" s="2">
        <v>2149</v>
      </c>
      <c r="B2152" s="2" t="s">
        <v>2216</v>
      </c>
      <c r="C2152" s="2" t="str">
        <f>"00050601"</f>
        <v>00050601</v>
      </c>
      <c r="D2152" s="2">
        <v>0.107</v>
      </c>
      <c r="E2152" s="2">
        <v>1</v>
      </c>
      <c r="F2152" s="2" t="s">
        <v>190</v>
      </c>
    </row>
    <row r="2153" spans="1:6" ht="25.5">
      <c r="A2153" s="2">
        <v>2150</v>
      </c>
      <c r="B2153" s="2" t="s">
        <v>2217</v>
      </c>
      <c r="C2153" s="2" t="str">
        <f>"14709589"</f>
        <v>14709589</v>
      </c>
      <c r="D2153" s="2">
        <v>0.19700000000000001</v>
      </c>
      <c r="E2153" s="2">
        <v>14</v>
      </c>
      <c r="F2153" s="2" t="s">
        <v>169</v>
      </c>
    </row>
    <row r="2154" spans="1:6" ht="25.5">
      <c r="A2154" s="2">
        <v>2151</v>
      </c>
      <c r="B2154" s="2" t="s">
        <v>2218</v>
      </c>
      <c r="C2154" s="2" t="str">
        <f>"13623613"</f>
        <v>13623613</v>
      </c>
      <c r="D2154" s="2">
        <v>0.83099999999999996</v>
      </c>
      <c r="E2154" s="2">
        <v>47</v>
      </c>
      <c r="F2154" s="2" t="s">
        <v>16</v>
      </c>
    </row>
    <row r="2155" spans="1:6" ht="25.5">
      <c r="A2155" s="2">
        <v>2152</v>
      </c>
      <c r="B2155" s="2" t="s">
        <v>2219</v>
      </c>
      <c r="C2155" s="2" t="str">
        <f>"19393806"</f>
        <v>19393806</v>
      </c>
      <c r="D2155" s="2">
        <v>1.7889999999999999</v>
      </c>
      <c r="E2155" s="2">
        <v>23</v>
      </c>
      <c r="F2155" s="2" t="s">
        <v>6</v>
      </c>
    </row>
    <row r="2156" spans="1:6" ht="25.5">
      <c r="A2156" s="2">
        <v>2153</v>
      </c>
      <c r="B2156" s="2" t="s">
        <v>2220</v>
      </c>
      <c r="C2156" s="2" t="str">
        <f>"20900430"</f>
        <v>20900430</v>
      </c>
      <c r="D2156" s="2">
        <v>0.39900000000000002</v>
      </c>
      <c r="E2156" s="2">
        <v>6</v>
      </c>
      <c r="F2156" s="2" t="s">
        <v>523</v>
      </c>
    </row>
    <row r="2157" spans="1:6" ht="25.5">
      <c r="A2157" s="2">
        <v>2154</v>
      </c>
      <c r="B2157" s="2" t="s">
        <v>2221</v>
      </c>
      <c r="C2157" s="2" t="str">
        <f>"08916934"</f>
        <v>08916934</v>
      </c>
      <c r="D2157" s="2">
        <v>0.68200000000000005</v>
      </c>
      <c r="E2157" s="2">
        <v>43</v>
      </c>
      <c r="F2157" s="2" t="s">
        <v>16</v>
      </c>
    </row>
    <row r="2158" spans="1:6" ht="25.5">
      <c r="A2158" s="2">
        <v>2155</v>
      </c>
      <c r="B2158" s="2" t="s">
        <v>2222</v>
      </c>
      <c r="C2158" s="2" t="str">
        <f>"20383274"</f>
        <v>20383274</v>
      </c>
      <c r="D2158" s="2">
        <v>0.17</v>
      </c>
      <c r="E2158" s="2">
        <v>3</v>
      </c>
      <c r="F2158" s="2" t="s">
        <v>190</v>
      </c>
    </row>
    <row r="2159" spans="1:6" ht="25.5">
      <c r="A2159" s="2">
        <v>2156</v>
      </c>
      <c r="B2159" s="2" t="s">
        <v>2223</v>
      </c>
      <c r="C2159" s="2" t="str">
        <f>"15689972"</f>
        <v>15689972</v>
      </c>
      <c r="D2159" s="2">
        <v>1.3859999999999999</v>
      </c>
      <c r="E2159" s="2">
        <v>58</v>
      </c>
      <c r="F2159" s="2" t="s">
        <v>75</v>
      </c>
    </row>
    <row r="2160" spans="1:6" ht="25.5">
      <c r="A2160" s="2">
        <v>2157</v>
      </c>
      <c r="B2160" s="2" t="s">
        <v>2224</v>
      </c>
      <c r="C2160" s="2" t="str">
        <f>"15737535"</f>
        <v>15737535</v>
      </c>
      <c r="D2160" s="2">
        <v>1.784</v>
      </c>
      <c r="E2160" s="2">
        <v>26</v>
      </c>
      <c r="F2160" s="2" t="s">
        <v>75</v>
      </c>
    </row>
    <row r="2161" spans="1:6" ht="25.5">
      <c r="A2161" s="2">
        <v>2158</v>
      </c>
      <c r="B2161" s="2" t="s">
        <v>2225</v>
      </c>
      <c r="C2161" s="2" t="str">
        <f>"00051098"</f>
        <v>00051098</v>
      </c>
      <c r="D2161" s="2">
        <v>4.83</v>
      </c>
      <c r="E2161" s="2">
        <v>140</v>
      </c>
      <c r="F2161" s="2" t="s">
        <v>16</v>
      </c>
    </row>
    <row r="2162" spans="1:6" ht="25.5">
      <c r="A2162" s="2">
        <v>2159</v>
      </c>
      <c r="B2162" s="2" t="s">
        <v>2226</v>
      </c>
      <c r="C2162" s="2" t="str">
        <f>"01464116"</f>
        <v>01464116</v>
      </c>
      <c r="D2162" s="2">
        <v>0.13900000000000001</v>
      </c>
      <c r="E2162" s="2">
        <v>5</v>
      </c>
      <c r="F2162" s="2" t="s">
        <v>6</v>
      </c>
    </row>
    <row r="2163" spans="1:6" ht="25.5">
      <c r="A2163" s="2">
        <v>2160</v>
      </c>
      <c r="B2163" s="2" t="s">
        <v>2227</v>
      </c>
      <c r="C2163" s="2" t="str">
        <f>"00051144"</f>
        <v>00051144</v>
      </c>
      <c r="D2163" s="2">
        <v>0.22700000000000001</v>
      </c>
      <c r="E2163" s="2">
        <v>5</v>
      </c>
      <c r="F2163" s="2" t="s">
        <v>149</v>
      </c>
    </row>
    <row r="2164" spans="1:6" ht="25.5">
      <c r="A2164" s="2">
        <v>2161</v>
      </c>
      <c r="B2164" s="2" t="s">
        <v>2228</v>
      </c>
      <c r="C2164" s="2" t="str">
        <f>"16083032"</f>
        <v>16083032</v>
      </c>
      <c r="D2164" s="2">
        <v>0.35</v>
      </c>
      <c r="E2164" s="2">
        <v>16</v>
      </c>
      <c r="F2164" s="2" t="s">
        <v>129</v>
      </c>
    </row>
    <row r="2165" spans="1:6" ht="25.5">
      <c r="A2165" s="2">
        <v>2162</v>
      </c>
      <c r="B2165" s="2" t="s">
        <v>2229</v>
      </c>
      <c r="C2165" s="2" t="str">
        <f>"09265805"</f>
        <v>09265805</v>
      </c>
      <c r="D2165" s="2">
        <v>1.2490000000000001</v>
      </c>
      <c r="E2165" s="2">
        <v>42</v>
      </c>
      <c r="F2165" s="2" t="s">
        <v>75</v>
      </c>
    </row>
    <row r="2166" spans="1:6" ht="25.5">
      <c r="A2166" s="2">
        <v>2163</v>
      </c>
      <c r="B2166" s="2" t="s">
        <v>2230</v>
      </c>
      <c r="C2166" s="2" t="str">
        <f>"01782312"</f>
        <v>01782312</v>
      </c>
      <c r="D2166" s="2">
        <v>0.29399999999999998</v>
      </c>
      <c r="E2166" s="2">
        <v>6</v>
      </c>
      <c r="F2166" s="2" t="s">
        <v>12</v>
      </c>
    </row>
    <row r="2167" spans="1:6" ht="25.5">
      <c r="A2167" s="2">
        <v>2164</v>
      </c>
      <c r="B2167" s="2" t="s">
        <v>2231</v>
      </c>
      <c r="C2167" s="2" t="str">
        <f>"10994130"</f>
        <v>10994130</v>
      </c>
      <c r="D2167" s="2">
        <v>0.1</v>
      </c>
      <c r="E2167" s="2">
        <v>3</v>
      </c>
      <c r="F2167" s="2" t="s">
        <v>6</v>
      </c>
    </row>
    <row r="2168" spans="1:6" ht="25.5">
      <c r="A2168" s="2">
        <v>2165</v>
      </c>
      <c r="B2168" s="2" t="s">
        <v>2232</v>
      </c>
      <c r="C2168" s="2" t="str">
        <f>"14748665"</f>
        <v>14748665</v>
      </c>
      <c r="D2168" s="2">
        <v>0.21</v>
      </c>
      <c r="E2168" s="2">
        <v>26</v>
      </c>
      <c r="F2168" s="2" t="s">
        <v>16</v>
      </c>
    </row>
    <row r="2169" spans="1:6" ht="25.5">
      <c r="A2169" s="2">
        <v>2166</v>
      </c>
      <c r="B2169" s="2" t="s">
        <v>2233</v>
      </c>
      <c r="C2169" s="2" t="str">
        <f>"18727484"</f>
        <v>18727484</v>
      </c>
      <c r="D2169" s="2">
        <v>0.627</v>
      </c>
      <c r="E2169" s="2">
        <v>53</v>
      </c>
      <c r="F2169" s="2" t="s">
        <v>75</v>
      </c>
    </row>
    <row r="2170" spans="1:6" ht="25.5">
      <c r="A2170" s="2">
        <v>2167</v>
      </c>
      <c r="B2170" s="2" t="s">
        <v>2234</v>
      </c>
      <c r="C2170" s="2" t="str">
        <f>"15737454"</f>
        <v>15737454</v>
      </c>
      <c r="D2170" s="2">
        <v>1.534</v>
      </c>
      <c r="E2170" s="2">
        <v>41</v>
      </c>
      <c r="F2170" s="2" t="s">
        <v>75</v>
      </c>
    </row>
    <row r="2171" spans="1:6" ht="25.5">
      <c r="A2171" s="2">
        <v>2168</v>
      </c>
      <c r="B2171" s="2" t="s">
        <v>2235</v>
      </c>
      <c r="C2171" s="2" t="str">
        <f>"15737527"</f>
        <v>15737527</v>
      </c>
      <c r="D2171" s="2">
        <v>2.5059999999999998</v>
      </c>
      <c r="E2171" s="2">
        <v>61</v>
      </c>
      <c r="F2171" s="2" t="s">
        <v>75</v>
      </c>
    </row>
    <row r="2172" spans="1:6" ht="25.5">
      <c r="A2172" s="2">
        <v>2169</v>
      </c>
      <c r="B2172" s="2" t="s">
        <v>2236</v>
      </c>
      <c r="C2172" s="2" t="str">
        <f>"15548627"</f>
        <v>15548627</v>
      </c>
      <c r="D2172" s="2">
        <v>2.31</v>
      </c>
      <c r="E2172" s="2">
        <v>61</v>
      </c>
      <c r="F2172" s="2" t="s">
        <v>6</v>
      </c>
    </row>
    <row r="2173" spans="1:6" ht="25.5">
      <c r="A2173" s="2">
        <v>2170</v>
      </c>
      <c r="B2173" s="2" t="s">
        <v>2237</v>
      </c>
      <c r="C2173" s="2" t="str">
        <f>"16168216"</f>
        <v>16168216</v>
      </c>
      <c r="D2173" s="2">
        <v>0.10100000000000001</v>
      </c>
      <c r="E2173" s="2">
        <v>4</v>
      </c>
      <c r="F2173" s="2" t="s">
        <v>12</v>
      </c>
    </row>
    <row r="2174" spans="1:6" ht="25.5">
      <c r="A2174" s="2">
        <v>2171</v>
      </c>
      <c r="B2174" s="2" t="s">
        <v>2238</v>
      </c>
      <c r="C2174" s="2" t="str">
        <f>"07347510"</f>
        <v>07347510</v>
      </c>
      <c r="D2174" s="2">
        <v>0.16800000000000001</v>
      </c>
      <c r="E2174" s="2">
        <v>11</v>
      </c>
      <c r="F2174" s="2" t="s">
        <v>6</v>
      </c>
    </row>
    <row r="2175" spans="1:6" ht="25.5">
      <c r="A2175" s="2">
        <v>2172</v>
      </c>
      <c r="B2175" s="2" t="s">
        <v>2239</v>
      </c>
      <c r="C2175" s="2" t="str">
        <f>"11343230"</f>
        <v>11343230</v>
      </c>
      <c r="D2175" s="2">
        <v>0.111</v>
      </c>
      <c r="E2175" s="2">
        <v>2</v>
      </c>
      <c r="F2175" s="2" t="s">
        <v>351</v>
      </c>
    </row>
    <row r="2176" spans="1:6" ht="25.5">
      <c r="A2176" s="2">
        <v>2173</v>
      </c>
      <c r="B2176" s="2" t="s">
        <v>2240</v>
      </c>
      <c r="C2176" s="2" t="str">
        <f>"02131285"</f>
        <v>02131285</v>
      </c>
      <c r="D2176" s="2">
        <v>0.10199999999999999</v>
      </c>
      <c r="E2176" s="2">
        <v>3</v>
      </c>
      <c r="F2176" s="2" t="s">
        <v>351</v>
      </c>
    </row>
    <row r="2177" spans="1:6" ht="25.5">
      <c r="A2177" s="2">
        <v>2174</v>
      </c>
      <c r="B2177" s="2" t="s">
        <v>2241</v>
      </c>
      <c r="C2177" s="2" t="str">
        <f>"17944724"</f>
        <v>17944724</v>
      </c>
      <c r="D2177" s="2">
        <v>0.17599999999999999</v>
      </c>
      <c r="E2177" s="2">
        <v>3</v>
      </c>
      <c r="F2177" s="2" t="s">
        <v>184</v>
      </c>
    </row>
    <row r="2178" spans="1:6" ht="25.5">
      <c r="A2178" s="2">
        <v>2175</v>
      </c>
      <c r="B2178" s="2" t="s">
        <v>2242</v>
      </c>
      <c r="C2178" s="2" t="str">
        <f>"18565301"</f>
        <v>18565301</v>
      </c>
      <c r="D2178" s="2">
        <v>0</v>
      </c>
      <c r="E2178" s="2">
        <v>0</v>
      </c>
      <c r="F2178" s="2" t="s">
        <v>184</v>
      </c>
    </row>
    <row r="2179" spans="1:6" ht="25.5">
      <c r="A2179" s="2">
        <v>2176</v>
      </c>
      <c r="B2179" s="2" t="s">
        <v>2243</v>
      </c>
      <c r="C2179" s="2" t="str">
        <f>"07642873"</f>
        <v>07642873</v>
      </c>
      <c r="D2179" s="2">
        <v>0.1</v>
      </c>
      <c r="E2179" s="2">
        <v>1</v>
      </c>
      <c r="F2179" s="2" t="s">
        <v>66</v>
      </c>
    </row>
    <row r="2180" spans="1:6" ht="25.5">
      <c r="A2180" s="2">
        <v>2177</v>
      </c>
      <c r="B2180" s="2" t="s">
        <v>2244</v>
      </c>
      <c r="C2180" s="2" t="str">
        <f>"0233528X"</f>
        <v>0233528X</v>
      </c>
      <c r="D2180" s="2">
        <v>0.104</v>
      </c>
      <c r="E2180" s="2">
        <v>8</v>
      </c>
      <c r="F2180" s="2" t="s">
        <v>129</v>
      </c>
    </row>
    <row r="2181" spans="1:6" ht="25.5">
      <c r="A2181" s="2">
        <v>2178</v>
      </c>
      <c r="B2181" s="2" t="s">
        <v>2245</v>
      </c>
      <c r="C2181" s="2" t="str">
        <f>"17581559"</f>
        <v>17581559</v>
      </c>
      <c r="D2181" s="2">
        <v>0.24099999999999999</v>
      </c>
      <c r="E2181" s="2">
        <v>22</v>
      </c>
      <c r="F2181" s="2" t="s">
        <v>16</v>
      </c>
    </row>
    <row r="2182" spans="1:6" ht="25.5">
      <c r="A2182" s="2">
        <v>2179</v>
      </c>
      <c r="B2182" s="2" t="s">
        <v>2246</v>
      </c>
      <c r="C2182" s="2" t="str">
        <f>"17126576"</f>
        <v>17126576</v>
      </c>
      <c r="D2182" s="2">
        <v>0.441</v>
      </c>
      <c r="E2182" s="2">
        <v>4</v>
      </c>
      <c r="F2182" s="2" t="s">
        <v>64</v>
      </c>
    </row>
    <row r="2183" spans="1:6" ht="25.5">
      <c r="A2183" s="2">
        <v>2180</v>
      </c>
      <c r="B2183" s="2" t="s">
        <v>2247</v>
      </c>
      <c r="C2183" s="2" t="str">
        <f>"00052086"</f>
        <v>00052086</v>
      </c>
      <c r="D2183" s="2">
        <v>0.74199999999999999</v>
      </c>
      <c r="E2183" s="2">
        <v>51</v>
      </c>
      <c r="F2183" s="2" t="s">
        <v>6</v>
      </c>
    </row>
    <row r="2184" spans="1:6" ht="25.5">
      <c r="A2184" s="2">
        <v>2181</v>
      </c>
      <c r="B2184" s="2" t="s">
        <v>2248</v>
      </c>
      <c r="C2184" s="2" t="str">
        <f>"14653338"</f>
        <v>14653338</v>
      </c>
      <c r="D2184" s="2">
        <v>0.83399999999999996</v>
      </c>
      <c r="E2184" s="2">
        <v>49</v>
      </c>
      <c r="F2184" s="2" t="s">
        <v>16</v>
      </c>
    </row>
    <row r="2185" spans="1:6" ht="25.5">
      <c r="A2185" s="2">
        <v>2182</v>
      </c>
      <c r="B2185" s="2" t="s">
        <v>2249</v>
      </c>
      <c r="C2185" s="2" t="str">
        <f>"18224180"</f>
        <v>18224180</v>
      </c>
      <c r="D2185" s="2">
        <v>0.14399999999999999</v>
      </c>
      <c r="E2185" s="2">
        <v>3</v>
      </c>
      <c r="F2185" s="2" t="s">
        <v>426</v>
      </c>
    </row>
    <row r="2186" spans="1:6" ht="25.5">
      <c r="A2186" s="2">
        <v>2183</v>
      </c>
      <c r="B2186" s="2" t="s">
        <v>2250</v>
      </c>
      <c r="C2186" s="2" t="str">
        <f>"00956562"</f>
        <v>00956562</v>
      </c>
      <c r="D2186" s="2">
        <v>0.372</v>
      </c>
      <c r="E2186" s="2">
        <v>41</v>
      </c>
      <c r="F2186" s="2" t="s">
        <v>6</v>
      </c>
    </row>
    <row r="2187" spans="1:6" ht="25.5">
      <c r="A2187" s="2">
        <v>2184</v>
      </c>
      <c r="B2187" s="2" t="s">
        <v>2251</v>
      </c>
      <c r="C2187" s="2" t="str">
        <f>"20084625"</f>
        <v>20084625</v>
      </c>
      <c r="D2187" s="2">
        <v>0.14599999999999999</v>
      </c>
      <c r="E2187" s="2">
        <v>3</v>
      </c>
      <c r="F2187" s="2" t="s">
        <v>299</v>
      </c>
    </row>
    <row r="2188" spans="1:6" ht="25.5">
      <c r="A2188" s="2">
        <v>2185</v>
      </c>
      <c r="B2188" s="2" t="s">
        <v>2252</v>
      </c>
      <c r="C2188" s="2" t="str">
        <f>"04044266"</f>
        <v>04044266</v>
      </c>
      <c r="D2188" s="2">
        <v>0.13600000000000001</v>
      </c>
      <c r="E2188" s="2">
        <v>3</v>
      </c>
      <c r="F2188" s="2" t="s">
        <v>190</v>
      </c>
    </row>
    <row r="2189" spans="1:6" ht="25.5">
      <c r="A2189" s="2">
        <v>2186</v>
      </c>
      <c r="B2189" s="2" t="s">
        <v>2253</v>
      </c>
      <c r="C2189" s="2" t="str">
        <f>"11221151"</f>
        <v>11221151</v>
      </c>
      <c r="D2189" s="2">
        <v>0.19</v>
      </c>
      <c r="E2189" s="2">
        <v>10</v>
      </c>
      <c r="F2189" s="2" t="s">
        <v>75</v>
      </c>
    </row>
    <row r="2190" spans="1:6" ht="25.5">
      <c r="A2190" s="2">
        <v>2187</v>
      </c>
      <c r="B2190" s="2" t="s">
        <v>2254</v>
      </c>
      <c r="C2190" s="2" t="str">
        <f>"11342277"</f>
        <v>11342277</v>
      </c>
      <c r="D2190" s="2">
        <v>0</v>
      </c>
      <c r="E2190" s="2">
        <v>0</v>
      </c>
      <c r="F2190" s="2" t="s">
        <v>351</v>
      </c>
    </row>
    <row r="2191" spans="1:6" ht="25.5">
      <c r="A2191" s="2">
        <v>2188</v>
      </c>
      <c r="B2191" s="2" t="s">
        <v>2255</v>
      </c>
      <c r="C2191" s="2" t="str">
        <f>"0067270X"</f>
        <v>0067270X</v>
      </c>
      <c r="D2191" s="2">
        <v>0.24</v>
      </c>
      <c r="E2191" s="2">
        <v>4</v>
      </c>
      <c r="F2191" s="2" t="s">
        <v>6</v>
      </c>
    </row>
    <row r="2192" spans="1:6" ht="25.5">
      <c r="A2192" s="2">
        <v>2189</v>
      </c>
      <c r="B2192" s="2" t="s">
        <v>2256</v>
      </c>
      <c r="C2192" s="2" t="str">
        <f>"00052523"</f>
        <v>00052523</v>
      </c>
      <c r="D2192" s="2">
        <v>0.1</v>
      </c>
      <c r="E2192" s="2">
        <v>2</v>
      </c>
      <c r="F2192" s="2" t="s">
        <v>1516</v>
      </c>
    </row>
    <row r="2193" spans="1:6" ht="25.5">
      <c r="A2193" s="2">
        <v>2190</v>
      </c>
      <c r="B2193" s="2" t="s">
        <v>2257</v>
      </c>
      <c r="C2193" s="2" t="str">
        <f>"19941951"</f>
        <v>19941951</v>
      </c>
      <c r="D2193" s="2">
        <v>0.10299999999999999</v>
      </c>
      <c r="E2193" s="2">
        <v>1</v>
      </c>
      <c r="F2193" s="2" t="s">
        <v>1516</v>
      </c>
    </row>
    <row r="2194" spans="1:6" ht="25.5">
      <c r="A2194" s="2">
        <v>2191</v>
      </c>
      <c r="B2194" s="2" t="s">
        <v>2258</v>
      </c>
      <c r="C2194" s="2" t="str">
        <f>"13028324"</f>
        <v>13028324</v>
      </c>
      <c r="D2194" s="2">
        <v>0.10100000000000001</v>
      </c>
      <c r="E2194" s="2">
        <v>1</v>
      </c>
      <c r="F2194" s="2" t="s">
        <v>345</v>
      </c>
    </row>
    <row r="2195" spans="1:6" ht="25.5">
      <c r="A2195" s="2">
        <v>2192</v>
      </c>
      <c r="B2195" s="2" t="s">
        <v>2259</v>
      </c>
      <c r="C2195" s="2" t="str">
        <f>"05219744"</f>
        <v>05219744</v>
      </c>
      <c r="D2195" s="2">
        <v>0.10100000000000001</v>
      </c>
      <c r="E2195" s="2">
        <v>1</v>
      </c>
      <c r="F2195" s="2" t="s">
        <v>75</v>
      </c>
    </row>
    <row r="2196" spans="1:6" ht="25.5">
      <c r="A2196" s="2">
        <v>2193</v>
      </c>
      <c r="B2196" s="2" t="s">
        <v>2260</v>
      </c>
      <c r="C2196" s="2" t="str">
        <f>"17831369"</f>
        <v>17831369</v>
      </c>
      <c r="D2196" s="2">
        <v>0.10199999999999999</v>
      </c>
      <c r="E2196" s="2">
        <v>1</v>
      </c>
      <c r="F2196" s="2" t="s">
        <v>161</v>
      </c>
    </row>
    <row r="2197" spans="1:6" ht="25.5">
      <c r="A2197" s="2">
        <v>2194</v>
      </c>
      <c r="B2197" s="2" t="s">
        <v>2261</v>
      </c>
      <c r="C2197" s="2" t="str">
        <f>"00053600"</f>
        <v>00053600</v>
      </c>
      <c r="D2197" s="2">
        <v>0.10199999999999999</v>
      </c>
      <c r="E2197" s="2">
        <v>1</v>
      </c>
      <c r="F2197" s="2" t="s">
        <v>6</v>
      </c>
    </row>
    <row r="2198" spans="1:6" ht="25.5">
      <c r="A2198" s="2">
        <v>2195</v>
      </c>
      <c r="B2198" s="2" t="s">
        <v>2262</v>
      </c>
      <c r="C2198" s="2" t="str">
        <f>"10128298"</f>
        <v>10128298</v>
      </c>
      <c r="D2198" s="2">
        <v>0.187</v>
      </c>
      <c r="E2198" s="2">
        <v>6</v>
      </c>
      <c r="F2198" s="2" t="s">
        <v>2263</v>
      </c>
    </row>
    <row r="2199" spans="1:6" ht="25.5">
      <c r="A2199" s="2">
        <v>2196</v>
      </c>
      <c r="B2199" s="2" t="s">
        <v>2264</v>
      </c>
      <c r="C2199" s="2" t="str">
        <f>"15216918"</f>
        <v>15216918</v>
      </c>
      <c r="D2199" s="2">
        <v>0.95699999999999996</v>
      </c>
      <c r="E2199" s="2">
        <v>55</v>
      </c>
      <c r="F2199" s="2" t="s">
        <v>16</v>
      </c>
    </row>
    <row r="2200" spans="1:6" ht="25.5">
      <c r="A2200" s="2">
        <v>2197</v>
      </c>
      <c r="B2200" s="2" t="s">
        <v>2265</v>
      </c>
      <c r="C2200" s="2" t="str">
        <f>"03602206"</f>
        <v>03602206</v>
      </c>
      <c r="D2200" s="2">
        <v>0.155</v>
      </c>
      <c r="E2200" s="2">
        <v>1</v>
      </c>
      <c r="F2200" s="2" t="s">
        <v>6</v>
      </c>
    </row>
    <row r="2201" spans="1:6" ht="25.5">
      <c r="A2201" s="2">
        <v>2198</v>
      </c>
      <c r="B2201" s="2" t="s">
        <v>2266</v>
      </c>
      <c r="C2201" s="2" t="str">
        <f>"12242780"</f>
        <v>12242780</v>
      </c>
      <c r="D2201" s="2">
        <v>0.47699999999999998</v>
      </c>
      <c r="E2201" s="2">
        <v>9</v>
      </c>
      <c r="F2201" s="2" t="s">
        <v>19</v>
      </c>
    </row>
    <row r="2202" spans="1:6" ht="25.5">
      <c r="A2202" s="2">
        <v>2199</v>
      </c>
      <c r="B2202" s="2" t="s">
        <v>2267</v>
      </c>
      <c r="C2202" s="2" t="str">
        <f>"13110160"</f>
        <v>13110160</v>
      </c>
      <c r="D2202" s="2">
        <v>0.10299999999999999</v>
      </c>
      <c r="E2202" s="2">
        <v>4</v>
      </c>
      <c r="F2202" s="2" t="s">
        <v>2268</v>
      </c>
    </row>
    <row r="2203" spans="1:6" ht="25.5">
      <c r="A2203" s="2">
        <v>2200</v>
      </c>
      <c r="B2203" s="2" t="s">
        <v>2269</v>
      </c>
      <c r="C2203" s="2" t="str">
        <f>"21463131"</f>
        <v>21463131</v>
      </c>
      <c r="D2203" s="2">
        <v>0.156</v>
      </c>
      <c r="E2203" s="2">
        <v>3</v>
      </c>
      <c r="F2203" s="2" t="s">
        <v>345</v>
      </c>
    </row>
    <row r="2204" spans="1:6" ht="25.5">
      <c r="A2204" s="2">
        <v>2201</v>
      </c>
      <c r="B2204" s="2" t="s">
        <v>2270</v>
      </c>
      <c r="C2204" s="2" t="str">
        <f>"05220653"</f>
        <v>05220653</v>
      </c>
      <c r="D2204" s="2">
        <v>0.1</v>
      </c>
      <c r="E2204" s="2">
        <v>1</v>
      </c>
      <c r="F2204" s="2" t="s">
        <v>6</v>
      </c>
    </row>
    <row r="2205" spans="1:6" ht="25.5">
      <c r="A2205" s="2">
        <v>2202</v>
      </c>
      <c r="B2205" s="2" t="s">
        <v>2271</v>
      </c>
      <c r="C2205" s="2" t="str">
        <f>"00673064"</f>
        <v>00673064</v>
      </c>
      <c r="D2205" s="2">
        <v>0.313</v>
      </c>
      <c r="E2205" s="2">
        <v>10</v>
      </c>
      <c r="F2205" s="2" t="s">
        <v>426</v>
      </c>
    </row>
    <row r="2206" spans="1:6" ht="25.5">
      <c r="A2206" s="2">
        <v>2203</v>
      </c>
      <c r="B2206" s="2" t="s">
        <v>2272</v>
      </c>
      <c r="C2206" s="2" t="str">
        <f>"13920049"</f>
        <v>13920049</v>
      </c>
      <c r="D2206" s="2">
        <v>0.30599999999999999</v>
      </c>
      <c r="E2206" s="2">
        <v>16</v>
      </c>
      <c r="F2206" s="2" t="s">
        <v>426</v>
      </c>
    </row>
    <row r="2207" spans="1:6" ht="25.5">
      <c r="A2207" s="2">
        <v>2204</v>
      </c>
      <c r="B2207" s="2" t="s">
        <v>2273</v>
      </c>
      <c r="C2207" s="2" t="str">
        <f>"13921355"</f>
        <v>13921355</v>
      </c>
      <c r="D2207" s="2">
        <v>0.20799999999999999</v>
      </c>
      <c r="E2207" s="2">
        <v>5</v>
      </c>
      <c r="F2207" s="2" t="s">
        <v>426</v>
      </c>
    </row>
    <row r="2208" spans="1:6" ht="25.5">
      <c r="A2208" s="2">
        <v>2205</v>
      </c>
      <c r="B2208" s="2" t="s">
        <v>2274</v>
      </c>
      <c r="C2208" s="2" t="str">
        <f>"14078619"</f>
        <v>14078619</v>
      </c>
      <c r="D2208" s="2">
        <v>0.21099999999999999</v>
      </c>
      <c r="E2208" s="2">
        <v>6</v>
      </c>
      <c r="F2208" s="2" t="s">
        <v>2275</v>
      </c>
    </row>
    <row r="2209" spans="1:6" ht="25.5">
      <c r="A2209" s="2">
        <v>2206</v>
      </c>
      <c r="B2209" s="2" t="s">
        <v>2276</v>
      </c>
      <c r="C2209" s="2" t="str">
        <f>"1406099X"</f>
        <v>1406099X</v>
      </c>
      <c r="D2209" s="2">
        <v>0.14099999999999999</v>
      </c>
      <c r="E2209" s="2">
        <v>2</v>
      </c>
      <c r="F2209" s="2" t="s">
        <v>2275</v>
      </c>
    </row>
    <row r="2210" spans="1:6" ht="25.5">
      <c r="A2210" s="2">
        <v>2207</v>
      </c>
      <c r="B2210" s="2" t="s">
        <v>2277</v>
      </c>
      <c r="C2210" s="2" t="str">
        <f>"17465265"</f>
        <v>17465265</v>
      </c>
      <c r="D2210" s="2">
        <v>0.27900000000000003</v>
      </c>
      <c r="E2210" s="2">
        <v>8</v>
      </c>
      <c r="F2210" s="2" t="s">
        <v>16</v>
      </c>
    </row>
    <row r="2211" spans="1:6" ht="25.5">
      <c r="A2211" s="2">
        <v>2208</v>
      </c>
      <c r="B2211" s="2" t="s">
        <v>2278</v>
      </c>
      <c r="C2211" s="2" t="str">
        <f>"18224288"</f>
        <v>18224288</v>
      </c>
      <c r="D2211" s="2">
        <v>0.61799999999999999</v>
      </c>
      <c r="E2211" s="2">
        <v>10</v>
      </c>
      <c r="F2211" s="2" t="s">
        <v>426</v>
      </c>
    </row>
    <row r="2212" spans="1:6" ht="25.5">
      <c r="A2212" s="2">
        <v>2209</v>
      </c>
      <c r="B2212" s="2" t="s">
        <v>2279</v>
      </c>
      <c r="C2212" s="2" t="str">
        <f>"17358787"</f>
        <v>17358787</v>
      </c>
      <c r="D2212" s="2">
        <v>0.55100000000000005</v>
      </c>
      <c r="E2212" s="2">
        <v>5</v>
      </c>
      <c r="F2212" s="2" t="s">
        <v>299</v>
      </c>
    </row>
    <row r="2213" spans="1:6" ht="25.5">
      <c r="A2213" s="2">
        <v>2210</v>
      </c>
      <c r="B2213" s="2" t="s">
        <v>2280</v>
      </c>
      <c r="C2213" s="2" t="str">
        <f>"10015868"</f>
        <v>10015868</v>
      </c>
      <c r="D2213" s="2">
        <v>0.11</v>
      </c>
      <c r="E2213" s="2">
        <v>8</v>
      </c>
      <c r="F2213" s="2" t="s">
        <v>46</v>
      </c>
    </row>
    <row r="2214" spans="1:6" ht="25.5">
      <c r="A2214" s="2">
        <v>2211</v>
      </c>
      <c r="B2214" s="2" t="s">
        <v>2281</v>
      </c>
      <c r="C2214" s="2" t="str">
        <f>"02535416"</f>
        <v>02535416</v>
      </c>
      <c r="D2214" s="2">
        <v>0.24199999999999999</v>
      </c>
      <c r="E2214" s="2">
        <v>8</v>
      </c>
      <c r="F2214" s="2" t="s">
        <v>2282</v>
      </c>
    </row>
    <row r="2215" spans="1:6" ht="25.5">
      <c r="A2215" s="2">
        <v>2212</v>
      </c>
      <c r="B2215" s="2" t="s">
        <v>2283</v>
      </c>
      <c r="C2215" s="2" t="str">
        <f>"20760299"</f>
        <v>20760299</v>
      </c>
      <c r="D2215" s="2">
        <v>0.161</v>
      </c>
      <c r="E2215" s="2">
        <v>2</v>
      </c>
      <c r="F2215" s="2" t="s">
        <v>2282</v>
      </c>
    </row>
    <row r="2216" spans="1:6" ht="25.5">
      <c r="A2216" s="2">
        <v>2213</v>
      </c>
      <c r="B2216" s="2" t="s">
        <v>2284</v>
      </c>
      <c r="C2216" s="2" t="str">
        <f>"10184287"</f>
        <v>10184287</v>
      </c>
      <c r="D2216" s="2">
        <v>0.1</v>
      </c>
      <c r="E2216" s="2">
        <v>2</v>
      </c>
      <c r="F2216" s="2" t="s">
        <v>2282</v>
      </c>
    </row>
    <row r="2217" spans="1:6" ht="25.5">
      <c r="A2217" s="2">
        <v>2214</v>
      </c>
      <c r="B2217" s="2" t="s">
        <v>2285</v>
      </c>
      <c r="C2217" s="2" t="str">
        <f>"19910088"</f>
        <v>19910088</v>
      </c>
      <c r="D2217" s="2">
        <v>0.221</v>
      </c>
      <c r="E2217" s="2">
        <v>7</v>
      </c>
      <c r="F2217" s="2" t="s">
        <v>2282</v>
      </c>
    </row>
    <row r="2218" spans="1:6" ht="25.5">
      <c r="A2218" s="2">
        <v>2215</v>
      </c>
      <c r="B2218" s="2" t="s">
        <v>2286</v>
      </c>
      <c r="C2218" s="2" t="str">
        <f>"10282092"</f>
        <v>10282092</v>
      </c>
      <c r="D2218" s="2">
        <v>0.17100000000000001</v>
      </c>
      <c r="E2218" s="2">
        <v>6</v>
      </c>
      <c r="F2218" s="2" t="s">
        <v>2282</v>
      </c>
    </row>
    <row r="2219" spans="1:6" ht="25.5">
      <c r="A2219" s="2">
        <v>2216</v>
      </c>
      <c r="B2219" s="2" t="s">
        <v>2287</v>
      </c>
      <c r="C2219" s="2" t="str">
        <f>"03779238"</f>
        <v>03779238</v>
      </c>
      <c r="D2219" s="2">
        <v>0.14799999999999999</v>
      </c>
      <c r="E2219" s="2">
        <v>12</v>
      </c>
      <c r="F2219" s="2" t="s">
        <v>2282</v>
      </c>
    </row>
    <row r="2220" spans="1:6" ht="25.5">
      <c r="A2220" s="2">
        <v>2217</v>
      </c>
      <c r="B2220" s="2" t="s">
        <v>2288</v>
      </c>
      <c r="C2220" s="2" t="str">
        <f>"19477945"</f>
        <v>19477945</v>
      </c>
      <c r="D2220" s="2">
        <v>0.10100000000000001</v>
      </c>
      <c r="E2220" s="2">
        <v>1</v>
      </c>
      <c r="F2220" s="2" t="s">
        <v>6</v>
      </c>
    </row>
    <row r="2221" spans="1:6" ht="25.5">
      <c r="A2221" s="2">
        <v>2218</v>
      </c>
      <c r="B2221" s="2" t="s">
        <v>2289</v>
      </c>
      <c r="C2221" s="2" t="str">
        <f>"00055506"</f>
        <v>00055506</v>
      </c>
      <c r="D2221" s="2">
        <v>0.109</v>
      </c>
      <c r="E2221" s="2">
        <v>3</v>
      </c>
      <c r="F2221" s="2" t="s">
        <v>6</v>
      </c>
    </row>
    <row r="2222" spans="1:6" ht="25.5">
      <c r="A2222" s="2">
        <v>2219</v>
      </c>
      <c r="B2222" s="2" t="s">
        <v>2290</v>
      </c>
      <c r="C2222" s="2" t="str">
        <f>"13122517"</f>
        <v>13122517</v>
      </c>
      <c r="D2222" s="2">
        <v>0</v>
      </c>
      <c r="E2222" s="2">
        <v>0</v>
      </c>
      <c r="F2222" s="2" t="s">
        <v>2268</v>
      </c>
    </row>
    <row r="2223" spans="1:6" ht="25.5">
      <c r="A2223" s="2">
        <v>2220</v>
      </c>
      <c r="B2223" s="2" t="s">
        <v>2291</v>
      </c>
      <c r="C2223" s="2" t="str">
        <f>"10011455"</f>
        <v>10011455</v>
      </c>
      <c r="D2223" s="2">
        <v>0.38400000000000001</v>
      </c>
      <c r="E2223" s="2">
        <v>16</v>
      </c>
      <c r="F2223" s="2" t="s">
        <v>46</v>
      </c>
    </row>
    <row r="2224" spans="1:6" ht="25.5">
      <c r="A2224" s="2">
        <v>2221</v>
      </c>
      <c r="B2224" s="2" t="s">
        <v>2292</v>
      </c>
      <c r="C2224" s="2" t="str">
        <f>"18077692"</f>
        <v>18077692</v>
      </c>
      <c r="D2224" s="2">
        <v>0.13600000000000001</v>
      </c>
      <c r="E2224" s="2">
        <v>3</v>
      </c>
      <c r="F2224" s="2" t="s">
        <v>159</v>
      </c>
    </row>
    <row r="2225" spans="1:6" ht="25.5">
      <c r="A2225" s="2">
        <v>2222</v>
      </c>
      <c r="B2225" s="2" t="s">
        <v>2293</v>
      </c>
      <c r="C2225" s="2" t="str">
        <f>"15571467"</f>
        <v>15571467</v>
      </c>
      <c r="D2225" s="2">
        <v>0.124</v>
      </c>
      <c r="E2225" s="2">
        <v>6</v>
      </c>
      <c r="F2225" s="2" t="s">
        <v>6</v>
      </c>
    </row>
    <row r="2226" spans="1:6" ht="25.5">
      <c r="A2226" s="2">
        <v>2223</v>
      </c>
      <c r="B2226" s="2" t="s">
        <v>2294</v>
      </c>
      <c r="C2226" s="2" t="str">
        <f>"22105336"</f>
        <v>22105336</v>
      </c>
      <c r="D2226" s="2">
        <v>0.32</v>
      </c>
      <c r="E2226" s="2">
        <v>3</v>
      </c>
      <c r="F2226" s="2" t="s">
        <v>12</v>
      </c>
    </row>
    <row r="2227" spans="1:6" ht="25.5">
      <c r="A2227" s="2">
        <v>2224</v>
      </c>
      <c r="B2227" s="2" t="s">
        <v>2295</v>
      </c>
      <c r="C2227" s="2" t="str">
        <f>"14391791"</f>
        <v>14391791</v>
      </c>
      <c r="D2227" s="2">
        <v>1.421</v>
      </c>
      <c r="E2227" s="2">
        <v>43</v>
      </c>
      <c r="F2227" s="2" t="s">
        <v>12</v>
      </c>
    </row>
    <row r="2228" spans="1:6" ht="25.5">
      <c r="A2228" s="2">
        <v>2225</v>
      </c>
      <c r="B2228" s="2" t="s">
        <v>2296</v>
      </c>
      <c r="C2228" s="2" t="str">
        <f>"02136686"</f>
        <v>02136686</v>
      </c>
      <c r="D2228" s="2">
        <v>0</v>
      </c>
      <c r="E2228" s="2">
        <v>1</v>
      </c>
      <c r="F2228" s="2" t="s">
        <v>351</v>
      </c>
    </row>
    <row r="2229" spans="1:6" ht="25.5">
      <c r="A2229" s="2">
        <v>2226</v>
      </c>
      <c r="B2229" s="2" t="s">
        <v>2297</v>
      </c>
      <c r="C2229" s="2" t="str">
        <f>"17559294"</f>
        <v>17559294</v>
      </c>
      <c r="D2229" s="2">
        <v>0.122</v>
      </c>
      <c r="E2229" s="2">
        <v>2</v>
      </c>
      <c r="F2229" s="2" t="s">
        <v>12</v>
      </c>
    </row>
    <row r="2230" spans="1:6" ht="25.5">
      <c r="A2230" s="2">
        <v>2227</v>
      </c>
      <c r="B2230" s="2" t="s">
        <v>2298</v>
      </c>
      <c r="C2230" s="2" t="str">
        <f>"15324834"</f>
        <v>15324834</v>
      </c>
      <c r="D2230" s="2">
        <v>0.51700000000000002</v>
      </c>
      <c r="E2230" s="2">
        <v>33</v>
      </c>
      <c r="F2230" s="2" t="s">
        <v>6</v>
      </c>
    </row>
    <row r="2231" spans="1:6" ht="25.5">
      <c r="A2231" s="2">
        <v>2228</v>
      </c>
      <c r="B2231" s="2" t="s">
        <v>2299</v>
      </c>
      <c r="C2231" s="2" t="str">
        <f>"2008126X"</f>
        <v>2008126X</v>
      </c>
      <c r="D2231" s="2">
        <v>0.13500000000000001</v>
      </c>
      <c r="E2231" s="2">
        <v>1</v>
      </c>
      <c r="F2231" s="2" t="s">
        <v>299</v>
      </c>
    </row>
    <row r="2232" spans="1:6" ht="25.5">
      <c r="A2232" s="2">
        <v>2229</v>
      </c>
      <c r="B2232" s="2" t="s">
        <v>2300</v>
      </c>
      <c r="C2232" s="2" t="str">
        <f>"17427835"</f>
        <v>17427835</v>
      </c>
      <c r="D2232" s="2">
        <v>0.58799999999999997</v>
      </c>
      <c r="E2232" s="2">
        <v>56</v>
      </c>
      <c r="F2232" s="2" t="s">
        <v>16</v>
      </c>
    </row>
    <row r="2233" spans="1:6" ht="25.5">
      <c r="A2233" s="2">
        <v>2230</v>
      </c>
      <c r="B2233" s="2" t="s">
        <v>2301</v>
      </c>
      <c r="C2233" s="2" t="str">
        <f>"19320183"</f>
        <v>19320183</v>
      </c>
      <c r="D2233" s="2">
        <v>0.11700000000000001</v>
      </c>
      <c r="E2233" s="2">
        <v>2</v>
      </c>
      <c r="F2233" s="2" t="s">
        <v>6</v>
      </c>
    </row>
    <row r="2234" spans="1:6" ht="25.5">
      <c r="A2234" s="2">
        <v>2231</v>
      </c>
      <c r="B2234" s="2" t="s">
        <v>2302</v>
      </c>
      <c r="C2234" s="2" t="str">
        <f>"14351803"</f>
        <v>14351803</v>
      </c>
      <c r="D2234" s="2">
        <v>2.2490000000000001</v>
      </c>
      <c r="E2234" s="2">
        <v>61</v>
      </c>
      <c r="F2234" s="2" t="s">
        <v>12</v>
      </c>
    </row>
    <row r="2235" spans="1:6" ht="25.5">
      <c r="A2235" s="2">
        <v>2232</v>
      </c>
      <c r="B2235" s="2" t="s">
        <v>2303</v>
      </c>
      <c r="C2235" s="2" t="str">
        <f>"13652117"</f>
        <v>13652117</v>
      </c>
      <c r="D2235" s="2">
        <v>1.766</v>
      </c>
      <c r="E2235" s="2">
        <v>47</v>
      </c>
      <c r="F2235" s="2" t="s">
        <v>16</v>
      </c>
    </row>
    <row r="2236" spans="1:6" ht="25.5">
      <c r="A2236" s="2">
        <v>2233</v>
      </c>
      <c r="B2236" s="2" t="s">
        <v>2304</v>
      </c>
      <c r="C2236" s="2" t="str">
        <f>"02147831"</f>
        <v>02147831</v>
      </c>
      <c r="D2236" s="2">
        <v>0.21</v>
      </c>
      <c r="E2236" s="2">
        <v>4</v>
      </c>
      <c r="F2236" s="2" t="s">
        <v>351</v>
      </c>
    </row>
    <row r="2237" spans="1:6" ht="25.5">
      <c r="A2237" s="2">
        <v>2234</v>
      </c>
      <c r="B2237" s="2" t="s">
        <v>2305</v>
      </c>
      <c r="C2237" s="2" t="str">
        <f>"19360975"</f>
        <v>19360975</v>
      </c>
      <c r="D2237" s="2">
        <v>2.294</v>
      </c>
      <c r="E2237" s="2">
        <v>20</v>
      </c>
      <c r="F2237" s="2" t="s">
        <v>6</v>
      </c>
    </row>
    <row r="2238" spans="1:6" ht="25.5">
      <c r="A2238" s="2">
        <v>2235</v>
      </c>
      <c r="B2238" s="2" t="s">
        <v>2306</v>
      </c>
      <c r="C2238" s="2" t="str">
        <f>"08113653"</f>
        <v>08113653</v>
      </c>
      <c r="D2238" s="2">
        <v>0.16900000000000001</v>
      </c>
      <c r="E2238" s="2">
        <v>2</v>
      </c>
      <c r="F2238" s="2" t="s">
        <v>127</v>
      </c>
    </row>
    <row r="2239" spans="1:6" ht="25.5">
      <c r="A2239" s="2">
        <v>2236</v>
      </c>
      <c r="B2239" s="2" t="s">
        <v>2307</v>
      </c>
      <c r="C2239" s="2" t="str">
        <f>"10712984"</f>
        <v>10712984</v>
      </c>
      <c r="D2239" s="2">
        <v>0.10100000000000001</v>
      </c>
      <c r="E2239" s="2">
        <v>2</v>
      </c>
      <c r="F2239" s="2" t="s">
        <v>6</v>
      </c>
    </row>
    <row r="2240" spans="1:6" ht="25.5">
      <c r="A2240" s="2">
        <v>2237</v>
      </c>
      <c r="B2240" s="2" t="s">
        <v>2308</v>
      </c>
      <c r="C2240" s="2" t="str">
        <f>"17449081"</f>
        <v>17449081</v>
      </c>
      <c r="D2240" s="2">
        <v>1.042</v>
      </c>
      <c r="E2240" s="2">
        <v>28</v>
      </c>
      <c r="F2240" s="2" t="s">
        <v>16</v>
      </c>
    </row>
    <row r="2241" spans="1:6" ht="25.5">
      <c r="A2241" s="2">
        <v>2238</v>
      </c>
      <c r="B2241" s="2" t="s">
        <v>2309</v>
      </c>
      <c r="C2241" s="2" t="str">
        <f>"14691825"</f>
        <v>14691825</v>
      </c>
      <c r="D2241" s="2">
        <v>1.155</v>
      </c>
      <c r="E2241" s="2">
        <v>100</v>
      </c>
      <c r="F2241" s="2" t="s">
        <v>16</v>
      </c>
    </row>
    <row r="2242" spans="1:6" ht="25.5">
      <c r="A2242" s="2">
        <v>2239</v>
      </c>
      <c r="B2242" s="2" t="s">
        <v>2310</v>
      </c>
      <c r="C2242" s="2" t="str">
        <f>"15444546"</f>
        <v>15444546</v>
      </c>
      <c r="D2242" s="2">
        <v>0.46</v>
      </c>
      <c r="E2242" s="2">
        <v>4</v>
      </c>
      <c r="F2242" s="2" t="s">
        <v>6</v>
      </c>
    </row>
    <row r="2243" spans="1:6" ht="25.5">
      <c r="A2243" s="2">
        <v>2240</v>
      </c>
      <c r="B2243" s="2" t="s">
        <v>2311</v>
      </c>
      <c r="C2243" s="2" t="str">
        <f>"14657279"</f>
        <v>14657279</v>
      </c>
      <c r="D2243" s="2">
        <v>1.482</v>
      </c>
      <c r="E2243" s="2">
        <v>72</v>
      </c>
      <c r="F2243" s="2" t="s">
        <v>16</v>
      </c>
    </row>
    <row r="2244" spans="1:6" ht="25.5">
      <c r="A2244" s="2">
        <v>2241</v>
      </c>
      <c r="B2244" s="2" t="s">
        <v>2312</v>
      </c>
      <c r="C2244" s="2" t="str">
        <f>"14320762"</f>
        <v>14320762</v>
      </c>
      <c r="D2244" s="2">
        <v>1.266</v>
      </c>
      <c r="E2244" s="2">
        <v>76</v>
      </c>
      <c r="F2244" s="2" t="s">
        <v>12</v>
      </c>
    </row>
    <row r="2245" spans="1:6" ht="25.5">
      <c r="A2245" s="2">
        <v>2242</v>
      </c>
      <c r="B2245" s="2" t="s">
        <v>2313</v>
      </c>
      <c r="C2245" s="2" t="str">
        <f>"19317093"</f>
        <v>19317093</v>
      </c>
      <c r="D2245" s="2">
        <v>0.105</v>
      </c>
      <c r="E2245" s="2">
        <v>4</v>
      </c>
      <c r="F2245" s="2" t="s">
        <v>6</v>
      </c>
    </row>
    <row r="2246" spans="1:6" ht="25.5">
      <c r="A2246" s="2">
        <v>2243</v>
      </c>
      <c r="B2246" s="2" t="s">
        <v>2314</v>
      </c>
      <c r="C2246" s="2" t="str">
        <f>"1099078X"</f>
        <v>1099078X</v>
      </c>
      <c r="D2246" s="2">
        <v>0.55500000000000005</v>
      </c>
      <c r="E2246" s="2">
        <v>18</v>
      </c>
      <c r="F2246" s="2" t="s">
        <v>16</v>
      </c>
    </row>
    <row r="2247" spans="1:6" ht="25.5">
      <c r="A2247" s="2">
        <v>2244</v>
      </c>
      <c r="B2247" s="2" t="s">
        <v>2315</v>
      </c>
      <c r="C2247" s="2" t="str">
        <f>"08964289"</f>
        <v>08964289</v>
      </c>
      <c r="D2247" s="2">
        <v>0.41699999999999998</v>
      </c>
      <c r="E2247" s="2">
        <v>33</v>
      </c>
      <c r="F2247" s="2" t="s">
        <v>6</v>
      </c>
    </row>
    <row r="2248" spans="1:6" ht="25.5">
      <c r="A2248" s="2">
        <v>2245</v>
      </c>
      <c r="B2248" s="2" t="s">
        <v>2316</v>
      </c>
      <c r="C2248" s="2" t="str">
        <f>"07357044"</f>
        <v>07357044</v>
      </c>
      <c r="D2248" s="2">
        <v>1.325</v>
      </c>
      <c r="E2248" s="2">
        <v>92</v>
      </c>
      <c r="F2248" s="2" t="s">
        <v>6</v>
      </c>
    </row>
    <row r="2249" spans="1:6" ht="25.5">
      <c r="A2249" s="2">
        <v>2246</v>
      </c>
      <c r="B2249" s="2" t="s">
        <v>2317</v>
      </c>
      <c r="C2249" s="2" t="str">
        <f>"15588009"</f>
        <v>15588009</v>
      </c>
      <c r="D2249" s="2">
        <v>0.61099999999999999</v>
      </c>
      <c r="E2249" s="2">
        <v>4</v>
      </c>
      <c r="F2249" s="2" t="s">
        <v>6</v>
      </c>
    </row>
    <row r="2250" spans="1:6" ht="25.5">
      <c r="A2250" s="2">
        <v>2247</v>
      </c>
      <c r="B2250" s="2" t="s">
        <v>2318</v>
      </c>
      <c r="C2250" s="2" t="str">
        <f>"10990798"</f>
        <v>10990798</v>
      </c>
      <c r="D2250" s="2">
        <v>0.76600000000000001</v>
      </c>
      <c r="E2250" s="2">
        <v>41</v>
      </c>
      <c r="F2250" s="2" t="s">
        <v>16</v>
      </c>
    </row>
    <row r="2251" spans="1:6" ht="25.5">
      <c r="A2251" s="2">
        <v>2248</v>
      </c>
      <c r="B2251" s="2" t="s">
        <v>2319</v>
      </c>
      <c r="C2251" s="2" t="str">
        <f>"15402010"</f>
        <v>15402010</v>
      </c>
      <c r="D2251" s="2">
        <v>0.46</v>
      </c>
      <c r="E2251" s="2">
        <v>24</v>
      </c>
      <c r="F2251" s="2" t="s">
        <v>6</v>
      </c>
    </row>
    <row r="2252" spans="1:6" ht="25.5">
      <c r="A2252" s="2">
        <v>2249</v>
      </c>
      <c r="B2252" s="2" t="s">
        <v>2320</v>
      </c>
      <c r="C2252" s="2" t="str">
        <f>"07386729"</f>
        <v>07386729</v>
      </c>
      <c r="D2252" s="2">
        <v>0.34699999999999998</v>
      </c>
      <c r="E2252" s="2">
        <v>18</v>
      </c>
      <c r="F2252" s="2" t="s">
        <v>6</v>
      </c>
    </row>
    <row r="2253" spans="1:6" ht="25.5">
      <c r="A2253" s="2">
        <v>2250</v>
      </c>
      <c r="B2253" s="2" t="s">
        <v>2321</v>
      </c>
      <c r="C2253" s="2" t="str">
        <f>"15733297"</f>
        <v>15733297</v>
      </c>
      <c r="D2253" s="2">
        <v>1.1779999999999999</v>
      </c>
      <c r="E2253" s="2">
        <v>63</v>
      </c>
      <c r="F2253" s="2" t="s">
        <v>6</v>
      </c>
    </row>
    <row r="2254" spans="1:6" ht="25.5">
      <c r="A2254" s="2">
        <v>2251</v>
      </c>
      <c r="B2254" s="2" t="s">
        <v>2322</v>
      </c>
      <c r="C2254" s="2" t="str">
        <f>"15524167"</f>
        <v>15524167</v>
      </c>
      <c r="D2254" s="2">
        <v>0.49</v>
      </c>
      <c r="E2254" s="2">
        <v>44</v>
      </c>
      <c r="F2254" s="2" t="s">
        <v>6</v>
      </c>
    </row>
    <row r="2255" spans="1:6" ht="25.5">
      <c r="A2255" s="2">
        <v>2252</v>
      </c>
      <c r="B2255" s="2" t="s">
        <v>2323</v>
      </c>
      <c r="C2255" s="2" t="str">
        <f>"15543528"</f>
        <v>15543528</v>
      </c>
      <c r="D2255" s="2">
        <v>1.282</v>
      </c>
      <c r="E2255" s="2">
        <v>65</v>
      </c>
      <c r="F2255" s="2" t="s">
        <v>6</v>
      </c>
    </row>
    <row r="2256" spans="1:6" ht="25.5">
      <c r="A2256" s="2">
        <v>2253</v>
      </c>
      <c r="B2256" s="2" t="s">
        <v>2324</v>
      </c>
      <c r="C2256" s="2" t="str">
        <f>"00057894"</f>
        <v>00057894</v>
      </c>
      <c r="D2256" s="2">
        <v>1.57</v>
      </c>
      <c r="E2256" s="2">
        <v>57</v>
      </c>
      <c r="F2256" s="2" t="s">
        <v>6</v>
      </c>
    </row>
    <row r="2257" spans="1:6" ht="25.5">
      <c r="A2257" s="2">
        <v>2254</v>
      </c>
      <c r="B2257" s="2" t="s">
        <v>2325</v>
      </c>
      <c r="C2257" s="2" t="str">
        <f>"1568539X"</f>
        <v>1568539X</v>
      </c>
      <c r="D2257" s="2">
        <v>0.79600000000000004</v>
      </c>
      <c r="E2257" s="2">
        <v>49</v>
      </c>
      <c r="F2257" s="2" t="s">
        <v>75</v>
      </c>
    </row>
    <row r="2258" spans="1:6" ht="25.5">
      <c r="A2258" s="2">
        <v>2255</v>
      </c>
      <c r="B2258" s="2" t="s">
        <v>2326</v>
      </c>
      <c r="C2258" s="2" t="str">
        <f>"14691833"</f>
        <v>14691833</v>
      </c>
      <c r="D2258" s="2">
        <v>0.755</v>
      </c>
      <c r="E2258" s="2">
        <v>34</v>
      </c>
      <c r="F2258" s="2" t="s">
        <v>16</v>
      </c>
    </row>
    <row r="2259" spans="1:6" ht="25.5">
      <c r="A2259" s="2">
        <v>2256</v>
      </c>
      <c r="B2259" s="2" t="s">
        <v>2327</v>
      </c>
      <c r="C2259" s="2" t="str">
        <f>"01664328"</f>
        <v>01664328</v>
      </c>
      <c r="D2259" s="2">
        <v>1.532</v>
      </c>
      <c r="E2259" s="2">
        <v>108</v>
      </c>
      <c r="F2259" s="2" t="s">
        <v>75</v>
      </c>
    </row>
    <row r="2260" spans="1:6" ht="25.5">
      <c r="A2260" s="2">
        <v>2257</v>
      </c>
      <c r="B2260" s="2" t="s">
        <v>2328</v>
      </c>
      <c r="C2260" s="2" t="str">
        <f>"09534180"</f>
        <v>09534180</v>
      </c>
      <c r="D2260" s="2">
        <v>0.71799999999999997</v>
      </c>
      <c r="E2260" s="2">
        <v>25</v>
      </c>
      <c r="F2260" s="2" t="s">
        <v>75</v>
      </c>
    </row>
    <row r="2261" spans="1:6" ht="25.5">
      <c r="A2261" s="2">
        <v>2258</v>
      </c>
      <c r="B2261" s="2" t="s">
        <v>2329</v>
      </c>
      <c r="C2261" s="2" t="str">
        <f>"14735849"</f>
        <v>14735849</v>
      </c>
      <c r="D2261" s="2">
        <v>1.052</v>
      </c>
      <c r="E2261" s="2">
        <v>57</v>
      </c>
      <c r="F2261" s="2" t="s">
        <v>6</v>
      </c>
    </row>
    <row r="2262" spans="1:6" ht="25.5">
      <c r="A2262" s="2">
        <v>2259</v>
      </c>
      <c r="B2262" s="2" t="s">
        <v>2330</v>
      </c>
      <c r="C2262" s="2" t="str">
        <f>"03766357"</f>
        <v>03766357</v>
      </c>
      <c r="D2262" s="2">
        <v>0.66400000000000003</v>
      </c>
      <c r="E2262" s="2">
        <v>45</v>
      </c>
      <c r="F2262" s="2" t="s">
        <v>75</v>
      </c>
    </row>
    <row r="2263" spans="1:6" ht="25.5">
      <c r="A2263" s="2">
        <v>2260</v>
      </c>
      <c r="B2263" s="2" t="s">
        <v>2331</v>
      </c>
      <c r="C2263" s="2" t="str">
        <f>"13623001"</f>
        <v>13623001</v>
      </c>
      <c r="D2263" s="2">
        <v>0.61399999999999999</v>
      </c>
      <c r="E2263" s="2">
        <v>40</v>
      </c>
      <c r="F2263" s="2" t="s">
        <v>16</v>
      </c>
    </row>
    <row r="2264" spans="1:6" ht="25.5">
      <c r="A2264" s="2">
        <v>2261</v>
      </c>
      <c r="B2264" s="2" t="s">
        <v>2332</v>
      </c>
      <c r="C2264" s="2" t="str">
        <f>"08134839"</f>
        <v>08134839</v>
      </c>
      <c r="D2264" s="2">
        <v>0.253</v>
      </c>
      <c r="E2264" s="2">
        <v>20</v>
      </c>
      <c r="F2264" s="2" t="s">
        <v>127</v>
      </c>
    </row>
    <row r="2265" spans="1:6" ht="25.5">
      <c r="A2265" s="2">
        <v>2262</v>
      </c>
      <c r="B2265" s="2" t="s">
        <v>2333</v>
      </c>
      <c r="C2265" s="2" t="str">
        <f>"00057967"</f>
        <v>00057967</v>
      </c>
      <c r="D2265" s="2">
        <v>2.0590000000000002</v>
      </c>
      <c r="E2265" s="2">
        <v>106</v>
      </c>
      <c r="F2265" s="2" t="s">
        <v>16</v>
      </c>
    </row>
    <row r="2266" spans="1:6" ht="25.5">
      <c r="A2266" s="2">
        <v>2263</v>
      </c>
      <c r="B2266" s="2" t="s">
        <v>2334</v>
      </c>
      <c r="C2266" s="2" t="str">
        <f>"01987429"</f>
        <v>01987429</v>
      </c>
      <c r="D2266" s="2">
        <v>0.42199999999999999</v>
      </c>
      <c r="E2266" s="2">
        <v>28</v>
      </c>
      <c r="F2266" s="2" t="s">
        <v>6</v>
      </c>
    </row>
    <row r="2267" spans="1:6" ht="25.5">
      <c r="A2267" s="2">
        <v>2264</v>
      </c>
      <c r="B2267" s="2" t="s">
        <v>2335</v>
      </c>
      <c r="C2267" s="2" t="str">
        <f>"1671167X"</f>
        <v>1671167X</v>
      </c>
      <c r="D2267" s="2">
        <v>0.127</v>
      </c>
      <c r="E2267" s="2">
        <v>9</v>
      </c>
      <c r="F2267" s="2" t="s">
        <v>46</v>
      </c>
    </row>
    <row r="2268" spans="1:6" ht="25.5">
      <c r="A2268" s="2">
        <v>2265</v>
      </c>
      <c r="B2268" s="2" t="s">
        <v>2336</v>
      </c>
      <c r="C2268" s="2" t="str">
        <f>"04798023"</f>
        <v>04798023</v>
      </c>
      <c r="D2268" s="2">
        <v>0.127</v>
      </c>
      <c r="E2268" s="2">
        <v>11</v>
      </c>
      <c r="F2268" s="2" t="s">
        <v>46</v>
      </c>
    </row>
    <row r="2269" spans="1:6" ht="25.5">
      <c r="A2269" s="2">
        <v>2266</v>
      </c>
      <c r="B2269" s="2" t="s">
        <v>2337</v>
      </c>
      <c r="C2269" s="2" t="str">
        <f>"02540037"</f>
        <v>02540037</v>
      </c>
      <c r="D2269" s="2">
        <v>0.189</v>
      </c>
      <c r="E2269" s="2">
        <v>8</v>
      </c>
      <c r="F2269" s="2" t="s">
        <v>46</v>
      </c>
    </row>
    <row r="2270" spans="1:6" ht="25.5">
      <c r="A2270" s="2">
        <v>2267</v>
      </c>
      <c r="B2270" s="2" t="s">
        <v>2338</v>
      </c>
      <c r="C2270" s="2" t="str">
        <f>"10015965"</f>
        <v>10015965</v>
      </c>
      <c r="D2270" s="2">
        <v>0.26200000000000001</v>
      </c>
      <c r="E2270" s="2">
        <v>13</v>
      </c>
      <c r="F2270" s="2" t="s">
        <v>46</v>
      </c>
    </row>
    <row r="2271" spans="1:6" ht="25.5">
      <c r="A2271" s="2">
        <v>2268</v>
      </c>
      <c r="B2271" s="2" t="s">
        <v>2339</v>
      </c>
      <c r="C2271" s="2" t="str">
        <f>"16714628"</f>
        <v>16714628</v>
      </c>
      <c r="D2271" s="2">
        <v>0.13200000000000001</v>
      </c>
      <c r="E2271" s="2">
        <v>6</v>
      </c>
      <c r="F2271" s="2" t="s">
        <v>46</v>
      </c>
    </row>
    <row r="2272" spans="1:6" ht="25.5">
      <c r="A2272" s="2">
        <v>2269</v>
      </c>
      <c r="B2272" s="2" t="s">
        <v>2340</v>
      </c>
      <c r="C2272" s="2" t="str">
        <f>"16730291"</f>
        <v>16730291</v>
      </c>
      <c r="D2272" s="2">
        <v>0.25600000000000001</v>
      </c>
      <c r="E2272" s="2">
        <v>7</v>
      </c>
      <c r="F2272" s="2" t="s">
        <v>46</v>
      </c>
    </row>
    <row r="2273" spans="1:6" ht="25.5">
      <c r="A2273" s="2">
        <v>2270</v>
      </c>
      <c r="B2273" s="2" t="s">
        <v>2341</v>
      </c>
      <c r="C2273" s="2" t="str">
        <f>"1001053X"</f>
        <v>1001053X</v>
      </c>
      <c r="D2273" s="2">
        <v>0.245</v>
      </c>
      <c r="E2273" s="2">
        <v>12</v>
      </c>
      <c r="F2273" s="2" t="s">
        <v>46</v>
      </c>
    </row>
    <row r="2274" spans="1:6" ht="25.5">
      <c r="A2274" s="2">
        <v>2271</v>
      </c>
      <c r="B2274" s="2" t="s">
        <v>2342</v>
      </c>
      <c r="C2274" s="2" t="str">
        <f>"10010645"</f>
        <v>10010645</v>
      </c>
      <c r="D2274" s="2">
        <v>0.19500000000000001</v>
      </c>
      <c r="E2274" s="2">
        <v>13</v>
      </c>
      <c r="F2274" s="2" t="s">
        <v>46</v>
      </c>
    </row>
    <row r="2275" spans="1:6" ht="25.5">
      <c r="A2275" s="2">
        <v>2272</v>
      </c>
      <c r="B2275" s="2" t="s">
        <v>2343</v>
      </c>
      <c r="C2275" s="2" t="str">
        <f>"10047301"</f>
        <v>10047301</v>
      </c>
      <c r="D2275" s="2">
        <v>0.124</v>
      </c>
      <c r="E2275" s="2">
        <v>9</v>
      </c>
      <c r="F2275" s="2" t="s">
        <v>46</v>
      </c>
    </row>
    <row r="2276" spans="1:6" ht="25.5">
      <c r="A2276" s="2">
        <v>2273</v>
      </c>
      <c r="B2276" s="2" t="s">
        <v>2344</v>
      </c>
      <c r="C2276" s="2" t="str">
        <f>"10005145"</f>
        <v>10005145</v>
      </c>
      <c r="D2276" s="2">
        <v>0.17799999999999999</v>
      </c>
      <c r="E2276" s="2">
        <v>11</v>
      </c>
      <c r="F2276" s="2" t="s">
        <v>46</v>
      </c>
    </row>
    <row r="2277" spans="1:6" ht="25.5">
      <c r="A2277" s="2">
        <v>2274</v>
      </c>
      <c r="B2277" s="2" t="s">
        <v>2345</v>
      </c>
      <c r="C2277" s="2" t="str">
        <f>"21904286"</f>
        <v>21904286</v>
      </c>
      <c r="D2277" s="2">
        <v>0.86499999999999999</v>
      </c>
      <c r="E2277" s="2">
        <v>8</v>
      </c>
      <c r="F2277" s="2" t="s">
        <v>12</v>
      </c>
    </row>
    <row r="2278" spans="1:6" ht="25.5">
      <c r="A2278" s="2">
        <v>2275</v>
      </c>
      <c r="B2278" s="2" t="s">
        <v>2346</v>
      </c>
      <c r="C2278" s="2" t="str">
        <f>"18605397"</f>
        <v>18605397</v>
      </c>
      <c r="D2278" s="2">
        <v>0.89100000000000001</v>
      </c>
      <c r="E2278" s="2">
        <v>16</v>
      </c>
      <c r="F2278" s="2" t="s">
        <v>12</v>
      </c>
    </row>
    <row r="2279" spans="1:6" ht="25.5">
      <c r="A2279" s="2">
        <v>2276</v>
      </c>
      <c r="B2279" s="2" t="s">
        <v>2347</v>
      </c>
      <c r="C2279" s="2" t="str">
        <f>"01384821"</f>
        <v>01384821</v>
      </c>
      <c r="D2279" s="2">
        <v>0.33900000000000002</v>
      </c>
      <c r="E2279" s="2">
        <v>10</v>
      </c>
      <c r="F2279" s="2" t="s">
        <v>12</v>
      </c>
    </row>
    <row r="2280" spans="1:6" ht="25.5">
      <c r="A2280" s="2">
        <v>2277</v>
      </c>
      <c r="B2280" s="2" t="s">
        <v>2348</v>
      </c>
      <c r="C2280" s="2" t="str">
        <f>"00058076"</f>
        <v>00058076</v>
      </c>
      <c r="D2280" s="2">
        <v>0.1</v>
      </c>
      <c r="E2280" s="2">
        <v>4</v>
      </c>
      <c r="F2280" s="2" t="s">
        <v>12</v>
      </c>
    </row>
    <row r="2281" spans="1:6" ht="25.5">
      <c r="A2281" s="2">
        <v>2278</v>
      </c>
      <c r="B2281" s="2" t="s">
        <v>2349</v>
      </c>
      <c r="C2281" s="2" t="str">
        <f>"09392815"</f>
        <v>09392815</v>
      </c>
      <c r="D2281" s="2">
        <v>0.107</v>
      </c>
      <c r="E2281" s="2">
        <v>1</v>
      </c>
      <c r="F2281" s="2" t="s">
        <v>12</v>
      </c>
    </row>
    <row r="2282" spans="1:6" ht="25.5">
      <c r="A2282" s="2">
        <v>2279</v>
      </c>
      <c r="B2282" s="2" t="s">
        <v>2350</v>
      </c>
      <c r="C2282" s="2" t="str">
        <f>"0173783X"</f>
        <v>0173783X</v>
      </c>
      <c r="D2282" s="2">
        <v>0.317</v>
      </c>
      <c r="E2282" s="2">
        <v>8</v>
      </c>
      <c r="F2282" s="2" t="s">
        <v>12</v>
      </c>
    </row>
    <row r="2283" spans="1:6" ht="25.5">
      <c r="A2283" s="2">
        <v>2280</v>
      </c>
      <c r="B2283" s="2" t="s">
        <v>2351</v>
      </c>
      <c r="C2283" s="2" t="str">
        <f>"19351682"</f>
        <v>19351682</v>
      </c>
      <c r="D2283" s="2">
        <v>0.73299999999999998</v>
      </c>
      <c r="E2283" s="2">
        <v>11</v>
      </c>
      <c r="F2283" s="2" t="s">
        <v>6</v>
      </c>
    </row>
    <row r="2284" spans="1:6" ht="25.5">
      <c r="A2284" s="2">
        <v>2281</v>
      </c>
      <c r="B2284" s="2" t="s">
        <v>2352</v>
      </c>
      <c r="C2284" s="2" t="str">
        <f>"19351690"</f>
        <v>19351690</v>
      </c>
      <c r="D2284" s="2">
        <v>0.46</v>
      </c>
      <c r="E2284" s="2">
        <v>7</v>
      </c>
      <c r="F2284" s="2" t="s">
        <v>6</v>
      </c>
    </row>
    <row r="2285" spans="1:6" ht="25.5">
      <c r="A2285" s="2">
        <v>2282</v>
      </c>
      <c r="B2285" s="2" t="s">
        <v>2353</v>
      </c>
      <c r="C2285" s="2" t="str">
        <f>"19351704"</f>
        <v>19351704</v>
      </c>
      <c r="D2285" s="2">
        <v>0.84499999999999997</v>
      </c>
      <c r="E2285" s="2">
        <v>9</v>
      </c>
      <c r="F2285" s="2" t="s">
        <v>6</v>
      </c>
    </row>
    <row r="2286" spans="1:6" ht="25.5">
      <c r="A2286" s="2">
        <v>2283</v>
      </c>
      <c r="B2286" s="2" t="s">
        <v>2354</v>
      </c>
      <c r="C2286" s="2" t="str">
        <f>"00058351"</f>
        <v>00058351</v>
      </c>
      <c r="D2286" s="2">
        <v>0.1</v>
      </c>
      <c r="E2286" s="2">
        <v>2</v>
      </c>
      <c r="F2286" s="2" t="s">
        <v>190</v>
      </c>
    </row>
    <row r="2287" spans="1:6" ht="25.5">
      <c r="A2287" s="2">
        <v>2284</v>
      </c>
      <c r="B2287" s="2" t="s">
        <v>2355</v>
      </c>
      <c r="C2287" s="2" t="str">
        <f>"13772368"</f>
        <v>13772368</v>
      </c>
      <c r="D2287" s="2">
        <v>0.121</v>
      </c>
      <c r="E2287" s="2">
        <v>6</v>
      </c>
      <c r="F2287" s="2" t="s">
        <v>161</v>
      </c>
    </row>
    <row r="2288" spans="1:6" ht="25.5">
      <c r="A2288" s="2">
        <v>2285</v>
      </c>
      <c r="B2288" s="2" t="s">
        <v>2356</v>
      </c>
      <c r="C2288" s="2" t="str">
        <f>"07745141"</f>
        <v>07745141</v>
      </c>
      <c r="D2288" s="2">
        <v>0.21</v>
      </c>
      <c r="E2288" s="2">
        <v>5</v>
      </c>
      <c r="F2288" s="2" t="s">
        <v>75</v>
      </c>
    </row>
    <row r="2289" spans="1:6" ht="25.5">
      <c r="A2289" s="2">
        <v>2286</v>
      </c>
      <c r="B2289" s="2" t="s">
        <v>2357</v>
      </c>
      <c r="C2289" s="2" t="str">
        <f>"07776276"</f>
        <v>07776276</v>
      </c>
      <c r="D2289" s="2">
        <v>0.28799999999999998</v>
      </c>
      <c r="E2289" s="2">
        <v>19</v>
      </c>
      <c r="F2289" s="2" t="s">
        <v>161</v>
      </c>
    </row>
    <row r="2290" spans="1:6" ht="25.5">
      <c r="A2290" s="2">
        <v>2287</v>
      </c>
      <c r="B2290" s="2" t="s">
        <v>2358</v>
      </c>
      <c r="C2290" s="2" t="str">
        <f>"00414255"</f>
        <v>00414255</v>
      </c>
      <c r="D2290" s="2">
        <v>0.10100000000000001</v>
      </c>
      <c r="E2290" s="2">
        <v>0</v>
      </c>
      <c r="F2290" s="2" t="s">
        <v>345</v>
      </c>
    </row>
    <row r="2291" spans="1:6" ht="25.5">
      <c r="A2291" s="2">
        <v>2288</v>
      </c>
      <c r="B2291" s="2" t="s">
        <v>2359</v>
      </c>
      <c r="C2291" s="2" t="str">
        <f>"15387305"</f>
        <v>15387305</v>
      </c>
      <c r="D2291" s="2">
        <v>0.88200000000000001</v>
      </c>
      <c r="E2291" s="2">
        <v>22</v>
      </c>
      <c r="F2291" s="2" t="s">
        <v>6</v>
      </c>
    </row>
    <row r="2292" spans="1:6" ht="25.5">
      <c r="A2292" s="2">
        <v>2289</v>
      </c>
      <c r="B2292" s="2" t="s">
        <v>2360</v>
      </c>
      <c r="C2292" s="2" t="str">
        <f>"14635771"</f>
        <v>14635771</v>
      </c>
      <c r="D2292" s="2">
        <v>0.67100000000000004</v>
      </c>
      <c r="E2292" s="2">
        <v>25</v>
      </c>
      <c r="F2292" s="2" t="s">
        <v>16</v>
      </c>
    </row>
    <row r="2293" spans="1:6" ht="25.5">
      <c r="A2293" s="2">
        <v>2290</v>
      </c>
      <c r="B2293" s="2" t="s">
        <v>2361</v>
      </c>
      <c r="C2293" s="2" t="str">
        <f>"87561263"</f>
        <v>87561263</v>
      </c>
      <c r="D2293" s="2">
        <v>0.112</v>
      </c>
      <c r="E2293" s="2">
        <v>4</v>
      </c>
      <c r="F2293" s="2" t="s">
        <v>6</v>
      </c>
    </row>
    <row r="2294" spans="1:6" ht="25.5">
      <c r="A2294" s="2">
        <v>2291</v>
      </c>
      <c r="B2294" s="2" t="s">
        <v>2362</v>
      </c>
      <c r="C2294" s="2" t="str">
        <f>"1755165X"</f>
        <v>1755165X</v>
      </c>
      <c r="D2294" s="2">
        <v>0.111</v>
      </c>
      <c r="E2294" s="2">
        <v>1</v>
      </c>
      <c r="F2294" s="2" t="s">
        <v>16</v>
      </c>
    </row>
    <row r="2295" spans="1:6" ht="25.5">
      <c r="A2295" s="2">
        <v>2292</v>
      </c>
      <c r="B2295" s="2" t="s">
        <v>2363</v>
      </c>
      <c r="C2295" s="2" t="str">
        <f>"1781782X"</f>
        <v>1781782X</v>
      </c>
      <c r="D2295" s="2">
        <v>0.20599999999999999</v>
      </c>
      <c r="E2295" s="2">
        <v>22</v>
      </c>
      <c r="F2295" s="2" t="s">
        <v>161</v>
      </c>
    </row>
    <row r="2296" spans="1:6" ht="25.5">
      <c r="A2296" s="2">
        <v>2293</v>
      </c>
      <c r="B2296" s="2" t="s">
        <v>2364</v>
      </c>
      <c r="C2296" s="2" t="str">
        <f>"19448279"</f>
        <v>19448279</v>
      </c>
      <c r="D2296" s="2">
        <v>0.157</v>
      </c>
      <c r="E2296" s="2">
        <v>3</v>
      </c>
      <c r="F2296" s="2" t="s">
        <v>6</v>
      </c>
    </row>
    <row r="2297" spans="1:6" ht="25.5">
      <c r="A2297" s="2">
        <v>2294</v>
      </c>
      <c r="B2297" s="2" t="s">
        <v>2365</v>
      </c>
      <c r="C2297" s="2" t="str">
        <f>"00059080"</f>
        <v>00059080</v>
      </c>
      <c r="D2297" s="2">
        <v>0.20799999999999999</v>
      </c>
      <c r="E2297" s="2">
        <v>8</v>
      </c>
      <c r="F2297" s="2" t="s">
        <v>12</v>
      </c>
    </row>
    <row r="2298" spans="1:6" ht="25.5">
      <c r="A2298" s="2">
        <v>2295</v>
      </c>
      <c r="B2298" s="2" t="s">
        <v>2366</v>
      </c>
      <c r="C2298" s="2" t="str">
        <f>"15222365"</f>
        <v>15222365</v>
      </c>
      <c r="D2298" s="2">
        <v>0.12</v>
      </c>
      <c r="E2298" s="2">
        <v>3</v>
      </c>
      <c r="F2298" s="2" t="s">
        <v>12</v>
      </c>
    </row>
    <row r="2299" spans="1:6" ht="25.5">
      <c r="A2299" s="2">
        <v>2296</v>
      </c>
      <c r="B2299" s="2" t="s">
        <v>2367</v>
      </c>
      <c r="C2299" s="2" t="str">
        <f>"10475192"</f>
        <v>10475192</v>
      </c>
      <c r="D2299" s="2">
        <v>0.129</v>
      </c>
      <c r="E2299" s="2">
        <v>5</v>
      </c>
      <c r="F2299" s="2" t="s">
        <v>6</v>
      </c>
    </row>
    <row r="2300" spans="1:6" ht="25.5">
      <c r="A2300" s="2">
        <v>2297</v>
      </c>
      <c r="B2300" s="2" t="s">
        <v>2368</v>
      </c>
      <c r="C2300" s="2" t="str">
        <f>"08631808"</f>
        <v>08631808</v>
      </c>
      <c r="D2300" s="2">
        <v>0.27</v>
      </c>
      <c r="E2300" s="2">
        <v>8</v>
      </c>
      <c r="F2300" s="2" t="s">
        <v>12</v>
      </c>
    </row>
    <row r="2301" spans="1:6" ht="25.5">
      <c r="A2301" s="2">
        <v>2298</v>
      </c>
      <c r="B2301" s="2" t="s">
        <v>2369</v>
      </c>
      <c r="C2301" s="2" t="str">
        <f>"14390299"</f>
        <v>14390299</v>
      </c>
      <c r="D2301" s="2">
        <v>0.31</v>
      </c>
      <c r="E2301" s="2">
        <v>23</v>
      </c>
      <c r="F2301" s="2" t="s">
        <v>12</v>
      </c>
    </row>
    <row r="2302" spans="1:6" ht="25.5">
      <c r="A2302" s="2">
        <v>2299</v>
      </c>
      <c r="B2302" s="2" t="s">
        <v>2370</v>
      </c>
      <c r="C2302" s="2" t="str">
        <f>"13507265"</f>
        <v>13507265</v>
      </c>
      <c r="D2302" s="2">
        <v>1.5069999999999999</v>
      </c>
      <c r="E2302" s="2">
        <v>33</v>
      </c>
      <c r="F2302" s="2" t="s">
        <v>75</v>
      </c>
    </row>
    <row r="2303" spans="1:6" ht="25.5">
      <c r="A2303" s="2">
        <v>2300</v>
      </c>
      <c r="B2303" s="2" t="s">
        <v>2371</v>
      </c>
      <c r="C2303" s="2" t="str">
        <f>"17533740"</f>
        <v>17533740</v>
      </c>
      <c r="D2303" s="2">
        <v>0.83099999999999996</v>
      </c>
      <c r="E2303" s="2">
        <v>31</v>
      </c>
      <c r="F2303" s="2" t="s">
        <v>16</v>
      </c>
    </row>
    <row r="2304" spans="1:6" ht="25.5">
      <c r="A2304" s="2">
        <v>2301</v>
      </c>
      <c r="B2304" s="2" t="s">
        <v>2372</v>
      </c>
      <c r="C2304" s="2" t="str">
        <f>"1521690X"</f>
        <v>1521690X</v>
      </c>
      <c r="D2304" s="2">
        <v>1.609</v>
      </c>
      <c r="E2304" s="2">
        <v>62</v>
      </c>
      <c r="F2304" s="2" t="s">
        <v>16</v>
      </c>
    </row>
    <row r="2305" spans="1:6" ht="25.5">
      <c r="A2305" s="2">
        <v>2302</v>
      </c>
      <c r="B2305" s="2" t="s">
        <v>2373</v>
      </c>
      <c r="C2305" s="2" t="str">
        <f>"15216926"</f>
        <v>15216926</v>
      </c>
      <c r="D2305" s="2">
        <v>1.2270000000000001</v>
      </c>
      <c r="E2305" s="2">
        <v>50</v>
      </c>
      <c r="F2305" s="2" t="s">
        <v>16</v>
      </c>
    </row>
    <row r="2306" spans="1:6" ht="25.5">
      <c r="A2306" s="2">
        <v>2303</v>
      </c>
      <c r="B2306" s="2" t="s">
        <v>2374</v>
      </c>
      <c r="C2306" s="2" t="str">
        <f>"15216934"</f>
        <v>15216934</v>
      </c>
      <c r="D2306" s="2">
        <v>0.86199999999999999</v>
      </c>
      <c r="E2306" s="2">
        <v>45</v>
      </c>
      <c r="F2306" s="2" t="s">
        <v>16</v>
      </c>
    </row>
    <row r="2307" spans="1:6" ht="25.5">
      <c r="A2307" s="2">
        <v>2304</v>
      </c>
      <c r="B2307" s="2" t="s">
        <v>2375</v>
      </c>
      <c r="C2307" s="2" t="str">
        <f>"15321770"</f>
        <v>15321770</v>
      </c>
      <c r="D2307" s="2">
        <v>1.139</v>
      </c>
      <c r="E2307" s="2">
        <v>58</v>
      </c>
      <c r="F2307" s="2" t="s">
        <v>16</v>
      </c>
    </row>
    <row r="2308" spans="1:6" ht="25.5">
      <c r="A2308" s="2">
        <v>2305</v>
      </c>
      <c r="B2308" s="2" t="s">
        <v>2376</v>
      </c>
      <c r="C2308" s="2" t="str">
        <f>"09464565"</f>
        <v>09464565</v>
      </c>
      <c r="D2308" s="2">
        <v>0.10199999999999999</v>
      </c>
      <c r="E2308" s="2">
        <v>2</v>
      </c>
      <c r="F2308" s="2" t="s">
        <v>12</v>
      </c>
    </row>
    <row r="2309" spans="1:6" ht="25.5">
      <c r="A2309" s="2">
        <v>2306</v>
      </c>
      <c r="B2309" s="2" t="s">
        <v>2377</v>
      </c>
      <c r="C2309" s="2" t="str">
        <f>"1058708X"</f>
        <v>1058708X</v>
      </c>
      <c r="D2309" s="2">
        <v>0.105</v>
      </c>
      <c r="E2309" s="2">
        <v>6</v>
      </c>
      <c r="F2309" s="2" t="s">
        <v>6</v>
      </c>
    </row>
    <row r="2310" spans="1:6" ht="25.5">
      <c r="A2310" s="2">
        <v>2307</v>
      </c>
      <c r="B2310" s="2" t="s">
        <v>2378</v>
      </c>
      <c r="C2310" s="2" t="str">
        <f>"14371006"</f>
        <v>14371006</v>
      </c>
      <c r="D2310" s="2">
        <v>0.23599999999999999</v>
      </c>
      <c r="E2310" s="2">
        <v>8</v>
      </c>
      <c r="F2310" s="2" t="s">
        <v>12</v>
      </c>
    </row>
    <row r="2311" spans="1:6" ht="25.5">
      <c r="A2311" s="2">
        <v>2308</v>
      </c>
      <c r="B2311" s="2" t="s">
        <v>2379</v>
      </c>
      <c r="C2311" s="2" t="str">
        <f>"0006002X"</f>
        <v>0006002X</v>
      </c>
      <c r="D2311" s="2">
        <v>0.126</v>
      </c>
      <c r="E2311" s="2">
        <v>4</v>
      </c>
      <c r="F2311" s="2" t="s">
        <v>12</v>
      </c>
    </row>
    <row r="2312" spans="1:6" ht="25.5">
      <c r="A2312" s="2">
        <v>2309</v>
      </c>
      <c r="B2312" s="2" t="s">
        <v>2380</v>
      </c>
      <c r="C2312" s="2" t="str">
        <f>"00060887"</f>
        <v>00060887</v>
      </c>
      <c r="D2312" s="2">
        <v>0.115</v>
      </c>
      <c r="E2312" s="2">
        <v>5</v>
      </c>
      <c r="F2312" s="2" t="s">
        <v>190</v>
      </c>
    </row>
    <row r="2313" spans="1:6" ht="25.5">
      <c r="A2313" s="2">
        <v>2310</v>
      </c>
      <c r="B2313" s="2" t="s">
        <v>2381</v>
      </c>
      <c r="C2313" s="2" t="str">
        <f>"00989444"</f>
        <v>00989444</v>
      </c>
      <c r="D2313" s="2">
        <v>0.10199999999999999</v>
      </c>
      <c r="E2313" s="2">
        <v>1</v>
      </c>
      <c r="F2313" s="2" t="s">
        <v>6</v>
      </c>
    </row>
    <row r="2314" spans="1:6" ht="25.5">
      <c r="A2314" s="2">
        <v>2311</v>
      </c>
      <c r="B2314" s="2" t="s">
        <v>2382</v>
      </c>
      <c r="C2314" s="2" t="str">
        <f>"09272569"</f>
        <v>09272569</v>
      </c>
      <c r="D2314" s="2">
        <v>0.11799999999999999</v>
      </c>
      <c r="E2314" s="2">
        <v>4</v>
      </c>
      <c r="F2314" s="2" t="s">
        <v>75</v>
      </c>
    </row>
    <row r="2315" spans="1:6" ht="25.5">
      <c r="A2315" s="2">
        <v>2312</v>
      </c>
      <c r="B2315" s="2" t="s">
        <v>2383</v>
      </c>
      <c r="C2315" s="2" t="str">
        <f>"19457596"</f>
        <v>19457596</v>
      </c>
      <c r="D2315" s="2">
        <v>0.13900000000000001</v>
      </c>
      <c r="E2315" s="2">
        <v>6</v>
      </c>
      <c r="F2315" s="2" t="s">
        <v>6</v>
      </c>
    </row>
    <row r="2316" spans="1:6" ht="25.5">
      <c r="A2316" s="2">
        <v>2313</v>
      </c>
      <c r="B2316" s="2" t="s">
        <v>2384</v>
      </c>
      <c r="C2316" s="2" t="str">
        <f>"00062014"</f>
        <v>00062014</v>
      </c>
      <c r="D2316" s="2">
        <v>0.14599999999999999</v>
      </c>
      <c r="E2316" s="2">
        <v>3</v>
      </c>
      <c r="F2316" s="2" t="s">
        <v>12</v>
      </c>
    </row>
    <row r="2317" spans="1:6" ht="25.5">
      <c r="A2317" s="2">
        <v>2314</v>
      </c>
      <c r="B2317" s="2" t="s">
        <v>2385</v>
      </c>
      <c r="C2317" s="2" t="str">
        <f>"15755886"</f>
        <v>15755886</v>
      </c>
      <c r="D2317" s="2">
        <v>0</v>
      </c>
      <c r="E2317" s="2">
        <v>0</v>
      </c>
      <c r="F2317" s="2" t="s">
        <v>351</v>
      </c>
    </row>
    <row r="2318" spans="1:6" ht="25.5">
      <c r="A2318" s="2">
        <v>2315</v>
      </c>
      <c r="B2318" s="2" t="s">
        <v>2386</v>
      </c>
      <c r="C2318" s="2" t="str">
        <f>"07496877"</f>
        <v>07496877</v>
      </c>
      <c r="D2318" s="2">
        <v>0.1</v>
      </c>
      <c r="E2318" s="2">
        <v>4</v>
      </c>
      <c r="F2318" s="2" t="s">
        <v>6</v>
      </c>
    </row>
    <row r="2319" spans="1:6" ht="25.5">
      <c r="A2319" s="2">
        <v>2316</v>
      </c>
      <c r="B2319" s="2" t="s">
        <v>2387</v>
      </c>
      <c r="C2319" s="2" t="str">
        <f>"01650505"</f>
        <v>01650505</v>
      </c>
      <c r="D2319" s="2">
        <v>0.11899999999999999</v>
      </c>
      <c r="E2319" s="2">
        <v>2</v>
      </c>
      <c r="F2319" s="2" t="s">
        <v>75</v>
      </c>
    </row>
    <row r="2320" spans="1:6" ht="25.5">
      <c r="A2320" s="2">
        <v>2317</v>
      </c>
      <c r="B2320" s="2" t="s">
        <v>2388</v>
      </c>
      <c r="C2320" s="2" t="str">
        <f>"00062294"</f>
        <v>00062294</v>
      </c>
      <c r="D2320" s="2">
        <v>0.161</v>
      </c>
      <c r="E2320" s="2">
        <v>4</v>
      </c>
      <c r="F2320" s="2" t="s">
        <v>75</v>
      </c>
    </row>
    <row r="2321" spans="1:6" ht="25.5">
      <c r="A2321" s="2">
        <v>2318</v>
      </c>
      <c r="B2321" s="2" t="s">
        <v>2389</v>
      </c>
      <c r="C2321" s="2" t="str">
        <f>"13010549"</f>
        <v>13010549</v>
      </c>
      <c r="D2321" s="2">
        <v>0.158</v>
      </c>
      <c r="E2321" s="2">
        <v>2</v>
      </c>
      <c r="F2321" s="2" t="s">
        <v>345</v>
      </c>
    </row>
    <row r="2322" spans="1:6" ht="25.5">
      <c r="A2322" s="2">
        <v>2319</v>
      </c>
      <c r="B2322" s="2" t="s">
        <v>2390</v>
      </c>
      <c r="C2322" s="2" t="str">
        <f>"14691841"</f>
        <v>14691841</v>
      </c>
      <c r="D2322" s="2">
        <v>1.5029999999999999</v>
      </c>
      <c r="E2322" s="2">
        <v>19</v>
      </c>
      <c r="F2322" s="2" t="s">
        <v>16</v>
      </c>
    </row>
    <row r="2323" spans="1:6" ht="25.5">
      <c r="A2323" s="2">
        <v>2320</v>
      </c>
      <c r="B2323" s="2" t="s">
        <v>2391</v>
      </c>
      <c r="C2323" s="2" t="str">
        <f>"15235890"</f>
        <v>15235890</v>
      </c>
      <c r="D2323" s="2">
        <v>0.251</v>
      </c>
      <c r="E2323" s="2">
        <v>2</v>
      </c>
      <c r="F2323" s="2" t="s">
        <v>6</v>
      </c>
    </row>
    <row r="2324" spans="1:6" ht="25.5">
      <c r="A2324" s="2">
        <v>2321</v>
      </c>
      <c r="B2324" s="2" t="s">
        <v>2392</v>
      </c>
      <c r="C2324" s="2" t="str">
        <f>"10008721"</f>
        <v>10008721</v>
      </c>
      <c r="D2324" s="2">
        <v>0.129</v>
      </c>
      <c r="E2324" s="2">
        <v>5</v>
      </c>
      <c r="F2324" s="2" t="s">
        <v>46</v>
      </c>
    </row>
    <row r="2325" spans="1:6" ht="25.5">
      <c r="A2325" s="2">
        <v>2322</v>
      </c>
      <c r="B2325" s="2" t="s">
        <v>2393</v>
      </c>
      <c r="C2325" s="2" t="str">
        <f>"10001093"</f>
        <v>10001093</v>
      </c>
      <c r="D2325" s="2">
        <v>0.29499999999999998</v>
      </c>
      <c r="E2325" s="2">
        <v>10</v>
      </c>
      <c r="F2325" s="2" t="s">
        <v>190</v>
      </c>
    </row>
    <row r="2326" spans="1:6" ht="25.5">
      <c r="A2326" s="2">
        <v>2323</v>
      </c>
      <c r="B2326" s="2" t="s">
        <v>2394</v>
      </c>
      <c r="C2326" s="2" t="str">
        <f>"21605904"</f>
        <v>21605904</v>
      </c>
      <c r="D2326" s="2">
        <v>0.23799999999999999</v>
      </c>
      <c r="E2326" s="2">
        <v>14</v>
      </c>
      <c r="F2326" s="2" t="s">
        <v>6</v>
      </c>
    </row>
    <row r="2327" spans="1:6" ht="25.5">
      <c r="A2327" s="2">
        <v>2324</v>
      </c>
      <c r="B2327" s="2" t="s">
        <v>2395</v>
      </c>
      <c r="C2327" s="2" t="str">
        <f>"09524622"</f>
        <v>09524622</v>
      </c>
      <c r="D2327" s="2">
        <v>0.32700000000000001</v>
      </c>
      <c r="E2327" s="2">
        <v>19</v>
      </c>
      <c r="F2327" s="2" t="s">
        <v>16</v>
      </c>
    </row>
    <row r="2328" spans="1:6" ht="25.5">
      <c r="A2328" s="2">
        <v>2325</v>
      </c>
      <c r="B2328" s="2" t="s">
        <v>2396</v>
      </c>
      <c r="C2328" s="2" t="str">
        <f>"13163361"</f>
        <v>13163361</v>
      </c>
      <c r="D2328" s="2">
        <v>0.19</v>
      </c>
      <c r="E2328" s="2">
        <v>3</v>
      </c>
      <c r="F2328" s="2" t="s">
        <v>40</v>
      </c>
    </row>
    <row r="2329" spans="1:6" ht="25.5">
      <c r="A2329" s="2">
        <v>2326</v>
      </c>
      <c r="B2329" s="2" t="s">
        <v>2397</v>
      </c>
      <c r="C2329" s="2" t="str">
        <f>"17576199"</f>
        <v>17576199</v>
      </c>
      <c r="D2329" s="2">
        <v>0.58499999999999996</v>
      </c>
      <c r="E2329" s="2">
        <v>15</v>
      </c>
      <c r="F2329" s="2" t="s">
        <v>16</v>
      </c>
    </row>
    <row r="2330" spans="1:6" ht="25.5">
      <c r="A2330" s="2">
        <v>2327</v>
      </c>
      <c r="B2330" s="2" t="s">
        <v>2398</v>
      </c>
      <c r="C2330" s="2" t="str">
        <f>"18672094"</f>
        <v>18672094</v>
      </c>
      <c r="D2330" s="2">
        <v>1.1839999999999999</v>
      </c>
      <c r="E2330" s="2">
        <v>4</v>
      </c>
      <c r="F2330" s="2" t="s">
        <v>288</v>
      </c>
    </row>
    <row r="2331" spans="1:6" ht="25.5">
      <c r="A2331" s="2">
        <v>2328</v>
      </c>
      <c r="B2331" s="2" t="s">
        <v>2399</v>
      </c>
      <c r="C2331" s="2" t="str">
        <f>"1899962X"</f>
        <v>1899962X</v>
      </c>
      <c r="D2331" s="2">
        <v>0.104</v>
      </c>
      <c r="E2331" s="2">
        <v>1</v>
      </c>
      <c r="F2331" s="2" t="s">
        <v>169</v>
      </c>
    </row>
    <row r="2332" spans="1:6" ht="25.5">
      <c r="A2332" s="2">
        <v>2329</v>
      </c>
      <c r="B2332" s="2" t="s">
        <v>2400</v>
      </c>
      <c r="C2332" s="2" t="str">
        <f>"18788181"</f>
        <v>18788181</v>
      </c>
      <c r="D2332" s="2">
        <v>0</v>
      </c>
      <c r="E2332" s="2">
        <v>3</v>
      </c>
      <c r="F2332" s="2" t="s">
        <v>75</v>
      </c>
    </row>
    <row r="2333" spans="1:6" ht="25.5">
      <c r="A2333" s="2">
        <v>2330</v>
      </c>
      <c r="B2333" s="2" t="s">
        <v>2401</v>
      </c>
      <c r="C2333" s="2" t="str">
        <f>"10242422"</f>
        <v>10242422</v>
      </c>
      <c r="D2333" s="2">
        <v>0.32500000000000001</v>
      </c>
      <c r="E2333" s="2">
        <v>29</v>
      </c>
      <c r="F2333" s="2" t="s">
        <v>16</v>
      </c>
    </row>
    <row r="2334" spans="1:6" ht="25.5">
      <c r="A2334" s="2">
        <v>2331</v>
      </c>
      <c r="B2334" s="2" t="s">
        <v>2402</v>
      </c>
      <c r="C2334" s="2" t="str">
        <f>"03279545"</f>
        <v>03279545</v>
      </c>
      <c r="D2334" s="2">
        <v>0.23200000000000001</v>
      </c>
      <c r="E2334" s="2">
        <v>17</v>
      </c>
      <c r="F2334" s="2" t="s">
        <v>192</v>
      </c>
    </row>
    <row r="2335" spans="1:6" ht="25.5">
      <c r="A2335" s="2">
        <v>2332</v>
      </c>
      <c r="B2335" s="2" t="s">
        <v>2403</v>
      </c>
      <c r="C2335" s="2" t="str">
        <f>"13300962"</f>
        <v>13300962</v>
      </c>
      <c r="D2335" s="2">
        <v>0.316</v>
      </c>
      <c r="E2335" s="2">
        <v>10</v>
      </c>
      <c r="F2335" s="2" t="s">
        <v>149</v>
      </c>
    </row>
    <row r="2336" spans="1:6" ht="25.5">
      <c r="A2336" s="2">
        <v>2333</v>
      </c>
      <c r="B2336" s="2" t="s">
        <v>2404</v>
      </c>
      <c r="C2336" s="2" t="str">
        <f>"10902104"</f>
        <v>10902104</v>
      </c>
      <c r="D2336" s="2">
        <v>1.0489999999999999</v>
      </c>
      <c r="E2336" s="2">
        <v>180</v>
      </c>
      <c r="F2336" s="2" t="s">
        <v>6</v>
      </c>
    </row>
    <row r="2337" spans="1:6" ht="25.5">
      <c r="A2337" s="2">
        <v>2334</v>
      </c>
      <c r="B2337" s="2" t="s">
        <v>2405</v>
      </c>
      <c r="C2337" s="2" t="str">
        <f>"09725075"</f>
        <v>09725075</v>
      </c>
      <c r="D2337" s="2">
        <v>0.13700000000000001</v>
      </c>
      <c r="E2337" s="2">
        <v>1</v>
      </c>
      <c r="F2337" s="2" t="s">
        <v>488</v>
      </c>
    </row>
    <row r="2338" spans="1:6" ht="25.5">
      <c r="A2338" s="2">
        <v>2335</v>
      </c>
      <c r="B2338" s="2" t="s">
        <v>2406</v>
      </c>
      <c r="C2338" s="2" t="str">
        <f>"1369703X"</f>
        <v>1369703X</v>
      </c>
      <c r="D2338" s="2">
        <v>1.06</v>
      </c>
      <c r="E2338" s="2">
        <v>61</v>
      </c>
      <c r="F2338" s="2" t="s">
        <v>75</v>
      </c>
    </row>
    <row r="2339" spans="1:6" ht="25.5">
      <c r="A2339" s="2">
        <v>2336</v>
      </c>
      <c r="B2339" s="2" t="s">
        <v>2407</v>
      </c>
      <c r="C2339" s="2" t="str">
        <f>"15734927"</f>
        <v>15734927</v>
      </c>
      <c r="D2339" s="2">
        <v>0.29199999999999998</v>
      </c>
      <c r="E2339" s="2">
        <v>27</v>
      </c>
      <c r="F2339" s="2" t="s">
        <v>6</v>
      </c>
    </row>
    <row r="2340" spans="1:6" ht="25.5">
      <c r="A2340" s="2">
        <v>2337</v>
      </c>
      <c r="B2340" s="2" t="s">
        <v>2408</v>
      </c>
      <c r="C2340" s="2" t="str">
        <f>"14708728"</f>
        <v>14708728</v>
      </c>
      <c r="D2340" s="2">
        <v>2.4940000000000002</v>
      </c>
      <c r="E2340" s="2">
        <v>185</v>
      </c>
      <c r="F2340" s="2" t="s">
        <v>16</v>
      </c>
    </row>
    <row r="2341" spans="1:6" ht="25.5">
      <c r="A2341" s="2">
        <v>2338</v>
      </c>
      <c r="B2341" s="2" t="s">
        <v>2409</v>
      </c>
      <c r="C2341" s="2" t="str">
        <f>"00062952"</f>
        <v>00062952</v>
      </c>
      <c r="D2341" s="2">
        <v>1.5149999999999999</v>
      </c>
      <c r="E2341" s="2">
        <v>132</v>
      </c>
      <c r="F2341" s="2" t="s">
        <v>6</v>
      </c>
    </row>
    <row r="2342" spans="1:6" ht="25.5">
      <c r="A2342" s="2">
        <v>2339</v>
      </c>
      <c r="B2342" s="2" t="s">
        <v>2410</v>
      </c>
      <c r="C2342" s="2" t="str">
        <f>"00678694"</f>
        <v>00678694</v>
      </c>
      <c r="D2342" s="2">
        <v>0.17599999999999999</v>
      </c>
      <c r="E2342" s="2">
        <v>42</v>
      </c>
      <c r="F2342" s="2" t="s">
        <v>16</v>
      </c>
    </row>
    <row r="2343" spans="1:6" ht="25.5">
      <c r="A2343" s="2">
        <v>2340</v>
      </c>
      <c r="B2343" s="2" t="s">
        <v>2411</v>
      </c>
      <c r="C2343" s="2" t="str">
        <f>"14708752"</f>
        <v>14708752</v>
      </c>
      <c r="D2343" s="2">
        <v>1.671</v>
      </c>
      <c r="E2343" s="2">
        <v>92</v>
      </c>
      <c r="F2343" s="2" t="s">
        <v>16</v>
      </c>
    </row>
    <row r="2344" spans="1:6" ht="25.5">
      <c r="A2344" s="2">
        <v>2341</v>
      </c>
      <c r="B2344" s="2" t="s">
        <v>2412</v>
      </c>
      <c r="C2344" s="2" t="str">
        <f>"03051978"</f>
        <v>03051978</v>
      </c>
      <c r="D2344" s="2">
        <v>0.40200000000000002</v>
      </c>
      <c r="E2344" s="2">
        <v>42</v>
      </c>
      <c r="F2344" s="2" t="s">
        <v>16</v>
      </c>
    </row>
    <row r="2345" spans="1:6" ht="25.5">
      <c r="A2345" s="2">
        <v>2342</v>
      </c>
      <c r="B2345" s="2" t="s">
        <v>2413</v>
      </c>
      <c r="C2345" s="2" t="str">
        <f>"0954982X"</f>
        <v>0954982X</v>
      </c>
      <c r="D2345" s="2">
        <v>0.115</v>
      </c>
      <c r="E2345" s="2">
        <v>2</v>
      </c>
      <c r="F2345" s="2" t="s">
        <v>16</v>
      </c>
    </row>
    <row r="2346" spans="1:6" ht="25.5">
      <c r="A2346" s="2">
        <v>2343</v>
      </c>
      <c r="B2346" s="2" t="s">
        <v>2414</v>
      </c>
      <c r="C2346" s="2" t="str">
        <f>"15204995"</f>
        <v>15204995</v>
      </c>
      <c r="D2346" s="2">
        <v>1.732</v>
      </c>
      <c r="E2346" s="2">
        <v>177</v>
      </c>
      <c r="F2346" s="2" t="s">
        <v>6</v>
      </c>
    </row>
    <row r="2347" spans="1:6" ht="25.5">
      <c r="A2347" s="2">
        <v>2344</v>
      </c>
      <c r="B2347" s="2" t="s">
        <v>2415</v>
      </c>
      <c r="C2347" s="2" t="str">
        <f>"12086002"</f>
        <v>12086002</v>
      </c>
      <c r="D2347" s="2">
        <v>1.488</v>
      </c>
      <c r="E2347" s="2">
        <v>65</v>
      </c>
      <c r="F2347" s="2" t="s">
        <v>64</v>
      </c>
    </row>
    <row r="2348" spans="1:6" ht="25.5">
      <c r="A2348" s="2">
        <v>2345</v>
      </c>
      <c r="B2348" s="2" t="s">
        <v>2416</v>
      </c>
      <c r="C2348" s="2" t="str">
        <f>"15393429"</f>
        <v>15393429</v>
      </c>
      <c r="D2348" s="2">
        <v>0.34499999999999997</v>
      </c>
      <c r="E2348" s="2">
        <v>18</v>
      </c>
      <c r="F2348" s="2" t="s">
        <v>6</v>
      </c>
    </row>
    <row r="2349" spans="1:6" ht="25.5">
      <c r="A2349" s="2">
        <v>2346</v>
      </c>
      <c r="B2349" s="2" t="s">
        <v>2417</v>
      </c>
      <c r="C2349" s="2" t="str">
        <f>"16083040"</f>
        <v>16083040</v>
      </c>
      <c r="D2349" s="2">
        <v>0.39500000000000002</v>
      </c>
      <c r="E2349" s="2">
        <v>49</v>
      </c>
      <c r="F2349" s="2" t="s">
        <v>129</v>
      </c>
    </row>
    <row r="2350" spans="1:6" ht="25.5">
      <c r="A2350" s="2">
        <v>2347</v>
      </c>
      <c r="B2350" s="2" t="s">
        <v>2418</v>
      </c>
      <c r="C2350" s="2" t="str">
        <f>"20902247"</f>
        <v>20902247</v>
      </c>
      <c r="D2350" s="2">
        <v>0.28000000000000003</v>
      </c>
      <c r="E2350" s="2">
        <v>4</v>
      </c>
      <c r="F2350" s="2" t="s">
        <v>6</v>
      </c>
    </row>
    <row r="2351" spans="1:6" ht="25.5">
      <c r="A2351" s="2">
        <v>2348</v>
      </c>
      <c r="B2351" s="2" t="s">
        <v>2419</v>
      </c>
      <c r="C2351" s="2" t="str">
        <f>"19907478"</f>
        <v>19907478</v>
      </c>
      <c r="D2351" s="2">
        <v>0.125</v>
      </c>
      <c r="E2351" s="2">
        <v>3</v>
      </c>
      <c r="F2351" s="2" t="s">
        <v>129</v>
      </c>
    </row>
    <row r="2352" spans="1:6" ht="25.5">
      <c r="A2352" s="2">
        <v>2349</v>
      </c>
      <c r="B2352" s="2" t="s">
        <v>2420</v>
      </c>
      <c r="C2352" s="2" t="str">
        <f>"19907516"</f>
        <v>19907516</v>
      </c>
      <c r="D2352" s="2">
        <v>0.14199999999999999</v>
      </c>
      <c r="E2352" s="2">
        <v>4</v>
      </c>
      <c r="F2352" s="2" t="s">
        <v>129</v>
      </c>
    </row>
    <row r="2353" spans="1:6" ht="25.5">
      <c r="A2353" s="2">
        <v>2350</v>
      </c>
      <c r="B2353" s="2" t="s">
        <v>2421</v>
      </c>
      <c r="C2353" s="2" t="str">
        <f>"00052728"</f>
        <v>00052728</v>
      </c>
      <c r="D2353" s="2">
        <v>2.2829999999999999</v>
      </c>
      <c r="E2353" s="2">
        <v>111</v>
      </c>
      <c r="F2353" s="2" t="s">
        <v>75</v>
      </c>
    </row>
    <row r="2354" spans="1:6" ht="25.5">
      <c r="A2354" s="2">
        <v>2351</v>
      </c>
      <c r="B2354" s="2" t="s">
        <v>2422</v>
      </c>
      <c r="C2354" s="2" t="str">
        <f>"00052736"</f>
        <v>00052736</v>
      </c>
      <c r="D2354" s="2">
        <v>1.526</v>
      </c>
      <c r="E2354" s="2">
        <v>110</v>
      </c>
      <c r="F2354" s="2" t="s">
        <v>75</v>
      </c>
    </row>
    <row r="2355" spans="1:6" ht="25.5">
      <c r="A2355" s="2">
        <v>2352</v>
      </c>
      <c r="B2355" s="2" t="s">
        <v>2423</v>
      </c>
      <c r="C2355" s="2" t="str">
        <f>"03044165"</f>
        <v>03044165</v>
      </c>
      <c r="D2355" s="2">
        <v>1.7030000000000001</v>
      </c>
      <c r="E2355" s="2">
        <v>91</v>
      </c>
      <c r="F2355" s="2" t="s">
        <v>75</v>
      </c>
    </row>
    <row r="2356" spans="1:6" ht="25.5">
      <c r="A2356" s="2">
        <v>2353</v>
      </c>
      <c r="B2356" s="2" t="s">
        <v>2424</v>
      </c>
      <c r="C2356" s="2" t="str">
        <f>"18749399"</f>
        <v>18749399</v>
      </c>
      <c r="D2356" s="2">
        <v>2.69</v>
      </c>
      <c r="E2356" s="2">
        <v>79</v>
      </c>
      <c r="F2356" s="2" t="s">
        <v>75</v>
      </c>
    </row>
    <row r="2357" spans="1:6" ht="25.5">
      <c r="A2357" s="2">
        <v>2354</v>
      </c>
      <c r="B2357" s="2" t="s">
        <v>2425</v>
      </c>
      <c r="C2357" s="2" t="str">
        <f>"13881981"</f>
        <v>13881981</v>
      </c>
      <c r="D2357" s="2">
        <v>1.784</v>
      </c>
      <c r="E2357" s="2">
        <v>106</v>
      </c>
      <c r="F2357" s="2" t="s">
        <v>75</v>
      </c>
    </row>
    <row r="2358" spans="1:6" ht="25.5">
      <c r="A2358" s="2">
        <v>2355</v>
      </c>
      <c r="B2358" s="2" t="s">
        <v>2426</v>
      </c>
      <c r="C2358" s="2" t="str">
        <f>"09254439"</f>
        <v>09254439</v>
      </c>
      <c r="D2358" s="2">
        <v>2.016</v>
      </c>
      <c r="E2358" s="2">
        <v>85</v>
      </c>
      <c r="F2358" s="2" t="s">
        <v>75</v>
      </c>
    </row>
    <row r="2359" spans="1:6" ht="25.5">
      <c r="A2359" s="2">
        <v>2356</v>
      </c>
      <c r="B2359" s="2" t="s">
        <v>2427</v>
      </c>
      <c r="C2359" s="2" t="str">
        <f>"01674889"</f>
        <v>01674889</v>
      </c>
      <c r="D2359" s="2">
        <v>2.552</v>
      </c>
      <c r="E2359" s="2">
        <v>104</v>
      </c>
      <c r="F2359" s="2" t="s">
        <v>75</v>
      </c>
    </row>
    <row r="2360" spans="1:6" ht="25.5">
      <c r="A2360" s="2">
        <v>2357</v>
      </c>
      <c r="B2360" s="2" t="s">
        <v>2428</v>
      </c>
      <c r="C2360" s="2" t="str">
        <f>"15709639"</f>
        <v>15709639</v>
      </c>
      <c r="D2360" s="2">
        <v>1.4530000000000001</v>
      </c>
      <c r="E2360" s="2">
        <v>96</v>
      </c>
      <c r="F2360" s="2" t="s">
        <v>75</v>
      </c>
    </row>
    <row r="2361" spans="1:6" ht="25.5">
      <c r="A2361" s="2">
        <v>2358</v>
      </c>
      <c r="B2361" s="2" t="s">
        <v>2429</v>
      </c>
      <c r="C2361" s="2" t="str">
        <f>"0304419X"</f>
        <v>0304419X</v>
      </c>
      <c r="D2361" s="2">
        <v>3.9079999999999999</v>
      </c>
      <c r="E2361" s="2">
        <v>92</v>
      </c>
      <c r="F2361" s="2" t="s">
        <v>75</v>
      </c>
    </row>
    <row r="2362" spans="1:6" ht="25.5">
      <c r="A2362" s="2">
        <v>2359</v>
      </c>
      <c r="B2362" s="2" t="s">
        <v>2430</v>
      </c>
      <c r="C2362" s="2" t="str">
        <f>"03009084"</f>
        <v>03009084</v>
      </c>
      <c r="D2362" s="2">
        <v>1.0669999999999999</v>
      </c>
      <c r="E2362" s="2">
        <v>89</v>
      </c>
      <c r="F2362" s="2" t="s">
        <v>75</v>
      </c>
    </row>
    <row r="2363" spans="1:6" ht="25.5">
      <c r="A2363" s="2">
        <v>2360</v>
      </c>
      <c r="B2363" s="2" t="s">
        <v>2431</v>
      </c>
      <c r="C2363" s="2" t="str">
        <f>"20927843"</f>
        <v>20927843</v>
      </c>
      <c r="D2363" s="2">
        <v>0.25700000000000001</v>
      </c>
      <c r="E2363" s="2">
        <v>8</v>
      </c>
      <c r="F2363" s="2" t="s">
        <v>12</v>
      </c>
    </row>
    <row r="2364" spans="1:6" ht="25.5">
      <c r="A2364" s="2">
        <v>2361</v>
      </c>
      <c r="B2364" s="2" t="s">
        <v>2432</v>
      </c>
      <c r="C2364" s="2" t="str">
        <f>"15204812"</f>
        <v>15204812</v>
      </c>
      <c r="D2364" s="2">
        <v>1.8140000000000001</v>
      </c>
      <c r="E2364" s="2">
        <v>111</v>
      </c>
      <c r="F2364" s="2" t="s">
        <v>6</v>
      </c>
    </row>
    <row r="2365" spans="1:6" ht="25.5">
      <c r="A2365" s="2">
        <v>2362</v>
      </c>
      <c r="B2365" s="2" t="s">
        <v>2433</v>
      </c>
      <c r="C2365" s="2" t="str">
        <f>"15738248"</f>
        <v>15738248</v>
      </c>
      <c r="D2365" s="2">
        <v>0.88900000000000001</v>
      </c>
      <c r="E2365" s="2">
        <v>35</v>
      </c>
      <c r="F2365" s="2" t="s">
        <v>75</v>
      </c>
    </row>
    <row r="2366" spans="1:6" ht="25.5">
      <c r="A2366" s="2">
        <v>2363</v>
      </c>
      <c r="B2366" s="2" t="s">
        <v>2434</v>
      </c>
      <c r="C2366" s="2" t="str">
        <f>"13424815"</f>
        <v>13424815</v>
      </c>
      <c r="D2366" s="2">
        <v>0.249</v>
      </c>
      <c r="E2366" s="2">
        <v>12</v>
      </c>
      <c r="F2366" s="2" t="s">
        <v>131</v>
      </c>
    </row>
    <row r="2367" spans="1:6" ht="25.5">
      <c r="A2367" s="2">
        <v>2364</v>
      </c>
      <c r="B2367" s="2" t="s">
        <v>2435</v>
      </c>
      <c r="C2367" s="2" t="str">
        <f>"13600478"</f>
        <v>13600478</v>
      </c>
      <c r="D2367" s="2">
        <v>0.35699999999999998</v>
      </c>
      <c r="E2367" s="2">
        <v>37</v>
      </c>
      <c r="F2367" s="2" t="s">
        <v>16</v>
      </c>
    </row>
    <row r="2368" spans="1:6" ht="25.5">
      <c r="A2368" s="2">
        <v>2365</v>
      </c>
      <c r="B2368" s="2" t="s">
        <v>2436</v>
      </c>
      <c r="C2368" s="2" t="str">
        <f>"02085216"</f>
        <v>02085216</v>
      </c>
      <c r="D2368" s="2">
        <v>0.185</v>
      </c>
      <c r="E2368" s="2">
        <v>4</v>
      </c>
      <c r="F2368" s="2" t="s">
        <v>169</v>
      </c>
    </row>
    <row r="2369" spans="1:6" ht="25.5">
      <c r="A2369" s="2">
        <v>2366</v>
      </c>
      <c r="B2369" s="2" t="s">
        <v>2437</v>
      </c>
      <c r="C2369" s="2" t="str">
        <f>"17560381"</f>
        <v>17560381</v>
      </c>
      <c r="D2369" s="2">
        <v>0.89800000000000002</v>
      </c>
      <c r="E2369" s="2">
        <v>7</v>
      </c>
      <c r="F2369" s="2" t="s">
        <v>16</v>
      </c>
    </row>
    <row r="2370" spans="1:6" ht="25.5">
      <c r="A2370" s="2">
        <v>2367</v>
      </c>
      <c r="B2370" s="2" t="s">
        <v>2438</v>
      </c>
      <c r="C2370" s="2" t="str">
        <f>"15729729"</f>
        <v>15729729</v>
      </c>
      <c r="D2370" s="2">
        <v>0.89600000000000002</v>
      </c>
      <c r="E2370" s="2">
        <v>50</v>
      </c>
      <c r="F2370" s="2" t="s">
        <v>75</v>
      </c>
    </row>
    <row r="2371" spans="1:6">
      <c r="A2371" s="2">
        <v>2368</v>
      </c>
      <c r="B2371" s="2" t="s">
        <v>2439</v>
      </c>
      <c r="C2371" s="2" t="str">
        <f>"0"</f>
        <v>0</v>
      </c>
      <c r="D2371" s="2">
        <v>0.76</v>
      </c>
      <c r="E2371" s="2">
        <v>16</v>
      </c>
      <c r="F2371" s="2" t="s">
        <v>6</v>
      </c>
    </row>
    <row r="2372" spans="1:6" ht="25.5">
      <c r="A2372" s="2">
        <v>2369</v>
      </c>
      <c r="B2372" s="2" t="s">
        <v>2440</v>
      </c>
      <c r="C2372" s="2" t="str">
        <f>"14888386"</f>
        <v>14888386</v>
      </c>
      <c r="D2372" s="2">
        <v>0.16</v>
      </c>
      <c r="E2372" s="2">
        <v>6</v>
      </c>
      <c r="F2372" s="2" t="s">
        <v>64</v>
      </c>
    </row>
    <row r="2373" spans="1:6" ht="25.5">
      <c r="A2373" s="2">
        <v>2370</v>
      </c>
      <c r="B2373" s="2" t="s">
        <v>2441</v>
      </c>
      <c r="C2373" s="2" t="str">
        <f>"15729710"</f>
        <v>15729710</v>
      </c>
      <c r="D2373" s="2">
        <v>1.004</v>
      </c>
      <c r="E2373" s="2">
        <v>67</v>
      </c>
      <c r="F2373" s="2" t="s">
        <v>75</v>
      </c>
    </row>
    <row r="2374" spans="1:6" ht="25.5">
      <c r="A2374" s="2">
        <v>2371</v>
      </c>
      <c r="B2374" s="2" t="s">
        <v>2442</v>
      </c>
      <c r="C2374" s="2" t="str">
        <f>"11738804"</f>
        <v>11738804</v>
      </c>
      <c r="D2374" s="2">
        <v>0.93100000000000005</v>
      </c>
      <c r="E2374" s="2">
        <v>42</v>
      </c>
      <c r="F2374" s="2" t="s">
        <v>16</v>
      </c>
    </row>
    <row r="2375" spans="1:6" ht="25.5">
      <c r="A2375" s="2">
        <v>2372</v>
      </c>
      <c r="B2375" s="2" t="s">
        <v>2443</v>
      </c>
      <c r="C2375" s="2" t="str">
        <f>"15675394"</f>
        <v>15675394</v>
      </c>
      <c r="D2375" s="2">
        <v>1.0640000000000001</v>
      </c>
      <c r="E2375" s="2">
        <v>58</v>
      </c>
      <c r="F2375" s="2" t="s">
        <v>75</v>
      </c>
    </row>
    <row r="2376" spans="1:6" ht="25.5">
      <c r="A2376" s="2">
        <v>2373</v>
      </c>
      <c r="B2376" s="2" t="s">
        <v>2444</v>
      </c>
      <c r="C2376" s="2" t="str">
        <f>"1521186X"</f>
        <v>1521186X</v>
      </c>
      <c r="D2376" s="2">
        <v>0.57699999999999996</v>
      </c>
      <c r="E2376" s="2">
        <v>53</v>
      </c>
      <c r="F2376" s="2" t="s">
        <v>6</v>
      </c>
    </row>
    <row r="2377" spans="1:6" ht="25.5">
      <c r="A2377" s="2">
        <v>2374</v>
      </c>
      <c r="B2377" s="2" t="s">
        <v>2445</v>
      </c>
      <c r="C2377" s="2" t="str">
        <f>"19391234"</f>
        <v>19391234</v>
      </c>
      <c r="D2377" s="2">
        <v>1.1579999999999999</v>
      </c>
      <c r="E2377" s="2">
        <v>14</v>
      </c>
      <c r="F2377" s="2" t="s">
        <v>6</v>
      </c>
    </row>
    <row r="2378" spans="1:6" ht="25.5">
      <c r="A2378" s="2">
        <v>2375</v>
      </c>
      <c r="B2378" s="2" t="s">
        <v>2446</v>
      </c>
      <c r="C2378" s="2" t="str">
        <f>"19491026"</f>
        <v>19491026</v>
      </c>
      <c r="D2378" s="2">
        <v>0.49</v>
      </c>
      <c r="E2378" s="2">
        <v>6</v>
      </c>
      <c r="F2378" s="2" t="s">
        <v>6</v>
      </c>
    </row>
    <row r="2379" spans="1:6" ht="25.5">
      <c r="A2379" s="2">
        <v>2376</v>
      </c>
      <c r="B2379" s="2" t="s">
        <v>2447</v>
      </c>
      <c r="C2379" s="2" t="str">
        <f>"15211878"</f>
        <v>15211878</v>
      </c>
      <c r="D2379" s="2">
        <v>2.4239999999999999</v>
      </c>
      <c r="E2379" s="2">
        <v>135</v>
      </c>
      <c r="F2379" s="2" t="s">
        <v>6</v>
      </c>
    </row>
    <row r="2380" spans="1:6" ht="25.5">
      <c r="A2380" s="2">
        <v>2377</v>
      </c>
      <c r="B2380" s="2" t="s">
        <v>2448</v>
      </c>
      <c r="C2380" s="2" t="str">
        <f>"14678519"</f>
        <v>14678519</v>
      </c>
      <c r="D2380" s="2">
        <v>0.78300000000000003</v>
      </c>
      <c r="E2380" s="2">
        <v>29</v>
      </c>
      <c r="F2380" s="2" t="s">
        <v>16</v>
      </c>
    </row>
    <row r="2381" spans="1:6" ht="25.5">
      <c r="A2381" s="2">
        <v>2378</v>
      </c>
      <c r="B2381" s="2" t="s">
        <v>2449</v>
      </c>
      <c r="C2381" s="2" t="str">
        <f>"17585090"</f>
        <v>17585090</v>
      </c>
      <c r="D2381" s="2">
        <v>1.0089999999999999</v>
      </c>
      <c r="E2381" s="2">
        <v>13</v>
      </c>
      <c r="F2381" s="2" t="s">
        <v>16</v>
      </c>
    </row>
    <row r="2382" spans="1:6" ht="25.5">
      <c r="A2382" s="2">
        <v>2379</v>
      </c>
      <c r="B2382" s="2" t="s">
        <v>2450</v>
      </c>
      <c r="C2382" s="2" t="str">
        <f>"09516433"</f>
        <v>09516433</v>
      </c>
      <c r="D2382" s="2">
        <v>1.2430000000000001</v>
      </c>
      <c r="E2382" s="2">
        <v>55</v>
      </c>
      <c r="F2382" s="2" t="s">
        <v>6</v>
      </c>
    </row>
    <row r="2383" spans="1:6" ht="25.5">
      <c r="A2383" s="2">
        <v>2380</v>
      </c>
      <c r="B2383" s="2" t="s">
        <v>2451</v>
      </c>
      <c r="C2383" s="2" t="str">
        <f>"00063029"</f>
        <v>00063029</v>
      </c>
      <c r="D2383" s="2">
        <v>0.14699999999999999</v>
      </c>
      <c r="E2383" s="2">
        <v>15</v>
      </c>
      <c r="F2383" s="2" t="s">
        <v>129</v>
      </c>
    </row>
    <row r="2384" spans="1:6" ht="25.5">
      <c r="A2384" s="2">
        <v>2381</v>
      </c>
      <c r="B2384" s="2" t="s">
        <v>2452</v>
      </c>
      <c r="C2384" s="2" t="str">
        <f>"10292454"</f>
        <v>10292454</v>
      </c>
      <c r="D2384" s="2">
        <v>0.879</v>
      </c>
      <c r="E2384" s="2">
        <v>48</v>
      </c>
      <c r="F2384" s="2" t="s">
        <v>16</v>
      </c>
    </row>
    <row r="2385" spans="1:6" ht="25.5">
      <c r="A2385" s="2">
        <v>2382</v>
      </c>
      <c r="B2385" s="2" t="s">
        <v>2453</v>
      </c>
      <c r="C2385" s="2" t="str">
        <f>"1932104X"</f>
        <v>1932104X</v>
      </c>
      <c r="D2385" s="2">
        <v>1.278</v>
      </c>
      <c r="E2385" s="2">
        <v>31</v>
      </c>
      <c r="F2385" s="2" t="s">
        <v>16</v>
      </c>
    </row>
    <row r="2386" spans="1:6" ht="25.5">
      <c r="A2386" s="2">
        <v>2383</v>
      </c>
      <c r="B2386" s="2" t="s">
        <v>2454</v>
      </c>
      <c r="C2386" s="2" t="str">
        <f>"02943506"</f>
        <v>02943506</v>
      </c>
      <c r="D2386" s="2">
        <v>0.111</v>
      </c>
      <c r="E2386" s="2">
        <v>6</v>
      </c>
      <c r="F2386" s="2" t="s">
        <v>66</v>
      </c>
    </row>
    <row r="2387" spans="1:6" ht="25.5">
      <c r="A2387" s="2">
        <v>2384</v>
      </c>
      <c r="B2387" s="2" t="s">
        <v>2455</v>
      </c>
      <c r="C2387" s="2" t="str">
        <f>"1573515X"</f>
        <v>1573515X</v>
      </c>
      <c r="D2387" s="2">
        <v>1.534</v>
      </c>
      <c r="E2387" s="2">
        <v>88</v>
      </c>
      <c r="F2387" s="2" t="s">
        <v>75</v>
      </c>
    </row>
    <row r="2388" spans="1:6" ht="25.5">
      <c r="A2388" s="2">
        <v>2385</v>
      </c>
      <c r="B2388" s="2" t="s">
        <v>2456</v>
      </c>
      <c r="C2388" s="2" t="str">
        <f>"17264189"</f>
        <v>17264189</v>
      </c>
      <c r="D2388" s="2">
        <v>1.9319999999999999</v>
      </c>
      <c r="E2388" s="2">
        <v>42</v>
      </c>
      <c r="F2388" s="2" t="s">
        <v>12</v>
      </c>
    </row>
    <row r="2389" spans="1:6" ht="25.5">
      <c r="A2389" s="2">
        <v>2386</v>
      </c>
      <c r="B2389" s="2" t="s">
        <v>2457</v>
      </c>
      <c r="C2389" s="2" t="str">
        <f>"15736768"</f>
        <v>15736768</v>
      </c>
      <c r="D2389" s="2">
        <v>0.92700000000000005</v>
      </c>
      <c r="E2389" s="2">
        <v>41</v>
      </c>
      <c r="F2389" s="2" t="s">
        <v>75</v>
      </c>
    </row>
    <row r="2390" spans="1:6" ht="25.5">
      <c r="A2390" s="2">
        <v>2387</v>
      </c>
      <c r="B2390" s="2" t="s">
        <v>2458</v>
      </c>
      <c r="C2390" s="2" t="str">
        <f>"15291456"</f>
        <v>15291456</v>
      </c>
      <c r="D2390" s="2">
        <v>0.217</v>
      </c>
      <c r="E2390" s="2">
        <v>8</v>
      </c>
      <c r="F2390" s="2" t="s">
        <v>6</v>
      </c>
    </row>
    <row r="2391" spans="1:6" ht="25.5">
      <c r="A2391" s="2">
        <v>2388</v>
      </c>
      <c r="B2391" s="2" t="s">
        <v>2459</v>
      </c>
      <c r="C2391" s="2" t="str">
        <f>"13674811"</f>
        <v>13674811</v>
      </c>
      <c r="D2391" s="2">
        <v>4.2229999999999999</v>
      </c>
      <c r="E2391" s="2">
        <v>204</v>
      </c>
      <c r="F2391" s="2" t="s">
        <v>16</v>
      </c>
    </row>
    <row r="2392" spans="1:6" ht="25.5">
      <c r="A2392" s="2">
        <v>2389</v>
      </c>
      <c r="B2392" s="2" t="s">
        <v>2460</v>
      </c>
      <c r="C2392" s="2" t="str">
        <f>"11779322"</f>
        <v>11779322</v>
      </c>
      <c r="D2392" s="2">
        <v>0.53100000000000003</v>
      </c>
      <c r="E2392" s="2">
        <v>5</v>
      </c>
      <c r="F2392" s="2" t="s">
        <v>503</v>
      </c>
    </row>
    <row r="2393" spans="1:6" ht="25.5">
      <c r="A2393" s="2">
        <v>2390</v>
      </c>
      <c r="B2393" s="2" t="s">
        <v>2461</v>
      </c>
      <c r="C2393" s="2" t="str">
        <f>"1687479X"</f>
        <v>1687479X</v>
      </c>
      <c r="D2393" s="2">
        <v>0.17299999999999999</v>
      </c>
      <c r="E2393" s="2">
        <v>14</v>
      </c>
      <c r="F2393" s="2" t="s">
        <v>6</v>
      </c>
    </row>
    <row r="2394" spans="1:6" ht="25.5">
      <c r="A2394" s="2">
        <v>2391</v>
      </c>
      <c r="B2394" s="2" t="s">
        <v>2462</v>
      </c>
      <c r="C2394" s="2" t="str">
        <f>"17483190"</f>
        <v>17483190</v>
      </c>
      <c r="D2394" s="2">
        <v>0.83399999999999996</v>
      </c>
      <c r="E2394" s="2">
        <v>22</v>
      </c>
      <c r="F2394" s="2" t="s">
        <v>16</v>
      </c>
    </row>
    <row r="2395" spans="1:6" ht="25.5">
      <c r="A2395" s="2">
        <v>2392</v>
      </c>
      <c r="B2395" s="2" t="s">
        <v>2463</v>
      </c>
      <c r="C2395" s="2" t="str">
        <f>"19348630"</f>
        <v>19348630</v>
      </c>
      <c r="D2395" s="2">
        <v>0.73699999999999999</v>
      </c>
      <c r="E2395" s="2">
        <v>15</v>
      </c>
      <c r="F2395" s="2" t="s">
        <v>6</v>
      </c>
    </row>
    <row r="2396" spans="1:6" ht="25.5">
      <c r="A2396" s="2">
        <v>2393</v>
      </c>
      <c r="B2396" s="2" t="s">
        <v>2464</v>
      </c>
      <c r="C2396" s="2" t="str">
        <f>"13369563"</f>
        <v>13369563</v>
      </c>
      <c r="D2396" s="2">
        <v>0.23499999999999999</v>
      </c>
      <c r="E2396" s="2">
        <v>17</v>
      </c>
      <c r="F2396" s="2" t="s">
        <v>16</v>
      </c>
    </row>
    <row r="2397" spans="1:6" ht="25.5">
      <c r="A2397" s="2">
        <v>2394</v>
      </c>
      <c r="B2397" s="2" t="s">
        <v>2465</v>
      </c>
      <c r="C2397" s="2" t="str">
        <f>"15738264"</f>
        <v>15738264</v>
      </c>
      <c r="D2397" s="2">
        <v>0.71299999999999997</v>
      </c>
      <c r="E2397" s="2">
        <v>42</v>
      </c>
      <c r="F2397" s="2" t="s">
        <v>75</v>
      </c>
    </row>
    <row r="2398" spans="1:6" ht="25.5">
      <c r="A2398" s="2">
        <v>2395</v>
      </c>
      <c r="B2398" s="2" t="s">
        <v>2466</v>
      </c>
      <c r="C2398" s="2" t="str">
        <f>"01448765"</f>
        <v>01448765</v>
      </c>
      <c r="D2398" s="2">
        <v>0.14199999999999999</v>
      </c>
      <c r="E2398" s="2">
        <v>20</v>
      </c>
      <c r="F2398" s="2" t="s">
        <v>16</v>
      </c>
    </row>
    <row r="2399" spans="1:6" ht="25.5">
      <c r="A2399" s="2">
        <v>2396</v>
      </c>
      <c r="B2399" s="2" t="s">
        <v>2467</v>
      </c>
      <c r="C2399" s="2" t="str">
        <f>"13475215"</f>
        <v>13475215</v>
      </c>
      <c r="D2399" s="2">
        <v>0.63400000000000001</v>
      </c>
      <c r="E2399" s="2">
        <v>68</v>
      </c>
      <c r="F2399" s="2" t="s">
        <v>131</v>
      </c>
    </row>
    <row r="2400" spans="1:6" ht="25.5">
      <c r="A2400" s="2">
        <v>2397</v>
      </c>
      <c r="B2400" s="2" t="s">
        <v>2468</v>
      </c>
      <c r="C2400" s="2" t="str">
        <f>"00063185"</f>
        <v>00063185</v>
      </c>
      <c r="D2400" s="2">
        <v>0.69899999999999995</v>
      </c>
      <c r="E2400" s="2">
        <v>52</v>
      </c>
      <c r="F2400" s="2" t="s">
        <v>6</v>
      </c>
    </row>
    <row r="2401" spans="1:6" ht="25.5">
      <c r="A2401" s="2">
        <v>2398</v>
      </c>
      <c r="B2401" s="2" t="s">
        <v>2469</v>
      </c>
      <c r="C2401" s="2" t="str">
        <f>"14374315"</f>
        <v>14374315</v>
      </c>
      <c r="D2401" s="2">
        <v>1.3</v>
      </c>
      <c r="E2401" s="2">
        <v>86</v>
      </c>
      <c r="F2401" s="2" t="s">
        <v>12</v>
      </c>
    </row>
    <row r="2402" spans="1:6" ht="25.5">
      <c r="A2402" s="2">
        <v>2399</v>
      </c>
      <c r="B2402" s="2" t="s">
        <v>2470</v>
      </c>
      <c r="C2402" s="2" t="str">
        <f>"00063207"</f>
        <v>00063207</v>
      </c>
      <c r="D2402" s="2">
        <v>2.0990000000000002</v>
      </c>
      <c r="E2402" s="2">
        <v>105</v>
      </c>
      <c r="F2402" s="2" t="s">
        <v>75</v>
      </c>
    </row>
    <row r="2403" spans="1:6" ht="25.5">
      <c r="A2403" s="2">
        <v>2400</v>
      </c>
      <c r="B2403" s="2" t="s">
        <v>2471</v>
      </c>
      <c r="C2403" s="2" t="str">
        <f>"10902112"</f>
        <v>10902112</v>
      </c>
      <c r="D2403" s="2">
        <v>1.0069999999999999</v>
      </c>
      <c r="E2403" s="2">
        <v>51</v>
      </c>
      <c r="F2403" s="2" t="s">
        <v>6</v>
      </c>
    </row>
    <row r="2404" spans="1:6" ht="25.5">
      <c r="A2404" s="2">
        <v>2401</v>
      </c>
      <c r="B2404" s="2" t="s">
        <v>2472</v>
      </c>
      <c r="C2404" s="2" t="str">
        <f>"14320770"</f>
        <v>14320770</v>
      </c>
      <c r="D2404" s="2">
        <v>0.77600000000000002</v>
      </c>
      <c r="E2404" s="2">
        <v>62</v>
      </c>
      <c r="F2404" s="2" t="s">
        <v>12</v>
      </c>
    </row>
    <row r="2405" spans="1:6" ht="25.5">
      <c r="A2405" s="2">
        <v>2402</v>
      </c>
      <c r="B2405" s="2" t="s">
        <v>2473</v>
      </c>
      <c r="C2405" s="2" t="str">
        <f>"19342799"</f>
        <v>19342799</v>
      </c>
      <c r="D2405" s="2">
        <v>0.44500000000000001</v>
      </c>
      <c r="E2405" s="2">
        <v>5</v>
      </c>
      <c r="F2405" s="2" t="s">
        <v>6</v>
      </c>
    </row>
    <row r="2406" spans="1:6" ht="25.5">
      <c r="A2406" s="2">
        <v>2403</v>
      </c>
      <c r="B2406" s="2" t="s">
        <v>2474</v>
      </c>
      <c r="C2406" s="2" t="str">
        <f>"15731464"</f>
        <v>15731464</v>
      </c>
      <c r="D2406" s="2">
        <v>1.2569999999999999</v>
      </c>
      <c r="E2406" s="2">
        <v>56</v>
      </c>
      <c r="F2406" s="2" t="s">
        <v>75</v>
      </c>
    </row>
    <row r="2407" spans="1:6" ht="25.5">
      <c r="A2407" s="2">
        <v>2404</v>
      </c>
      <c r="B2407" s="2" t="s">
        <v>2475</v>
      </c>
      <c r="C2407" s="2" t="str">
        <f>"10958312"</f>
        <v>10958312</v>
      </c>
      <c r="D2407" s="2">
        <v>0.98899999999999999</v>
      </c>
      <c r="E2407" s="2">
        <v>75</v>
      </c>
      <c r="F2407" s="2" t="s">
        <v>16</v>
      </c>
    </row>
    <row r="2408" spans="1:6" ht="25.5">
      <c r="A2408" s="2">
        <v>2405</v>
      </c>
      <c r="B2408" s="2" t="s">
        <v>2476</v>
      </c>
      <c r="C2408" s="2" t="str">
        <f>"2212683X"</f>
        <v>2212683X</v>
      </c>
      <c r="D2408" s="2">
        <v>0</v>
      </c>
      <c r="E2408" s="2">
        <v>1</v>
      </c>
      <c r="F2408" s="2" t="s">
        <v>75</v>
      </c>
    </row>
    <row r="2409" spans="1:6" ht="25.5">
      <c r="A2409" s="2">
        <v>2406</v>
      </c>
      <c r="B2409" s="2" t="s">
        <v>2477</v>
      </c>
      <c r="C2409" s="2" t="str">
        <f>"14809222"</f>
        <v>14809222</v>
      </c>
      <c r="D2409" s="2">
        <v>0.67600000000000005</v>
      </c>
      <c r="E2409" s="2">
        <v>24</v>
      </c>
      <c r="F2409" s="2" t="s">
        <v>16</v>
      </c>
    </row>
    <row r="2410" spans="1:6" ht="25.5">
      <c r="A2410" s="2">
        <v>2407</v>
      </c>
      <c r="B2410" s="2" t="s">
        <v>2478</v>
      </c>
      <c r="C2410" s="2" t="str">
        <f>"18732402"</f>
        <v>18732402</v>
      </c>
      <c r="D2410" s="2">
        <v>4.2519999999999998</v>
      </c>
      <c r="E2410" s="2">
        <v>199</v>
      </c>
      <c r="F2410" s="2" t="s">
        <v>6</v>
      </c>
    </row>
    <row r="2411" spans="1:6" ht="25.5">
      <c r="A2411" s="2">
        <v>2408</v>
      </c>
      <c r="B2411" s="2" t="s">
        <v>2479</v>
      </c>
      <c r="C2411" s="2" t="str">
        <f>"03010511"</f>
        <v>03010511</v>
      </c>
      <c r="D2411" s="2">
        <v>1.5509999999999999</v>
      </c>
      <c r="E2411" s="2">
        <v>67</v>
      </c>
      <c r="F2411" s="2" t="s">
        <v>75</v>
      </c>
    </row>
    <row r="2412" spans="1:6" ht="25.5">
      <c r="A2412" s="2">
        <v>2409</v>
      </c>
      <c r="B2412" s="2" t="s">
        <v>2480</v>
      </c>
      <c r="C2412" s="2" t="str">
        <f>"07176287"</f>
        <v>07176287</v>
      </c>
      <c r="D2412" s="2">
        <v>0.29699999999999999</v>
      </c>
      <c r="E2412" s="2">
        <v>32</v>
      </c>
      <c r="F2412" s="2" t="s">
        <v>182</v>
      </c>
    </row>
    <row r="2413" spans="1:6" ht="25.5">
      <c r="A2413" s="2">
        <v>2410</v>
      </c>
      <c r="B2413" s="2" t="s">
        <v>2481</v>
      </c>
      <c r="C2413" s="2" t="str">
        <f>"10998004"</f>
        <v>10998004</v>
      </c>
      <c r="D2413" s="2">
        <v>0.502</v>
      </c>
      <c r="E2413" s="2">
        <v>25</v>
      </c>
      <c r="F2413" s="2" t="s">
        <v>6</v>
      </c>
    </row>
    <row r="2414" spans="1:6" ht="25.5">
      <c r="A2414" s="2">
        <v>2411</v>
      </c>
      <c r="B2414" s="2" t="s">
        <v>2482</v>
      </c>
      <c r="C2414" s="2" t="str">
        <f>"14647931"</f>
        <v>14647931</v>
      </c>
      <c r="D2414" s="2">
        <v>3.9340000000000002</v>
      </c>
      <c r="E2414" s="2">
        <v>87</v>
      </c>
      <c r="F2414" s="2" t="s">
        <v>16</v>
      </c>
    </row>
    <row r="2415" spans="1:6" ht="25.5">
      <c r="A2415" s="2">
        <v>2412</v>
      </c>
      <c r="B2415" s="2" t="s">
        <v>2483</v>
      </c>
      <c r="C2415" s="2" t="str">
        <f>"17444179"</f>
        <v>17444179</v>
      </c>
      <c r="D2415" s="2">
        <v>0.24299999999999999</v>
      </c>
      <c r="E2415" s="2">
        <v>19</v>
      </c>
      <c r="F2415" s="2" t="s">
        <v>16</v>
      </c>
    </row>
    <row r="2416" spans="1:6" ht="25.5">
      <c r="A2416" s="2">
        <v>2413</v>
      </c>
      <c r="B2416" s="2" t="s">
        <v>2484</v>
      </c>
      <c r="C2416" s="2" t="str">
        <f>"10958320"</f>
        <v>10958320</v>
      </c>
      <c r="D2416" s="2">
        <v>0.39800000000000002</v>
      </c>
      <c r="E2416" s="2">
        <v>33</v>
      </c>
      <c r="F2416" s="2" t="s">
        <v>6</v>
      </c>
    </row>
    <row r="2417" spans="1:6" ht="25.5">
      <c r="A2417" s="2">
        <v>2414</v>
      </c>
      <c r="B2417" s="2" t="s">
        <v>2485</v>
      </c>
      <c r="C2417" s="2" t="str">
        <f>"15590720"</f>
        <v>15590720</v>
      </c>
      <c r="D2417" s="2">
        <v>0.40600000000000003</v>
      </c>
      <c r="E2417" s="2">
        <v>42</v>
      </c>
      <c r="F2417" s="2" t="s">
        <v>6</v>
      </c>
    </row>
    <row r="2418" spans="1:6" ht="25.5">
      <c r="A2418" s="2">
        <v>2415</v>
      </c>
      <c r="B2418" s="2" t="s">
        <v>2486</v>
      </c>
      <c r="C2418" s="2" t="str">
        <f>"02334755"</f>
        <v>02334755</v>
      </c>
      <c r="D2418" s="2">
        <v>0.11</v>
      </c>
      <c r="E2418" s="2">
        <v>7</v>
      </c>
      <c r="F2418" s="2" t="s">
        <v>129</v>
      </c>
    </row>
    <row r="2419" spans="1:6" ht="25.5">
      <c r="A2419" s="2">
        <v>2416</v>
      </c>
      <c r="B2419" s="2" t="s">
        <v>2487</v>
      </c>
      <c r="C2419" s="2" t="str">
        <f>"11775491"</f>
        <v>11775491</v>
      </c>
      <c r="D2419" s="2">
        <v>0.55800000000000005</v>
      </c>
      <c r="E2419" s="2">
        <v>12</v>
      </c>
      <c r="F2419" s="2" t="s">
        <v>503</v>
      </c>
    </row>
    <row r="2420" spans="1:6" ht="25.5">
      <c r="A2420" s="2">
        <v>2417</v>
      </c>
      <c r="B2420" s="2" t="s">
        <v>2488</v>
      </c>
      <c r="C2420" s="2" t="str">
        <f>"21050686"</f>
        <v>21050686</v>
      </c>
      <c r="D2420" s="2">
        <v>0.13600000000000001</v>
      </c>
      <c r="E2420" s="2">
        <v>15</v>
      </c>
      <c r="F2420" s="2" t="s">
        <v>66</v>
      </c>
    </row>
    <row r="2421" spans="1:6" ht="25.5">
      <c r="A2421" s="2">
        <v>2418</v>
      </c>
      <c r="B2421" s="2" t="s">
        <v>2489</v>
      </c>
      <c r="C2421" s="2" t="str">
        <f>"0045205X"</f>
        <v>0045205X</v>
      </c>
      <c r="D2421" s="2">
        <v>0.10100000000000001</v>
      </c>
      <c r="E2421" s="2">
        <v>1</v>
      </c>
      <c r="F2421" s="2" t="s">
        <v>12</v>
      </c>
    </row>
    <row r="2422" spans="1:6" ht="25.5">
      <c r="A2422" s="2">
        <v>2419</v>
      </c>
      <c r="B2422" s="2" t="s">
        <v>2490</v>
      </c>
      <c r="C2422" s="2" t="str">
        <f>"00063347"</f>
        <v>00063347</v>
      </c>
      <c r="D2422" s="2">
        <v>0.14299999999999999</v>
      </c>
      <c r="E2422" s="2">
        <v>13</v>
      </c>
      <c r="F2422" s="2" t="s">
        <v>16</v>
      </c>
    </row>
    <row r="2423" spans="1:6" ht="25.5">
      <c r="A2423" s="2">
        <v>2420</v>
      </c>
      <c r="B2423" s="2" t="s">
        <v>2491</v>
      </c>
      <c r="C2423" s="2" t="str">
        <f>"07917945"</f>
        <v>07917945</v>
      </c>
      <c r="D2423" s="2">
        <v>0.27900000000000003</v>
      </c>
      <c r="E2423" s="2">
        <v>16</v>
      </c>
      <c r="F2423" s="2" t="s">
        <v>732</v>
      </c>
    </row>
    <row r="2424" spans="1:6" ht="25.5">
      <c r="A2424" s="2">
        <v>2421</v>
      </c>
      <c r="B2424" s="2" t="s">
        <v>2492</v>
      </c>
      <c r="C2424" s="2" t="str">
        <f>"14320789"</f>
        <v>14320789</v>
      </c>
      <c r="D2424" s="2">
        <v>1.171</v>
      </c>
      <c r="E2424" s="2">
        <v>72</v>
      </c>
      <c r="F2424" s="2" t="s">
        <v>12</v>
      </c>
    </row>
    <row r="2425" spans="1:6" ht="25.5">
      <c r="A2425" s="2">
        <v>2422</v>
      </c>
      <c r="B2425" s="2" t="s">
        <v>2493</v>
      </c>
      <c r="C2425" s="2" t="str">
        <f>"09748369"</f>
        <v>09748369</v>
      </c>
      <c r="D2425" s="2">
        <v>0.35399999999999998</v>
      </c>
      <c r="E2425" s="2">
        <v>6</v>
      </c>
      <c r="F2425" s="2" t="s">
        <v>488</v>
      </c>
    </row>
    <row r="2426" spans="1:6" ht="25.5">
      <c r="A2426" s="2">
        <v>2423</v>
      </c>
      <c r="B2426" s="2" t="s">
        <v>2494</v>
      </c>
      <c r="C2426" s="2" t="str">
        <f>"15728404"</f>
        <v>15728404</v>
      </c>
      <c r="D2426" s="2">
        <v>0.61199999999999999</v>
      </c>
      <c r="E2426" s="2">
        <v>26</v>
      </c>
      <c r="F2426" s="2" t="s">
        <v>75</v>
      </c>
    </row>
    <row r="2427" spans="1:6" ht="25.5">
      <c r="A2427" s="2">
        <v>2424</v>
      </c>
      <c r="B2427" s="2" t="s">
        <v>2495</v>
      </c>
      <c r="C2427" s="2" t="str">
        <f>"16083059"</f>
        <v>16083059</v>
      </c>
      <c r="D2427" s="2">
        <v>0.188</v>
      </c>
      <c r="E2427" s="2">
        <v>9</v>
      </c>
      <c r="F2427" s="2" t="s">
        <v>129</v>
      </c>
    </row>
    <row r="2428" spans="1:6" ht="25.5">
      <c r="A2428" s="2">
        <v>2425</v>
      </c>
      <c r="B2428" s="2" t="s">
        <v>2496</v>
      </c>
      <c r="C2428" s="2" t="str">
        <f>"17456150"</f>
        <v>17456150</v>
      </c>
      <c r="D2428" s="2">
        <v>1.694</v>
      </c>
      <c r="E2428" s="2">
        <v>30</v>
      </c>
      <c r="F2428" s="2" t="s">
        <v>16</v>
      </c>
    </row>
    <row r="2429" spans="1:6" ht="25.5">
      <c r="A2429" s="2">
        <v>2426</v>
      </c>
      <c r="B2429" s="2" t="s">
        <v>2497</v>
      </c>
      <c r="C2429" s="2" t="str">
        <f>"1744957X"</f>
        <v>1744957X</v>
      </c>
      <c r="D2429" s="2">
        <v>1.6160000000000001</v>
      </c>
      <c r="E2429" s="2">
        <v>49</v>
      </c>
      <c r="F2429" s="2" t="s">
        <v>16</v>
      </c>
    </row>
    <row r="2430" spans="1:6" ht="25.5">
      <c r="A2430" s="2">
        <v>2427</v>
      </c>
      <c r="B2430" s="2" t="s">
        <v>2498</v>
      </c>
      <c r="C2430" s="2" t="str">
        <f>"15236536"</f>
        <v>15236536</v>
      </c>
      <c r="D2430" s="2">
        <v>1.635</v>
      </c>
      <c r="E2430" s="2">
        <v>69</v>
      </c>
      <c r="F2430" s="2" t="s">
        <v>6</v>
      </c>
    </row>
    <row r="2431" spans="1:6" ht="25.5">
      <c r="A2431" s="2">
        <v>2428</v>
      </c>
      <c r="B2431" s="2" t="s">
        <v>2499</v>
      </c>
      <c r="C2431" s="2" t="str">
        <f>"15297268"</f>
        <v>15297268</v>
      </c>
      <c r="D2431" s="2">
        <v>1.536</v>
      </c>
      <c r="E2431" s="2">
        <v>124</v>
      </c>
      <c r="F2431" s="2" t="s">
        <v>6</v>
      </c>
    </row>
    <row r="2432" spans="1:6" ht="25.5">
      <c r="A2432" s="2">
        <v>2429</v>
      </c>
      <c r="B2432" s="2" t="s">
        <v>2500</v>
      </c>
      <c r="C2432" s="2" t="str">
        <f>"0860021X"</f>
        <v>0860021X</v>
      </c>
      <c r="D2432" s="2">
        <v>0.20200000000000001</v>
      </c>
      <c r="E2432" s="2">
        <v>12</v>
      </c>
      <c r="F2432" s="2" t="s">
        <v>169</v>
      </c>
    </row>
    <row r="2433" spans="1:6" ht="25.5">
      <c r="A2433" s="2">
        <v>2430</v>
      </c>
      <c r="B2433" s="2" t="s">
        <v>2501</v>
      </c>
      <c r="C2433" s="2" t="str">
        <f>"1768322X"</f>
        <v>1768322X</v>
      </c>
      <c r="D2433" s="2">
        <v>1.97</v>
      </c>
      <c r="E2433" s="2">
        <v>59</v>
      </c>
      <c r="F2433" s="2" t="s">
        <v>16</v>
      </c>
    </row>
    <row r="2434" spans="1:6" ht="25.5">
      <c r="A2434" s="2">
        <v>2431</v>
      </c>
      <c r="B2434" s="2" t="s">
        <v>2502</v>
      </c>
      <c r="C2434" s="2" t="str">
        <f>"15264602"</f>
        <v>15264602</v>
      </c>
      <c r="D2434" s="2">
        <v>1.9650000000000001</v>
      </c>
      <c r="E2434" s="2">
        <v>111</v>
      </c>
      <c r="F2434" s="2" t="s">
        <v>6</v>
      </c>
    </row>
    <row r="2435" spans="1:6" ht="25.5">
      <c r="A2435" s="2">
        <v>2432</v>
      </c>
      <c r="B2435" s="2" t="s">
        <v>2503</v>
      </c>
      <c r="C2435" s="2" t="str">
        <f>"11772719"</f>
        <v>11772719</v>
      </c>
      <c r="D2435" s="2">
        <v>0.51200000000000001</v>
      </c>
      <c r="E2435" s="2">
        <v>9</v>
      </c>
      <c r="F2435" s="2" t="s">
        <v>503</v>
      </c>
    </row>
    <row r="2436" spans="1:6" ht="25.5">
      <c r="A2436" s="2">
        <v>2433</v>
      </c>
      <c r="B2436" s="2" t="s">
        <v>2504</v>
      </c>
      <c r="C2436" s="2" t="str">
        <f>"13665804"</f>
        <v>13665804</v>
      </c>
      <c r="D2436" s="2">
        <v>0.63900000000000001</v>
      </c>
      <c r="E2436" s="2">
        <v>41</v>
      </c>
      <c r="F2436" s="2" t="s">
        <v>16</v>
      </c>
    </row>
    <row r="2437" spans="1:6" ht="25.5">
      <c r="A2437" s="2">
        <v>2434</v>
      </c>
      <c r="B2437" s="2" t="s">
        <v>2505</v>
      </c>
      <c r="C2437" s="2" t="str">
        <f>"17520371"</f>
        <v>17520371</v>
      </c>
      <c r="D2437" s="2">
        <v>0.67700000000000005</v>
      </c>
      <c r="E2437" s="2">
        <v>13</v>
      </c>
      <c r="F2437" s="2" t="s">
        <v>16</v>
      </c>
    </row>
    <row r="2438" spans="1:6" ht="25.5">
      <c r="A2438" s="2">
        <v>2435</v>
      </c>
      <c r="B2438" s="2" t="s">
        <v>2506</v>
      </c>
      <c r="C2438" s="2" t="str">
        <f>"09619534"</f>
        <v>09619534</v>
      </c>
      <c r="D2438" s="2">
        <v>1.361</v>
      </c>
      <c r="E2438" s="2">
        <v>86</v>
      </c>
      <c r="F2438" s="2" t="s">
        <v>16</v>
      </c>
    </row>
    <row r="2439" spans="1:6" ht="25.5">
      <c r="A2439" s="2">
        <v>2436</v>
      </c>
      <c r="B2439" s="2" t="s">
        <v>2507</v>
      </c>
      <c r="C2439" s="2" t="str">
        <f>"18785905"</f>
        <v>18785905</v>
      </c>
      <c r="D2439" s="2">
        <v>3.004</v>
      </c>
      <c r="E2439" s="2">
        <v>196</v>
      </c>
      <c r="F2439" s="2" t="s">
        <v>75</v>
      </c>
    </row>
    <row r="2440" spans="1:6" ht="25.5">
      <c r="A2440" s="2">
        <v>2437</v>
      </c>
      <c r="B2440" s="2" t="s">
        <v>2508</v>
      </c>
      <c r="C2440" s="2" t="str">
        <f>"16177959"</f>
        <v>16177959</v>
      </c>
      <c r="D2440" s="2">
        <v>0.97499999999999998</v>
      </c>
      <c r="E2440" s="2">
        <v>31</v>
      </c>
      <c r="F2440" s="2" t="s">
        <v>12</v>
      </c>
    </row>
    <row r="2441" spans="1:6" ht="25.5">
      <c r="A2441" s="2">
        <v>2438</v>
      </c>
      <c r="B2441" s="2" t="s">
        <v>2509</v>
      </c>
      <c r="C2441" s="2" t="str">
        <f>"08953988"</f>
        <v>08953988</v>
      </c>
      <c r="D2441" s="2">
        <v>0.41599999999999998</v>
      </c>
      <c r="E2441" s="2">
        <v>33</v>
      </c>
      <c r="F2441" s="2" t="s">
        <v>75</v>
      </c>
    </row>
    <row r="2442" spans="1:6" ht="25.5">
      <c r="A2442" s="2">
        <v>2439</v>
      </c>
      <c r="B2442" s="2" t="s">
        <v>2510</v>
      </c>
      <c r="C2442" s="2" t="str">
        <f>"09296743"</f>
        <v>09296743</v>
      </c>
      <c r="D2442" s="2">
        <v>0</v>
      </c>
      <c r="E2442" s="2">
        <v>0</v>
      </c>
      <c r="F2442" s="2" t="s">
        <v>75</v>
      </c>
    </row>
    <row r="2443" spans="1:6" ht="25.5">
      <c r="A2443" s="2">
        <v>2440</v>
      </c>
      <c r="B2443" s="2" t="s">
        <v>2511</v>
      </c>
      <c r="C2443" s="2" t="str">
        <f>"09746242"</f>
        <v>09746242</v>
      </c>
      <c r="D2443" s="2">
        <v>0.105</v>
      </c>
      <c r="E2443" s="2">
        <v>3</v>
      </c>
      <c r="F2443" s="2" t="s">
        <v>488</v>
      </c>
    </row>
    <row r="2444" spans="1:6" ht="25.5">
      <c r="A2444" s="2">
        <v>2441</v>
      </c>
      <c r="B2444" s="2" t="s">
        <v>2512</v>
      </c>
      <c r="C2444" s="2" t="str">
        <f>"10990801"</f>
        <v>10990801</v>
      </c>
      <c r="D2444" s="2">
        <v>0.66700000000000004</v>
      </c>
      <c r="E2444" s="2">
        <v>39</v>
      </c>
      <c r="F2444" s="2" t="s">
        <v>16</v>
      </c>
    </row>
    <row r="2445" spans="1:6" ht="25.5">
      <c r="A2445" s="2">
        <v>2442</v>
      </c>
      <c r="B2445" s="2" t="s">
        <v>2513</v>
      </c>
      <c r="C2445" s="2" t="str">
        <f>"15738256"</f>
        <v>15738256</v>
      </c>
      <c r="D2445" s="2">
        <v>0.10199999999999999</v>
      </c>
      <c r="E2445" s="2">
        <v>4</v>
      </c>
      <c r="F2445" s="2" t="s">
        <v>6</v>
      </c>
    </row>
    <row r="2446" spans="1:6" ht="25.5">
      <c r="A2446" s="2">
        <v>2443</v>
      </c>
      <c r="B2446" s="2" t="s">
        <v>2514</v>
      </c>
      <c r="C2446" s="2" t="str">
        <f>"10162372"</f>
        <v>10162372</v>
      </c>
      <c r="D2446" s="2">
        <v>0.156</v>
      </c>
      <c r="E2446" s="2">
        <v>10</v>
      </c>
      <c r="F2446" s="2" t="s">
        <v>543</v>
      </c>
    </row>
    <row r="2447" spans="1:6" ht="25.5">
      <c r="A2447" s="2">
        <v>2444</v>
      </c>
      <c r="B2447" s="2" t="s">
        <v>2515</v>
      </c>
      <c r="C2447" s="2" t="str">
        <f>"20939868"</f>
        <v>20939868</v>
      </c>
      <c r="D2447" s="2">
        <v>0.3</v>
      </c>
      <c r="E2447" s="2">
        <v>3</v>
      </c>
      <c r="F2447" s="2" t="s">
        <v>12</v>
      </c>
    </row>
    <row r="2448" spans="1:6" ht="25.5">
      <c r="A2448" s="2">
        <v>2445</v>
      </c>
      <c r="B2448" s="2" t="s">
        <v>2516</v>
      </c>
      <c r="C2448" s="2" t="str">
        <f>"00258075"</f>
        <v>00258075</v>
      </c>
      <c r="D2448" s="2">
        <v>0.1</v>
      </c>
      <c r="E2448" s="2">
        <v>6</v>
      </c>
      <c r="F2448" s="2" t="s">
        <v>129</v>
      </c>
    </row>
    <row r="2449" spans="1:6" ht="25.5">
      <c r="A2449" s="2">
        <v>2446</v>
      </c>
      <c r="B2449" s="2" t="s">
        <v>2517</v>
      </c>
      <c r="C2449" s="2" t="str">
        <f>"1475925X"</f>
        <v>1475925X</v>
      </c>
      <c r="D2449" s="2">
        <v>0.38500000000000001</v>
      </c>
      <c r="E2449" s="2">
        <v>30</v>
      </c>
      <c r="F2449" s="2" t="s">
        <v>16</v>
      </c>
    </row>
    <row r="2450" spans="1:6" ht="25.5">
      <c r="A2450" s="2">
        <v>2447</v>
      </c>
      <c r="B2450" s="2" t="s">
        <v>2518</v>
      </c>
      <c r="C2450" s="2" t="str">
        <f>"18235530"</f>
        <v>18235530</v>
      </c>
      <c r="D2450" s="2">
        <v>0.191</v>
      </c>
      <c r="E2450" s="2">
        <v>9</v>
      </c>
      <c r="F2450" s="2" t="s">
        <v>37</v>
      </c>
    </row>
    <row r="2451" spans="1:6" ht="25.5">
      <c r="A2451" s="2">
        <v>2448</v>
      </c>
      <c r="B2451" s="2" t="s">
        <v>2519</v>
      </c>
      <c r="C2451" s="2" t="str">
        <f>"08998205"</f>
        <v>08998205</v>
      </c>
      <c r="D2451" s="2">
        <v>0.20599999999999999</v>
      </c>
      <c r="E2451" s="2">
        <v>18</v>
      </c>
      <c r="F2451" s="2" t="s">
        <v>6</v>
      </c>
    </row>
    <row r="2452" spans="1:6" ht="25.5">
      <c r="A2452" s="2">
        <v>2449</v>
      </c>
      <c r="B2452" s="2" t="s">
        <v>2520</v>
      </c>
      <c r="C2452" s="2" t="str">
        <f>"1748605X"</f>
        <v>1748605X</v>
      </c>
      <c r="D2452" s="2">
        <v>0.58799999999999997</v>
      </c>
      <c r="E2452" s="2">
        <v>24</v>
      </c>
      <c r="F2452" s="2" t="s">
        <v>16</v>
      </c>
    </row>
    <row r="2453" spans="1:6" ht="25.5">
      <c r="A2453" s="2">
        <v>2450</v>
      </c>
      <c r="B2453" s="2" t="s">
        <v>2521</v>
      </c>
      <c r="C2453" s="2" t="str">
        <f>"09592989"</f>
        <v>09592989</v>
      </c>
      <c r="D2453" s="2">
        <v>0.37</v>
      </c>
      <c r="E2453" s="2">
        <v>34</v>
      </c>
      <c r="F2453" s="2" t="s">
        <v>75</v>
      </c>
    </row>
    <row r="2454" spans="1:6" ht="25.5">
      <c r="A2454" s="2">
        <v>2451</v>
      </c>
      <c r="B2454" s="2" t="s">
        <v>2522</v>
      </c>
      <c r="C2454" s="2" t="str">
        <f>"15728781"</f>
        <v>15728781</v>
      </c>
      <c r="D2454" s="2">
        <v>0.871</v>
      </c>
      <c r="E2454" s="2">
        <v>52</v>
      </c>
      <c r="F2454" s="2" t="s">
        <v>75</v>
      </c>
    </row>
    <row r="2455" spans="1:6" ht="25.5">
      <c r="A2455" s="2">
        <v>2452</v>
      </c>
      <c r="B2455" s="2" t="s">
        <v>2523</v>
      </c>
      <c r="C2455" s="2" t="str">
        <f>"21567085"</f>
        <v>21567085</v>
      </c>
      <c r="D2455" s="2">
        <v>1.2250000000000001</v>
      </c>
      <c r="E2455" s="2">
        <v>15</v>
      </c>
      <c r="F2455" s="2" t="s">
        <v>6</v>
      </c>
    </row>
    <row r="2456" spans="1:6" ht="25.5">
      <c r="A2456" s="2">
        <v>2453</v>
      </c>
      <c r="B2456" s="2" t="s">
        <v>2524</v>
      </c>
      <c r="C2456" s="2" t="str">
        <f>"12138118"</f>
        <v>12138118</v>
      </c>
      <c r="D2456" s="2">
        <v>0.26</v>
      </c>
      <c r="E2456" s="2">
        <v>22</v>
      </c>
      <c r="F2456" s="2" t="s">
        <v>208</v>
      </c>
    </row>
    <row r="2457" spans="1:6" ht="25.5">
      <c r="A2457" s="2">
        <v>2454</v>
      </c>
      <c r="B2457" s="2" t="s">
        <v>2525</v>
      </c>
      <c r="C2457" s="2" t="str">
        <f>"0970938X"</f>
        <v>0970938X</v>
      </c>
      <c r="D2457" s="2">
        <v>0.15</v>
      </c>
      <c r="E2457" s="2">
        <v>9</v>
      </c>
      <c r="F2457" s="2" t="s">
        <v>488</v>
      </c>
    </row>
    <row r="2458" spans="1:6" ht="25.5">
      <c r="A2458" s="2">
        <v>2455</v>
      </c>
      <c r="B2458" s="2" t="s">
        <v>2525</v>
      </c>
      <c r="C2458" s="2" t="str">
        <f>"03886107"</f>
        <v>03886107</v>
      </c>
      <c r="D2458" s="2">
        <v>0.496</v>
      </c>
      <c r="E2458" s="2">
        <v>20</v>
      </c>
      <c r="F2458" s="2" t="s">
        <v>131</v>
      </c>
    </row>
    <row r="2459" spans="1:6" ht="25.5">
      <c r="A2459" s="2">
        <v>2456</v>
      </c>
      <c r="B2459" s="2" t="s">
        <v>2526</v>
      </c>
      <c r="C2459" s="2" t="str">
        <f>"1310392X"</f>
        <v>1310392X</v>
      </c>
      <c r="D2459" s="2">
        <v>0.11</v>
      </c>
      <c r="E2459" s="2">
        <v>9</v>
      </c>
      <c r="F2459" s="2" t="s">
        <v>293</v>
      </c>
    </row>
    <row r="2460" spans="1:6" ht="25.5">
      <c r="A2460" s="2">
        <v>2457</v>
      </c>
      <c r="B2460" s="2" t="s">
        <v>2527</v>
      </c>
      <c r="C2460" s="2" t="str">
        <f>"00678856"</f>
        <v>00678856</v>
      </c>
      <c r="D2460" s="2">
        <v>0.11899999999999999</v>
      </c>
      <c r="E2460" s="2">
        <v>22</v>
      </c>
      <c r="F2460" s="2" t="s">
        <v>6</v>
      </c>
    </row>
    <row r="2461" spans="1:6" ht="25.5">
      <c r="A2461" s="2">
        <v>2458</v>
      </c>
      <c r="B2461" s="2" t="s">
        <v>2528</v>
      </c>
      <c r="C2461" s="2" t="str">
        <f>"17468094"</f>
        <v>17468094</v>
      </c>
      <c r="D2461" s="2">
        <v>0.35</v>
      </c>
      <c r="E2461" s="2">
        <v>18</v>
      </c>
      <c r="F2461" s="2" t="s">
        <v>75</v>
      </c>
    </row>
    <row r="2462" spans="1:6" ht="25.5">
      <c r="A2462" s="2">
        <v>2459</v>
      </c>
      <c r="B2462" s="2" t="s">
        <v>2529</v>
      </c>
      <c r="C2462" s="2" t="str">
        <f>"01204157"</f>
        <v>01204157</v>
      </c>
      <c r="D2462" s="2">
        <v>0.20100000000000001</v>
      </c>
      <c r="E2462" s="2">
        <v>14</v>
      </c>
      <c r="F2462" s="2" t="s">
        <v>184</v>
      </c>
    </row>
    <row r="2463" spans="1:6" ht="25.5">
      <c r="A2463" s="2">
        <v>2460</v>
      </c>
      <c r="B2463" s="2" t="s">
        <v>2530</v>
      </c>
      <c r="C2463" s="2" t="str">
        <f>"09702067"</f>
        <v>09702067</v>
      </c>
      <c r="D2463" s="2">
        <v>0.104</v>
      </c>
      <c r="E2463" s="2">
        <v>6</v>
      </c>
      <c r="F2463" s="2" t="s">
        <v>488</v>
      </c>
    </row>
    <row r="2464" spans="1:6" ht="25.5">
      <c r="A2464" s="2">
        <v>2461</v>
      </c>
      <c r="B2464" s="2" t="s">
        <v>2531</v>
      </c>
      <c r="C2464" s="2" t="str">
        <f>"22105220"</f>
        <v>22105220</v>
      </c>
      <c r="D2464" s="2">
        <v>0.16400000000000001</v>
      </c>
      <c r="E2464" s="2">
        <v>3</v>
      </c>
      <c r="F2464" s="2" t="s">
        <v>66</v>
      </c>
    </row>
    <row r="2465" spans="1:6" ht="25.5">
      <c r="A2465" s="2">
        <v>2462</v>
      </c>
      <c r="B2465" s="2" t="s">
        <v>2532</v>
      </c>
      <c r="C2465" s="2" t="str">
        <f>"07533322"</f>
        <v>07533322</v>
      </c>
      <c r="D2465" s="2">
        <v>0.61599999999999999</v>
      </c>
      <c r="E2465" s="2">
        <v>56</v>
      </c>
      <c r="F2465" s="2" t="s">
        <v>66</v>
      </c>
    </row>
    <row r="2466" spans="1:6" ht="25.5">
      <c r="A2466" s="2">
        <v>2463</v>
      </c>
      <c r="B2466" s="2" t="s">
        <v>2533</v>
      </c>
      <c r="C2466" s="2" t="str">
        <f>"22105239"</f>
        <v>22105239</v>
      </c>
      <c r="D2466" s="2">
        <v>0.13400000000000001</v>
      </c>
      <c r="E2466" s="2">
        <v>3</v>
      </c>
      <c r="F2466" s="2" t="s">
        <v>66</v>
      </c>
    </row>
    <row r="2467" spans="1:6" ht="25.5">
      <c r="A2467" s="2">
        <v>2464</v>
      </c>
      <c r="B2467" s="2" t="s">
        <v>2534</v>
      </c>
      <c r="C2467" s="2" t="str">
        <f>"22118020"</f>
        <v>22118020</v>
      </c>
      <c r="D2467" s="2">
        <v>0.104</v>
      </c>
      <c r="E2467" s="2">
        <v>1</v>
      </c>
      <c r="F2467" s="2" t="s">
        <v>75</v>
      </c>
    </row>
    <row r="2468" spans="1:6" ht="25.5">
      <c r="A2468" s="2">
        <v>2465</v>
      </c>
      <c r="B2468" s="2" t="s">
        <v>2535</v>
      </c>
      <c r="C2468" s="2" t="str">
        <f>"00428809"</f>
        <v>00428809</v>
      </c>
      <c r="D2468" s="2">
        <v>0.115</v>
      </c>
      <c r="E2468" s="2">
        <v>8</v>
      </c>
      <c r="F2468" s="2" t="s">
        <v>129</v>
      </c>
    </row>
    <row r="2469" spans="1:6" ht="25.5">
      <c r="A2469" s="2">
        <v>2466</v>
      </c>
      <c r="B2469" s="2" t="s">
        <v>2536</v>
      </c>
      <c r="C2469" s="2" t="str">
        <f>"00135585"</f>
        <v>00135585</v>
      </c>
      <c r="D2469" s="2">
        <v>0.20399999999999999</v>
      </c>
      <c r="E2469" s="2">
        <v>23</v>
      </c>
      <c r="F2469" s="2" t="s">
        <v>12</v>
      </c>
    </row>
    <row r="2470" spans="1:6" ht="25.5">
      <c r="A2470" s="2">
        <v>2467</v>
      </c>
      <c r="B2470" s="2" t="s">
        <v>2537</v>
      </c>
      <c r="C2470" s="2" t="str">
        <f>"15728773"</f>
        <v>15728773</v>
      </c>
      <c r="D2470" s="2">
        <v>0.79700000000000004</v>
      </c>
      <c r="E2470" s="2">
        <v>59</v>
      </c>
      <c r="F2470" s="2" t="s">
        <v>75</v>
      </c>
    </row>
    <row r="2471" spans="1:6" ht="25.5">
      <c r="A2471" s="2">
        <v>2468</v>
      </c>
      <c r="B2471" s="2" t="s">
        <v>2538</v>
      </c>
      <c r="C2471" s="2" t="str">
        <f>"15214036"</f>
        <v>15214036</v>
      </c>
      <c r="D2471" s="2">
        <v>0.997</v>
      </c>
      <c r="E2471" s="2">
        <v>34</v>
      </c>
      <c r="F2471" s="2" t="s">
        <v>12</v>
      </c>
    </row>
    <row r="2472" spans="1:6" ht="25.5">
      <c r="A2472" s="2">
        <v>2469</v>
      </c>
      <c r="B2472" s="2" t="s">
        <v>2539</v>
      </c>
      <c r="C2472" s="2" t="str">
        <f>"15410420"</f>
        <v>15410420</v>
      </c>
      <c r="D2472" s="2">
        <v>1.544</v>
      </c>
      <c r="E2472" s="2">
        <v>80</v>
      </c>
      <c r="F2472" s="2" t="s">
        <v>16</v>
      </c>
    </row>
    <row r="2473" spans="1:6" ht="25.5">
      <c r="A2473" s="2">
        <v>2470</v>
      </c>
      <c r="B2473" s="2" t="s">
        <v>2540</v>
      </c>
      <c r="C2473" s="2" t="str">
        <f>"14643510"</f>
        <v>14643510</v>
      </c>
      <c r="D2473" s="2">
        <v>3.32</v>
      </c>
      <c r="E2473" s="2">
        <v>69</v>
      </c>
      <c r="F2473" s="2" t="s">
        <v>16</v>
      </c>
    </row>
    <row r="2474" spans="1:6" ht="25.5">
      <c r="A2474" s="2">
        <v>2471</v>
      </c>
      <c r="B2474" s="2" t="s">
        <v>2541</v>
      </c>
      <c r="C2474" s="2" t="str">
        <f>"19321058"</f>
        <v>19321058</v>
      </c>
      <c r="D2474" s="2">
        <v>0.78400000000000003</v>
      </c>
      <c r="E2474" s="2">
        <v>19</v>
      </c>
      <c r="F2474" s="2" t="s">
        <v>6</v>
      </c>
    </row>
    <row r="2475" spans="1:6" ht="25.5">
      <c r="A2475" s="2">
        <v>2472</v>
      </c>
      <c r="B2475" s="2" t="s">
        <v>2542</v>
      </c>
      <c r="C2475" s="2" t="str">
        <f>"18742718"</f>
        <v>18742718</v>
      </c>
      <c r="D2475" s="2">
        <v>0.40200000000000002</v>
      </c>
      <c r="E2475" s="2">
        <v>7</v>
      </c>
      <c r="F2475" s="2" t="s">
        <v>75</v>
      </c>
    </row>
    <row r="2476" spans="1:6" ht="25.5">
      <c r="A2476" s="2">
        <v>2473</v>
      </c>
      <c r="B2476" s="2" t="s">
        <v>2543</v>
      </c>
      <c r="C2476" s="2" t="str">
        <f>"20054483"</f>
        <v>20054483</v>
      </c>
      <c r="D2476" s="2">
        <v>0.219</v>
      </c>
      <c r="E2476" s="2">
        <v>8</v>
      </c>
      <c r="F2476" s="2" t="s">
        <v>274</v>
      </c>
    </row>
    <row r="2477" spans="1:6" ht="25.5">
      <c r="A2477" s="2">
        <v>2474</v>
      </c>
      <c r="B2477" s="2" t="s">
        <v>2544</v>
      </c>
      <c r="C2477" s="2" t="str">
        <f>"21911649"</f>
        <v>21911649</v>
      </c>
      <c r="D2477" s="2">
        <v>0.29799999999999999</v>
      </c>
      <c r="E2477" s="2">
        <v>4</v>
      </c>
      <c r="F2477" s="2" t="s">
        <v>6</v>
      </c>
    </row>
    <row r="2478" spans="1:6" ht="25.5">
      <c r="A2478" s="2">
        <v>2475</v>
      </c>
      <c r="B2478" s="2" t="s">
        <v>2545</v>
      </c>
      <c r="C2478" s="2" t="str">
        <f>"14643391"</f>
        <v>14643391</v>
      </c>
      <c r="D2478" s="2">
        <v>1</v>
      </c>
      <c r="E2478" s="2">
        <v>90</v>
      </c>
      <c r="F2478" s="2" t="s">
        <v>16</v>
      </c>
    </row>
    <row r="2479" spans="1:6" ht="25.5">
      <c r="A2479" s="2">
        <v>2476</v>
      </c>
      <c r="B2479" s="2" t="s">
        <v>2546</v>
      </c>
      <c r="C2479" s="2" t="str">
        <f>"14643405"</f>
        <v>14643405</v>
      </c>
      <c r="D2479" s="2">
        <v>0.91300000000000003</v>
      </c>
      <c r="E2479" s="2">
        <v>89</v>
      </c>
      <c r="F2479" s="2" t="s">
        <v>16</v>
      </c>
    </row>
    <row r="2480" spans="1:6" ht="25.5">
      <c r="A2480" s="2">
        <v>2477</v>
      </c>
      <c r="B2480" s="2" t="s">
        <v>2547</v>
      </c>
      <c r="C2480" s="2" t="str">
        <f>"10902120"</f>
        <v>10902120</v>
      </c>
      <c r="D2480" s="2">
        <v>0.53500000000000003</v>
      </c>
      <c r="E2480" s="2">
        <v>35</v>
      </c>
      <c r="F2480" s="2" t="s">
        <v>6</v>
      </c>
    </row>
    <row r="2481" spans="1:6" ht="25.5">
      <c r="A2481" s="2">
        <v>2478</v>
      </c>
      <c r="B2481" s="2" t="s">
        <v>2548</v>
      </c>
      <c r="C2481" s="2" t="str">
        <f>"01323423"</f>
        <v>01323423</v>
      </c>
      <c r="D2481" s="2">
        <v>0.17</v>
      </c>
      <c r="E2481" s="2">
        <v>16</v>
      </c>
      <c r="F2481" s="2" t="s">
        <v>129</v>
      </c>
    </row>
    <row r="2482" spans="1:6" ht="25.5">
      <c r="A2482" s="2">
        <v>2479</v>
      </c>
      <c r="B2482" s="2" t="s">
        <v>2549</v>
      </c>
      <c r="C2482" s="2" t="str">
        <f>"0973483X"</f>
        <v>0973483X</v>
      </c>
      <c r="D2482" s="2">
        <v>0.10199999999999999</v>
      </c>
      <c r="E2482" s="2">
        <v>0</v>
      </c>
      <c r="F2482" s="2" t="s">
        <v>488</v>
      </c>
    </row>
    <row r="2483" spans="1:6" ht="25.5">
      <c r="A2483" s="2">
        <v>2480</v>
      </c>
      <c r="B2483" s="2" t="s">
        <v>2550</v>
      </c>
      <c r="C2483" s="2" t="str">
        <f>"1099081X"</f>
        <v>1099081X</v>
      </c>
      <c r="D2483" s="2">
        <v>0.58099999999999996</v>
      </c>
      <c r="E2483" s="2">
        <v>36</v>
      </c>
      <c r="F2483" s="2" t="s">
        <v>16</v>
      </c>
    </row>
    <row r="2484" spans="1:6" ht="25.5">
      <c r="A2484" s="2">
        <v>2481</v>
      </c>
      <c r="B2484" s="2" t="s">
        <v>2551</v>
      </c>
      <c r="C2484" s="2" t="str">
        <f>"03014622"</f>
        <v>03014622</v>
      </c>
      <c r="D2484" s="2">
        <v>0.747</v>
      </c>
      <c r="E2484" s="2">
        <v>65</v>
      </c>
      <c r="F2484" s="2" t="s">
        <v>75</v>
      </c>
    </row>
    <row r="2485" spans="1:6" ht="25.5">
      <c r="A2485" s="2">
        <v>2482</v>
      </c>
      <c r="B2485" s="2" t="s">
        <v>2552</v>
      </c>
      <c r="C2485" s="2" t="str">
        <f>"15420086"</f>
        <v>15420086</v>
      </c>
      <c r="D2485" s="2">
        <v>1.923</v>
      </c>
      <c r="E2485" s="2">
        <v>177</v>
      </c>
      <c r="F2485" s="2" t="s">
        <v>6</v>
      </c>
    </row>
    <row r="2486" spans="1:6" ht="25.5">
      <c r="A2486" s="2">
        <v>2483</v>
      </c>
      <c r="B2486" s="2" t="s">
        <v>2553</v>
      </c>
      <c r="C2486" s="2" t="str">
        <f>"18672469"</f>
        <v>18672469</v>
      </c>
      <c r="D2486" s="2">
        <v>1.101</v>
      </c>
      <c r="E2486" s="2">
        <v>9</v>
      </c>
      <c r="F2486" s="2" t="s">
        <v>12</v>
      </c>
    </row>
    <row r="2487" spans="1:6" ht="25.5">
      <c r="A2487" s="2">
        <v>2484</v>
      </c>
      <c r="B2487" s="2" t="s">
        <v>2554</v>
      </c>
      <c r="C2487" s="2" t="str">
        <f>"17930480"</f>
        <v>17930480</v>
      </c>
      <c r="D2487" s="2">
        <v>0.27500000000000002</v>
      </c>
      <c r="E2487" s="2">
        <v>6</v>
      </c>
      <c r="F2487" s="2" t="s">
        <v>543</v>
      </c>
    </row>
    <row r="2488" spans="1:6" ht="25.5">
      <c r="A2488" s="2">
        <v>2485</v>
      </c>
      <c r="B2488" s="2" t="s">
        <v>2555</v>
      </c>
      <c r="C2488" s="2" t="str">
        <f>"00063509"</f>
        <v>00063509</v>
      </c>
      <c r="D2488" s="2">
        <v>0.156</v>
      </c>
      <c r="E2488" s="2">
        <v>7</v>
      </c>
      <c r="F2488" s="2" t="s">
        <v>129</v>
      </c>
    </row>
    <row r="2489" spans="1:6" ht="25.5">
      <c r="A2489" s="2">
        <v>2486</v>
      </c>
      <c r="B2489" s="2" t="s">
        <v>2556</v>
      </c>
      <c r="C2489" s="2" t="str">
        <f>"13492942"</f>
        <v>13492942</v>
      </c>
      <c r="D2489" s="2">
        <v>0</v>
      </c>
      <c r="E2489" s="2">
        <v>0</v>
      </c>
      <c r="F2489" s="2" t="s">
        <v>131</v>
      </c>
    </row>
    <row r="2490" spans="1:6" ht="25.5">
      <c r="A2490" s="2">
        <v>2487</v>
      </c>
      <c r="B2490" s="2" t="s">
        <v>2557</v>
      </c>
      <c r="C2490" s="2" t="str">
        <f>"10970282"</f>
        <v>10970282</v>
      </c>
      <c r="D2490" s="2">
        <v>1.0049999999999999</v>
      </c>
      <c r="E2490" s="2">
        <v>88</v>
      </c>
      <c r="F2490" s="2" t="s">
        <v>6</v>
      </c>
    </row>
    <row r="2491" spans="1:6" ht="25.5">
      <c r="A2491" s="2">
        <v>2488</v>
      </c>
      <c r="B2491" s="2" t="s">
        <v>2558</v>
      </c>
      <c r="C2491" s="2" t="str">
        <f>"02337657"</f>
        <v>02337657</v>
      </c>
      <c r="D2491" s="2">
        <v>0.13200000000000001</v>
      </c>
      <c r="E2491" s="2">
        <v>4</v>
      </c>
      <c r="F2491" s="2" t="s">
        <v>438</v>
      </c>
    </row>
    <row r="2492" spans="1:6" ht="25.5">
      <c r="A2492" s="2">
        <v>2489</v>
      </c>
      <c r="B2492" s="2" t="s">
        <v>2559</v>
      </c>
      <c r="C2492" s="2" t="str">
        <f>"19475543"</f>
        <v>19475543</v>
      </c>
      <c r="D2492" s="2">
        <v>0.375</v>
      </c>
      <c r="E2492" s="2">
        <v>15</v>
      </c>
      <c r="F2492" s="2" t="s">
        <v>6</v>
      </c>
    </row>
    <row r="2493" spans="1:6" ht="25.5">
      <c r="A2493" s="2">
        <v>2490</v>
      </c>
      <c r="B2493" s="2" t="s">
        <v>2560</v>
      </c>
      <c r="C2493" s="2" t="str">
        <f>"16157605"</f>
        <v>16157605</v>
      </c>
      <c r="D2493" s="2">
        <v>0.66100000000000003</v>
      </c>
      <c r="E2493" s="2">
        <v>38</v>
      </c>
      <c r="F2493" s="2" t="s">
        <v>12</v>
      </c>
    </row>
    <row r="2494" spans="1:6" ht="25.5">
      <c r="A2494" s="2">
        <v>2491</v>
      </c>
      <c r="B2494" s="2" t="s">
        <v>2561</v>
      </c>
      <c r="C2494" s="2" t="str">
        <f>"17510759"</f>
        <v>17510759</v>
      </c>
      <c r="D2494" s="2">
        <v>0.35399999999999998</v>
      </c>
      <c r="E2494" s="2">
        <v>12</v>
      </c>
      <c r="F2494" s="2" t="s">
        <v>16</v>
      </c>
    </row>
    <row r="2495" spans="1:6" ht="25.5">
      <c r="A2495" s="2">
        <v>2492</v>
      </c>
      <c r="B2495" s="2" t="s">
        <v>2562</v>
      </c>
      <c r="C2495" s="2" t="str">
        <f>"10889868"</f>
        <v>10889868</v>
      </c>
      <c r="D2495" s="2">
        <v>0.26700000000000002</v>
      </c>
      <c r="E2495" s="2">
        <v>24</v>
      </c>
      <c r="F2495" s="2" t="s">
        <v>16</v>
      </c>
    </row>
    <row r="2496" spans="1:6" ht="25.5">
      <c r="A2496" s="2">
        <v>2493</v>
      </c>
      <c r="B2496" s="2" t="s">
        <v>2563</v>
      </c>
      <c r="C2496" s="2" t="str">
        <f>"19302126"</f>
        <v>19302126</v>
      </c>
      <c r="D2496" s="2">
        <v>0.53700000000000003</v>
      </c>
      <c r="E2496" s="2">
        <v>19</v>
      </c>
      <c r="F2496" s="2" t="s">
        <v>6</v>
      </c>
    </row>
    <row r="2497" spans="1:6" ht="25.5">
      <c r="A2497" s="2">
        <v>2494</v>
      </c>
      <c r="B2497" s="2" t="s">
        <v>2564</v>
      </c>
      <c r="C2497" s="2" t="str">
        <f>"09608524"</f>
        <v>09608524</v>
      </c>
      <c r="D2497" s="2">
        <v>2.1120000000000001</v>
      </c>
      <c r="E2497" s="2">
        <v>128</v>
      </c>
      <c r="F2497" s="2" t="s">
        <v>16</v>
      </c>
    </row>
    <row r="2498" spans="1:6" ht="25.5">
      <c r="A2498" s="2">
        <v>2495</v>
      </c>
      <c r="B2498" s="2" t="s">
        <v>2565</v>
      </c>
      <c r="C2498" s="2" t="str">
        <f>"0006355X"</f>
        <v>0006355X</v>
      </c>
      <c r="D2498" s="2">
        <v>0.52700000000000002</v>
      </c>
      <c r="E2498" s="2">
        <v>43</v>
      </c>
      <c r="F2498" s="2" t="s">
        <v>75</v>
      </c>
    </row>
    <row r="2499" spans="1:6" ht="25.5">
      <c r="A2499" s="2">
        <v>2496</v>
      </c>
      <c r="B2499" s="2" t="s">
        <v>2566</v>
      </c>
      <c r="C2499" s="2" t="str">
        <f>"13132652"</f>
        <v>13132652</v>
      </c>
      <c r="D2499" s="2">
        <v>0.187</v>
      </c>
      <c r="E2499" s="2">
        <v>1</v>
      </c>
      <c r="F2499" s="2" t="s">
        <v>293</v>
      </c>
    </row>
    <row r="2500" spans="1:6" ht="25.5">
      <c r="A2500" s="2">
        <v>2497</v>
      </c>
      <c r="B2500" s="2" t="s">
        <v>2567</v>
      </c>
      <c r="C2500" s="2" t="str">
        <f>"15392422"</f>
        <v>15392422</v>
      </c>
      <c r="D2500" s="2">
        <v>0.13</v>
      </c>
      <c r="E2500" s="2">
        <v>3</v>
      </c>
      <c r="F2500" s="2" t="s">
        <v>6</v>
      </c>
    </row>
    <row r="2501" spans="1:6" ht="25.5">
      <c r="A2501" s="2">
        <v>2498</v>
      </c>
      <c r="B2501" s="2" t="s">
        <v>2568</v>
      </c>
      <c r="C2501" s="2" t="str">
        <f>"00063568"</f>
        <v>00063568</v>
      </c>
      <c r="D2501" s="2">
        <v>1.9279999999999999</v>
      </c>
      <c r="E2501" s="2">
        <v>118</v>
      </c>
      <c r="F2501" s="2" t="s">
        <v>6</v>
      </c>
    </row>
    <row r="2502" spans="1:6" ht="25.5">
      <c r="A2502" s="2">
        <v>2499</v>
      </c>
      <c r="B2502" s="2" t="s">
        <v>2569</v>
      </c>
      <c r="C2502" s="2" t="str">
        <f>"13476947"</f>
        <v>13476947</v>
      </c>
      <c r="D2502" s="2">
        <v>0.499</v>
      </c>
      <c r="E2502" s="2">
        <v>71</v>
      </c>
      <c r="F2502" s="2" t="s">
        <v>131</v>
      </c>
    </row>
    <row r="2503" spans="1:6" ht="25.5">
      <c r="A2503" s="2">
        <v>2500</v>
      </c>
      <c r="B2503" s="2" t="s">
        <v>2570</v>
      </c>
      <c r="C2503" s="2" t="str">
        <f>"14797860"</f>
        <v>14797860</v>
      </c>
      <c r="D2503" s="2">
        <v>0</v>
      </c>
      <c r="E2503" s="2">
        <v>1</v>
      </c>
      <c r="F2503" s="2" t="s">
        <v>16</v>
      </c>
    </row>
    <row r="2504" spans="1:6" ht="25.5">
      <c r="A2504" s="2">
        <v>2501</v>
      </c>
      <c r="B2504" s="2" t="s">
        <v>2571</v>
      </c>
      <c r="C2504" s="2" t="str">
        <f>"15163725"</f>
        <v>15163725</v>
      </c>
      <c r="D2504" s="2">
        <v>0.255</v>
      </c>
      <c r="E2504" s="2">
        <v>4</v>
      </c>
      <c r="F2504" s="2" t="s">
        <v>159</v>
      </c>
    </row>
    <row r="2505" spans="1:6" ht="25.5">
      <c r="A2505" s="2">
        <v>2502</v>
      </c>
      <c r="B2505" s="2" t="s">
        <v>2572</v>
      </c>
      <c r="C2505" s="2" t="str">
        <f>"01448463"</f>
        <v>01448463</v>
      </c>
      <c r="D2505" s="2">
        <v>0.73499999999999999</v>
      </c>
      <c r="E2505" s="2">
        <v>47</v>
      </c>
      <c r="F2505" s="2" t="s">
        <v>16</v>
      </c>
    </row>
    <row r="2506" spans="1:6" ht="25.5">
      <c r="A2506" s="2">
        <v>2503</v>
      </c>
      <c r="B2506" s="2" t="s">
        <v>2573</v>
      </c>
      <c r="C2506" s="2" t="str">
        <f>"22183973"</f>
        <v>22183973</v>
      </c>
      <c r="D2506" s="2">
        <v>0.10299999999999999</v>
      </c>
      <c r="E2506" s="2">
        <v>2</v>
      </c>
      <c r="F2506" s="2" t="s">
        <v>43</v>
      </c>
    </row>
    <row r="2507" spans="1:6" ht="25.5">
      <c r="A2507" s="2">
        <v>2504</v>
      </c>
      <c r="B2507" s="2" t="s">
        <v>2574</v>
      </c>
      <c r="C2507" s="2" t="str">
        <f>"09731245"</f>
        <v>09731245</v>
      </c>
      <c r="D2507" s="2">
        <v>0.122</v>
      </c>
      <c r="E2507" s="2">
        <v>4</v>
      </c>
      <c r="F2507" s="2" t="s">
        <v>488</v>
      </c>
    </row>
    <row r="2508" spans="1:6" ht="25.5">
      <c r="A2508" s="2">
        <v>2505</v>
      </c>
      <c r="B2508" s="2" t="s">
        <v>2575</v>
      </c>
      <c r="C2508" s="2" t="str">
        <f>"0976352X"</f>
        <v>0976352X</v>
      </c>
      <c r="D2508" s="2">
        <v>0.10100000000000001</v>
      </c>
      <c r="E2508" s="2">
        <v>1</v>
      </c>
      <c r="F2508" s="2" t="s">
        <v>6</v>
      </c>
    </row>
    <row r="2509" spans="1:6" ht="25.5">
      <c r="A2509" s="2">
        <v>2506</v>
      </c>
      <c r="B2509" s="2" t="s">
        <v>2576</v>
      </c>
      <c r="C2509" s="2" t="str">
        <f>"15387135"</f>
        <v>15387135</v>
      </c>
      <c r="D2509" s="2">
        <v>0.61099999999999999</v>
      </c>
      <c r="E2509" s="2">
        <v>21</v>
      </c>
      <c r="F2509" s="2" t="s">
        <v>6</v>
      </c>
    </row>
    <row r="2510" spans="1:6" ht="25.5">
      <c r="A2510" s="2">
        <v>2507</v>
      </c>
      <c r="B2510" s="2" t="s">
        <v>2577</v>
      </c>
      <c r="C2510" s="2" t="str">
        <f>"18751350"</f>
        <v>18751350</v>
      </c>
      <c r="D2510" s="2">
        <v>0.22600000000000001</v>
      </c>
      <c r="E2510" s="2">
        <v>4</v>
      </c>
      <c r="F2510" s="2" t="s">
        <v>75</v>
      </c>
    </row>
    <row r="2511" spans="1:6" ht="25.5">
      <c r="A2511" s="2">
        <v>2508</v>
      </c>
      <c r="B2511" s="2" t="s">
        <v>2578</v>
      </c>
      <c r="C2511" s="2" t="str">
        <f>"09565663"</f>
        <v>09565663</v>
      </c>
      <c r="D2511" s="2">
        <v>2.0840000000000001</v>
      </c>
      <c r="E2511" s="2">
        <v>106</v>
      </c>
      <c r="F2511" s="2" t="s">
        <v>16</v>
      </c>
    </row>
    <row r="2512" spans="1:6" ht="25.5">
      <c r="A2512" s="2">
        <v>2509</v>
      </c>
      <c r="B2512" s="2" t="s">
        <v>2579</v>
      </c>
      <c r="C2512" s="2" t="str">
        <f>"17458560"</f>
        <v>17458560</v>
      </c>
      <c r="D2512" s="2">
        <v>0.60299999999999998</v>
      </c>
      <c r="E2512" s="2">
        <v>3</v>
      </c>
      <c r="F2512" s="2" t="s">
        <v>16</v>
      </c>
    </row>
    <row r="2513" spans="1:6" ht="25.5">
      <c r="A2513" s="2">
        <v>2510</v>
      </c>
      <c r="B2513" s="2" t="s">
        <v>2580</v>
      </c>
      <c r="C2513" s="2" t="str">
        <f>"09470867"</f>
        <v>09470867</v>
      </c>
      <c r="D2513" s="2">
        <v>0.105</v>
      </c>
      <c r="E2513" s="2">
        <v>3</v>
      </c>
      <c r="F2513" s="2" t="s">
        <v>12</v>
      </c>
    </row>
    <row r="2514" spans="1:6" ht="25.5">
      <c r="A2514" s="2">
        <v>2511</v>
      </c>
      <c r="B2514" s="2" t="s">
        <v>2581</v>
      </c>
      <c r="C2514" s="2" t="str">
        <f>"14684357"</f>
        <v>14684357</v>
      </c>
      <c r="D2514" s="2">
        <v>1.835</v>
      </c>
      <c r="E2514" s="2">
        <v>40</v>
      </c>
      <c r="F2514" s="2" t="s">
        <v>16</v>
      </c>
    </row>
    <row r="2515" spans="1:6" ht="25.5">
      <c r="A2515" s="2">
        <v>2512</v>
      </c>
      <c r="B2515" s="2" t="s">
        <v>2582</v>
      </c>
      <c r="C2515" s="2" t="str">
        <f>"03032647"</f>
        <v>03032647</v>
      </c>
      <c r="D2515" s="2">
        <v>0.50800000000000001</v>
      </c>
      <c r="E2515" s="2">
        <v>46</v>
      </c>
      <c r="F2515" s="2" t="s">
        <v>732</v>
      </c>
    </row>
    <row r="2516" spans="1:6" ht="25.5">
      <c r="A2516" s="2">
        <v>2513</v>
      </c>
      <c r="B2516" s="2" t="s">
        <v>2583</v>
      </c>
      <c r="C2516" s="2" t="str">
        <f>"15375129"</f>
        <v>15375129</v>
      </c>
      <c r="D2516" s="2">
        <v>0.75700000000000001</v>
      </c>
      <c r="E2516" s="2">
        <v>58</v>
      </c>
      <c r="F2516" s="2" t="s">
        <v>6</v>
      </c>
    </row>
    <row r="2517" spans="1:6" ht="25.5">
      <c r="A2517" s="2">
        <v>2514</v>
      </c>
      <c r="B2517" s="2" t="s">
        <v>2584</v>
      </c>
      <c r="C2517" s="2" t="str">
        <f>"16760611"</f>
        <v>16760611</v>
      </c>
      <c r="D2517" s="2">
        <v>0.36299999999999999</v>
      </c>
      <c r="E2517" s="2">
        <v>10</v>
      </c>
      <c r="F2517" s="2" t="s">
        <v>159</v>
      </c>
    </row>
    <row r="2518" spans="1:6">
      <c r="A2518" s="2">
        <v>2515</v>
      </c>
      <c r="B2518" s="2" t="s">
        <v>2585</v>
      </c>
      <c r="C2518" s="2" t="str">
        <f>"0"</f>
        <v>0</v>
      </c>
      <c r="D2518" s="2">
        <v>0.109</v>
      </c>
      <c r="E2518" s="2">
        <v>3</v>
      </c>
      <c r="F2518" s="2" t="s">
        <v>161</v>
      </c>
    </row>
    <row r="2519" spans="1:6" ht="25.5">
      <c r="A2519" s="2">
        <v>2516</v>
      </c>
      <c r="B2519" s="2" t="s">
        <v>2586</v>
      </c>
      <c r="C2519" s="2" t="str">
        <f>"10520295"</f>
        <v>10520295</v>
      </c>
      <c r="D2519" s="2">
        <v>0.254</v>
      </c>
      <c r="E2519" s="2">
        <v>27</v>
      </c>
      <c r="F2519" s="2" t="s">
        <v>16</v>
      </c>
    </row>
    <row r="2520" spans="1:6" ht="25.5">
      <c r="A2520" s="2">
        <v>2517</v>
      </c>
      <c r="B2520" s="2" t="s">
        <v>2587</v>
      </c>
      <c r="C2520" s="2" t="str">
        <f>"07366205"</f>
        <v>07366205</v>
      </c>
      <c r="D2520" s="2">
        <v>0.89400000000000002</v>
      </c>
      <c r="E2520" s="2">
        <v>91</v>
      </c>
      <c r="F2520" s="2" t="s">
        <v>6</v>
      </c>
    </row>
    <row r="2521" spans="1:6" ht="25.5">
      <c r="A2521" s="2">
        <v>2518</v>
      </c>
      <c r="B2521" s="2" t="s">
        <v>2588</v>
      </c>
      <c r="C2521" s="2" t="str">
        <f>"08607796"</f>
        <v>08607796</v>
      </c>
      <c r="D2521" s="2">
        <v>0.16200000000000001</v>
      </c>
      <c r="E2521" s="2">
        <v>4</v>
      </c>
      <c r="F2521" s="2" t="s">
        <v>169</v>
      </c>
    </row>
    <row r="2522" spans="1:6" ht="25.5">
      <c r="A2522" s="2">
        <v>2519</v>
      </c>
      <c r="B2522" s="2" t="s">
        <v>2589</v>
      </c>
      <c r="C2522" s="2" t="str">
        <f>"16822978"</f>
        <v>16822978</v>
      </c>
      <c r="D2522" s="2">
        <v>0.438</v>
      </c>
      <c r="E2522" s="2">
        <v>12</v>
      </c>
      <c r="F2522" s="2" t="s">
        <v>43</v>
      </c>
    </row>
    <row r="2523" spans="1:6" ht="25.5">
      <c r="A2523" s="2">
        <v>2520</v>
      </c>
      <c r="B2523" s="2" t="s">
        <v>2590</v>
      </c>
      <c r="C2523" s="2" t="str">
        <f>"07349750"</f>
        <v>07349750</v>
      </c>
      <c r="D2523" s="2">
        <v>3.0609999999999999</v>
      </c>
      <c r="E2523" s="2">
        <v>79</v>
      </c>
      <c r="F2523" s="2" t="s">
        <v>6</v>
      </c>
    </row>
    <row r="2524" spans="1:6" ht="25.5">
      <c r="A2524" s="2">
        <v>2521</v>
      </c>
      <c r="B2524" s="2" t="s">
        <v>2591</v>
      </c>
      <c r="C2524" s="2" t="str">
        <f>"17804507"</f>
        <v>17804507</v>
      </c>
      <c r="D2524" s="2">
        <v>0.217</v>
      </c>
      <c r="E2524" s="2">
        <v>7</v>
      </c>
      <c r="F2524" s="2" t="s">
        <v>161</v>
      </c>
    </row>
    <row r="2525" spans="1:6" ht="25.5">
      <c r="A2525" s="2">
        <v>2522</v>
      </c>
      <c r="B2525" s="2" t="s">
        <v>2592</v>
      </c>
      <c r="C2525" s="2" t="str">
        <f>"14708744"</f>
        <v>14708744</v>
      </c>
      <c r="D2525" s="2">
        <v>0.42399999999999999</v>
      </c>
      <c r="E2525" s="2">
        <v>43</v>
      </c>
      <c r="F2525" s="2" t="s">
        <v>6</v>
      </c>
    </row>
    <row r="2526" spans="1:6" ht="25.5">
      <c r="A2526" s="2">
        <v>2523</v>
      </c>
      <c r="B2526" s="2" t="s">
        <v>2593</v>
      </c>
      <c r="C2526" s="2" t="str">
        <f>"10970290"</f>
        <v>10970290</v>
      </c>
      <c r="D2526" s="2">
        <v>1.383</v>
      </c>
      <c r="E2526" s="2">
        <v>114</v>
      </c>
      <c r="F2526" s="2" t="s">
        <v>6</v>
      </c>
    </row>
    <row r="2527" spans="1:6" ht="25.5">
      <c r="A2527" s="2">
        <v>2524</v>
      </c>
      <c r="B2527" s="2" t="s">
        <v>2594</v>
      </c>
      <c r="C2527" s="2" t="str">
        <f>"12268372"</f>
        <v>12268372</v>
      </c>
      <c r="D2527" s="2">
        <v>0.53100000000000003</v>
      </c>
      <c r="E2527" s="2">
        <v>24</v>
      </c>
      <c r="F2527" s="2" t="s">
        <v>274</v>
      </c>
    </row>
    <row r="2528" spans="1:6" ht="25.5">
      <c r="A2528" s="2">
        <v>2525</v>
      </c>
      <c r="B2528" s="2" t="s">
        <v>2595</v>
      </c>
      <c r="C2528" s="2" t="str">
        <f>"13102818"</f>
        <v>13102818</v>
      </c>
      <c r="D2528" s="2">
        <v>0.217</v>
      </c>
      <c r="E2528" s="2">
        <v>10</v>
      </c>
      <c r="F2528" s="2" t="s">
        <v>293</v>
      </c>
    </row>
    <row r="2529" spans="1:6" ht="25.5">
      <c r="A2529" s="2">
        <v>2526</v>
      </c>
      <c r="B2529" s="2" t="s">
        <v>2596</v>
      </c>
      <c r="C2529" s="2" t="str">
        <f>"02648725"</f>
        <v>02648725</v>
      </c>
      <c r="D2529" s="2">
        <v>0.437</v>
      </c>
      <c r="E2529" s="2">
        <v>23</v>
      </c>
      <c r="F2529" s="2" t="s">
        <v>16</v>
      </c>
    </row>
    <row r="2530" spans="1:6" ht="25.5">
      <c r="A2530" s="2">
        <v>2527</v>
      </c>
      <c r="B2530" s="2" t="s">
        <v>2597</v>
      </c>
      <c r="C2530" s="2" t="str">
        <f>"09747435"</f>
        <v>09747435</v>
      </c>
      <c r="D2530" s="2">
        <v>0.111</v>
      </c>
      <c r="E2530" s="2">
        <v>1</v>
      </c>
      <c r="F2530" s="2" t="s">
        <v>488</v>
      </c>
    </row>
    <row r="2531" spans="1:6" ht="25.5">
      <c r="A2531" s="2">
        <v>2528</v>
      </c>
      <c r="B2531" s="2" t="s">
        <v>2598</v>
      </c>
      <c r="C2531" s="2" t="str">
        <f>"17546834"</f>
        <v>17546834</v>
      </c>
      <c r="D2531" s="2">
        <v>1.8720000000000001</v>
      </c>
      <c r="E2531" s="2">
        <v>21</v>
      </c>
      <c r="F2531" s="2" t="s">
        <v>16</v>
      </c>
    </row>
    <row r="2532" spans="1:6" ht="25.5">
      <c r="A2532" s="2">
        <v>2529</v>
      </c>
      <c r="B2532" s="2" t="s">
        <v>2599</v>
      </c>
      <c r="C2532" s="2" t="str">
        <f>"18607314"</f>
        <v>18607314</v>
      </c>
      <c r="D2532" s="2">
        <v>0.8</v>
      </c>
      <c r="E2532" s="2">
        <v>33</v>
      </c>
      <c r="F2532" s="2" t="s">
        <v>12</v>
      </c>
    </row>
    <row r="2533" spans="1:6" ht="25.5">
      <c r="A2533" s="2">
        <v>2530</v>
      </c>
      <c r="B2533" s="2" t="s">
        <v>2600</v>
      </c>
      <c r="C2533" s="2" t="str">
        <f>"0730031X"</f>
        <v>0730031X</v>
      </c>
      <c r="D2533" s="2">
        <v>0.123</v>
      </c>
      <c r="E2533" s="2">
        <v>4</v>
      </c>
      <c r="F2533" s="2" t="s">
        <v>6</v>
      </c>
    </row>
    <row r="2534" spans="1:6" ht="25.5">
      <c r="A2534" s="2">
        <v>2531</v>
      </c>
      <c r="B2534" s="2" t="s">
        <v>2601</v>
      </c>
      <c r="C2534" s="2" t="str">
        <f>"15736776"</f>
        <v>15736776</v>
      </c>
      <c r="D2534" s="2">
        <v>0.65300000000000002</v>
      </c>
      <c r="E2534" s="2">
        <v>58</v>
      </c>
      <c r="F2534" s="2" t="s">
        <v>75</v>
      </c>
    </row>
    <row r="2535" spans="1:6" ht="25.5">
      <c r="A2535" s="2">
        <v>2532</v>
      </c>
      <c r="B2535" s="2" t="s">
        <v>2602</v>
      </c>
      <c r="C2535" s="2" t="str">
        <f>"87567938"</f>
        <v>87567938</v>
      </c>
      <c r="D2535" s="2">
        <v>0.71799999999999997</v>
      </c>
      <c r="E2535" s="2">
        <v>81</v>
      </c>
      <c r="F2535" s="2" t="s">
        <v>16</v>
      </c>
    </row>
    <row r="2536" spans="1:6" ht="25.5">
      <c r="A2536" s="2">
        <v>2533</v>
      </c>
      <c r="B2536" s="2" t="s">
        <v>2603</v>
      </c>
      <c r="C2536" s="2" t="str">
        <f>"10272852"</f>
        <v>10272852</v>
      </c>
      <c r="D2536" s="2">
        <v>0.13300000000000001</v>
      </c>
      <c r="E2536" s="2">
        <v>8</v>
      </c>
      <c r="F2536" s="2" t="s">
        <v>88</v>
      </c>
    </row>
    <row r="2537" spans="1:6" ht="25.5">
      <c r="A2537" s="2">
        <v>2534</v>
      </c>
      <c r="B2537" s="2" t="s">
        <v>2604</v>
      </c>
      <c r="C2537" s="2" t="str">
        <f>"09142223"</f>
        <v>09142223</v>
      </c>
      <c r="D2537" s="2">
        <v>0.10199999999999999</v>
      </c>
      <c r="E2537" s="2">
        <v>17</v>
      </c>
      <c r="F2537" s="2" t="s">
        <v>131</v>
      </c>
    </row>
    <row r="2538" spans="1:6" ht="25.5">
      <c r="A2538" s="2">
        <v>2535</v>
      </c>
      <c r="B2538" s="2" t="s">
        <v>2605</v>
      </c>
      <c r="C2538" s="2" t="str">
        <f>"1951655X"</f>
        <v>1951655X</v>
      </c>
      <c r="D2538" s="2">
        <v>0.10100000000000001</v>
      </c>
      <c r="E2538" s="2">
        <v>1</v>
      </c>
      <c r="F2538" s="2" t="s">
        <v>66</v>
      </c>
    </row>
    <row r="2539" spans="1:6" ht="25.5">
      <c r="A2539" s="2">
        <v>2536</v>
      </c>
      <c r="B2539" s="2" t="s">
        <v>2606</v>
      </c>
      <c r="C2539" s="2" t="str">
        <f>"02156334"</f>
        <v>02156334</v>
      </c>
      <c r="D2539" s="2">
        <v>0.10100000000000001</v>
      </c>
      <c r="E2539" s="2">
        <v>1</v>
      </c>
      <c r="F2539" s="2" t="s">
        <v>297</v>
      </c>
    </row>
    <row r="2540" spans="1:6" ht="25.5">
      <c r="A2540" s="2">
        <v>2537</v>
      </c>
      <c r="B2540" s="2" t="s">
        <v>2607</v>
      </c>
      <c r="C2540" s="2" t="str">
        <f>"17447429"</f>
        <v>17447429</v>
      </c>
      <c r="D2540" s="2">
        <v>1.2010000000000001</v>
      </c>
      <c r="E2540" s="2">
        <v>54</v>
      </c>
      <c r="F2540" s="2" t="s">
        <v>16</v>
      </c>
    </row>
    <row r="2541" spans="1:6" ht="25.5">
      <c r="A2541" s="2">
        <v>2538</v>
      </c>
      <c r="B2541" s="2" t="s">
        <v>2608</v>
      </c>
      <c r="C2541" s="2" t="str">
        <f>"13995618"</f>
        <v>13995618</v>
      </c>
      <c r="D2541" s="2">
        <v>2.5459999999999998</v>
      </c>
      <c r="E2541" s="2">
        <v>78</v>
      </c>
      <c r="F2541" s="2" t="s">
        <v>163</v>
      </c>
    </row>
    <row r="2542" spans="1:6" ht="25.5">
      <c r="A2542" s="2">
        <v>2539</v>
      </c>
      <c r="B2542" s="2" t="s">
        <v>2609</v>
      </c>
      <c r="C2542" s="2" t="str">
        <f>"14740001"</f>
        <v>14740001</v>
      </c>
      <c r="D2542" s="2">
        <v>0.54400000000000004</v>
      </c>
      <c r="E2542" s="2">
        <v>22</v>
      </c>
      <c r="F2542" s="2" t="s">
        <v>16</v>
      </c>
    </row>
    <row r="2543" spans="1:6" ht="25.5">
      <c r="A2543" s="2">
        <v>2540</v>
      </c>
      <c r="B2543" s="2" t="s">
        <v>2610</v>
      </c>
      <c r="C2543" s="2" t="str">
        <f>"00063657"</f>
        <v>00063657</v>
      </c>
      <c r="D2543" s="2">
        <v>0.54800000000000004</v>
      </c>
      <c r="E2543" s="2">
        <v>35</v>
      </c>
      <c r="F2543" s="2" t="s">
        <v>16</v>
      </c>
    </row>
    <row r="2544" spans="1:6">
      <c r="A2544" s="2">
        <v>2541</v>
      </c>
      <c r="B2544" s="2" t="s">
        <v>2611</v>
      </c>
      <c r="C2544" s="2" t="str">
        <f>"0"</f>
        <v>0</v>
      </c>
      <c r="D2544" s="2">
        <v>0.106</v>
      </c>
      <c r="E2544" s="2">
        <v>1</v>
      </c>
      <c r="F2544" s="2" t="s">
        <v>12</v>
      </c>
    </row>
    <row r="2545" spans="1:6" ht="25.5">
      <c r="A2545" s="2">
        <v>2542</v>
      </c>
      <c r="B2545" s="2" t="s">
        <v>2612</v>
      </c>
      <c r="C2545" s="2" t="str">
        <f>"1523536X"</f>
        <v>1523536X</v>
      </c>
      <c r="D2545" s="2">
        <v>1.2030000000000001</v>
      </c>
      <c r="E2545" s="2">
        <v>47</v>
      </c>
      <c r="F2545" s="2" t="s">
        <v>16</v>
      </c>
    </row>
    <row r="2546" spans="1:6" ht="25.5">
      <c r="A2546" s="2">
        <v>2543</v>
      </c>
      <c r="B2546" s="2" t="s">
        <v>2613</v>
      </c>
      <c r="C2546" s="2" t="str">
        <f>"15420760"</f>
        <v>15420760</v>
      </c>
      <c r="D2546" s="2">
        <v>1.014</v>
      </c>
      <c r="E2546" s="2">
        <v>60</v>
      </c>
      <c r="F2546" s="2" t="s">
        <v>6</v>
      </c>
    </row>
    <row r="2547" spans="1:6" ht="25.5">
      <c r="A2547" s="2">
        <v>2544</v>
      </c>
      <c r="B2547" s="2" t="s">
        <v>2614</v>
      </c>
      <c r="C2547" s="2" t="str">
        <f>"15429741"</f>
        <v>15429741</v>
      </c>
      <c r="D2547" s="2">
        <v>0.77</v>
      </c>
      <c r="E2547" s="2">
        <v>36</v>
      </c>
      <c r="F2547" s="2" t="s">
        <v>6</v>
      </c>
    </row>
    <row r="2548" spans="1:6" ht="25.5">
      <c r="A2548" s="2">
        <v>2545</v>
      </c>
      <c r="B2548" s="2" t="s">
        <v>2615</v>
      </c>
      <c r="C2548" s="2" t="str">
        <f>"15429768"</f>
        <v>15429768</v>
      </c>
      <c r="D2548" s="2">
        <v>1.665</v>
      </c>
      <c r="E2548" s="2">
        <v>41</v>
      </c>
      <c r="F2548" s="2" t="s">
        <v>6</v>
      </c>
    </row>
    <row r="2549" spans="1:6" ht="25.5">
      <c r="A2549" s="2">
        <v>2546</v>
      </c>
      <c r="B2549" s="2" t="s">
        <v>2616</v>
      </c>
      <c r="C2549" s="2" t="str">
        <f>"01247913"</f>
        <v>01247913</v>
      </c>
      <c r="D2549" s="2">
        <v>0.1</v>
      </c>
      <c r="E2549" s="2">
        <v>0</v>
      </c>
      <c r="F2549" s="2" t="s">
        <v>184</v>
      </c>
    </row>
    <row r="2550" spans="1:6" ht="25.5">
      <c r="A2550" s="2">
        <v>2547</v>
      </c>
      <c r="B2550" s="2" t="s">
        <v>2617</v>
      </c>
      <c r="C2550" s="2" t="str">
        <f>"15729125"</f>
        <v>15729125</v>
      </c>
      <c r="D2550" s="2">
        <v>0.90600000000000003</v>
      </c>
      <c r="E2550" s="2">
        <v>32</v>
      </c>
      <c r="F2550" s="2" t="s">
        <v>75</v>
      </c>
    </row>
    <row r="2551" spans="1:6" ht="25.5">
      <c r="A2551" s="2">
        <v>2548</v>
      </c>
      <c r="B2551" s="2" t="s">
        <v>2618</v>
      </c>
      <c r="C2551" s="2" t="str">
        <f>"08676143"</f>
        <v>08676143</v>
      </c>
      <c r="D2551" s="2">
        <v>0.22800000000000001</v>
      </c>
      <c r="E2551" s="2">
        <v>11</v>
      </c>
      <c r="F2551" s="2" t="s">
        <v>169</v>
      </c>
    </row>
    <row r="2552" spans="1:6" ht="25.5">
      <c r="A2552" s="2">
        <v>2549</v>
      </c>
      <c r="B2552" s="2" t="s">
        <v>2619</v>
      </c>
      <c r="C2552" s="2" t="str">
        <f>"14710528"</f>
        <v>14710528</v>
      </c>
      <c r="D2552" s="2">
        <v>1.46</v>
      </c>
      <c r="E2552" s="2">
        <v>103</v>
      </c>
      <c r="F2552" s="2" t="s">
        <v>16</v>
      </c>
    </row>
    <row r="2553" spans="1:6" ht="25.5">
      <c r="A2553" s="2">
        <v>2550</v>
      </c>
      <c r="B2553" s="2" t="s">
        <v>2620</v>
      </c>
      <c r="C2553" s="2" t="str">
        <f>"1464410X"</f>
        <v>1464410X</v>
      </c>
      <c r="D2553" s="2">
        <v>1.381</v>
      </c>
      <c r="E2553" s="2">
        <v>96</v>
      </c>
      <c r="F2553" s="2" t="s">
        <v>16</v>
      </c>
    </row>
    <row r="2554" spans="1:6" ht="25.5">
      <c r="A2554" s="2">
        <v>2551</v>
      </c>
      <c r="B2554" s="2" t="s">
        <v>2621</v>
      </c>
      <c r="C2554" s="2" t="str">
        <f>"02763605"</f>
        <v>02763605</v>
      </c>
      <c r="D2554" s="2">
        <v>0.10100000000000001</v>
      </c>
      <c r="E2554" s="2">
        <v>2</v>
      </c>
      <c r="F2554" s="2" t="s">
        <v>6</v>
      </c>
    </row>
    <row r="2555" spans="1:6" ht="25.5">
      <c r="A2555" s="2">
        <v>2552</v>
      </c>
      <c r="B2555" s="2" t="s">
        <v>2622</v>
      </c>
      <c r="C2555" s="2" t="str">
        <f>"00064246"</f>
        <v>00064246</v>
      </c>
      <c r="D2555" s="2">
        <v>0.10299999999999999</v>
      </c>
      <c r="E2555" s="2">
        <v>5</v>
      </c>
      <c r="F2555" s="2" t="s">
        <v>6</v>
      </c>
    </row>
    <row r="2556" spans="1:6" ht="25.5">
      <c r="A2556" s="2">
        <v>2553</v>
      </c>
      <c r="B2556" s="2" t="s">
        <v>2623</v>
      </c>
      <c r="C2556" s="2" t="str">
        <f>"0160628X"</f>
        <v>0160628X</v>
      </c>
      <c r="D2556" s="2">
        <v>0.10100000000000001</v>
      </c>
      <c r="E2556" s="2">
        <v>4</v>
      </c>
      <c r="F2556" s="2" t="s">
        <v>6</v>
      </c>
    </row>
    <row r="2557" spans="1:6" ht="25.5">
      <c r="A2557" s="2">
        <v>2554</v>
      </c>
      <c r="B2557" s="2" t="s">
        <v>2624</v>
      </c>
      <c r="C2557" s="2" t="str">
        <f>"15280020"</f>
        <v>15280020</v>
      </c>
      <c r="D2557" s="2">
        <v>4.5529999999999999</v>
      </c>
      <c r="E2557" s="2">
        <v>309</v>
      </c>
      <c r="F2557" s="2" t="s">
        <v>6</v>
      </c>
    </row>
    <row r="2558" spans="1:6" ht="25.5">
      <c r="A2558" s="2">
        <v>2555</v>
      </c>
      <c r="B2558" s="2" t="s">
        <v>2625</v>
      </c>
      <c r="C2558" s="2" t="str">
        <f>"20445385"</f>
        <v>20445385</v>
      </c>
      <c r="D2558" s="2">
        <v>0.312</v>
      </c>
      <c r="E2558" s="2">
        <v>4</v>
      </c>
      <c r="F2558" s="2" t="s">
        <v>6</v>
      </c>
    </row>
    <row r="2559" spans="1:6" ht="25.5">
      <c r="A2559" s="2">
        <v>2556</v>
      </c>
      <c r="B2559" s="2" t="s">
        <v>2626</v>
      </c>
      <c r="C2559" s="2" t="str">
        <f>"10960961"</f>
        <v>10960961</v>
      </c>
      <c r="D2559" s="2">
        <v>0.83799999999999997</v>
      </c>
      <c r="E2559" s="2">
        <v>59</v>
      </c>
      <c r="F2559" s="2" t="s">
        <v>6</v>
      </c>
    </row>
    <row r="2560" spans="1:6" ht="25.5">
      <c r="A2560" s="2">
        <v>2557</v>
      </c>
      <c r="B2560" s="2" t="s">
        <v>2627</v>
      </c>
      <c r="C2560" s="2" t="str">
        <f>"14735733"</f>
        <v>14735733</v>
      </c>
      <c r="D2560" s="2">
        <v>0.45500000000000002</v>
      </c>
      <c r="E2560" s="2">
        <v>52</v>
      </c>
      <c r="F2560" s="2" t="s">
        <v>6</v>
      </c>
    </row>
    <row r="2561" spans="1:6" ht="25.5">
      <c r="A2561" s="2">
        <v>2558</v>
      </c>
      <c r="B2561" s="2" t="s">
        <v>2628</v>
      </c>
      <c r="C2561" s="2" t="str">
        <f>"16511999"</f>
        <v>16511999</v>
      </c>
      <c r="D2561" s="2">
        <v>0.51600000000000001</v>
      </c>
      <c r="E2561" s="2">
        <v>38</v>
      </c>
      <c r="F2561" s="2" t="s">
        <v>16</v>
      </c>
    </row>
    <row r="2562" spans="1:6" ht="25.5">
      <c r="A2562" s="2">
        <v>2559</v>
      </c>
      <c r="B2562" s="2" t="s">
        <v>2629</v>
      </c>
      <c r="C2562" s="2" t="str">
        <f>"13595237"</f>
        <v>13595237</v>
      </c>
      <c r="D2562" s="2">
        <v>0.70299999999999996</v>
      </c>
      <c r="E2562" s="2">
        <v>43</v>
      </c>
      <c r="F2562" s="2" t="s">
        <v>6</v>
      </c>
    </row>
    <row r="2563" spans="1:6" ht="25.5">
      <c r="A2563" s="2">
        <v>2560</v>
      </c>
      <c r="B2563" s="2" t="s">
        <v>2630</v>
      </c>
      <c r="C2563" s="2" t="str">
        <f>"08038023"</f>
        <v>08038023</v>
      </c>
      <c r="D2563" s="2">
        <v>0.113</v>
      </c>
      <c r="E2563" s="2">
        <v>20</v>
      </c>
      <c r="F2563" s="2" t="s">
        <v>16</v>
      </c>
    </row>
    <row r="2564" spans="1:6" ht="25.5">
      <c r="A2564" s="2">
        <v>2561</v>
      </c>
      <c r="B2564" s="2" t="s">
        <v>2631</v>
      </c>
      <c r="C2564" s="2" t="str">
        <f>"14219735"</f>
        <v>14219735</v>
      </c>
      <c r="D2564" s="2">
        <v>0.73799999999999999</v>
      </c>
      <c r="E2564" s="2">
        <v>38</v>
      </c>
      <c r="F2564" s="2" t="s">
        <v>31</v>
      </c>
    </row>
    <row r="2565" spans="1:6" ht="25.5">
      <c r="A2565" s="2">
        <v>2562</v>
      </c>
      <c r="B2565" s="2" t="s">
        <v>2632</v>
      </c>
      <c r="C2565" s="2" t="str">
        <f>"0268960X"</f>
        <v>0268960X</v>
      </c>
      <c r="D2565" s="2">
        <v>2.1869999999999998</v>
      </c>
      <c r="E2565" s="2">
        <v>56</v>
      </c>
      <c r="F2565" s="2" t="s">
        <v>6</v>
      </c>
    </row>
    <row r="2566" spans="1:6" ht="25.5">
      <c r="A2566" s="2">
        <v>2563</v>
      </c>
      <c r="B2566" s="2" t="s">
        <v>2633</v>
      </c>
      <c r="C2566" s="2" t="str">
        <f>"17232007"</f>
        <v>17232007</v>
      </c>
      <c r="D2566" s="2">
        <v>0.31</v>
      </c>
      <c r="E2566" s="2">
        <v>13</v>
      </c>
      <c r="F2566" s="2" t="s">
        <v>190</v>
      </c>
    </row>
    <row r="2567" spans="1:6" ht="25.5">
      <c r="A2567" s="2">
        <v>2564</v>
      </c>
      <c r="B2567" s="2" t="s">
        <v>2634</v>
      </c>
      <c r="C2567" s="2" t="str">
        <f>"00065196"</f>
        <v>00065196</v>
      </c>
      <c r="D2567" s="2">
        <v>0.66200000000000003</v>
      </c>
      <c r="E2567" s="2">
        <v>14</v>
      </c>
      <c r="F2567" s="2" t="s">
        <v>75</v>
      </c>
    </row>
    <row r="2568" spans="1:6" ht="25.5">
      <c r="A2568" s="2">
        <v>2565</v>
      </c>
      <c r="B2568" s="2" t="s">
        <v>2635</v>
      </c>
      <c r="C2568" s="2" t="str">
        <f>"00065250"</f>
        <v>00065250</v>
      </c>
      <c r="D2568" s="2">
        <v>0.19600000000000001</v>
      </c>
      <c r="E2568" s="2">
        <v>10</v>
      </c>
      <c r="F2568" s="2" t="s">
        <v>12</v>
      </c>
    </row>
    <row r="2569" spans="1:6" ht="25.5">
      <c r="A2569" s="2">
        <v>2566</v>
      </c>
      <c r="B2569" s="2" t="s">
        <v>2636</v>
      </c>
      <c r="C2569" s="2" t="str">
        <f>"00065269"</f>
        <v>00065269</v>
      </c>
      <c r="D2569" s="2">
        <v>0.20599999999999999</v>
      </c>
      <c r="E2569" s="2">
        <v>6</v>
      </c>
      <c r="F2569" s="2" t="s">
        <v>2637</v>
      </c>
    </row>
    <row r="2570" spans="1:6" ht="25.5">
      <c r="A2570" s="2">
        <v>2567</v>
      </c>
      <c r="B2570" s="2" t="s">
        <v>2638</v>
      </c>
      <c r="C2570" s="2" t="str">
        <f>"1976670X"</f>
        <v>1976670X</v>
      </c>
      <c r="D2570" s="2">
        <v>0.71199999999999997</v>
      </c>
      <c r="E2570" s="2">
        <v>44</v>
      </c>
      <c r="F2570" s="2" t="s">
        <v>274</v>
      </c>
    </row>
    <row r="2571" spans="1:6" ht="25.5">
      <c r="A2571" s="2">
        <v>2568</v>
      </c>
      <c r="B2571" s="2" t="s">
        <v>2639</v>
      </c>
      <c r="C2571" s="2" t="str">
        <f>"14712253"</f>
        <v>14712253</v>
      </c>
      <c r="D2571" s="2">
        <v>0.65300000000000002</v>
      </c>
      <c r="E2571" s="2">
        <v>17</v>
      </c>
      <c r="F2571" s="2" t="s">
        <v>16</v>
      </c>
    </row>
    <row r="2572" spans="1:6" ht="25.5">
      <c r="A2572" s="2">
        <v>2569</v>
      </c>
      <c r="B2572" s="2" t="s">
        <v>2640</v>
      </c>
      <c r="C2572" s="2" t="str">
        <f>"14712091"</f>
        <v>14712091</v>
      </c>
      <c r="D2572" s="2">
        <v>0.89500000000000002</v>
      </c>
      <c r="E2572" s="2">
        <v>28</v>
      </c>
      <c r="F2572" s="2" t="s">
        <v>16</v>
      </c>
    </row>
    <row r="2573" spans="1:6" ht="25.5">
      <c r="A2573" s="2">
        <v>2570</v>
      </c>
      <c r="B2573" s="2" t="s">
        <v>2641</v>
      </c>
      <c r="C2573" s="2" t="str">
        <f>"14712105"</f>
        <v>14712105</v>
      </c>
      <c r="D2573" s="2">
        <v>1.524</v>
      </c>
      <c r="E2573" s="2">
        <v>102</v>
      </c>
      <c r="F2573" s="2" t="s">
        <v>16</v>
      </c>
    </row>
    <row r="2574" spans="1:6" ht="25.5">
      <c r="A2574" s="2">
        <v>2571</v>
      </c>
      <c r="B2574" s="2" t="s">
        <v>2642</v>
      </c>
      <c r="C2574" s="2" t="str">
        <f>"17417007"</f>
        <v>17417007</v>
      </c>
      <c r="D2574" s="2">
        <v>2.6739999999999999</v>
      </c>
      <c r="E2574" s="2">
        <v>46</v>
      </c>
      <c r="F2574" s="2" t="s">
        <v>16</v>
      </c>
    </row>
    <row r="2575" spans="1:6" ht="25.5">
      <c r="A2575" s="2">
        <v>2572</v>
      </c>
      <c r="B2575" s="2" t="s">
        <v>2643</v>
      </c>
      <c r="C2575" s="2" t="str">
        <f>"20461682"</f>
        <v>20461682</v>
      </c>
      <c r="D2575" s="2">
        <v>0.74199999999999999</v>
      </c>
      <c r="E2575" s="2">
        <v>5</v>
      </c>
      <c r="F2575" s="2" t="s">
        <v>16</v>
      </c>
    </row>
    <row r="2576" spans="1:6" ht="25.5">
      <c r="A2576" s="2">
        <v>2573</v>
      </c>
      <c r="B2576" s="2" t="s">
        <v>2644</v>
      </c>
      <c r="C2576" s="2" t="str">
        <f>"14726750"</f>
        <v>14726750</v>
      </c>
      <c r="D2576" s="2">
        <v>0.80100000000000005</v>
      </c>
      <c r="E2576" s="2">
        <v>39</v>
      </c>
      <c r="F2576" s="2" t="s">
        <v>16</v>
      </c>
    </row>
    <row r="2577" spans="1:6" ht="25.5">
      <c r="A2577" s="2">
        <v>2574</v>
      </c>
      <c r="B2577" s="2" t="s">
        <v>2645</v>
      </c>
      <c r="C2577" s="2" t="str">
        <f>"14712326"</f>
        <v>14712326</v>
      </c>
      <c r="D2577" s="2">
        <v>0.42099999999999999</v>
      </c>
      <c r="E2577" s="2">
        <v>10</v>
      </c>
      <c r="F2577" s="2" t="s">
        <v>16</v>
      </c>
    </row>
    <row r="2578" spans="1:6" ht="25.5">
      <c r="A2578" s="2">
        <v>2575</v>
      </c>
      <c r="B2578" s="2" t="s">
        <v>2646</v>
      </c>
      <c r="C2578" s="2" t="str">
        <f>"14712407"</f>
        <v>14712407</v>
      </c>
      <c r="D2578" s="2">
        <v>1.331</v>
      </c>
      <c r="E2578" s="2">
        <v>58</v>
      </c>
      <c r="F2578" s="2" t="s">
        <v>16</v>
      </c>
    </row>
    <row r="2579" spans="1:6" ht="25.5">
      <c r="A2579" s="2">
        <v>2576</v>
      </c>
      <c r="B2579" s="2" t="s">
        <v>2647</v>
      </c>
      <c r="C2579" s="2" t="str">
        <f>"14712261"</f>
        <v>14712261</v>
      </c>
      <c r="D2579" s="2">
        <v>0.64600000000000002</v>
      </c>
      <c r="E2579" s="2">
        <v>28</v>
      </c>
      <c r="F2579" s="2" t="s">
        <v>16</v>
      </c>
    </row>
    <row r="2580" spans="1:6" ht="25.5">
      <c r="A2580" s="2">
        <v>2577</v>
      </c>
      <c r="B2580" s="2" t="s">
        <v>2648</v>
      </c>
      <c r="C2580" s="2" t="str">
        <f>"14712121"</f>
        <v>14712121</v>
      </c>
      <c r="D2580" s="2">
        <v>1.3080000000000001</v>
      </c>
      <c r="E2580" s="2">
        <v>37</v>
      </c>
      <c r="F2580" s="2" t="s">
        <v>16</v>
      </c>
    </row>
    <row r="2581" spans="1:6" ht="25.5">
      <c r="A2581" s="2">
        <v>2578</v>
      </c>
      <c r="B2581" s="2" t="s">
        <v>2649</v>
      </c>
      <c r="C2581" s="2" t="str">
        <f>"14726769"</f>
        <v>14726769</v>
      </c>
      <c r="D2581" s="2">
        <v>0.73799999999999999</v>
      </c>
      <c r="E2581" s="2">
        <v>10</v>
      </c>
      <c r="F2581" s="2" t="s">
        <v>16</v>
      </c>
    </row>
    <row r="2582" spans="1:6" ht="25.5">
      <c r="A2582" s="2">
        <v>2579</v>
      </c>
      <c r="B2582" s="2" t="s">
        <v>2650</v>
      </c>
      <c r="C2582" s="2" t="str">
        <f>"14726890"</f>
        <v>14726890</v>
      </c>
      <c r="D2582" s="2">
        <v>0.52200000000000002</v>
      </c>
      <c r="E2582" s="2">
        <v>19</v>
      </c>
      <c r="F2582" s="2" t="s">
        <v>16</v>
      </c>
    </row>
    <row r="2583" spans="1:6" ht="25.5">
      <c r="A2583" s="2">
        <v>2580</v>
      </c>
      <c r="B2583" s="2" t="s">
        <v>2651</v>
      </c>
      <c r="C2583" s="2" t="str">
        <f>"14726904"</f>
        <v>14726904</v>
      </c>
      <c r="D2583" s="2">
        <v>0.48299999999999998</v>
      </c>
      <c r="E2583" s="2">
        <v>21</v>
      </c>
      <c r="F2583" s="2" t="s">
        <v>16</v>
      </c>
    </row>
    <row r="2584" spans="1:6" ht="25.5">
      <c r="A2584" s="2">
        <v>2581</v>
      </c>
      <c r="B2584" s="2" t="s">
        <v>2652</v>
      </c>
      <c r="C2584" s="2" t="str">
        <f>"14726882"</f>
        <v>14726882</v>
      </c>
      <c r="D2584" s="2">
        <v>0.59299999999999997</v>
      </c>
      <c r="E2584" s="2">
        <v>37</v>
      </c>
      <c r="F2584" s="2" t="s">
        <v>16</v>
      </c>
    </row>
    <row r="2585" spans="1:6" ht="25.5">
      <c r="A2585" s="2">
        <v>2582</v>
      </c>
      <c r="B2585" s="2" t="s">
        <v>2653</v>
      </c>
      <c r="C2585" s="2" t="str">
        <f>"14715945"</f>
        <v>14715945</v>
      </c>
      <c r="D2585" s="2">
        <v>0.628</v>
      </c>
      <c r="E2585" s="2">
        <v>18</v>
      </c>
      <c r="F2585" s="2" t="s">
        <v>16</v>
      </c>
    </row>
    <row r="2586" spans="1:6" ht="25.5">
      <c r="A2586" s="2">
        <v>2583</v>
      </c>
      <c r="B2586" s="2" t="s">
        <v>2654</v>
      </c>
      <c r="C2586" s="2" t="str">
        <f>"1471213X"</f>
        <v>1471213X</v>
      </c>
      <c r="D2586" s="2">
        <v>1.3779999999999999</v>
      </c>
      <c r="E2586" s="2">
        <v>39</v>
      </c>
      <c r="F2586" s="2" t="s">
        <v>16</v>
      </c>
    </row>
    <row r="2587" spans="1:6" ht="25.5">
      <c r="A2587" s="2">
        <v>2584</v>
      </c>
      <c r="B2587" s="2" t="s">
        <v>2655</v>
      </c>
      <c r="C2587" s="2" t="str">
        <f>"14726815"</f>
        <v>14726815</v>
      </c>
      <c r="D2587" s="2">
        <v>0.41899999999999998</v>
      </c>
      <c r="E2587" s="2">
        <v>11</v>
      </c>
      <c r="F2587" s="2" t="s">
        <v>16</v>
      </c>
    </row>
    <row r="2588" spans="1:6" ht="25.5">
      <c r="A2588" s="2">
        <v>2585</v>
      </c>
      <c r="B2588" s="2" t="s">
        <v>2656</v>
      </c>
      <c r="C2588" s="2" t="str">
        <f>"14726785"</f>
        <v>14726785</v>
      </c>
      <c r="D2588" s="2">
        <v>0.79100000000000004</v>
      </c>
      <c r="E2588" s="2">
        <v>19</v>
      </c>
      <c r="F2588" s="2" t="s">
        <v>16</v>
      </c>
    </row>
    <row r="2589" spans="1:6" ht="25.5">
      <c r="A2589" s="2">
        <v>2586</v>
      </c>
      <c r="B2589" s="2" t="s">
        <v>2657</v>
      </c>
      <c r="C2589" s="2" t="str">
        <f>"1471227X"</f>
        <v>1471227X</v>
      </c>
      <c r="D2589" s="2">
        <v>0.56699999999999995</v>
      </c>
      <c r="E2589" s="2">
        <v>14</v>
      </c>
      <c r="F2589" s="2" t="s">
        <v>16</v>
      </c>
    </row>
    <row r="2590" spans="1:6" ht="25.5">
      <c r="A2590" s="2">
        <v>2587</v>
      </c>
      <c r="B2590" s="2" t="s">
        <v>2658</v>
      </c>
      <c r="C2590" s="2" t="str">
        <f>"14726823"</f>
        <v>14726823</v>
      </c>
      <c r="D2590" s="2">
        <v>0.93100000000000005</v>
      </c>
      <c r="E2590" s="2">
        <v>16</v>
      </c>
      <c r="F2590" s="2" t="s">
        <v>16</v>
      </c>
    </row>
    <row r="2591" spans="1:6" ht="25.5">
      <c r="A2591" s="2">
        <v>2588</v>
      </c>
      <c r="B2591" s="2" t="s">
        <v>2659</v>
      </c>
      <c r="C2591" s="2" t="str">
        <f>"14712148"</f>
        <v>14712148</v>
      </c>
      <c r="D2591" s="2">
        <v>1.5680000000000001</v>
      </c>
      <c r="E2591" s="2">
        <v>57</v>
      </c>
      <c r="F2591" s="2" t="s">
        <v>16</v>
      </c>
    </row>
    <row r="2592" spans="1:6" ht="25.5">
      <c r="A2592" s="2">
        <v>2589</v>
      </c>
      <c r="B2592" s="2" t="s">
        <v>2660</v>
      </c>
      <c r="C2592" s="2" t="str">
        <f>"14712296"</f>
        <v>14712296</v>
      </c>
      <c r="D2592" s="2">
        <v>0.8</v>
      </c>
      <c r="E2592" s="2">
        <v>29</v>
      </c>
      <c r="F2592" s="2" t="s">
        <v>16</v>
      </c>
    </row>
    <row r="2593" spans="1:6" ht="25.5">
      <c r="A2593" s="2">
        <v>2590</v>
      </c>
      <c r="B2593" s="2" t="s">
        <v>2661</v>
      </c>
      <c r="C2593" s="2" t="str">
        <f>"1471230X"</f>
        <v>1471230X</v>
      </c>
      <c r="D2593" s="2">
        <v>0.88700000000000001</v>
      </c>
      <c r="E2593" s="2">
        <v>34</v>
      </c>
      <c r="F2593" s="2" t="s">
        <v>16</v>
      </c>
    </row>
    <row r="2594" spans="1:6" ht="25.5">
      <c r="A2594" s="2">
        <v>2591</v>
      </c>
      <c r="B2594" s="2" t="s">
        <v>2662</v>
      </c>
      <c r="C2594" s="2" t="str">
        <f>"14712156"</f>
        <v>14712156</v>
      </c>
      <c r="D2594" s="2">
        <v>0.90500000000000003</v>
      </c>
      <c r="E2594" s="2">
        <v>40</v>
      </c>
      <c r="F2594" s="2" t="s">
        <v>16</v>
      </c>
    </row>
    <row r="2595" spans="1:6" ht="25.5">
      <c r="A2595" s="2">
        <v>2592</v>
      </c>
      <c r="B2595" s="2" t="s">
        <v>2663</v>
      </c>
      <c r="C2595" s="2" t="str">
        <f>"14712164"</f>
        <v>14712164</v>
      </c>
      <c r="D2595" s="2">
        <v>1.772</v>
      </c>
      <c r="E2595" s="2">
        <v>74</v>
      </c>
      <c r="F2595" s="2" t="s">
        <v>16</v>
      </c>
    </row>
    <row r="2596" spans="1:6" ht="25.5">
      <c r="A2596" s="2">
        <v>2593</v>
      </c>
      <c r="B2596" s="2" t="s">
        <v>2664</v>
      </c>
      <c r="C2596" s="2" t="str">
        <f>"14712318"</f>
        <v>14712318</v>
      </c>
      <c r="D2596" s="2">
        <v>0.505</v>
      </c>
      <c r="E2596" s="2">
        <v>29</v>
      </c>
      <c r="F2596" s="2" t="s">
        <v>16</v>
      </c>
    </row>
    <row r="2597" spans="1:6" ht="25.5">
      <c r="A2597" s="2">
        <v>2594</v>
      </c>
      <c r="B2597" s="2" t="s">
        <v>2665</v>
      </c>
      <c r="C2597" s="2" t="str">
        <f>"14726963"</f>
        <v>14726963</v>
      </c>
      <c r="D2597" s="2">
        <v>0.77200000000000002</v>
      </c>
      <c r="E2597" s="2">
        <v>42</v>
      </c>
      <c r="F2597" s="2" t="s">
        <v>16</v>
      </c>
    </row>
    <row r="2598" spans="1:6" ht="25.5">
      <c r="A2598" s="2">
        <v>2595</v>
      </c>
      <c r="B2598" s="2" t="s">
        <v>2666</v>
      </c>
      <c r="C2598" s="2" t="str">
        <f>"14712172"</f>
        <v>14712172</v>
      </c>
      <c r="D2598" s="2">
        <v>0.90200000000000002</v>
      </c>
      <c r="E2598" s="2">
        <v>29</v>
      </c>
      <c r="F2598" s="2" t="s">
        <v>16</v>
      </c>
    </row>
    <row r="2599" spans="1:6" ht="25.5">
      <c r="A2599" s="2">
        <v>2596</v>
      </c>
      <c r="B2599" s="2" t="s">
        <v>2667</v>
      </c>
      <c r="C2599" s="2" t="str">
        <f>"14712334"</f>
        <v>14712334</v>
      </c>
      <c r="D2599" s="2">
        <v>1.278</v>
      </c>
      <c r="E2599" s="2">
        <v>46</v>
      </c>
      <c r="F2599" s="2" t="s">
        <v>16</v>
      </c>
    </row>
    <row r="2600" spans="1:6" ht="25.5">
      <c r="A2600" s="2">
        <v>2597</v>
      </c>
      <c r="B2600" s="2" t="s">
        <v>2668</v>
      </c>
      <c r="C2600" s="2" t="str">
        <f>"1472698X"</f>
        <v>1472698X</v>
      </c>
      <c r="D2600" s="2">
        <v>0.56899999999999995</v>
      </c>
      <c r="E2600" s="2">
        <v>16</v>
      </c>
      <c r="F2600" s="2" t="s">
        <v>16</v>
      </c>
    </row>
    <row r="2601" spans="1:6" ht="25.5">
      <c r="A2601" s="2">
        <v>2598</v>
      </c>
      <c r="B2601" s="2" t="s">
        <v>2669</v>
      </c>
      <c r="C2601" s="2" t="str">
        <f>"14726920"</f>
        <v>14726920</v>
      </c>
      <c r="D2601" s="2">
        <v>0.65</v>
      </c>
      <c r="E2601" s="2">
        <v>25</v>
      </c>
      <c r="F2601" s="2" t="s">
        <v>16</v>
      </c>
    </row>
    <row r="2602" spans="1:6" ht="25.5">
      <c r="A2602" s="2">
        <v>2599</v>
      </c>
      <c r="B2602" s="2" t="s">
        <v>2670</v>
      </c>
      <c r="C2602" s="2" t="str">
        <f>"14726939"</f>
        <v>14726939</v>
      </c>
      <c r="D2602" s="2">
        <v>0.85599999999999998</v>
      </c>
      <c r="E2602" s="2">
        <v>16</v>
      </c>
      <c r="F2602" s="2" t="s">
        <v>16</v>
      </c>
    </row>
    <row r="2603" spans="1:6" ht="25.5">
      <c r="A2603" s="2">
        <v>2600</v>
      </c>
      <c r="B2603" s="2" t="s">
        <v>2671</v>
      </c>
      <c r="C2603" s="2" t="str">
        <f>"14712350"</f>
        <v>14712350</v>
      </c>
      <c r="D2603" s="2">
        <v>0.80800000000000005</v>
      </c>
      <c r="E2603" s="2">
        <v>39</v>
      </c>
      <c r="F2603" s="2" t="s">
        <v>16</v>
      </c>
    </row>
    <row r="2604" spans="1:6" ht="25.5">
      <c r="A2604" s="2">
        <v>2601</v>
      </c>
      <c r="B2604" s="2" t="s">
        <v>2672</v>
      </c>
      <c r="C2604" s="2" t="str">
        <f>"17558794"</f>
        <v>17558794</v>
      </c>
      <c r="D2604" s="2">
        <v>1.544</v>
      </c>
      <c r="E2604" s="2">
        <v>21</v>
      </c>
      <c r="F2604" s="2" t="s">
        <v>16</v>
      </c>
    </row>
    <row r="2605" spans="1:6" ht="25.5">
      <c r="A2605" s="2">
        <v>2602</v>
      </c>
      <c r="B2605" s="2" t="s">
        <v>2673</v>
      </c>
      <c r="C2605" s="2" t="str">
        <f>"14712342"</f>
        <v>14712342</v>
      </c>
      <c r="D2605" s="2">
        <v>0.66900000000000004</v>
      </c>
      <c r="E2605" s="2">
        <v>17</v>
      </c>
      <c r="F2605" s="2" t="s">
        <v>16</v>
      </c>
    </row>
    <row r="2606" spans="1:6" ht="25.5">
      <c r="A2606" s="2">
        <v>2603</v>
      </c>
      <c r="B2606" s="2" t="s">
        <v>2674</v>
      </c>
      <c r="C2606" s="2" t="str">
        <f>"14726947"</f>
        <v>14726947</v>
      </c>
      <c r="D2606" s="2">
        <v>0.73399999999999999</v>
      </c>
      <c r="E2606" s="2">
        <v>32</v>
      </c>
      <c r="F2606" s="2" t="s">
        <v>16</v>
      </c>
    </row>
    <row r="2607" spans="1:6" ht="25.5">
      <c r="A2607" s="2">
        <v>2604</v>
      </c>
      <c r="B2607" s="2" t="s">
        <v>2675</v>
      </c>
      <c r="C2607" s="2" t="str">
        <f>"17566649"</f>
        <v>17566649</v>
      </c>
      <c r="D2607" s="2">
        <v>0.78900000000000003</v>
      </c>
      <c r="E2607" s="2">
        <v>10</v>
      </c>
      <c r="F2607" s="2" t="s">
        <v>16</v>
      </c>
    </row>
    <row r="2608" spans="1:6" ht="25.5">
      <c r="A2608" s="2">
        <v>2605</v>
      </c>
      <c r="B2608" s="2" t="s">
        <v>2676</v>
      </c>
      <c r="C2608" s="2" t="str">
        <f>"14712288"</f>
        <v>14712288</v>
      </c>
      <c r="D2608" s="2">
        <v>1.1020000000000001</v>
      </c>
      <c r="E2608" s="2">
        <v>44</v>
      </c>
      <c r="F2608" s="2" t="s">
        <v>16</v>
      </c>
    </row>
    <row r="2609" spans="1:6" ht="25.5">
      <c r="A2609" s="2">
        <v>2606</v>
      </c>
      <c r="B2609" s="2" t="s">
        <v>2677</v>
      </c>
      <c r="C2609" s="2" t="str">
        <f>"17417015"</f>
        <v>17417015</v>
      </c>
      <c r="D2609" s="2">
        <v>2.242</v>
      </c>
      <c r="E2609" s="2">
        <v>45</v>
      </c>
      <c r="F2609" s="2" t="s">
        <v>16</v>
      </c>
    </row>
    <row r="2610" spans="1:6" ht="25.5">
      <c r="A2610" s="2">
        <v>2607</v>
      </c>
      <c r="B2610" s="2" t="s">
        <v>2678</v>
      </c>
      <c r="C2610" s="2" t="str">
        <f>"14712180"</f>
        <v>14712180</v>
      </c>
      <c r="D2610" s="2">
        <v>1.21</v>
      </c>
      <c r="E2610" s="2">
        <v>50</v>
      </c>
      <c r="F2610" s="2" t="s">
        <v>16</v>
      </c>
    </row>
    <row r="2611" spans="1:6" ht="25.5">
      <c r="A2611" s="2">
        <v>2608</v>
      </c>
      <c r="B2611" s="2" t="s">
        <v>2679</v>
      </c>
      <c r="C2611" s="2" t="str">
        <f>"14712199"</f>
        <v>14712199</v>
      </c>
      <c r="D2611" s="2">
        <v>1.1539999999999999</v>
      </c>
      <c r="E2611" s="2">
        <v>40</v>
      </c>
      <c r="F2611" s="2" t="s">
        <v>16</v>
      </c>
    </row>
    <row r="2612" spans="1:6" ht="25.5">
      <c r="A2612" s="2">
        <v>2609</v>
      </c>
      <c r="B2612" s="2" t="s">
        <v>2680</v>
      </c>
      <c r="C2612" s="2" t="str">
        <f>"14712474"</f>
        <v>14712474</v>
      </c>
      <c r="D2612" s="2">
        <v>0.70699999999999996</v>
      </c>
      <c r="E2612" s="2">
        <v>41</v>
      </c>
      <c r="F2612" s="2" t="s">
        <v>16</v>
      </c>
    </row>
    <row r="2613" spans="1:6" ht="25.5">
      <c r="A2613" s="2">
        <v>2610</v>
      </c>
      <c r="B2613" s="2" t="s">
        <v>2681</v>
      </c>
      <c r="C2613" s="2" t="str">
        <f>"14712369"</f>
        <v>14712369</v>
      </c>
      <c r="D2613" s="2">
        <v>0.95</v>
      </c>
      <c r="E2613" s="2">
        <v>22</v>
      </c>
      <c r="F2613" s="2" t="s">
        <v>16</v>
      </c>
    </row>
    <row r="2614" spans="1:6" ht="25.5">
      <c r="A2614" s="2">
        <v>2611</v>
      </c>
      <c r="B2614" s="2" t="s">
        <v>2682</v>
      </c>
      <c r="C2614" s="2" t="str">
        <f>"14712377"</f>
        <v>14712377</v>
      </c>
      <c r="D2614" s="2">
        <v>0.92200000000000004</v>
      </c>
      <c r="E2614" s="2">
        <v>33</v>
      </c>
      <c r="F2614" s="2" t="s">
        <v>16</v>
      </c>
    </row>
    <row r="2615" spans="1:6" ht="25.5">
      <c r="A2615" s="2">
        <v>2612</v>
      </c>
      <c r="B2615" s="2" t="s">
        <v>2683</v>
      </c>
      <c r="C2615" s="2" t="str">
        <f>"14712202"</f>
        <v>14712202</v>
      </c>
      <c r="D2615" s="2">
        <v>1.405</v>
      </c>
      <c r="E2615" s="2">
        <v>53</v>
      </c>
      <c r="F2615" s="2" t="s">
        <v>16</v>
      </c>
    </row>
    <row r="2616" spans="1:6" ht="25.5">
      <c r="A2616" s="2">
        <v>2613</v>
      </c>
      <c r="B2616" s="2" t="s">
        <v>2684</v>
      </c>
      <c r="C2616" s="2" t="str">
        <f>"14726955"</f>
        <v>14726955</v>
      </c>
      <c r="D2616" s="2">
        <v>0.47299999999999998</v>
      </c>
      <c r="E2616" s="2">
        <v>13</v>
      </c>
      <c r="F2616" s="2" t="s">
        <v>16</v>
      </c>
    </row>
    <row r="2617" spans="1:6" ht="25.5">
      <c r="A2617" s="2">
        <v>2614</v>
      </c>
      <c r="B2617" s="2" t="s">
        <v>2685</v>
      </c>
      <c r="C2617" s="2" t="str">
        <f>"14712415"</f>
        <v>14712415</v>
      </c>
      <c r="D2617" s="2">
        <v>0.83</v>
      </c>
      <c r="E2617" s="2">
        <v>21</v>
      </c>
      <c r="F2617" s="2" t="s">
        <v>16</v>
      </c>
    </row>
    <row r="2618" spans="1:6" ht="25.5">
      <c r="A2618" s="2">
        <v>2615</v>
      </c>
      <c r="B2618" s="2" t="s">
        <v>2686</v>
      </c>
      <c r="C2618" s="2" t="str">
        <f>"14726831"</f>
        <v>14726831</v>
      </c>
      <c r="D2618" s="2">
        <v>0.53300000000000003</v>
      </c>
      <c r="E2618" s="2">
        <v>19</v>
      </c>
      <c r="F2618" s="2" t="s">
        <v>16</v>
      </c>
    </row>
    <row r="2619" spans="1:6" ht="25.5">
      <c r="A2619" s="2">
        <v>2616</v>
      </c>
      <c r="B2619" s="2" t="s">
        <v>2687</v>
      </c>
      <c r="C2619" s="2" t="str">
        <f>"1472684X"</f>
        <v>1472684X</v>
      </c>
      <c r="D2619" s="2">
        <v>1.018</v>
      </c>
      <c r="E2619" s="2">
        <v>18</v>
      </c>
      <c r="F2619" s="2" t="s">
        <v>16</v>
      </c>
    </row>
    <row r="2620" spans="1:6" ht="25.5">
      <c r="A2620" s="2">
        <v>2617</v>
      </c>
      <c r="B2620" s="2" t="s">
        <v>2688</v>
      </c>
      <c r="C2620" s="2" t="str">
        <f>"14712431"</f>
        <v>14712431</v>
      </c>
      <c r="D2620" s="2">
        <v>0.96799999999999997</v>
      </c>
      <c r="E2620" s="2">
        <v>31</v>
      </c>
      <c r="F2620" s="2" t="s">
        <v>16</v>
      </c>
    </row>
    <row r="2621" spans="1:6" ht="25.5">
      <c r="A2621" s="2">
        <v>2618</v>
      </c>
      <c r="B2621" s="2" t="s">
        <v>2689</v>
      </c>
      <c r="C2621" s="2" t="str">
        <f>"14712210"</f>
        <v>14712210</v>
      </c>
      <c r="D2621" s="2">
        <v>0.52900000000000003</v>
      </c>
      <c r="E2621" s="2">
        <v>23</v>
      </c>
      <c r="F2621" s="2" t="s">
        <v>16</v>
      </c>
    </row>
    <row r="2622" spans="1:6" ht="25.5">
      <c r="A2622" s="2">
        <v>2619</v>
      </c>
      <c r="B2622" s="2" t="s">
        <v>2690</v>
      </c>
      <c r="C2622" s="2" t="str">
        <f>"20506511"</f>
        <v>20506511</v>
      </c>
      <c r="D2622" s="2">
        <v>0</v>
      </c>
      <c r="E2622" s="2">
        <v>1</v>
      </c>
      <c r="F2622" s="2" t="s">
        <v>16</v>
      </c>
    </row>
    <row r="2623" spans="1:6" ht="25.5">
      <c r="A2623" s="2">
        <v>2620</v>
      </c>
      <c r="B2623" s="2" t="s">
        <v>2691</v>
      </c>
      <c r="C2623" s="2" t="str">
        <f>"14726793"</f>
        <v>14726793</v>
      </c>
      <c r="D2623" s="2">
        <v>0.86599999999999999</v>
      </c>
      <c r="E2623" s="2">
        <v>22</v>
      </c>
      <c r="F2623" s="2" t="s">
        <v>16</v>
      </c>
    </row>
    <row r="2624" spans="1:6" ht="25.5">
      <c r="A2624" s="2">
        <v>2621</v>
      </c>
      <c r="B2624" s="2" t="s">
        <v>2692</v>
      </c>
      <c r="C2624" s="2" t="str">
        <f>"14712229"</f>
        <v>14712229</v>
      </c>
      <c r="D2624" s="2">
        <v>1.663</v>
      </c>
      <c r="E2624" s="2">
        <v>44</v>
      </c>
      <c r="F2624" s="2" t="s">
        <v>16</v>
      </c>
    </row>
    <row r="2625" spans="1:6" ht="25.5">
      <c r="A2625" s="2">
        <v>2622</v>
      </c>
      <c r="B2625" s="2" t="s">
        <v>2693</v>
      </c>
      <c r="C2625" s="2" t="str">
        <f>"14712393"</f>
        <v>14712393</v>
      </c>
      <c r="D2625" s="2">
        <v>1.0660000000000001</v>
      </c>
      <c r="E2625" s="2">
        <v>29</v>
      </c>
      <c r="F2625" s="2" t="s">
        <v>16</v>
      </c>
    </row>
    <row r="2626" spans="1:6" ht="25.5">
      <c r="A2626" s="2">
        <v>2623</v>
      </c>
      <c r="B2626" s="2" t="s">
        <v>2694</v>
      </c>
      <c r="C2626" s="2" t="str">
        <f>"17536561"</f>
        <v>17536561</v>
      </c>
      <c r="D2626" s="2">
        <v>0.54100000000000004</v>
      </c>
      <c r="E2626" s="2">
        <v>5</v>
      </c>
      <c r="F2626" s="2" t="s">
        <v>16</v>
      </c>
    </row>
    <row r="2627" spans="1:6" ht="25.5">
      <c r="A2627" s="2">
        <v>2624</v>
      </c>
      <c r="B2627" s="2" t="s">
        <v>2695</v>
      </c>
      <c r="C2627" s="2" t="str">
        <f>"1471244X"</f>
        <v>1471244X</v>
      </c>
      <c r="D2627" s="2">
        <v>1.0169999999999999</v>
      </c>
      <c r="E2627" s="2">
        <v>38</v>
      </c>
      <c r="F2627" s="2" t="s">
        <v>16</v>
      </c>
    </row>
    <row r="2628" spans="1:6" ht="25.5">
      <c r="A2628" s="2">
        <v>2625</v>
      </c>
      <c r="B2628" s="2" t="s">
        <v>2696</v>
      </c>
      <c r="C2628" s="2" t="str">
        <f>"14712458"</f>
        <v>14712458</v>
      </c>
      <c r="D2628" s="2">
        <v>0.98</v>
      </c>
      <c r="E2628" s="2">
        <v>53</v>
      </c>
      <c r="F2628" s="2" t="s">
        <v>16</v>
      </c>
    </row>
    <row r="2629" spans="1:6" ht="25.5">
      <c r="A2629" s="2">
        <v>2626</v>
      </c>
      <c r="B2629" s="2" t="s">
        <v>2697</v>
      </c>
      <c r="C2629" s="2" t="str">
        <f>"14712466"</f>
        <v>14712466</v>
      </c>
      <c r="D2629" s="2">
        <v>1.048</v>
      </c>
      <c r="E2629" s="2">
        <v>25</v>
      </c>
      <c r="F2629" s="2" t="s">
        <v>16</v>
      </c>
    </row>
    <row r="2630" spans="1:6" ht="25.5">
      <c r="A2630" s="2">
        <v>2627</v>
      </c>
      <c r="B2630" s="2" t="s">
        <v>2698</v>
      </c>
      <c r="C2630" s="2" t="str">
        <f>"17560500"</f>
        <v>17560500</v>
      </c>
      <c r="D2630" s="2">
        <v>0.51800000000000002</v>
      </c>
      <c r="E2630" s="2">
        <v>19</v>
      </c>
      <c r="F2630" s="2" t="s">
        <v>16</v>
      </c>
    </row>
    <row r="2631" spans="1:6" ht="25.5">
      <c r="A2631" s="2">
        <v>2628</v>
      </c>
      <c r="B2631" s="2" t="s">
        <v>2699</v>
      </c>
      <c r="C2631" s="2" t="str">
        <f>"14726807"</f>
        <v>14726807</v>
      </c>
      <c r="D2631" s="2">
        <v>1.0529999999999999</v>
      </c>
      <c r="E2631" s="2">
        <v>31</v>
      </c>
      <c r="F2631" s="2" t="s">
        <v>16</v>
      </c>
    </row>
    <row r="2632" spans="1:6" ht="25.5">
      <c r="A2632" s="2">
        <v>2629</v>
      </c>
      <c r="B2632" s="2" t="s">
        <v>2700</v>
      </c>
      <c r="C2632" s="2" t="str">
        <f>"14712482"</f>
        <v>14712482</v>
      </c>
      <c r="D2632" s="2">
        <v>0.65500000000000003</v>
      </c>
      <c r="E2632" s="2">
        <v>23</v>
      </c>
      <c r="F2632" s="2" t="s">
        <v>16</v>
      </c>
    </row>
    <row r="2633" spans="1:6" ht="25.5">
      <c r="A2633" s="2">
        <v>2630</v>
      </c>
      <c r="B2633" s="2" t="s">
        <v>2701</v>
      </c>
      <c r="C2633" s="2" t="str">
        <f>"17520509"</f>
        <v>17520509</v>
      </c>
      <c r="D2633" s="2">
        <v>1.296</v>
      </c>
      <c r="E2633" s="2">
        <v>33</v>
      </c>
      <c r="F2633" s="2" t="s">
        <v>16</v>
      </c>
    </row>
    <row r="2634" spans="1:6" ht="25.5">
      <c r="A2634" s="2">
        <v>2631</v>
      </c>
      <c r="B2634" s="2" t="s">
        <v>2702</v>
      </c>
      <c r="C2634" s="2" t="str">
        <f>"14712490"</f>
        <v>14712490</v>
      </c>
      <c r="D2634" s="2">
        <v>0.621</v>
      </c>
      <c r="E2634" s="2">
        <v>21</v>
      </c>
      <c r="F2634" s="2" t="s">
        <v>16</v>
      </c>
    </row>
    <row r="2635" spans="1:6" ht="25.5">
      <c r="A2635" s="2">
        <v>2632</v>
      </c>
      <c r="B2635" s="2" t="s">
        <v>2703</v>
      </c>
      <c r="C2635" s="2" t="str">
        <f>"17466148"</f>
        <v>17466148</v>
      </c>
      <c r="D2635" s="2">
        <v>0.65300000000000002</v>
      </c>
      <c r="E2635" s="2">
        <v>21</v>
      </c>
      <c r="F2635" s="2" t="s">
        <v>16</v>
      </c>
    </row>
    <row r="2636" spans="1:6" ht="25.5">
      <c r="A2636" s="2">
        <v>2633</v>
      </c>
      <c r="B2636" s="2" t="s">
        <v>2704</v>
      </c>
      <c r="C2636" s="2" t="str">
        <f>"14726874"</f>
        <v>14726874</v>
      </c>
      <c r="D2636" s="2">
        <v>0.53</v>
      </c>
      <c r="E2636" s="2">
        <v>19</v>
      </c>
      <c r="F2636" s="2" t="s">
        <v>16</v>
      </c>
    </row>
    <row r="2637" spans="1:6" ht="25.5">
      <c r="A2637" s="2">
        <v>2634</v>
      </c>
      <c r="B2637" s="2" t="s">
        <v>2705</v>
      </c>
      <c r="C2637" s="2" t="str">
        <f>"20446055"</f>
        <v>20446055</v>
      </c>
      <c r="D2637" s="2">
        <v>0.38200000000000001</v>
      </c>
      <c r="E2637" s="2">
        <v>6</v>
      </c>
      <c r="F2637" s="2" t="s">
        <v>16</v>
      </c>
    </row>
    <row r="2638" spans="1:6" ht="25.5">
      <c r="A2638" s="2">
        <v>2635</v>
      </c>
      <c r="B2638" s="2" t="s">
        <v>2706</v>
      </c>
      <c r="C2638" s="2" t="str">
        <f>"20445423"</f>
        <v>20445423</v>
      </c>
      <c r="D2638" s="2">
        <v>0.89900000000000002</v>
      </c>
      <c r="E2638" s="2">
        <v>10</v>
      </c>
      <c r="F2638" s="2" t="s">
        <v>16</v>
      </c>
    </row>
    <row r="2639" spans="1:6" ht="25.5">
      <c r="A2639" s="2">
        <v>2636</v>
      </c>
      <c r="B2639" s="2" t="s">
        <v>2707</v>
      </c>
      <c r="C2639" s="2" t="str">
        <f>"00065471"</f>
        <v>00065471</v>
      </c>
      <c r="D2639" s="2">
        <v>0.11899999999999999</v>
      </c>
      <c r="E2639" s="2">
        <v>11</v>
      </c>
      <c r="F2639" s="2" t="s">
        <v>288</v>
      </c>
    </row>
    <row r="2640" spans="1:6" ht="25.5">
      <c r="A2640" s="2">
        <v>2637</v>
      </c>
      <c r="B2640" s="2" t="s">
        <v>2708</v>
      </c>
      <c r="C2640" s="2" t="str">
        <f>"14603632"</f>
        <v>14603632</v>
      </c>
      <c r="D2640" s="2">
        <v>0.94899999999999995</v>
      </c>
      <c r="E2640" s="2">
        <v>18</v>
      </c>
      <c r="F2640" s="2" t="s">
        <v>16</v>
      </c>
    </row>
    <row r="2641" spans="1:6" ht="25.5">
      <c r="A2641" s="2">
        <v>2638</v>
      </c>
      <c r="B2641" s="2" t="s">
        <v>2709</v>
      </c>
      <c r="C2641" s="2" t="str">
        <f>"17401445"</f>
        <v>17401445</v>
      </c>
      <c r="D2641" s="2">
        <v>0.82</v>
      </c>
      <c r="E2641" s="2">
        <v>33</v>
      </c>
      <c r="F2641" s="2" t="s">
        <v>75</v>
      </c>
    </row>
    <row r="2642" spans="1:6" ht="25.5">
      <c r="A2642" s="2">
        <v>2639</v>
      </c>
      <c r="B2642" s="2" t="s">
        <v>2710</v>
      </c>
      <c r="C2642" s="2" t="str">
        <f>"17432979"</f>
        <v>17432979</v>
      </c>
      <c r="D2642" s="2">
        <v>0.23899999999999999</v>
      </c>
      <c r="E2642" s="2">
        <v>4</v>
      </c>
      <c r="F2642" s="2" t="s">
        <v>16</v>
      </c>
    </row>
    <row r="2643" spans="1:6" ht="25.5">
      <c r="A2643" s="2">
        <v>2640</v>
      </c>
      <c r="B2643" s="2" t="s">
        <v>2711</v>
      </c>
      <c r="C2643" s="2" t="str">
        <f>"13009583"</f>
        <v>13009583</v>
      </c>
      <c r="D2643" s="2">
        <v>0.10100000000000001</v>
      </c>
      <c r="E2643" s="2">
        <v>1</v>
      </c>
      <c r="F2643" s="2" t="s">
        <v>345</v>
      </c>
    </row>
    <row r="2644" spans="1:6" ht="25.5">
      <c r="A2644" s="2">
        <v>2641</v>
      </c>
      <c r="B2644" s="2" t="s">
        <v>2712</v>
      </c>
      <c r="C2644" s="2" t="str">
        <f>"00065722"</f>
        <v>00065722</v>
      </c>
      <c r="D2644" s="2">
        <v>0.1</v>
      </c>
      <c r="E2644" s="2">
        <v>0</v>
      </c>
      <c r="F2644" s="2" t="s">
        <v>154</v>
      </c>
    </row>
    <row r="2645" spans="1:6" ht="25.5">
      <c r="A2645" s="2">
        <v>2642</v>
      </c>
      <c r="B2645" s="2" t="s">
        <v>2713</v>
      </c>
      <c r="C2645" s="2" t="str">
        <f>"03523101"</f>
        <v>03523101</v>
      </c>
      <c r="D2645" s="2">
        <v>0.13100000000000001</v>
      </c>
      <c r="E2645" s="2">
        <v>1</v>
      </c>
      <c r="F2645" s="2" t="s">
        <v>149</v>
      </c>
    </row>
    <row r="2646" spans="1:6" ht="25.5">
      <c r="A2646" s="2">
        <v>2643</v>
      </c>
      <c r="B2646" s="2" t="s">
        <v>2714</v>
      </c>
      <c r="C2646" s="2" t="str">
        <f>"17775760"</f>
        <v>17775760</v>
      </c>
      <c r="D2646" s="2">
        <v>0.215</v>
      </c>
      <c r="E2646" s="2">
        <v>2</v>
      </c>
      <c r="F2646" s="2" t="s">
        <v>66</v>
      </c>
    </row>
    <row r="2647" spans="1:6" ht="25.5">
      <c r="A2647" s="2">
        <v>2644</v>
      </c>
      <c r="B2647" s="2" t="s">
        <v>2715</v>
      </c>
      <c r="C2647" s="2" t="str">
        <f>"19804415"</f>
        <v>19804415</v>
      </c>
      <c r="D2647" s="2">
        <v>0.13800000000000001</v>
      </c>
      <c r="E2647" s="2">
        <v>1</v>
      </c>
      <c r="F2647" s="2" t="s">
        <v>159</v>
      </c>
    </row>
    <row r="2648" spans="1:6" ht="25.5">
      <c r="A2648" s="2">
        <v>2645</v>
      </c>
      <c r="B2648" s="2" t="s">
        <v>2716</v>
      </c>
      <c r="C2648" s="2" t="str">
        <f>"12126861"</f>
        <v>12126861</v>
      </c>
      <c r="D2648" s="2">
        <v>0.125</v>
      </c>
      <c r="E2648" s="2">
        <v>5</v>
      </c>
      <c r="F2648" s="2" t="s">
        <v>208</v>
      </c>
    </row>
    <row r="2649" spans="1:6" ht="25.5">
      <c r="A2649" s="2">
        <v>2646</v>
      </c>
      <c r="B2649" s="2" t="s">
        <v>2717</v>
      </c>
      <c r="C2649" s="2" t="str">
        <f>"01020323"</f>
        <v>01020323</v>
      </c>
      <c r="D2649" s="2">
        <v>0.17</v>
      </c>
      <c r="E2649" s="2">
        <v>2</v>
      </c>
      <c r="F2649" s="2" t="s">
        <v>159</v>
      </c>
    </row>
    <row r="2650" spans="1:6" ht="25.5">
      <c r="A2650" s="2">
        <v>2647</v>
      </c>
      <c r="B2650" s="2" t="s">
        <v>2718</v>
      </c>
      <c r="C2650" s="2" t="str">
        <f>"14134853"</f>
        <v>14134853</v>
      </c>
      <c r="D2650" s="2">
        <v>0.19500000000000001</v>
      </c>
      <c r="E2650" s="2">
        <v>4</v>
      </c>
      <c r="F2650" s="2" t="s">
        <v>159</v>
      </c>
    </row>
    <row r="2651" spans="1:6" ht="25.5">
      <c r="A2651" s="2">
        <v>2648</v>
      </c>
      <c r="B2651" s="2" t="s">
        <v>2719</v>
      </c>
      <c r="C2651" s="2" t="str">
        <f>"16782305"</f>
        <v>16782305</v>
      </c>
      <c r="D2651" s="2">
        <v>0.248</v>
      </c>
      <c r="E2651" s="2">
        <v>3</v>
      </c>
      <c r="F2651" s="2" t="s">
        <v>169</v>
      </c>
    </row>
    <row r="2652" spans="1:6" ht="25.5">
      <c r="A2652" s="2">
        <v>2649</v>
      </c>
      <c r="B2652" s="2" t="s">
        <v>2720</v>
      </c>
      <c r="C2652" s="2" t="str">
        <f>"16772598"</f>
        <v>16772598</v>
      </c>
      <c r="D2652" s="2">
        <v>0.10100000000000001</v>
      </c>
      <c r="E2652" s="2">
        <v>2</v>
      </c>
      <c r="F2652" s="2" t="s">
        <v>159</v>
      </c>
    </row>
    <row r="2653" spans="1:6" ht="25.5">
      <c r="A2653" s="2">
        <v>2650</v>
      </c>
      <c r="B2653" s="2" t="s">
        <v>2721</v>
      </c>
      <c r="C2653" s="2" t="str">
        <f>"01200283"</f>
        <v>01200283</v>
      </c>
      <c r="D2653" s="2">
        <v>0</v>
      </c>
      <c r="E2653" s="2">
        <v>0</v>
      </c>
      <c r="F2653" s="2" t="s">
        <v>184</v>
      </c>
    </row>
    <row r="2654" spans="1:6" ht="25.5">
      <c r="A2654" s="2">
        <v>2651</v>
      </c>
      <c r="B2654" s="2" t="s">
        <v>2722</v>
      </c>
      <c r="C2654" s="2" t="str">
        <f>"02129426"</f>
        <v>02129426</v>
      </c>
      <c r="D2654" s="2">
        <v>0.19400000000000001</v>
      </c>
      <c r="E2654" s="2">
        <v>4</v>
      </c>
      <c r="F2654" s="2" t="s">
        <v>351</v>
      </c>
    </row>
    <row r="2655" spans="1:6" ht="25.5">
      <c r="A2655" s="2">
        <v>2652</v>
      </c>
      <c r="B2655" s="2" t="s">
        <v>2723</v>
      </c>
      <c r="C2655" s="2" t="str">
        <f>"00044849"</f>
        <v>00044849</v>
      </c>
      <c r="D2655" s="2">
        <v>0.11600000000000001</v>
      </c>
      <c r="E2655" s="2">
        <v>9</v>
      </c>
      <c r="F2655" s="2" t="s">
        <v>2724</v>
      </c>
    </row>
    <row r="2656" spans="1:6" ht="25.5">
      <c r="A2656" s="2">
        <v>2653</v>
      </c>
      <c r="B2656" s="2" t="s">
        <v>2725</v>
      </c>
      <c r="C2656" s="2" t="str">
        <f>"02104822"</f>
        <v>02104822</v>
      </c>
      <c r="D2656" s="2">
        <v>0.10100000000000001</v>
      </c>
      <c r="E2656" s="2">
        <v>1</v>
      </c>
      <c r="F2656" s="2" t="s">
        <v>351</v>
      </c>
    </row>
    <row r="2657" spans="1:6" ht="25.5">
      <c r="A2657" s="2">
        <v>2654</v>
      </c>
      <c r="B2657" s="2" t="s">
        <v>2726</v>
      </c>
      <c r="C2657" s="2" t="str">
        <f>"03662128"</f>
        <v>03662128</v>
      </c>
      <c r="D2657" s="2">
        <v>0.16600000000000001</v>
      </c>
      <c r="E2657" s="2">
        <v>4</v>
      </c>
      <c r="F2657" s="2" t="s">
        <v>200</v>
      </c>
    </row>
    <row r="2658" spans="1:6" ht="25.5">
      <c r="A2658" s="2">
        <v>2655</v>
      </c>
      <c r="B2658" s="2" t="s">
        <v>2727</v>
      </c>
      <c r="C2658" s="2" t="str">
        <f>"03663175"</f>
        <v>03663175</v>
      </c>
      <c r="D2658" s="2">
        <v>0.28000000000000003</v>
      </c>
      <c r="E2658" s="2">
        <v>11</v>
      </c>
      <c r="F2658" s="2" t="s">
        <v>351</v>
      </c>
    </row>
    <row r="2659" spans="1:6" ht="25.5">
      <c r="A2659" s="2">
        <v>2656</v>
      </c>
      <c r="B2659" s="2" t="s">
        <v>2728</v>
      </c>
      <c r="C2659" s="2" t="str">
        <f>"14053322"</f>
        <v>14053322</v>
      </c>
      <c r="D2659" s="2">
        <v>0.252</v>
      </c>
      <c r="E2659" s="2">
        <v>5</v>
      </c>
      <c r="F2659" s="2" t="s">
        <v>200</v>
      </c>
    </row>
    <row r="2660" spans="1:6" ht="25.5">
      <c r="A2660" s="2">
        <v>2657</v>
      </c>
      <c r="B2660" s="2" t="s">
        <v>2729</v>
      </c>
      <c r="C2660" s="2" t="str">
        <f>"1405213X"</f>
        <v>1405213X</v>
      </c>
      <c r="D2660" s="2">
        <v>0.129</v>
      </c>
      <c r="E2660" s="2">
        <v>9</v>
      </c>
      <c r="F2660" s="2" t="s">
        <v>6</v>
      </c>
    </row>
    <row r="2661" spans="1:6" ht="25.5">
      <c r="A2661" s="2">
        <v>2658</v>
      </c>
      <c r="B2661" s="2" t="s">
        <v>2730</v>
      </c>
      <c r="C2661" s="2" t="str">
        <f>"03660176"</f>
        <v>03660176</v>
      </c>
      <c r="D2661" s="2">
        <v>0.11899999999999999</v>
      </c>
      <c r="E2661" s="2">
        <v>10</v>
      </c>
      <c r="F2661" s="2" t="s">
        <v>351</v>
      </c>
    </row>
    <row r="2662" spans="1:6" ht="25.5">
      <c r="A2662" s="2">
        <v>2659</v>
      </c>
      <c r="B2662" s="2" t="s">
        <v>2731</v>
      </c>
      <c r="C2662" s="2" t="str">
        <f>"07177917"</f>
        <v>07177917</v>
      </c>
      <c r="D2662" s="2">
        <v>0.249</v>
      </c>
      <c r="E2662" s="2">
        <v>6</v>
      </c>
      <c r="F2662" s="2" t="s">
        <v>182</v>
      </c>
    </row>
    <row r="2663" spans="1:6" ht="25.5">
      <c r="A2663" s="2">
        <v>2660</v>
      </c>
      <c r="B2663" s="2" t="s">
        <v>2732</v>
      </c>
      <c r="C2663" s="2" t="str">
        <f>"16651146"</f>
        <v>16651146</v>
      </c>
      <c r="D2663" s="2">
        <v>0</v>
      </c>
      <c r="E2663" s="2">
        <v>3</v>
      </c>
      <c r="F2663" s="2" t="s">
        <v>200</v>
      </c>
    </row>
    <row r="2664" spans="1:6" ht="25.5">
      <c r="A2664" s="2">
        <v>2661</v>
      </c>
      <c r="B2664" s="2" t="s">
        <v>2733</v>
      </c>
      <c r="C2664" s="2" t="str">
        <f>"00418633"</f>
        <v>00418633</v>
      </c>
      <c r="D2664" s="2">
        <v>0.112</v>
      </c>
      <c r="E2664" s="2">
        <v>1</v>
      </c>
      <c r="F2664" s="2" t="s">
        <v>200</v>
      </c>
    </row>
    <row r="2665" spans="1:6" ht="25.5">
      <c r="A2665" s="2">
        <v>2662</v>
      </c>
      <c r="B2665" s="2" t="s">
        <v>2734</v>
      </c>
      <c r="C2665" s="2" t="str">
        <f>"19726724"</f>
        <v>19726724</v>
      </c>
      <c r="D2665" s="2">
        <v>0.50600000000000001</v>
      </c>
      <c r="E2665" s="2">
        <v>14</v>
      </c>
      <c r="F2665" s="2" t="s">
        <v>190</v>
      </c>
    </row>
    <row r="2666" spans="1:6" ht="25.5">
      <c r="A2666" s="2">
        <v>2663</v>
      </c>
      <c r="B2666" s="2" t="s">
        <v>2735</v>
      </c>
      <c r="C2666" s="2" t="str">
        <f>"03944611"</f>
        <v>03944611</v>
      </c>
      <c r="D2666" s="2">
        <v>0.1</v>
      </c>
      <c r="E2666" s="2">
        <v>2</v>
      </c>
      <c r="F2666" s="2" t="s">
        <v>190</v>
      </c>
    </row>
    <row r="2667" spans="1:6" ht="25.5">
      <c r="A2667" s="2">
        <v>2664</v>
      </c>
      <c r="B2667" s="2" t="s">
        <v>2736</v>
      </c>
      <c r="C2667" s="2" t="str">
        <f>"03757633"</f>
        <v>03757633</v>
      </c>
      <c r="D2667" s="2">
        <v>0.307</v>
      </c>
      <c r="E2667" s="2">
        <v>19</v>
      </c>
      <c r="F2667" s="2" t="s">
        <v>190</v>
      </c>
    </row>
    <row r="2668" spans="1:6" ht="25.5">
      <c r="A2668" s="2">
        <v>2665</v>
      </c>
      <c r="B2668" s="2" t="s">
        <v>2737</v>
      </c>
      <c r="C2668" s="2" t="str">
        <f>"11202742"</f>
        <v>11202742</v>
      </c>
      <c r="D2668" s="2">
        <v>0.10100000000000001</v>
      </c>
      <c r="E2668" s="2">
        <v>1</v>
      </c>
      <c r="F2668" s="2" t="s">
        <v>190</v>
      </c>
    </row>
    <row r="2669" spans="1:6" ht="25.5">
      <c r="A2669" s="2">
        <v>2666</v>
      </c>
      <c r="B2669" s="2" t="s">
        <v>2738</v>
      </c>
      <c r="C2669" s="2" t="str">
        <f>"00066729"</f>
        <v>00066729</v>
      </c>
      <c r="D2669" s="2">
        <v>0.22800000000000001</v>
      </c>
      <c r="E2669" s="2">
        <v>6</v>
      </c>
      <c r="F2669" s="2" t="s">
        <v>190</v>
      </c>
    </row>
    <row r="2670" spans="1:6" ht="25.5">
      <c r="A2670" s="2">
        <v>2667</v>
      </c>
      <c r="B2670" s="2" t="s">
        <v>2739</v>
      </c>
      <c r="C2670" s="2" t="str">
        <f>"17241650"</f>
        <v>17241650</v>
      </c>
      <c r="D2670" s="2">
        <v>0.10199999999999999</v>
      </c>
      <c r="E2670" s="2">
        <v>1</v>
      </c>
      <c r="F2670" s="2" t="s">
        <v>190</v>
      </c>
    </row>
    <row r="2671" spans="1:6" ht="25.5">
      <c r="A2671" s="2">
        <v>2668</v>
      </c>
      <c r="B2671" s="2" t="s">
        <v>2740</v>
      </c>
      <c r="C2671" s="2" t="str">
        <f>"87563282"</f>
        <v>87563282</v>
      </c>
      <c r="D2671" s="2">
        <v>1.3149999999999999</v>
      </c>
      <c r="E2671" s="2">
        <v>130</v>
      </c>
      <c r="F2671" s="2" t="s">
        <v>6</v>
      </c>
    </row>
    <row r="2672" spans="1:6" ht="25.5">
      <c r="A2672" s="2">
        <v>2669</v>
      </c>
      <c r="B2672" s="2" t="s">
        <v>2741</v>
      </c>
      <c r="C2672" s="2" t="str">
        <f>"02683369"</f>
        <v>02683369</v>
      </c>
      <c r="D2672" s="2">
        <v>1.2010000000000001</v>
      </c>
      <c r="E2672" s="2">
        <v>88</v>
      </c>
      <c r="F2672" s="2" t="s">
        <v>16</v>
      </c>
    </row>
    <row r="2673" spans="1:6" ht="25.5">
      <c r="A2673" s="2">
        <v>2670</v>
      </c>
      <c r="B2673" s="2" t="s">
        <v>2742</v>
      </c>
      <c r="C2673" s="2" t="str">
        <f>"00067237"</f>
        <v>00067237</v>
      </c>
      <c r="D2673" s="2">
        <v>0.1</v>
      </c>
      <c r="E2673" s="2">
        <v>3</v>
      </c>
      <c r="F2673" s="2" t="s">
        <v>16</v>
      </c>
    </row>
    <row r="2674" spans="1:6" ht="25.5">
      <c r="A2674" s="2">
        <v>2671</v>
      </c>
      <c r="B2674" s="2" t="s">
        <v>2743</v>
      </c>
      <c r="C2674" s="2" t="str">
        <f>"12396095"</f>
        <v>12396095</v>
      </c>
      <c r="D2674" s="2">
        <v>0.81200000000000006</v>
      </c>
      <c r="E2674" s="2">
        <v>31</v>
      </c>
      <c r="F2674" s="2" t="s">
        <v>751</v>
      </c>
    </row>
    <row r="2675" spans="1:6" ht="25.5">
      <c r="A2675" s="2">
        <v>2672</v>
      </c>
      <c r="B2675" s="2" t="s">
        <v>2744</v>
      </c>
      <c r="C2675" s="2" t="str">
        <f>"15023885"</f>
        <v>15023885</v>
      </c>
      <c r="D2675" s="2">
        <v>1.488</v>
      </c>
      <c r="E2675" s="2">
        <v>44</v>
      </c>
      <c r="F2675" s="2" t="s">
        <v>16</v>
      </c>
    </row>
    <row r="2676" spans="1:6" ht="25.5">
      <c r="A2676" s="2">
        <v>2673</v>
      </c>
      <c r="B2676" s="2" t="s">
        <v>2745</v>
      </c>
      <c r="C2676" s="2" t="str">
        <f>"15128601"</f>
        <v>15128601</v>
      </c>
      <c r="D2676" s="2">
        <v>0.17499999999999999</v>
      </c>
      <c r="E2676" s="2">
        <v>8</v>
      </c>
      <c r="F2676" s="2" t="s">
        <v>271</v>
      </c>
    </row>
    <row r="2677" spans="1:6" ht="25.5">
      <c r="A2677" s="2">
        <v>2674</v>
      </c>
      <c r="B2677" s="2" t="s">
        <v>2746</v>
      </c>
      <c r="C2677" s="2" t="str">
        <f>"07179200"</f>
        <v>07179200</v>
      </c>
      <c r="D2677" s="2">
        <v>0.18</v>
      </c>
      <c r="E2677" s="2">
        <v>6</v>
      </c>
      <c r="F2677" s="2" t="s">
        <v>182</v>
      </c>
    </row>
    <row r="2678" spans="1:6" ht="25.5">
      <c r="A2678" s="2">
        <v>2675</v>
      </c>
      <c r="B2678" s="2" t="s">
        <v>2747</v>
      </c>
      <c r="C2678" s="2" t="str">
        <f>"00068047"</f>
        <v>00068047</v>
      </c>
      <c r="D2678" s="2">
        <v>0.56499999999999995</v>
      </c>
      <c r="E2678" s="2">
        <v>13</v>
      </c>
      <c r="F2678" s="2" t="s">
        <v>6</v>
      </c>
    </row>
    <row r="2679" spans="1:6" ht="25.5">
      <c r="A2679" s="2">
        <v>2676</v>
      </c>
      <c r="B2679" s="2" t="s">
        <v>2748</v>
      </c>
      <c r="C2679" s="2" t="str">
        <f>"02144565"</f>
        <v>02144565</v>
      </c>
      <c r="D2679" s="2">
        <v>0.16</v>
      </c>
      <c r="E2679" s="2">
        <v>6</v>
      </c>
      <c r="F2679" s="2" t="s">
        <v>351</v>
      </c>
    </row>
    <row r="2680" spans="1:6" ht="25.5">
      <c r="A2680" s="2">
        <v>2677</v>
      </c>
      <c r="B2680" s="2" t="s">
        <v>2749</v>
      </c>
      <c r="C2680" s="2" t="str">
        <f>"10958339"</f>
        <v>10958339</v>
      </c>
      <c r="D2680" s="2">
        <v>1.504</v>
      </c>
      <c r="E2680" s="2">
        <v>38</v>
      </c>
      <c r="F2680" s="2" t="s">
        <v>16</v>
      </c>
    </row>
    <row r="2681" spans="1:6" ht="25.5">
      <c r="A2681" s="2">
        <v>2678</v>
      </c>
      <c r="B2681" s="2" t="s">
        <v>2750</v>
      </c>
      <c r="C2681" s="2" t="str">
        <f>"00068101"</f>
        <v>00068101</v>
      </c>
      <c r="D2681" s="2">
        <v>1.2050000000000001</v>
      </c>
      <c r="E2681" s="2">
        <v>42</v>
      </c>
      <c r="F2681" s="2" t="s">
        <v>6</v>
      </c>
    </row>
    <row r="2682" spans="1:6" ht="25.5">
      <c r="A2682" s="2">
        <v>2679</v>
      </c>
      <c r="B2682" s="2" t="s">
        <v>2751</v>
      </c>
      <c r="C2682" s="2" t="str">
        <f>"1817406X"</f>
        <v>1817406X</v>
      </c>
      <c r="D2682" s="2">
        <v>0.58899999999999997</v>
      </c>
      <c r="E2682" s="2">
        <v>28</v>
      </c>
      <c r="F2682" s="2" t="s">
        <v>165</v>
      </c>
    </row>
    <row r="2683" spans="1:6" ht="25.5">
      <c r="A2683" s="2">
        <v>2680</v>
      </c>
      <c r="B2683" s="2" t="s">
        <v>2752</v>
      </c>
      <c r="C2683" s="2" t="str">
        <f>"14374323"</f>
        <v>14374323</v>
      </c>
      <c r="D2683" s="2">
        <v>0.45300000000000001</v>
      </c>
      <c r="E2683" s="2">
        <v>32</v>
      </c>
      <c r="F2683" s="2" t="s">
        <v>12</v>
      </c>
    </row>
    <row r="2684" spans="1:6" ht="25.5">
      <c r="A2684" s="2">
        <v>2681</v>
      </c>
      <c r="B2684" s="2" t="s">
        <v>2753</v>
      </c>
      <c r="C2684" s="2" t="str">
        <f>"19162804"</f>
        <v>19162804</v>
      </c>
      <c r="D2684" s="2">
        <v>0.53400000000000003</v>
      </c>
      <c r="E2684" s="2">
        <v>57</v>
      </c>
      <c r="F2684" s="2" t="s">
        <v>64</v>
      </c>
    </row>
    <row r="2685" spans="1:6" ht="25.5">
      <c r="A2685" s="2">
        <v>2682</v>
      </c>
      <c r="B2685" s="2" t="s">
        <v>2754</v>
      </c>
      <c r="C2685" s="2" t="str">
        <f>"00068241"</f>
        <v>00068241</v>
      </c>
      <c r="D2685" s="2">
        <v>0.20599999999999999</v>
      </c>
      <c r="E2685" s="2">
        <v>12</v>
      </c>
      <c r="F2685" s="2" t="s">
        <v>410</v>
      </c>
    </row>
    <row r="2686" spans="1:6" ht="25.5">
      <c r="A2686" s="2">
        <v>2683</v>
      </c>
      <c r="B2686" s="2" t="s">
        <v>2755</v>
      </c>
      <c r="C2686" s="2" t="str">
        <f>"0888045X"</f>
        <v>0888045X</v>
      </c>
      <c r="D2686" s="2">
        <v>0.34300000000000003</v>
      </c>
      <c r="E2686" s="2">
        <v>5</v>
      </c>
      <c r="F2686" s="2" t="s">
        <v>16</v>
      </c>
    </row>
    <row r="2687" spans="1:6" ht="25.5">
      <c r="A2687" s="2">
        <v>2684</v>
      </c>
      <c r="B2687" s="2" t="s">
        <v>2756</v>
      </c>
      <c r="C2687" s="2" t="str">
        <f>"15272141"</f>
        <v>15272141</v>
      </c>
      <c r="D2687" s="2">
        <v>0.129</v>
      </c>
      <c r="E2687" s="2">
        <v>8</v>
      </c>
      <c r="F2687" s="2" t="s">
        <v>6</v>
      </c>
    </row>
    <row r="2688" spans="1:6" ht="25.5">
      <c r="A2688" s="2">
        <v>2685</v>
      </c>
      <c r="B2688" s="2" t="s">
        <v>2757</v>
      </c>
      <c r="C2688" s="2" t="str">
        <f>"15731472"</f>
        <v>15731472</v>
      </c>
      <c r="D2688" s="2">
        <v>1.498</v>
      </c>
      <c r="E2688" s="2">
        <v>65</v>
      </c>
      <c r="F2688" s="2" t="s">
        <v>75</v>
      </c>
    </row>
    <row r="2689" spans="1:6" ht="25.5">
      <c r="A2689" s="2">
        <v>2686</v>
      </c>
      <c r="B2689" s="2" t="s">
        <v>2758</v>
      </c>
      <c r="C2689" s="2" t="str">
        <f>"16872770"</f>
        <v>16872770</v>
      </c>
      <c r="D2689" s="2">
        <v>1.0069999999999999</v>
      </c>
      <c r="E2689" s="2">
        <v>13</v>
      </c>
      <c r="F2689" s="2" t="s">
        <v>6</v>
      </c>
    </row>
    <row r="2690" spans="1:6" ht="25.5">
      <c r="A2690" s="2">
        <v>2687</v>
      </c>
      <c r="B2690" s="2" t="s">
        <v>2759</v>
      </c>
      <c r="C2690" s="2" t="str">
        <f>"15384721"</f>
        <v>15384721</v>
      </c>
      <c r="D2690" s="2">
        <v>0.50700000000000001</v>
      </c>
      <c r="E2690" s="2">
        <v>25</v>
      </c>
      <c r="F2690" s="2" t="s">
        <v>6</v>
      </c>
    </row>
    <row r="2691" spans="1:6" ht="25.5">
      <c r="A2691" s="2">
        <v>2688</v>
      </c>
      <c r="B2691" s="2" t="s">
        <v>2760</v>
      </c>
      <c r="C2691" s="2" t="str">
        <f>"00068705"</f>
        <v>00068705</v>
      </c>
      <c r="D2691" s="2">
        <v>0.44500000000000001</v>
      </c>
      <c r="E2691" s="2">
        <v>16</v>
      </c>
      <c r="F2691" s="2" t="s">
        <v>159</v>
      </c>
    </row>
    <row r="2692" spans="1:6" ht="25.5">
      <c r="A2692" s="2">
        <v>2689</v>
      </c>
      <c r="B2692" s="2" t="s">
        <v>2761</v>
      </c>
      <c r="C2692" s="2" t="str">
        <f>"14602156"</f>
        <v>14602156</v>
      </c>
      <c r="D2692" s="2">
        <v>4.6029999999999998</v>
      </c>
      <c r="E2692" s="2">
        <v>208</v>
      </c>
      <c r="F2692" s="2" t="s">
        <v>16</v>
      </c>
    </row>
    <row r="2693" spans="1:6" ht="25.5">
      <c r="A2693" s="2">
        <v>2690</v>
      </c>
      <c r="B2693" s="2" t="s">
        <v>2762</v>
      </c>
      <c r="C2693" s="2" t="str">
        <f>"10902147"</f>
        <v>10902147</v>
      </c>
      <c r="D2693" s="2">
        <v>1.407</v>
      </c>
      <c r="E2693" s="2">
        <v>70</v>
      </c>
      <c r="F2693" s="2" t="s">
        <v>6</v>
      </c>
    </row>
    <row r="2694" spans="1:6" ht="25.5">
      <c r="A2694" s="2">
        <v>2691</v>
      </c>
      <c r="B2694" s="2" t="s">
        <v>2763</v>
      </c>
      <c r="C2694" s="2" t="str">
        <f>"03877604"</f>
        <v>03877604</v>
      </c>
      <c r="D2694" s="2">
        <v>0.75800000000000001</v>
      </c>
      <c r="E2694" s="2">
        <v>53</v>
      </c>
      <c r="F2694" s="2" t="s">
        <v>75</v>
      </c>
    </row>
    <row r="2695" spans="1:6" ht="25.5">
      <c r="A2695" s="2">
        <v>2692</v>
      </c>
      <c r="B2695" s="2" t="s">
        <v>2764</v>
      </c>
      <c r="C2695" s="2" t="str">
        <f>"10902155"</f>
        <v>10902155</v>
      </c>
      <c r="D2695" s="2">
        <v>1.8380000000000001</v>
      </c>
      <c r="E2695" s="2">
        <v>73</v>
      </c>
      <c r="F2695" s="2" t="s">
        <v>6</v>
      </c>
    </row>
    <row r="2696" spans="1:6" ht="25.5">
      <c r="A2696" s="2">
        <v>2693</v>
      </c>
      <c r="B2696" s="2" t="s">
        <v>2765</v>
      </c>
      <c r="C2696" s="2" t="str">
        <f>"18816096"</f>
        <v>18816096</v>
      </c>
      <c r="D2696" s="2">
        <v>0.154</v>
      </c>
      <c r="E2696" s="2">
        <v>6</v>
      </c>
      <c r="F2696" s="2" t="s">
        <v>131</v>
      </c>
    </row>
    <row r="2697" spans="1:6" ht="25.5">
      <c r="A2697" s="2">
        <v>2694</v>
      </c>
      <c r="B2697" s="2" t="s">
        <v>2766</v>
      </c>
      <c r="C2697" s="2" t="str">
        <f>"14219743"</f>
        <v>14219743</v>
      </c>
      <c r="D2697" s="2">
        <v>1.075</v>
      </c>
      <c r="E2697" s="2">
        <v>48</v>
      </c>
      <c r="F2697" s="2" t="s">
        <v>31</v>
      </c>
    </row>
    <row r="2698" spans="1:6" ht="25.5">
      <c r="A2698" s="2">
        <v>2695</v>
      </c>
      <c r="B2698" s="2" t="s">
        <v>2767</v>
      </c>
      <c r="C2698" s="2" t="str">
        <f>"10902139"</f>
        <v>10902139</v>
      </c>
      <c r="D2698" s="2">
        <v>2.11</v>
      </c>
      <c r="E2698" s="2">
        <v>71</v>
      </c>
      <c r="F2698" s="2" t="s">
        <v>6</v>
      </c>
    </row>
    <row r="2699" spans="1:6" ht="25.5">
      <c r="A2699" s="2">
        <v>2696</v>
      </c>
      <c r="B2699" s="2" t="s">
        <v>2768</v>
      </c>
      <c r="C2699" s="2" t="str">
        <f>"19317565"</f>
        <v>19317565</v>
      </c>
      <c r="D2699" s="2">
        <v>0.86899999999999999</v>
      </c>
      <c r="E2699" s="2">
        <v>11</v>
      </c>
      <c r="F2699" s="2" t="s">
        <v>6</v>
      </c>
    </row>
    <row r="2700" spans="1:6" ht="25.5">
      <c r="A2700" s="2">
        <v>2697</v>
      </c>
      <c r="B2700" s="2" t="s">
        <v>2769</v>
      </c>
      <c r="C2700" s="2" t="str">
        <f>"14439646"</f>
        <v>14439646</v>
      </c>
      <c r="D2700" s="2">
        <v>0.39600000000000002</v>
      </c>
      <c r="E2700" s="2">
        <v>6</v>
      </c>
      <c r="F2700" s="2" t="s">
        <v>127</v>
      </c>
    </row>
    <row r="2701" spans="1:6" ht="25.5">
      <c r="A2701" s="2">
        <v>2698</v>
      </c>
      <c r="B2701" s="2" t="s">
        <v>2770</v>
      </c>
      <c r="C2701" s="2" t="str">
        <f>"1362301X"</f>
        <v>1362301X</v>
      </c>
      <c r="D2701" s="2">
        <v>0.65100000000000002</v>
      </c>
      <c r="E2701" s="2">
        <v>62</v>
      </c>
      <c r="F2701" s="2" t="s">
        <v>16</v>
      </c>
    </row>
    <row r="2702" spans="1:6" ht="25.5">
      <c r="A2702" s="2">
        <v>2699</v>
      </c>
      <c r="B2702" s="2" t="s">
        <v>2771</v>
      </c>
      <c r="C2702" s="2" t="str">
        <f>"17503639"</f>
        <v>17503639</v>
      </c>
      <c r="D2702" s="2">
        <v>1.677</v>
      </c>
      <c r="E2702" s="2">
        <v>90</v>
      </c>
      <c r="F2702" s="2" t="s">
        <v>16</v>
      </c>
    </row>
    <row r="2703" spans="1:6" ht="25.5">
      <c r="A2703" s="2">
        <v>2700</v>
      </c>
      <c r="B2703" s="2" t="s">
        <v>2772</v>
      </c>
      <c r="C2703" s="2" t="str">
        <f>"00068993"</f>
        <v>00068993</v>
      </c>
      <c r="D2703" s="2">
        <v>1.2170000000000001</v>
      </c>
      <c r="E2703" s="2">
        <v>139</v>
      </c>
      <c r="F2703" s="2" t="s">
        <v>75</v>
      </c>
    </row>
    <row r="2704" spans="1:6" ht="25.5">
      <c r="A2704" s="2">
        <v>2701</v>
      </c>
      <c r="B2704" s="2" t="s">
        <v>2773</v>
      </c>
      <c r="C2704" s="2" t="str">
        <f>"03619230"</f>
        <v>03619230</v>
      </c>
      <c r="D2704" s="2">
        <v>1.0660000000000001</v>
      </c>
      <c r="E2704" s="2">
        <v>85</v>
      </c>
      <c r="F2704" s="2" t="s">
        <v>6</v>
      </c>
    </row>
    <row r="2705" spans="1:6" ht="25.5">
      <c r="A2705" s="2">
        <v>2702</v>
      </c>
      <c r="B2705" s="2" t="s">
        <v>2774</v>
      </c>
      <c r="C2705" s="2" t="str">
        <f>"01650173"</f>
        <v>01650173</v>
      </c>
      <c r="D2705" s="2">
        <v>3.7429999999999999</v>
      </c>
      <c r="E2705" s="2">
        <v>134</v>
      </c>
      <c r="F2705" s="2" t="s">
        <v>75</v>
      </c>
    </row>
    <row r="2706" spans="1:6" ht="25.5">
      <c r="A2706" s="2">
        <v>2703</v>
      </c>
      <c r="B2706" s="2" t="s">
        <v>2775</v>
      </c>
      <c r="C2706" s="2" t="str">
        <f>"1935861X"</f>
        <v>1935861X</v>
      </c>
      <c r="D2706" s="2">
        <v>1.4</v>
      </c>
      <c r="E2706" s="2">
        <v>22</v>
      </c>
      <c r="F2706" s="2" t="s">
        <v>6</v>
      </c>
    </row>
    <row r="2707" spans="1:6" ht="25.5">
      <c r="A2707" s="2">
        <v>2704</v>
      </c>
      <c r="B2707" s="2" t="s">
        <v>2776</v>
      </c>
      <c r="C2707" s="2" t="str">
        <f>"18632661"</f>
        <v>18632661</v>
      </c>
      <c r="D2707" s="2">
        <v>2.1720000000000002</v>
      </c>
      <c r="E2707" s="2">
        <v>55</v>
      </c>
      <c r="F2707" s="2" t="s">
        <v>12</v>
      </c>
    </row>
    <row r="2708" spans="1:6" ht="25.5">
      <c r="A2708" s="2">
        <v>2705</v>
      </c>
      <c r="B2708" s="2" t="s">
        <v>2777</v>
      </c>
      <c r="C2708" s="2" t="str">
        <f>"15736792"</f>
        <v>15736792</v>
      </c>
      <c r="D2708" s="2">
        <v>1.536</v>
      </c>
      <c r="E2708" s="2">
        <v>41</v>
      </c>
      <c r="F2708" s="2" t="s">
        <v>6</v>
      </c>
    </row>
    <row r="2709" spans="1:6" ht="25.5">
      <c r="A2709" s="2">
        <v>2706</v>
      </c>
      <c r="B2709" s="2" t="s">
        <v>2778</v>
      </c>
      <c r="C2709" s="2" t="str">
        <f>"14337398"</f>
        <v>14337398</v>
      </c>
      <c r="D2709" s="2">
        <v>0.53300000000000003</v>
      </c>
      <c r="E2709" s="2">
        <v>23</v>
      </c>
      <c r="F2709" s="2" t="s">
        <v>131</v>
      </c>
    </row>
    <row r="2710" spans="1:6" ht="25.5">
      <c r="A2710" s="2">
        <v>2707</v>
      </c>
      <c r="B2710" s="2" t="s">
        <v>2779</v>
      </c>
      <c r="C2710" s="2" t="str">
        <f>"14750929"</f>
        <v>14750929</v>
      </c>
      <c r="D2710" s="2">
        <v>0.1</v>
      </c>
      <c r="E2710" s="2">
        <v>1</v>
      </c>
      <c r="F2710" s="2" t="s">
        <v>16</v>
      </c>
    </row>
    <row r="2711" spans="1:6" ht="25.5">
      <c r="A2711" s="2">
        <v>2708</v>
      </c>
      <c r="B2711" s="2" t="s">
        <v>2780</v>
      </c>
      <c r="C2711" s="2" t="str">
        <f>"00069248"</f>
        <v>00069248</v>
      </c>
      <c r="D2711" s="2">
        <v>0.17799999999999999</v>
      </c>
      <c r="E2711" s="2">
        <v>16</v>
      </c>
      <c r="F2711" s="2" t="s">
        <v>241</v>
      </c>
    </row>
    <row r="2712" spans="1:6" ht="25.5">
      <c r="A2712" s="2">
        <v>2709</v>
      </c>
      <c r="B2712" s="2" t="s">
        <v>2781</v>
      </c>
      <c r="C2712" s="2" t="str">
        <f>"15168913"</f>
        <v>15168913</v>
      </c>
      <c r="D2712" s="2">
        <v>0.309</v>
      </c>
      <c r="E2712" s="2">
        <v>21</v>
      </c>
      <c r="F2712" s="2" t="s">
        <v>159</v>
      </c>
    </row>
    <row r="2713" spans="1:6" ht="25.5">
      <c r="A2713" s="2">
        <v>2710</v>
      </c>
      <c r="B2713" s="2" t="s">
        <v>2782</v>
      </c>
      <c r="C2713" s="2" t="str">
        <f>"01036440"</f>
        <v>01036440</v>
      </c>
      <c r="D2713" s="2">
        <v>0.40799999999999997</v>
      </c>
      <c r="E2713" s="2">
        <v>25</v>
      </c>
      <c r="F2713" s="2" t="s">
        <v>159</v>
      </c>
    </row>
    <row r="2714" spans="1:6" ht="25.5">
      <c r="A2714" s="2">
        <v>2711</v>
      </c>
      <c r="B2714" s="2" t="s">
        <v>2783</v>
      </c>
      <c r="C2714" s="2" t="str">
        <f>"16784375"</f>
        <v>16784375</v>
      </c>
      <c r="D2714" s="2">
        <v>0.438</v>
      </c>
      <c r="E2714" s="2">
        <v>26</v>
      </c>
      <c r="F2714" s="2" t="s">
        <v>159</v>
      </c>
    </row>
    <row r="2715" spans="1:6" ht="25.5">
      <c r="A2715" s="2">
        <v>2712</v>
      </c>
      <c r="B2715" s="2" t="s">
        <v>2784</v>
      </c>
      <c r="C2715" s="2" t="str">
        <f>"16789741"</f>
        <v>16789741</v>
      </c>
      <c r="D2715" s="2">
        <v>0.314</v>
      </c>
      <c r="E2715" s="2">
        <v>12</v>
      </c>
      <c r="F2715" s="2" t="s">
        <v>159</v>
      </c>
    </row>
    <row r="2716" spans="1:6" ht="25.5">
      <c r="A2716" s="2">
        <v>2713</v>
      </c>
      <c r="B2716" s="2" t="s">
        <v>2785</v>
      </c>
      <c r="C2716" s="2" t="str">
        <f>"01046632"</f>
        <v>01046632</v>
      </c>
      <c r="D2716" s="2">
        <v>0.41899999999999998</v>
      </c>
      <c r="E2716" s="2">
        <v>22</v>
      </c>
      <c r="F2716" s="2" t="s">
        <v>159</v>
      </c>
    </row>
    <row r="2717" spans="1:6" ht="25.5">
      <c r="A2717" s="2">
        <v>2714</v>
      </c>
      <c r="B2717" s="2" t="s">
        <v>2786</v>
      </c>
      <c r="C2717" s="2" t="str">
        <f>"16784391"</f>
        <v>16784391</v>
      </c>
      <c r="D2717" s="2">
        <v>0.38800000000000001</v>
      </c>
      <c r="E2717" s="2">
        <v>27</v>
      </c>
      <c r="F2717" s="2" t="s">
        <v>159</v>
      </c>
    </row>
    <row r="2718" spans="1:6" ht="25.5">
      <c r="A2718" s="2">
        <v>2715</v>
      </c>
      <c r="B2718" s="2" t="s">
        <v>2787</v>
      </c>
      <c r="C2718" s="2" t="str">
        <f>"1414431X"</f>
        <v>1414431X</v>
      </c>
      <c r="D2718" s="2">
        <v>0.21299999999999999</v>
      </c>
      <c r="E2718" s="2">
        <v>56</v>
      </c>
      <c r="F2718" s="2" t="s">
        <v>159</v>
      </c>
    </row>
    <row r="2719" spans="1:6" ht="25.5">
      <c r="A2719" s="2">
        <v>2716</v>
      </c>
      <c r="B2719" s="2" t="s">
        <v>2788</v>
      </c>
      <c r="C2719" s="2" t="str">
        <f>"15178382"</f>
        <v>15178382</v>
      </c>
      <c r="D2719" s="2">
        <v>0.379</v>
      </c>
      <c r="E2719" s="2">
        <v>27</v>
      </c>
      <c r="F2719" s="2" t="s">
        <v>159</v>
      </c>
    </row>
    <row r="2720" spans="1:6" ht="25.5">
      <c r="A2720" s="2">
        <v>2717</v>
      </c>
      <c r="B2720" s="2" t="s">
        <v>2789</v>
      </c>
      <c r="C2720" s="2" t="str">
        <f>"1982436X"</f>
        <v>1982436X</v>
      </c>
      <c r="D2720" s="2">
        <v>0.28899999999999998</v>
      </c>
      <c r="E2720" s="2">
        <v>6</v>
      </c>
      <c r="F2720" s="2" t="s">
        <v>159</v>
      </c>
    </row>
    <row r="2721" spans="1:6" ht="25.5">
      <c r="A2721" s="2">
        <v>2718</v>
      </c>
      <c r="B2721" s="2" t="s">
        <v>2790</v>
      </c>
      <c r="C2721" s="2" t="str">
        <f>"16773225"</f>
        <v>16773225</v>
      </c>
      <c r="D2721" s="2">
        <v>0.14299999999999999</v>
      </c>
      <c r="E2721" s="2">
        <v>4</v>
      </c>
      <c r="F2721" s="2" t="s">
        <v>159</v>
      </c>
    </row>
    <row r="2722" spans="1:6" ht="25.5">
      <c r="A2722" s="2">
        <v>2719</v>
      </c>
      <c r="B2722" s="2" t="s">
        <v>2791</v>
      </c>
      <c r="C2722" s="2" t="str">
        <f>"18088694"</f>
        <v>18088694</v>
      </c>
      <c r="D2722" s="2">
        <v>0.309</v>
      </c>
      <c r="E2722" s="2">
        <v>11</v>
      </c>
      <c r="F2722" s="2" t="s">
        <v>159</v>
      </c>
    </row>
    <row r="2723" spans="1:6" ht="25.5">
      <c r="A2723" s="2">
        <v>2720</v>
      </c>
      <c r="B2723" s="2" t="s">
        <v>2792</v>
      </c>
      <c r="C2723" s="2" t="str">
        <f>"21759790"</f>
        <v>21759790</v>
      </c>
      <c r="D2723" s="2">
        <v>0.185</v>
      </c>
      <c r="E2723" s="2">
        <v>14</v>
      </c>
      <c r="F2723" s="2" t="s">
        <v>159</v>
      </c>
    </row>
    <row r="2724" spans="1:6" ht="25.5">
      <c r="A2724" s="2">
        <v>2721</v>
      </c>
      <c r="B2724" s="2" t="s">
        <v>2793</v>
      </c>
      <c r="C2724" s="2" t="str">
        <f>"0102695X"</f>
        <v>0102695X</v>
      </c>
      <c r="D2724" s="2">
        <v>0.30499999999999999</v>
      </c>
      <c r="E2724" s="2">
        <v>21</v>
      </c>
      <c r="F2724" s="2" t="s">
        <v>159</v>
      </c>
    </row>
    <row r="2725" spans="1:6" ht="25.5">
      <c r="A2725" s="2">
        <v>2722</v>
      </c>
      <c r="B2725" s="2" t="s">
        <v>2794</v>
      </c>
      <c r="C2725" s="2" t="str">
        <f>"01039733"</f>
        <v>01039733</v>
      </c>
      <c r="D2725" s="2">
        <v>0.29499999999999998</v>
      </c>
      <c r="E2725" s="2">
        <v>29</v>
      </c>
      <c r="F2725" s="2" t="s">
        <v>6</v>
      </c>
    </row>
    <row r="2726" spans="1:6" ht="25.5">
      <c r="A2726" s="2">
        <v>2723</v>
      </c>
      <c r="B2726" s="2" t="s">
        <v>2795</v>
      </c>
      <c r="C2726" s="2" t="str">
        <f>"16770420"</f>
        <v>16770420</v>
      </c>
      <c r="D2726" s="2">
        <v>0.245</v>
      </c>
      <c r="E2726" s="2">
        <v>27</v>
      </c>
      <c r="F2726" s="2" t="s">
        <v>159</v>
      </c>
    </row>
    <row r="2727" spans="1:6" ht="25.5">
      <c r="A2727" s="2">
        <v>2724</v>
      </c>
      <c r="B2727" s="2" t="s">
        <v>2796</v>
      </c>
      <c r="C2727" s="2" t="str">
        <f>"01030752"</f>
        <v>01030752</v>
      </c>
      <c r="D2727" s="2">
        <v>0.14599999999999999</v>
      </c>
      <c r="E2727" s="2">
        <v>1</v>
      </c>
      <c r="F2727" s="2" t="s">
        <v>159</v>
      </c>
    </row>
    <row r="2728" spans="1:6" ht="25.5">
      <c r="A2728" s="2">
        <v>2725</v>
      </c>
      <c r="B2728" s="2" t="s">
        <v>2797</v>
      </c>
      <c r="C2728" s="2" t="str">
        <f>"16784456"</f>
        <v>16784456</v>
      </c>
      <c r="D2728" s="2">
        <v>0.18</v>
      </c>
      <c r="E2728" s="2">
        <v>7</v>
      </c>
      <c r="F2728" s="2" t="s">
        <v>159</v>
      </c>
    </row>
    <row r="2729" spans="1:6" ht="25.5">
      <c r="A2729" s="2">
        <v>2726</v>
      </c>
      <c r="B2729" s="2" t="s">
        <v>2798</v>
      </c>
      <c r="C2729" s="2" t="str">
        <f>"15323080"</f>
        <v>15323080</v>
      </c>
      <c r="D2729" s="2">
        <v>0.79200000000000004</v>
      </c>
      <c r="E2729" s="2">
        <v>43</v>
      </c>
      <c r="F2729" s="2" t="s">
        <v>6</v>
      </c>
    </row>
    <row r="2730" spans="1:6" ht="25.5">
      <c r="A2730" s="2">
        <v>2727</v>
      </c>
      <c r="B2730" s="2" t="s">
        <v>2799</v>
      </c>
      <c r="C2730" s="2" t="str">
        <f>"13406868"</f>
        <v>13406868</v>
      </c>
      <c r="D2730" s="2">
        <v>0.53500000000000003</v>
      </c>
      <c r="E2730" s="2">
        <v>31</v>
      </c>
      <c r="F2730" s="2" t="s">
        <v>131</v>
      </c>
    </row>
    <row r="2731" spans="1:6" ht="25.5">
      <c r="A2731" s="2">
        <v>2728</v>
      </c>
      <c r="B2731" s="2" t="s">
        <v>2800</v>
      </c>
      <c r="C2731" s="2" t="str">
        <f>"11782234"</f>
        <v>11782234</v>
      </c>
      <c r="D2731" s="2">
        <v>0.65100000000000002</v>
      </c>
      <c r="E2731" s="2">
        <v>6</v>
      </c>
      <c r="F2731" s="2" t="s">
        <v>503</v>
      </c>
    </row>
    <row r="2732" spans="1:6" ht="25.5">
      <c r="A2732" s="2">
        <v>2729</v>
      </c>
      <c r="B2732" s="2" t="s">
        <v>2801</v>
      </c>
      <c r="C2732" s="2" t="str">
        <f>"1465542X"</f>
        <v>1465542X</v>
      </c>
      <c r="D2732" s="2">
        <v>2.4580000000000002</v>
      </c>
      <c r="E2732" s="2">
        <v>81</v>
      </c>
      <c r="F2732" s="2" t="s">
        <v>16</v>
      </c>
    </row>
    <row r="2733" spans="1:6" ht="25.5">
      <c r="A2733" s="2">
        <v>2730</v>
      </c>
      <c r="B2733" s="2" t="s">
        <v>2802</v>
      </c>
      <c r="C2733" s="2" t="str">
        <f>"15737217"</f>
        <v>15737217</v>
      </c>
      <c r="D2733" s="2">
        <v>2.0129999999999999</v>
      </c>
      <c r="E2733" s="2">
        <v>89</v>
      </c>
      <c r="F2733" s="2" t="s">
        <v>6</v>
      </c>
    </row>
    <row r="2734" spans="1:6" ht="25.5">
      <c r="A2734" s="2">
        <v>2731</v>
      </c>
      <c r="B2734" s="2" t="s">
        <v>2803</v>
      </c>
      <c r="C2734" s="2" t="str">
        <f>"11791314"</f>
        <v>11791314</v>
      </c>
      <c r="D2734" s="2">
        <v>0.152</v>
      </c>
      <c r="E2734" s="2">
        <v>1</v>
      </c>
      <c r="F2734" s="2" t="s">
        <v>503</v>
      </c>
    </row>
    <row r="2735" spans="1:6" ht="25.5">
      <c r="A2735" s="2">
        <v>2732</v>
      </c>
      <c r="B2735" s="2" t="s">
        <v>2804</v>
      </c>
      <c r="C2735" s="2" t="str">
        <f>"16613805"</f>
        <v>16613805</v>
      </c>
      <c r="D2735" s="2">
        <v>0.27900000000000003</v>
      </c>
      <c r="E2735" s="2">
        <v>9</v>
      </c>
      <c r="F2735" s="2" t="s">
        <v>31</v>
      </c>
    </row>
    <row r="2736" spans="1:6" ht="25.5">
      <c r="A2736" s="2">
        <v>2733</v>
      </c>
      <c r="B2736" s="2" t="s">
        <v>2805</v>
      </c>
      <c r="C2736" s="2" t="str">
        <f>"15581551"</f>
        <v>15581551</v>
      </c>
      <c r="D2736" s="2">
        <v>0.31</v>
      </c>
      <c r="E2736" s="2">
        <v>23</v>
      </c>
      <c r="F2736" s="2" t="s">
        <v>75</v>
      </c>
    </row>
    <row r="2737" spans="1:6" ht="25.5">
      <c r="A2737" s="2">
        <v>2734</v>
      </c>
      <c r="B2737" s="2" t="s">
        <v>2806</v>
      </c>
      <c r="C2737" s="2" t="str">
        <f>"1043321X"</f>
        <v>1043321X</v>
      </c>
      <c r="D2737" s="2">
        <v>0.11899999999999999</v>
      </c>
      <c r="E2737" s="2">
        <v>3</v>
      </c>
      <c r="F2737" s="2" t="s">
        <v>6</v>
      </c>
    </row>
    <row r="2738" spans="1:6" ht="25.5">
      <c r="A2738" s="2">
        <v>2735</v>
      </c>
      <c r="B2738" s="2" t="s">
        <v>2807</v>
      </c>
      <c r="C2738" s="2" t="str">
        <f>"15568342"</f>
        <v>15568342</v>
      </c>
      <c r="D2738" s="2">
        <v>0.49399999999999999</v>
      </c>
      <c r="E2738" s="2">
        <v>15</v>
      </c>
      <c r="F2738" s="2" t="s">
        <v>6</v>
      </c>
    </row>
    <row r="2739" spans="1:6" ht="25.5">
      <c r="A2739" s="2">
        <v>2736</v>
      </c>
      <c r="B2739" s="2" t="s">
        <v>2808</v>
      </c>
      <c r="C2739" s="2" t="str">
        <f>"07292759"</f>
        <v>07292759</v>
      </c>
      <c r="D2739" s="2">
        <v>0.23899999999999999</v>
      </c>
      <c r="E2739" s="2">
        <v>15</v>
      </c>
      <c r="F2739" s="2" t="s">
        <v>127</v>
      </c>
    </row>
    <row r="2740" spans="1:6" ht="25.5">
      <c r="A2740" s="2">
        <v>2737</v>
      </c>
      <c r="B2740" s="2" t="s">
        <v>2809</v>
      </c>
      <c r="C2740" s="2" t="str">
        <f>"15244741"</f>
        <v>15244741</v>
      </c>
      <c r="D2740" s="2">
        <v>0.622</v>
      </c>
      <c r="E2740" s="2">
        <v>44</v>
      </c>
      <c r="F2740" s="2" t="s">
        <v>16</v>
      </c>
    </row>
    <row r="2741" spans="1:6" ht="25.5">
      <c r="A2741" s="2">
        <v>2738</v>
      </c>
      <c r="B2741" s="2" t="s">
        <v>2810</v>
      </c>
      <c r="C2741" s="2" t="str">
        <f>"18106838"</f>
        <v>18106838</v>
      </c>
      <c r="D2741" s="2">
        <v>0.16800000000000001</v>
      </c>
      <c r="E2741" s="2">
        <v>4</v>
      </c>
      <c r="F2741" s="2" t="s">
        <v>16</v>
      </c>
    </row>
    <row r="2742" spans="1:6" ht="25.5">
      <c r="A2742" s="2">
        <v>2739</v>
      </c>
      <c r="B2742" s="2" t="s">
        <v>2811</v>
      </c>
      <c r="C2742" s="2" t="str">
        <f>"13447610"</f>
        <v>13447610</v>
      </c>
      <c r="D2742" s="2">
        <v>0.59499999999999997</v>
      </c>
      <c r="E2742" s="2">
        <v>28</v>
      </c>
      <c r="F2742" s="2" t="s">
        <v>131</v>
      </c>
    </row>
    <row r="2743" spans="1:6" ht="25.5">
      <c r="A2743" s="2">
        <v>2740</v>
      </c>
      <c r="B2743" s="2" t="s">
        <v>2812</v>
      </c>
      <c r="C2743" s="2" t="str">
        <f>"18665195"</f>
        <v>18665195</v>
      </c>
      <c r="D2743" s="2">
        <v>0.318</v>
      </c>
      <c r="E2743" s="2">
        <v>7</v>
      </c>
      <c r="F2743" s="2" t="s">
        <v>12</v>
      </c>
    </row>
    <row r="2744" spans="1:6" ht="25.5">
      <c r="A2744" s="2">
        <v>2741</v>
      </c>
      <c r="B2744" s="2" t="s">
        <v>2813</v>
      </c>
      <c r="C2744" s="2" t="str">
        <f>"15732487"</f>
        <v>15732487</v>
      </c>
      <c r="D2744" s="2">
        <v>0.124</v>
      </c>
      <c r="E2744" s="2">
        <v>1</v>
      </c>
      <c r="F2744" s="2" t="s">
        <v>16</v>
      </c>
    </row>
    <row r="2745" spans="1:6" ht="25.5">
      <c r="A2745" s="2">
        <v>2742</v>
      </c>
      <c r="B2745" s="2" t="s">
        <v>2814</v>
      </c>
      <c r="C2745" s="2" t="str">
        <f>"14774054"</f>
        <v>14774054</v>
      </c>
      <c r="D2745" s="2">
        <v>2.5619999999999998</v>
      </c>
      <c r="E2745" s="2">
        <v>52</v>
      </c>
      <c r="F2745" s="2" t="s">
        <v>16</v>
      </c>
    </row>
    <row r="2746" spans="1:6" ht="25.5">
      <c r="A2746" s="2">
        <v>2743</v>
      </c>
      <c r="B2746" s="2" t="s">
        <v>2815</v>
      </c>
      <c r="C2746" s="2" t="str">
        <f>"20412657"</f>
        <v>20412657</v>
      </c>
      <c r="D2746" s="2">
        <v>1.73</v>
      </c>
      <c r="E2746" s="2">
        <v>35</v>
      </c>
      <c r="F2746" s="2" t="s">
        <v>16</v>
      </c>
    </row>
    <row r="2747" spans="1:6" ht="25.5">
      <c r="A2747" s="2">
        <v>2744</v>
      </c>
      <c r="B2747" s="2" t="s">
        <v>2816</v>
      </c>
      <c r="C2747" s="2" t="str">
        <f>"02781980"</f>
        <v>02781980</v>
      </c>
      <c r="D2747" s="2">
        <v>0.13800000000000001</v>
      </c>
      <c r="E2747" s="2">
        <v>3</v>
      </c>
      <c r="F2747" s="2" t="s">
        <v>6</v>
      </c>
    </row>
    <row r="2748" spans="1:6" ht="25.5">
      <c r="A2748" s="2">
        <v>2745</v>
      </c>
      <c r="B2748" s="2" t="s">
        <v>2817</v>
      </c>
      <c r="C2748" s="2" t="str">
        <f>"0068113X"</f>
        <v>0068113X</v>
      </c>
      <c r="D2748" s="2">
        <v>0.127</v>
      </c>
      <c r="E2748" s="2">
        <v>3</v>
      </c>
      <c r="F2748" s="2" t="s">
        <v>16</v>
      </c>
    </row>
    <row r="2749" spans="1:6" ht="25.5">
      <c r="A2749" s="2">
        <v>2746</v>
      </c>
      <c r="B2749" s="2" t="s">
        <v>2818</v>
      </c>
      <c r="C2749" s="2" t="str">
        <f>"10958347"</f>
        <v>10958347</v>
      </c>
      <c r="D2749" s="2">
        <v>0.56899999999999995</v>
      </c>
      <c r="E2749" s="2">
        <v>29</v>
      </c>
      <c r="F2749" s="2" t="s">
        <v>6</v>
      </c>
    </row>
    <row r="2750" spans="1:6" ht="25.5">
      <c r="A2750" s="2">
        <v>2747</v>
      </c>
      <c r="B2750" s="2" t="s">
        <v>2819</v>
      </c>
      <c r="C2750" s="2" t="str">
        <f>"00070335"</f>
        <v>00070335</v>
      </c>
      <c r="D2750" s="2">
        <v>0.44900000000000001</v>
      </c>
      <c r="E2750" s="2">
        <v>15</v>
      </c>
      <c r="F2750" s="2" t="s">
        <v>16</v>
      </c>
    </row>
    <row r="2751" spans="1:6" ht="25.5">
      <c r="A2751" s="2">
        <v>2748</v>
      </c>
      <c r="B2751" s="2" t="s">
        <v>2820</v>
      </c>
      <c r="C2751" s="2" t="str">
        <f>"00070556"</f>
        <v>00070556</v>
      </c>
      <c r="D2751" s="2">
        <v>0.122</v>
      </c>
      <c r="E2751" s="2">
        <v>4</v>
      </c>
      <c r="F2751" s="2" t="s">
        <v>64</v>
      </c>
    </row>
    <row r="2752" spans="1:6" ht="25.5">
      <c r="A2752" s="2">
        <v>2749</v>
      </c>
      <c r="B2752" s="2" t="s">
        <v>2821</v>
      </c>
      <c r="C2752" s="2" t="str">
        <f>"14765373"</f>
        <v>14765373</v>
      </c>
      <c r="D2752" s="2">
        <v>0.37</v>
      </c>
      <c r="E2752" s="2">
        <v>46</v>
      </c>
      <c r="F2752" s="2" t="s">
        <v>16</v>
      </c>
    </row>
    <row r="2753" spans="1:6" ht="25.5">
      <c r="A2753" s="2">
        <v>2750</v>
      </c>
      <c r="B2753" s="2" t="s">
        <v>2822</v>
      </c>
      <c r="C2753" s="2" t="str">
        <f>"14693518"</f>
        <v>14693518</v>
      </c>
      <c r="D2753" s="2">
        <v>1.46</v>
      </c>
      <c r="E2753" s="2">
        <v>39</v>
      </c>
      <c r="F2753" s="2" t="s">
        <v>6</v>
      </c>
    </row>
    <row r="2754" spans="1:6" ht="25.5">
      <c r="A2754" s="2">
        <v>2751</v>
      </c>
      <c r="B2754" s="2" t="s">
        <v>2823</v>
      </c>
      <c r="C2754" s="2" t="str">
        <f>"0007070X"</f>
        <v>0007070X</v>
      </c>
      <c r="D2754" s="2">
        <v>0.441</v>
      </c>
      <c r="E2754" s="2">
        <v>20</v>
      </c>
      <c r="F2754" s="2" t="s">
        <v>16</v>
      </c>
    </row>
    <row r="2755" spans="1:6" ht="25.5">
      <c r="A2755" s="2">
        <v>2752</v>
      </c>
      <c r="B2755" s="2" t="s">
        <v>2824</v>
      </c>
      <c r="C2755" s="2" t="str">
        <f>"0141867X"</f>
        <v>0141867X</v>
      </c>
      <c r="D2755" s="2">
        <v>0.13500000000000001</v>
      </c>
      <c r="E2755" s="2">
        <v>4</v>
      </c>
      <c r="F2755" s="2" t="s">
        <v>16</v>
      </c>
    </row>
    <row r="2756" spans="1:6" ht="25.5">
      <c r="A2756" s="2">
        <v>2753</v>
      </c>
      <c r="B2756" s="2" t="s">
        <v>2825</v>
      </c>
      <c r="C2756" s="2" t="str">
        <f>"09608788"</f>
        <v>09608788</v>
      </c>
      <c r="D2756" s="2">
        <v>0.14299999999999999</v>
      </c>
      <c r="E2756" s="2">
        <v>8</v>
      </c>
      <c r="F2756" s="2" t="s">
        <v>6</v>
      </c>
    </row>
    <row r="2757" spans="1:6" ht="25.5">
      <c r="A2757" s="2">
        <v>2754</v>
      </c>
      <c r="B2757" s="2" t="s">
        <v>2826</v>
      </c>
      <c r="C2757" s="2" t="str">
        <f>"1474001X"</f>
        <v>1474001X</v>
      </c>
      <c r="D2757" s="2">
        <v>0.26300000000000001</v>
      </c>
      <c r="E2757" s="2">
        <v>13</v>
      </c>
      <c r="F2757" s="2" t="s">
        <v>16</v>
      </c>
    </row>
    <row r="2758" spans="1:6" ht="25.5">
      <c r="A2758" s="2">
        <v>2755</v>
      </c>
      <c r="B2758" s="2" t="s">
        <v>2827</v>
      </c>
      <c r="C2758" s="2" t="str">
        <f>"14643537"</f>
        <v>14643537</v>
      </c>
      <c r="D2758" s="2">
        <v>1.08</v>
      </c>
      <c r="E2758" s="2">
        <v>25</v>
      </c>
      <c r="F2758" s="2" t="s">
        <v>16</v>
      </c>
    </row>
    <row r="2759" spans="1:6" ht="25.5">
      <c r="A2759" s="2">
        <v>2756</v>
      </c>
      <c r="B2759" s="2" t="s">
        <v>2828</v>
      </c>
      <c r="C2759" s="2" t="str">
        <f>"14682842"</f>
        <v>14682842</v>
      </c>
      <c r="D2759" s="2">
        <v>0.27300000000000002</v>
      </c>
      <c r="E2759" s="2">
        <v>11</v>
      </c>
      <c r="F2759" s="2" t="s">
        <v>16</v>
      </c>
    </row>
    <row r="2760" spans="1:6" ht="25.5">
      <c r="A2760" s="2">
        <v>2757</v>
      </c>
      <c r="B2760" s="2" t="s">
        <v>2829</v>
      </c>
      <c r="C2760" s="2" t="str">
        <f>"14716771"</f>
        <v>14716771</v>
      </c>
      <c r="D2760" s="2">
        <v>1.871</v>
      </c>
      <c r="E2760" s="2">
        <v>104</v>
      </c>
      <c r="F2760" s="2" t="s">
        <v>16</v>
      </c>
    </row>
    <row r="2761" spans="1:6" ht="25.5">
      <c r="A2761" s="2">
        <v>2758</v>
      </c>
      <c r="B2761" s="2" t="s">
        <v>2830</v>
      </c>
      <c r="C2761" s="2" t="str">
        <f>"09674845"</f>
        <v>09674845</v>
      </c>
      <c r="D2761" s="2">
        <v>0.217</v>
      </c>
      <c r="E2761" s="2">
        <v>30</v>
      </c>
      <c r="F2761" s="2" t="s">
        <v>16</v>
      </c>
    </row>
    <row r="2762" spans="1:6" ht="25.5">
      <c r="A2762" s="2">
        <v>2759</v>
      </c>
      <c r="B2762" s="2" t="s">
        <v>2831</v>
      </c>
      <c r="C2762" s="2" t="str">
        <f>"15321827"</f>
        <v>15321827</v>
      </c>
      <c r="D2762" s="2">
        <v>2.3109999999999999</v>
      </c>
      <c r="E2762" s="2">
        <v>154</v>
      </c>
      <c r="F2762" s="2" t="s">
        <v>16</v>
      </c>
    </row>
    <row r="2763" spans="1:6" ht="25.5">
      <c r="A2763" s="2">
        <v>2760</v>
      </c>
      <c r="B2763" s="2" t="s">
        <v>2832</v>
      </c>
      <c r="C2763" s="2" t="str">
        <f>"09696113"</f>
        <v>09696113</v>
      </c>
      <c r="D2763" s="2">
        <v>0.13200000000000001</v>
      </c>
      <c r="E2763" s="2">
        <v>12</v>
      </c>
      <c r="F2763" s="2" t="s">
        <v>16</v>
      </c>
    </row>
    <row r="2764" spans="1:6" ht="25.5">
      <c r="A2764" s="2">
        <v>2761</v>
      </c>
      <c r="B2764" s="2" t="s">
        <v>2833</v>
      </c>
      <c r="C2764" s="2" t="str">
        <f>"13652125"</f>
        <v>13652125</v>
      </c>
      <c r="D2764" s="2">
        <v>1.1499999999999999</v>
      </c>
      <c r="E2764" s="2">
        <v>91</v>
      </c>
      <c r="F2764" s="2" t="s">
        <v>16</v>
      </c>
    </row>
    <row r="2765" spans="1:6" ht="25.5">
      <c r="A2765" s="2">
        <v>2762</v>
      </c>
      <c r="B2765" s="2" t="s">
        <v>2834</v>
      </c>
      <c r="C2765" s="2" t="str">
        <f>"01446657"</f>
        <v>01446657</v>
      </c>
      <c r="D2765" s="2">
        <v>1.1080000000000001</v>
      </c>
      <c r="E2765" s="2">
        <v>58</v>
      </c>
      <c r="F2765" s="2" t="s">
        <v>6</v>
      </c>
    </row>
    <row r="2766" spans="1:6" ht="25.5">
      <c r="A2766" s="2">
        <v>2763</v>
      </c>
      <c r="B2766" s="2" t="s">
        <v>2835</v>
      </c>
      <c r="C2766" s="2" t="str">
        <f>"14750279"</f>
        <v>14750279</v>
      </c>
      <c r="D2766" s="2">
        <v>0.14799999999999999</v>
      </c>
      <c r="E2766" s="2">
        <v>1</v>
      </c>
      <c r="F2766" s="2" t="s">
        <v>16</v>
      </c>
    </row>
    <row r="2767" spans="1:6" ht="25.5">
      <c r="A2767" s="2">
        <v>2764</v>
      </c>
      <c r="B2767" s="2" t="s">
        <v>2836</v>
      </c>
      <c r="C2767" s="2" t="str">
        <f>"14624753"</f>
        <v>14624753</v>
      </c>
      <c r="D2767" s="2">
        <v>0.23200000000000001</v>
      </c>
      <c r="E2767" s="2">
        <v>16</v>
      </c>
      <c r="F2767" s="2" t="s">
        <v>16</v>
      </c>
    </row>
    <row r="2768" spans="1:6" ht="25.5">
      <c r="A2768" s="2">
        <v>2765</v>
      </c>
      <c r="B2768" s="2" t="s">
        <v>2837</v>
      </c>
      <c r="C2768" s="2" t="str">
        <f>"14643529"</f>
        <v>14643529</v>
      </c>
      <c r="D2768" s="2">
        <v>1.2889999999999999</v>
      </c>
      <c r="E2768" s="2">
        <v>39</v>
      </c>
      <c r="F2768" s="2" t="s">
        <v>16</v>
      </c>
    </row>
    <row r="2769" spans="1:6" ht="25.5">
      <c r="A2769" s="2">
        <v>2766</v>
      </c>
      <c r="B2769" s="2" t="s">
        <v>2838</v>
      </c>
      <c r="C2769" s="2" t="str">
        <f>"13652133"</f>
        <v>13652133</v>
      </c>
      <c r="D2769" s="2">
        <v>1.736</v>
      </c>
      <c r="E2769" s="2">
        <v>111</v>
      </c>
      <c r="F2769" s="2" t="s">
        <v>16</v>
      </c>
    </row>
    <row r="2770" spans="1:6" ht="25.5">
      <c r="A2770" s="2">
        <v>2767</v>
      </c>
      <c r="B2770" s="2" t="s">
        <v>2839</v>
      </c>
      <c r="C2770" s="2" t="str">
        <f>"09697950"</f>
        <v>09697950</v>
      </c>
      <c r="D2770" s="2">
        <v>0.14899999999999999</v>
      </c>
      <c r="E2770" s="2">
        <v>13</v>
      </c>
      <c r="F2770" s="2" t="s">
        <v>288</v>
      </c>
    </row>
    <row r="2771" spans="1:6" ht="25.5">
      <c r="A2771" s="2">
        <v>2768</v>
      </c>
      <c r="B2771" s="2" t="s">
        <v>2840</v>
      </c>
      <c r="C2771" s="2" t="str">
        <f>"0261510X"</f>
        <v>0261510X</v>
      </c>
      <c r="D2771" s="2">
        <v>0.77400000000000002</v>
      </c>
      <c r="E2771" s="2">
        <v>38</v>
      </c>
      <c r="F2771" s="2" t="s">
        <v>6</v>
      </c>
    </row>
    <row r="2772" spans="1:6" ht="25.5">
      <c r="A2772" s="2">
        <v>2769</v>
      </c>
      <c r="B2772" s="2" t="s">
        <v>2841</v>
      </c>
      <c r="C2772" s="2" t="str">
        <f>"14746514"</f>
        <v>14746514</v>
      </c>
      <c r="D2772" s="2">
        <v>0.23200000000000001</v>
      </c>
      <c r="E2772" s="2">
        <v>11</v>
      </c>
      <c r="F2772" s="2" t="s">
        <v>6</v>
      </c>
    </row>
    <row r="2773" spans="1:6" ht="25.5">
      <c r="A2773" s="2">
        <v>2770</v>
      </c>
      <c r="B2773" s="2" t="s">
        <v>2842</v>
      </c>
      <c r="C2773" s="2" t="str">
        <f>"00070998"</f>
        <v>00070998</v>
      </c>
      <c r="D2773" s="2">
        <v>1.335</v>
      </c>
      <c r="E2773" s="2">
        <v>46</v>
      </c>
      <c r="F2773" s="2" t="s">
        <v>6</v>
      </c>
    </row>
    <row r="2774" spans="1:6" ht="25.5">
      <c r="A2774" s="2">
        <v>2771</v>
      </c>
      <c r="B2774" s="2" t="s">
        <v>2843</v>
      </c>
      <c r="C2774" s="2" t="str">
        <f>"14678527"</f>
        <v>14678527</v>
      </c>
      <c r="D2774" s="2">
        <v>0.502</v>
      </c>
      <c r="E2774" s="2">
        <v>21</v>
      </c>
      <c r="F2774" s="2" t="s">
        <v>6</v>
      </c>
    </row>
    <row r="2775" spans="1:6" ht="25.5">
      <c r="A2775" s="2">
        <v>2772</v>
      </c>
      <c r="B2775" s="2" t="s">
        <v>2844</v>
      </c>
      <c r="C2775" s="2" t="str">
        <f>"14678535"</f>
        <v>14678535</v>
      </c>
      <c r="D2775" s="2">
        <v>1.675</v>
      </c>
      <c r="E2775" s="2">
        <v>39</v>
      </c>
      <c r="F2775" s="2" t="s">
        <v>16</v>
      </c>
    </row>
    <row r="2776" spans="1:6" ht="25.5">
      <c r="A2776" s="2">
        <v>2773</v>
      </c>
      <c r="B2776" s="2" t="s">
        <v>2845</v>
      </c>
      <c r="C2776" s="2" t="str">
        <f>"14636646"</f>
        <v>14636646</v>
      </c>
      <c r="D2776" s="2">
        <v>0.249</v>
      </c>
      <c r="E2776" s="2">
        <v>5</v>
      </c>
      <c r="F2776" s="2" t="s">
        <v>16</v>
      </c>
    </row>
    <row r="2777" spans="1:6" ht="25.5">
      <c r="A2777" s="2">
        <v>2774</v>
      </c>
      <c r="B2777" s="2" t="s">
        <v>2846</v>
      </c>
      <c r="C2777" s="2" t="str">
        <f>"14785242"</f>
        <v>14785242</v>
      </c>
      <c r="D2777" s="2">
        <v>0.64600000000000002</v>
      </c>
      <c r="E2777" s="2">
        <v>66</v>
      </c>
      <c r="F2777" s="2" t="s">
        <v>16</v>
      </c>
    </row>
    <row r="2778" spans="1:6" ht="25.5">
      <c r="A2778" s="2">
        <v>2775</v>
      </c>
      <c r="B2778" s="2" t="s">
        <v>2847</v>
      </c>
      <c r="C2778" s="2" t="str">
        <f>"14693534"</f>
        <v>14693534</v>
      </c>
      <c r="D2778" s="2">
        <v>0.316</v>
      </c>
      <c r="E2778" s="2">
        <v>22</v>
      </c>
      <c r="F2778" s="2" t="s">
        <v>6</v>
      </c>
    </row>
    <row r="2779" spans="1:6" ht="25.5">
      <c r="A2779" s="2">
        <v>2776</v>
      </c>
      <c r="B2779" s="2" t="s">
        <v>2848</v>
      </c>
      <c r="C2779" s="2" t="str">
        <f>"13652141"</f>
        <v>13652141</v>
      </c>
      <c r="D2779" s="2">
        <v>1.6439999999999999</v>
      </c>
      <c r="E2779" s="2">
        <v>134</v>
      </c>
      <c r="F2779" s="2" t="s">
        <v>16</v>
      </c>
    </row>
    <row r="2780" spans="1:6" ht="25.5">
      <c r="A2780" s="2">
        <v>2777</v>
      </c>
      <c r="B2780" s="2" t="s">
        <v>2849</v>
      </c>
      <c r="C2780" s="2" t="str">
        <f>"13580574"</f>
        <v>13580574</v>
      </c>
      <c r="D2780" s="2">
        <v>0.20799999999999999</v>
      </c>
      <c r="E2780" s="2">
        <v>10</v>
      </c>
      <c r="F2780" s="2" t="s">
        <v>16</v>
      </c>
    </row>
    <row r="2781" spans="1:6" ht="25.5">
      <c r="A2781" s="2">
        <v>2778</v>
      </c>
      <c r="B2781" s="2" t="s">
        <v>2850</v>
      </c>
      <c r="C2781" s="2" t="str">
        <f>"1359107X"</f>
        <v>1359107X</v>
      </c>
      <c r="D2781" s="2">
        <v>0.86</v>
      </c>
      <c r="E2781" s="2">
        <v>47</v>
      </c>
      <c r="F2781" s="2" t="s">
        <v>6</v>
      </c>
    </row>
    <row r="2782" spans="1:6">
      <c r="A2782" s="2">
        <v>2779</v>
      </c>
      <c r="B2782" s="2" t="s">
        <v>2851</v>
      </c>
      <c r="C2782" s="2" t="str">
        <f>"0"</f>
        <v>0</v>
      </c>
      <c r="D2782" s="2">
        <v>0.14499999999999999</v>
      </c>
      <c r="E2782" s="2">
        <v>20</v>
      </c>
      <c r="F2782" s="2" t="s">
        <v>16</v>
      </c>
    </row>
    <row r="2783" spans="1:6" ht="25.5">
      <c r="A2783" s="2">
        <v>2780</v>
      </c>
      <c r="B2783" s="2" t="s">
        <v>2852</v>
      </c>
      <c r="C2783" s="2" t="str">
        <f>"14678543"</f>
        <v>14678543</v>
      </c>
      <c r="D2783" s="2">
        <v>0.74399999999999999</v>
      </c>
      <c r="E2783" s="2">
        <v>34</v>
      </c>
      <c r="F2783" s="2" t="s">
        <v>16</v>
      </c>
    </row>
    <row r="2784" spans="1:6" ht="25.5">
      <c r="A2784" s="2">
        <v>2781</v>
      </c>
      <c r="B2784" s="2" t="s">
        <v>2853</v>
      </c>
      <c r="C2784" s="2" t="str">
        <f>"09617930"</f>
        <v>09617930</v>
      </c>
      <c r="D2784" s="2">
        <v>0.10100000000000001</v>
      </c>
      <c r="E2784" s="2">
        <v>5</v>
      </c>
      <c r="F2784" s="2" t="s">
        <v>16</v>
      </c>
    </row>
    <row r="2785" spans="1:6" ht="25.5">
      <c r="A2785" s="2">
        <v>2782</v>
      </c>
      <c r="B2785" s="2" t="s">
        <v>2854</v>
      </c>
      <c r="C2785" s="2" t="str">
        <f>"14683156"</f>
        <v>14683156</v>
      </c>
      <c r="D2785" s="2">
        <v>0.53400000000000003</v>
      </c>
      <c r="E2785" s="2">
        <v>17</v>
      </c>
      <c r="F2785" s="2" t="s">
        <v>16</v>
      </c>
    </row>
    <row r="2786" spans="1:6" ht="25.5">
      <c r="A2786" s="2">
        <v>2783</v>
      </c>
      <c r="B2786" s="2" t="s">
        <v>2855</v>
      </c>
      <c r="C2786" s="2" t="str">
        <f>"14678551"</f>
        <v>14678551</v>
      </c>
      <c r="D2786" s="2">
        <v>1.3</v>
      </c>
      <c r="E2786" s="2">
        <v>48</v>
      </c>
      <c r="F2786" s="2" t="s">
        <v>16</v>
      </c>
    </row>
    <row r="2787" spans="1:6" ht="25.5">
      <c r="A2787" s="2">
        <v>2784</v>
      </c>
      <c r="B2787" s="2" t="s">
        <v>2856</v>
      </c>
      <c r="C2787" s="2" t="str">
        <f>"00071102"</f>
        <v>00071102</v>
      </c>
      <c r="D2787" s="2">
        <v>1.109</v>
      </c>
      <c r="E2787" s="2">
        <v>27</v>
      </c>
      <c r="F2787" s="2" t="s">
        <v>6</v>
      </c>
    </row>
    <row r="2788" spans="1:6" ht="25.5">
      <c r="A2788" s="2">
        <v>2785</v>
      </c>
      <c r="B2788" s="2" t="s">
        <v>2857</v>
      </c>
      <c r="C2788" s="2" t="str">
        <f>"18759742"</f>
        <v>18759742</v>
      </c>
      <c r="D2788" s="2">
        <v>0.16700000000000001</v>
      </c>
      <c r="E2788" s="2">
        <v>4</v>
      </c>
      <c r="F2788" s="2" t="s">
        <v>75</v>
      </c>
    </row>
    <row r="2789" spans="1:6" ht="25.5">
      <c r="A2789" s="2">
        <v>2786</v>
      </c>
      <c r="B2789" s="2" t="s">
        <v>2858</v>
      </c>
      <c r="C2789" s="2" t="str">
        <f>"17578515"</f>
        <v>17578515</v>
      </c>
      <c r="D2789" s="2">
        <v>0.121</v>
      </c>
      <c r="E2789" s="2">
        <v>2</v>
      </c>
      <c r="F2789" s="2" t="s">
        <v>16</v>
      </c>
    </row>
    <row r="2790" spans="1:6" ht="25.5">
      <c r="A2790" s="2">
        <v>2787</v>
      </c>
      <c r="B2790" s="2" t="s">
        <v>2859</v>
      </c>
      <c r="C2790" s="2" t="str">
        <f>"14693542"</f>
        <v>14693542</v>
      </c>
      <c r="D2790" s="2">
        <v>0.29799999999999999</v>
      </c>
      <c r="E2790" s="2">
        <v>8</v>
      </c>
      <c r="F2790" s="2" t="s">
        <v>6</v>
      </c>
    </row>
    <row r="2791" spans="1:6" ht="25.5">
      <c r="A2791" s="2">
        <v>2788</v>
      </c>
      <c r="B2791" s="2" t="s">
        <v>2860</v>
      </c>
      <c r="C2791" s="2" t="str">
        <f>"09694900"</f>
        <v>09694900</v>
      </c>
      <c r="D2791" s="2">
        <v>0.21299999999999999</v>
      </c>
      <c r="E2791" s="2">
        <v>9</v>
      </c>
      <c r="F2791" s="2" t="s">
        <v>16</v>
      </c>
    </row>
    <row r="2792" spans="1:6" ht="25.5">
      <c r="A2792" s="2">
        <v>2789</v>
      </c>
      <c r="B2792" s="2" t="s">
        <v>2861</v>
      </c>
      <c r="C2792" s="2" t="str">
        <f>"14692104"</f>
        <v>14692104</v>
      </c>
      <c r="D2792" s="2">
        <v>0.51300000000000001</v>
      </c>
      <c r="E2792" s="2">
        <v>4</v>
      </c>
      <c r="F2792" s="2" t="s">
        <v>16</v>
      </c>
    </row>
    <row r="2793" spans="1:6" ht="25.5">
      <c r="A2793" s="2">
        <v>2790</v>
      </c>
      <c r="B2793" s="2" t="s">
        <v>2862</v>
      </c>
      <c r="C2793" s="2" t="str">
        <f>"1360046X"</f>
        <v>1360046X</v>
      </c>
      <c r="D2793" s="2">
        <v>0.45300000000000001</v>
      </c>
      <c r="E2793" s="2">
        <v>40</v>
      </c>
      <c r="F2793" s="2" t="s">
        <v>16</v>
      </c>
    </row>
    <row r="2794" spans="1:6" ht="25.5">
      <c r="A2794" s="2">
        <v>2791</v>
      </c>
      <c r="B2794" s="2" t="s">
        <v>2863</v>
      </c>
      <c r="C2794" s="2" t="str">
        <f>"09660461"</f>
        <v>09660461</v>
      </c>
      <c r="D2794" s="2">
        <v>0.313</v>
      </c>
      <c r="E2794" s="2">
        <v>26</v>
      </c>
      <c r="F2794" s="2" t="s">
        <v>16</v>
      </c>
    </row>
    <row r="2795" spans="1:6" ht="25.5">
      <c r="A2795" s="2">
        <v>2792</v>
      </c>
      <c r="B2795" s="2" t="s">
        <v>2864</v>
      </c>
      <c r="C2795" s="2" t="str">
        <f>"14752662"</f>
        <v>14752662</v>
      </c>
      <c r="D2795" s="2">
        <v>1.113</v>
      </c>
      <c r="E2795" s="2">
        <v>105</v>
      </c>
      <c r="F2795" s="2" t="s">
        <v>16</v>
      </c>
    </row>
    <row r="2796" spans="1:6" ht="25.5">
      <c r="A2796" s="2">
        <v>2793</v>
      </c>
      <c r="B2796" s="2" t="s">
        <v>2865</v>
      </c>
      <c r="C2796" s="2" t="str">
        <f>"14776006"</f>
        <v>14776006</v>
      </c>
      <c r="D2796" s="2">
        <v>0.46500000000000002</v>
      </c>
      <c r="E2796" s="2">
        <v>28</v>
      </c>
      <c r="F2796" s="2" t="s">
        <v>16</v>
      </c>
    </row>
    <row r="2797" spans="1:6" ht="25.5">
      <c r="A2797" s="2">
        <v>2794</v>
      </c>
      <c r="B2797" s="2" t="s">
        <v>2866</v>
      </c>
      <c r="C2797" s="2" t="str">
        <f>"00071161"</f>
        <v>00071161</v>
      </c>
      <c r="D2797" s="2">
        <v>1.6970000000000001</v>
      </c>
      <c r="E2797" s="2">
        <v>94</v>
      </c>
      <c r="F2797" s="2" t="s">
        <v>16</v>
      </c>
    </row>
    <row r="2798" spans="1:6" ht="25.5">
      <c r="A2798" s="2">
        <v>2795</v>
      </c>
      <c r="B2798" s="2" t="s">
        <v>2867</v>
      </c>
      <c r="C2798" s="2" t="str">
        <f>"02664356"</f>
        <v>02664356</v>
      </c>
      <c r="D2798" s="2">
        <v>0.80800000000000005</v>
      </c>
      <c r="E2798" s="2">
        <v>45</v>
      </c>
      <c r="F2798" s="2" t="s">
        <v>6</v>
      </c>
    </row>
    <row r="2799" spans="1:6" ht="25.5">
      <c r="A2799" s="2">
        <v>2796</v>
      </c>
      <c r="B2799" s="2" t="s">
        <v>2868</v>
      </c>
      <c r="C2799" s="2" t="str">
        <f>"00071188"</f>
        <v>00071188</v>
      </c>
      <c r="D2799" s="2">
        <v>1.488</v>
      </c>
      <c r="E2799" s="2">
        <v>139</v>
      </c>
      <c r="F2799" s="2" t="s">
        <v>16</v>
      </c>
    </row>
    <row r="2800" spans="1:6" ht="25.5">
      <c r="A2800" s="2">
        <v>2797</v>
      </c>
      <c r="B2800" s="2" t="s">
        <v>2869</v>
      </c>
      <c r="C2800" s="2" t="str">
        <f>"14692112"</f>
        <v>14692112</v>
      </c>
      <c r="D2800" s="2">
        <v>3.294</v>
      </c>
      <c r="E2800" s="2">
        <v>40</v>
      </c>
      <c r="F2800" s="2" t="s">
        <v>16</v>
      </c>
    </row>
    <row r="2801" spans="1:6" ht="25.5">
      <c r="A2801" s="2">
        <v>2798</v>
      </c>
      <c r="B2801" s="2" t="s">
        <v>2870</v>
      </c>
      <c r="C2801" s="2" t="str">
        <f>"13691481"</f>
        <v>13691481</v>
      </c>
      <c r="D2801" s="2">
        <v>0.67</v>
      </c>
      <c r="E2801" s="2">
        <v>15</v>
      </c>
      <c r="F2801" s="2" t="s">
        <v>16</v>
      </c>
    </row>
    <row r="2802" spans="1:6" ht="25.5">
      <c r="A2802" s="2">
        <v>2799</v>
      </c>
      <c r="B2802" s="2" t="s">
        <v>2871</v>
      </c>
      <c r="C2802" s="2" t="str">
        <f>"14721465"</f>
        <v>14721465</v>
      </c>
      <c r="D2802" s="2">
        <v>2.524</v>
      </c>
      <c r="E2802" s="2">
        <v>141</v>
      </c>
      <c r="F2802" s="2" t="s">
        <v>16</v>
      </c>
    </row>
    <row r="2803" spans="1:6" ht="25.5">
      <c r="A2803" s="2">
        <v>2800</v>
      </c>
      <c r="B2803" s="2" t="s">
        <v>2872</v>
      </c>
      <c r="C2803" s="2" t="str">
        <f>"00071269"</f>
        <v>00071269</v>
      </c>
      <c r="D2803" s="2">
        <v>0.89500000000000002</v>
      </c>
      <c r="E2803" s="2">
        <v>49</v>
      </c>
      <c r="F2803" s="2" t="s">
        <v>6</v>
      </c>
    </row>
    <row r="2804" spans="1:6" ht="25.5">
      <c r="A2804" s="2">
        <v>2801</v>
      </c>
      <c r="B2804" s="2" t="s">
        <v>2873</v>
      </c>
      <c r="C2804" s="2" t="str">
        <f>"02659883"</f>
        <v>02659883</v>
      </c>
      <c r="D2804" s="2">
        <v>0.36099999999999999</v>
      </c>
      <c r="E2804" s="2">
        <v>9</v>
      </c>
      <c r="F2804" s="2" t="s">
        <v>16</v>
      </c>
    </row>
    <row r="2805" spans="1:6" ht="25.5">
      <c r="A2805" s="2">
        <v>2802</v>
      </c>
      <c r="B2805" s="2" t="s">
        <v>2874</v>
      </c>
      <c r="C2805" s="2" t="str">
        <f>"1748880X"</f>
        <v>1748880X</v>
      </c>
      <c r="D2805" s="2">
        <v>0.48099999999999998</v>
      </c>
      <c r="E2805" s="2">
        <v>69</v>
      </c>
      <c r="F2805" s="2" t="s">
        <v>16</v>
      </c>
    </row>
    <row r="2806" spans="1:6" ht="25.5">
      <c r="A2806" s="2">
        <v>2803</v>
      </c>
      <c r="B2806" s="2" t="s">
        <v>2875</v>
      </c>
      <c r="C2806" s="2" t="str">
        <f>"17407931"</f>
        <v>17407931</v>
      </c>
      <c r="D2806" s="2">
        <v>0.23499999999999999</v>
      </c>
      <c r="E2806" s="2">
        <v>10</v>
      </c>
      <c r="F2806" s="2" t="s">
        <v>16</v>
      </c>
    </row>
    <row r="2807" spans="1:6" ht="25.5">
      <c r="A2807" s="2">
        <v>2804</v>
      </c>
      <c r="B2807" s="2" t="s">
        <v>2876</v>
      </c>
      <c r="C2807" s="2" t="str">
        <f>"01446665"</f>
        <v>01446665</v>
      </c>
      <c r="D2807" s="2">
        <v>1.127</v>
      </c>
      <c r="E2807" s="2">
        <v>50</v>
      </c>
      <c r="F2807" s="2" t="s">
        <v>6</v>
      </c>
    </row>
    <row r="2808" spans="1:6" ht="25.5">
      <c r="A2808" s="2">
        <v>2805</v>
      </c>
      <c r="B2808" s="2" t="s">
        <v>2877</v>
      </c>
      <c r="C2808" s="2" t="str">
        <f>"1468263X"</f>
        <v>1468263X</v>
      </c>
      <c r="D2808" s="2">
        <v>0.97199999999999998</v>
      </c>
      <c r="E2808" s="2">
        <v>35</v>
      </c>
      <c r="F2808" s="2" t="s">
        <v>16</v>
      </c>
    </row>
    <row r="2809" spans="1:6" ht="25.5">
      <c r="A2809" s="2">
        <v>2806</v>
      </c>
      <c r="B2809" s="2" t="s">
        <v>2878</v>
      </c>
      <c r="C2809" s="2" t="str">
        <f>"14684446"</f>
        <v>14684446</v>
      </c>
      <c r="D2809" s="2">
        <v>0.70099999999999996</v>
      </c>
      <c r="E2809" s="2">
        <v>41</v>
      </c>
      <c r="F2809" s="2" t="s">
        <v>16</v>
      </c>
    </row>
    <row r="2810" spans="1:6" ht="25.5">
      <c r="A2810" s="2">
        <v>2807</v>
      </c>
      <c r="B2810" s="2" t="s">
        <v>2879</v>
      </c>
      <c r="C2810" s="2" t="str">
        <f>"14653346"</f>
        <v>14653346</v>
      </c>
      <c r="D2810" s="2">
        <v>1.163</v>
      </c>
      <c r="E2810" s="2">
        <v>33</v>
      </c>
      <c r="F2810" s="2" t="s">
        <v>16</v>
      </c>
    </row>
    <row r="2811" spans="1:6" ht="25.5">
      <c r="A2811" s="2">
        <v>2808</v>
      </c>
      <c r="B2811" s="2" t="s">
        <v>2880</v>
      </c>
      <c r="C2811" s="2" t="str">
        <f>"14678578"</f>
        <v>14678578</v>
      </c>
      <c r="D2811" s="2">
        <v>0.56599999999999995</v>
      </c>
      <c r="E2811" s="2">
        <v>12</v>
      </c>
      <c r="F2811" s="2" t="s">
        <v>16</v>
      </c>
    </row>
    <row r="2812" spans="1:6" ht="25.5">
      <c r="A2812" s="2">
        <v>2809</v>
      </c>
      <c r="B2812" s="2" t="s">
        <v>2881</v>
      </c>
      <c r="C2812" s="2" t="str">
        <f>"14730480"</f>
        <v>14730480</v>
      </c>
      <c r="D2812" s="2">
        <v>1.6419999999999999</v>
      </c>
      <c r="E2812" s="2">
        <v>77</v>
      </c>
      <c r="F2812" s="2" t="s">
        <v>16</v>
      </c>
    </row>
    <row r="2813" spans="1:6" ht="25.5">
      <c r="A2813" s="2">
        <v>2810</v>
      </c>
      <c r="B2813" s="2" t="s">
        <v>2882</v>
      </c>
      <c r="C2813" s="2" t="str">
        <f>"13652168"</f>
        <v>13652168</v>
      </c>
      <c r="D2813" s="2">
        <v>1.9219999999999999</v>
      </c>
      <c r="E2813" s="2">
        <v>132</v>
      </c>
      <c r="F2813" s="2" t="s">
        <v>16</v>
      </c>
    </row>
    <row r="2814" spans="1:6" ht="25.5">
      <c r="A2814" s="2">
        <v>2811</v>
      </c>
      <c r="B2814" s="2" t="s">
        <v>2883</v>
      </c>
      <c r="C2814" s="2" t="str">
        <f>"14718391"</f>
        <v>14718391</v>
      </c>
      <c r="D2814" s="2">
        <v>0.96</v>
      </c>
      <c r="E2814" s="2">
        <v>68</v>
      </c>
      <c r="F2814" s="2" t="s">
        <v>16</v>
      </c>
    </row>
    <row r="2815" spans="1:6" ht="25.5">
      <c r="A2815" s="2">
        <v>2812</v>
      </c>
      <c r="B2815" s="2" t="s">
        <v>2884</v>
      </c>
      <c r="C2815" s="2" t="str">
        <f>"09598146"</f>
        <v>09598146</v>
      </c>
      <c r="D2815" s="2">
        <v>1.4790000000000001</v>
      </c>
      <c r="E2815" s="2">
        <v>275</v>
      </c>
      <c r="F2815" s="2" t="s">
        <v>16</v>
      </c>
    </row>
    <row r="2816" spans="1:6" ht="25.5">
      <c r="A2816" s="2">
        <v>2813</v>
      </c>
      <c r="B2816" s="2" t="s">
        <v>2885</v>
      </c>
      <c r="C2816" s="2" t="str">
        <f>"17469198"</f>
        <v>17469198</v>
      </c>
      <c r="D2816" s="2">
        <v>0.94</v>
      </c>
      <c r="E2816" s="2">
        <v>10</v>
      </c>
      <c r="F2816" s="2" t="s">
        <v>16</v>
      </c>
    </row>
    <row r="2817" spans="1:6" ht="25.5">
      <c r="A2817" s="2">
        <v>2814</v>
      </c>
      <c r="B2817" s="2" t="s">
        <v>2886</v>
      </c>
      <c r="C2817" s="2" t="str">
        <f>"14661799"</f>
        <v>14661799</v>
      </c>
      <c r="D2817" s="2">
        <v>0.63500000000000001</v>
      </c>
      <c r="E2817" s="2">
        <v>55</v>
      </c>
      <c r="F2817" s="2" t="s">
        <v>16</v>
      </c>
    </row>
    <row r="2818" spans="1:6" ht="25.5">
      <c r="A2818" s="2">
        <v>2815</v>
      </c>
      <c r="B2818" s="2" t="s">
        <v>2887</v>
      </c>
      <c r="C2818" s="2" t="str">
        <f>"09580956"</f>
        <v>09580956</v>
      </c>
      <c r="D2818" s="2">
        <v>0.24299999999999999</v>
      </c>
      <c r="E2818" s="2">
        <v>12</v>
      </c>
      <c r="F2818" s="2" t="s">
        <v>16</v>
      </c>
    </row>
    <row r="2819" spans="1:6" ht="25.5">
      <c r="A2819" s="2">
        <v>2816</v>
      </c>
      <c r="B2819" s="2" t="s">
        <v>2888</v>
      </c>
      <c r="C2819" s="2" t="str">
        <f>"0007196X"</f>
        <v>0007196X</v>
      </c>
      <c r="D2819" s="2">
        <v>0.436</v>
      </c>
      <c r="E2819" s="2">
        <v>18</v>
      </c>
      <c r="F2819" s="2" t="s">
        <v>6</v>
      </c>
    </row>
    <row r="2820" spans="1:6">
      <c r="A2820" s="2">
        <v>2817</v>
      </c>
      <c r="B2820" s="2" t="s">
        <v>2889</v>
      </c>
      <c r="C2820" s="2" t="str">
        <f>"0"</f>
        <v>0</v>
      </c>
      <c r="D2820" s="2">
        <v>0.10100000000000001</v>
      </c>
      <c r="E2820" s="2">
        <v>1</v>
      </c>
      <c r="F2820" s="2" t="s">
        <v>208</v>
      </c>
    </row>
    <row r="2821" spans="1:6" ht="25.5">
      <c r="A2821" s="2">
        <v>2818</v>
      </c>
      <c r="B2821" s="2" t="s">
        <v>2890</v>
      </c>
      <c r="C2821" s="2" t="str">
        <f>"0007215X"</f>
        <v>0007215X</v>
      </c>
      <c r="D2821" s="2">
        <v>0.161</v>
      </c>
      <c r="E2821" s="2">
        <v>5</v>
      </c>
      <c r="F2821" s="2" t="s">
        <v>149</v>
      </c>
    </row>
    <row r="2822" spans="1:6" ht="25.5">
      <c r="A2822" s="2">
        <v>2819</v>
      </c>
      <c r="B2822" s="2" t="s">
        <v>2891</v>
      </c>
      <c r="C2822" s="2" t="str">
        <f>"17458226"</f>
        <v>17458226</v>
      </c>
      <c r="D2822" s="2">
        <v>0.1</v>
      </c>
      <c r="E2822" s="2">
        <v>2</v>
      </c>
      <c r="F2822" s="2" t="s">
        <v>16</v>
      </c>
    </row>
    <row r="2823" spans="1:6" ht="25.5">
      <c r="A2823" s="2">
        <v>2820</v>
      </c>
      <c r="B2823" s="2" t="s">
        <v>2892</v>
      </c>
      <c r="C2823" s="2" t="str">
        <f>"15334465"</f>
        <v>15334465</v>
      </c>
      <c r="D2823" s="2">
        <v>8.9410000000000007</v>
      </c>
      <c r="E2823" s="2">
        <v>45</v>
      </c>
      <c r="F2823" s="2" t="s">
        <v>6</v>
      </c>
    </row>
    <row r="2824" spans="1:6" ht="25.5">
      <c r="A2824" s="2">
        <v>2821</v>
      </c>
      <c r="B2824" s="2" t="s">
        <v>2893</v>
      </c>
      <c r="C2824" s="2" t="str">
        <f>"18422691"</f>
        <v>18422691</v>
      </c>
      <c r="D2824" s="2">
        <v>0</v>
      </c>
      <c r="E2824" s="2">
        <v>0</v>
      </c>
      <c r="F2824" s="2" t="s">
        <v>19</v>
      </c>
    </row>
    <row r="2825" spans="1:6" ht="25.5">
      <c r="A2825" s="2">
        <v>2822</v>
      </c>
      <c r="B2825" s="2" t="s">
        <v>2894</v>
      </c>
      <c r="C2825" s="2" t="str">
        <f>"20793146"</f>
        <v>20793146</v>
      </c>
      <c r="D2825" s="2">
        <v>0.13100000000000001</v>
      </c>
      <c r="E2825" s="2">
        <v>2</v>
      </c>
      <c r="F2825" s="2" t="s">
        <v>2895</v>
      </c>
    </row>
    <row r="2826" spans="1:6" ht="25.5">
      <c r="A2826" s="2">
        <v>2823</v>
      </c>
      <c r="B2826" s="2" t="s">
        <v>2896</v>
      </c>
      <c r="C2826" s="2" t="str">
        <f>"17240441"</f>
        <v>17240441</v>
      </c>
      <c r="D2826" s="2">
        <v>0.10100000000000001</v>
      </c>
      <c r="E2826" s="2">
        <v>1</v>
      </c>
      <c r="F2826" s="2" t="s">
        <v>190</v>
      </c>
    </row>
    <row r="2827" spans="1:6" ht="25.5">
      <c r="A2827" s="2">
        <v>2824</v>
      </c>
      <c r="B2827" s="2" t="s">
        <v>2897</v>
      </c>
      <c r="C2827" s="2" t="str">
        <f>"00072745"</f>
        <v>00072745</v>
      </c>
      <c r="D2827" s="2">
        <v>0.49199999999999999</v>
      </c>
      <c r="E2827" s="2">
        <v>34</v>
      </c>
      <c r="F2827" s="2" t="s">
        <v>6</v>
      </c>
    </row>
    <row r="2828" spans="1:6" ht="25.5">
      <c r="A2828" s="2">
        <v>2825</v>
      </c>
      <c r="B2828" s="2" t="s">
        <v>2898</v>
      </c>
      <c r="C2828" s="2" t="str">
        <f>"17498430"</f>
        <v>17498430</v>
      </c>
      <c r="D2828" s="2">
        <v>0.111</v>
      </c>
      <c r="E2828" s="2">
        <v>1</v>
      </c>
      <c r="F2828" s="2" t="s">
        <v>16</v>
      </c>
    </row>
    <row r="2829" spans="1:6" ht="25.5">
      <c r="A2829" s="2">
        <v>2826</v>
      </c>
      <c r="B2829" s="2" t="s">
        <v>2899</v>
      </c>
      <c r="C2829" s="2" t="str">
        <f>"09728341"</f>
        <v>09728341</v>
      </c>
      <c r="D2829" s="2">
        <v>0.10299999999999999</v>
      </c>
      <c r="E2829" s="2">
        <v>2</v>
      </c>
      <c r="F2829" s="2" t="s">
        <v>488</v>
      </c>
    </row>
    <row r="2830" spans="1:6" ht="25.5">
      <c r="A2830" s="2">
        <v>2827</v>
      </c>
      <c r="B2830" s="2" t="s">
        <v>2900</v>
      </c>
      <c r="C2830" s="2" t="str">
        <f>"17588960"</f>
        <v>17588960</v>
      </c>
      <c r="D2830" s="2">
        <v>0.94599999999999995</v>
      </c>
      <c r="E2830" s="2">
        <v>5</v>
      </c>
      <c r="F2830" s="2" t="s">
        <v>16</v>
      </c>
    </row>
    <row r="2831" spans="1:6" ht="25.5">
      <c r="A2831" s="2">
        <v>2828</v>
      </c>
      <c r="B2831" s="2" t="s">
        <v>2901</v>
      </c>
      <c r="C2831" s="2" t="str">
        <f>"01256726"</f>
        <v>01256726</v>
      </c>
      <c r="D2831" s="2">
        <v>0.36799999999999999</v>
      </c>
      <c r="E2831" s="2">
        <v>3</v>
      </c>
      <c r="F2831" s="2" t="s">
        <v>1966</v>
      </c>
    </row>
    <row r="2832" spans="1:6" ht="25.5">
      <c r="A2832" s="2">
        <v>2829</v>
      </c>
      <c r="B2832" s="2" t="s">
        <v>2902</v>
      </c>
      <c r="C2832" s="2" t="str">
        <f>"00239356"</f>
        <v>00239356</v>
      </c>
      <c r="D2832" s="2">
        <v>0.34599999999999997</v>
      </c>
      <c r="E2832" s="2">
        <v>8</v>
      </c>
      <c r="F2832" s="2" t="s">
        <v>6</v>
      </c>
    </row>
    <row r="2833" spans="1:6" ht="25.5">
      <c r="A2833" s="2">
        <v>2830</v>
      </c>
      <c r="B2833" s="2" t="s">
        <v>2903</v>
      </c>
      <c r="C2833" s="2" t="str">
        <f>"1351010X"</f>
        <v>1351010X</v>
      </c>
      <c r="D2833" s="2">
        <v>0.63</v>
      </c>
      <c r="E2833" s="2">
        <v>2</v>
      </c>
      <c r="F2833" s="2" t="s">
        <v>16</v>
      </c>
    </row>
    <row r="2834" spans="1:6" ht="25.5">
      <c r="A2834" s="2">
        <v>2831</v>
      </c>
      <c r="B2834" s="2" t="s">
        <v>2904</v>
      </c>
      <c r="C2834" s="2" t="str">
        <f>"03601323"</f>
        <v>03601323</v>
      </c>
      <c r="D2834" s="2">
        <v>1.2669999999999999</v>
      </c>
      <c r="E2834" s="2">
        <v>53</v>
      </c>
      <c r="F2834" s="2" t="s">
        <v>75</v>
      </c>
    </row>
    <row r="2835" spans="1:6" ht="25.5">
      <c r="A2835" s="2">
        <v>2832</v>
      </c>
      <c r="B2835" s="2" t="s">
        <v>2905</v>
      </c>
      <c r="C2835" s="2" t="str">
        <f>"09698213"</f>
        <v>09698213</v>
      </c>
      <c r="D2835" s="2">
        <v>0.1</v>
      </c>
      <c r="E2835" s="2">
        <v>2</v>
      </c>
      <c r="F2835" s="2" t="s">
        <v>16</v>
      </c>
    </row>
    <row r="2836" spans="1:6" ht="25.5">
      <c r="A2836" s="2">
        <v>2833</v>
      </c>
      <c r="B2836" s="2" t="s">
        <v>2906</v>
      </c>
      <c r="C2836" s="2" t="str">
        <f>"14664321"</f>
        <v>14664321</v>
      </c>
      <c r="D2836" s="2">
        <v>1.357</v>
      </c>
      <c r="E2836" s="2">
        <v>33</v>
      </c>
      <c r="F2836" s="2" t="s">
        <v>6</v>
      </c>
    </row>
    <row r="2837" spans="1:6" ht="25.5">
      <c r="A2837" s="2">
        <v>2834</v>
      </c>
      <c r="B2837" s="2" t="s">
        <v>2907</v>
      </c>
      <c r="C2837" s="2" t="str">
        <f>"14770849"</f>
        <v>14770849</v>
      </c>
      <c r="D2837" s="2">
        <v>0.93600000000000005</v>
      </c>
      <c r="E2837" s="2">
        <v>17</v>
      </c>
      <c r="F2837" s="2" t="s">
        <v>6</v>
      </c>
    </row>
    <row r="2838" spans="1:6" ht="25.5">
      <c r="A2838" s="2">
        <v>2835</v>
      </c>
      <c r="B2838" s="2" t="s">
        <v>2908</v>
      </c>
      <c r="C2838" s="2" t="str">
        <f>"19968744"</f>
        <v>19968744</v>
      </c>
      <c r="D2838" s="2">
        <v>0.443</v>
      </c>
      <c r="E2838" s="2">
        <v>5</v>
      </c>
      <c r="F2838" s="2" t="s">
        <v>46</v>
      </c>
    </row>
    <row r="2839" spans="1:6" ht="25.5">
      <c r="A2839" s="2">
        <v>2836</v>
      </c>
      <c r="B2839" s="2" t="s">
        <v>2909</v>
      </c>
      <c r="C2839" s="2" t="str">
        <f>"02637960"</f>
        <v>02637960</v>
      </c>
      <c r="D2839" s="2">
        <v>0.27800000000000002</v>
      </c>
      <c r="E2839" s="2">
        <v>14</v>
      </c>
      <c r="F2839" s="2" t="s">
        <v>16</v>
      </c>
    </row>
    <row r="2840" spans="1:6" ht="25.5">
      <c r="A2840" s="2">
        <v>2837</v>
      </c>
      <c r="B2840" s="2" t="s">
        <v>2910</v>
      </c>
      <c r="C2840" s="2" t="str">
        <f>"10247696"</f>
        <v>10247696</v>
      </c>
      <c r="D2840" s="2">
        <v>0.161</v>
      </c>
      <c r="E2840" s="2">
        <v>2</v>
      </c>
      <c r="F2840" s="2" t="s">
        <v>2911</v>
      </c>
    </row>
    <row r="2841" spans="1:6" ht="25.5">
      <c r="A2841" s="2">
        <v>2838</v>
      </c>
      <c r="B2841" s="2" t="s">
        <v>2912</v>
      </c>
      <c r="C2841" s="2" t="str">
        <f>"08619808"</f>
        <v>08619808</v>
      </c>
      <c r="D2841" s="2">
        <v>0.14000000000000001</v>
      </c>
      <c r="E2841" s="2">
        <v>4</v>
      </c>
      <c r="F2841" s="2" t="s">
        <v>293</v>
      </c>
    </row>
    <row r="2842" spans="1:6" ht="25.5">
      <c r="A2842" s="2">
        <v>2839</v>
      </c>
      <c r="B2842" s="2" t="s">
        <v>2913</v>
      </c>
      <c r="C2842" s="2" t="str">
        <f>"02048906"</f>
        <v>02048906</v>
      </c>
      <c r="D2842" s="2">
        <v>0.1</v>
      </c>
      <c r="E2842" s="2">
        <v>1</v>
      </c>
      <c r="F2842" s="2" t="s">
        <v>135</v>
      </c>
    </row>
    <row r="2843" spans="1:6" ht="25.5">
      <c r="A2843" s="2">
        <v>2840</v>
      </c>
      <c r="B2843" s="2" t="s">
        <v>2914</v>
      </c>
      <c r="C2843" s="2" t="str">
        <f>"13100351"</f>
        <v>13100351</v>
      </c>
      <c r="D2843" s="2">
        <v>0.214</v>
      </c>
      <c r="E2843" s="2">
        <v>5</v>
      </c>
      <c r="F2843" s="2" t="s">
        <v>293</v>
      </c>
    </row>
    <row r="2844" spans="1:6" ht="25.5">
      <c r="A2844" s="2">
        <v>2841</v>
      </c>
      <c r="B2844" s="2" t="s">
        <v>2915</v>
      </c>
      <c r="C2844" s="2" t="str">
        <f>"01739980"</f>
        <v>01739980</v>
      </c>
      <c r="D2844" s="2">
        <v>0.104</v>
      </c>
      <c r="E2844" s="2">
        <v>9</v>
      </c>
      <c r="F2844" s="2" t="s">
        <v>12</v>
      </c>
    </row>
    <row r="2845" spans="1:6" ht="25.5">
      <c r="A2845" s="2">
        <v>2842</v>
      </c>
      <c r="B2845" s="2" t="s">
        <v>2916</v>
      </c>
      <c r="C2845" s="2" t="str">
        <f>"00074802"</f>
        <v>00074802</v>
      </c>
      <c r="D2845" s="2">
        <v>0.57299999999999995</v>
      </c>
      <c r="E2845" s="2">
        <v>23</v>
      </c>
      <c r="F2845" s="2" t="s">
        <v>64</v>
      </c>
    </row>
    <row r="2846" spans="1:6" ht="25.5">
      <c r="A2846" s="2">
        <v>2843</v>
      </c>
      <c r="B2846" s="2" t="s">
        <v>2917</v>
      </c>
      <c r="C2846" s="2" t="str">
        <f>"08409331"</f>
        <v>08409331</v>
      </c>
      <c r="D2846" s="2">
        <v>0.121</v>
      </c>
      <c r="E2846" s="2">
        <v>2</v>
      </c>
      <c r="F2846" s="2" t="s">
        <v>64</v>
      </c>
    </row>
    <row r="2847" spans="1:6" ht="25.5">
      <c r="A2847" s="2">
        <v>2844</v>
      </c>
      <c r="B2847" s="2" t="s">
        <v>2918</v>
      </c>
      <c r="C2847" s="2" t="str">
        <f>"0528600X"</f>
        <v>0528600X</v>
      </c>
      <c r="D2847" s="2">
        <v>0.105</v>
      </c>
      <c r="E2847" s="2">
        <v>0</v>
      </c>
      <c r="F2847" s="2" t="s">
        <v>75</v>
      </c>
    </row>
    <row r="2848" spans="1:6" ht="25.5">
      <c r="A2848" s="2">
        <v>2845</v>
      </c>
      <c r="B2848" s="2" t="s">
        <v>2919</v>
      </c>
      <c r="C2848" s="2" t="str">
        <f>"00014079"</f>
        <v>00014079</v>
      </c>
      <c r="D2848" s="2">
        <v>0.129</v>
      </c>
      <c r="E2848" s="2">
        <v>16</v>
      </c>
      <c r="F2848" s="2" t="s">
        <v>190</v>
      </c>
    </row>
    <row r="2849" spans="1:6" ht="25.5">
      <c r="A2849" s="2">
        <v>2846</v>
      </c>
      <c r="B2849" s="2" t="s">
        <v>2920</v>
      </c>
      <c r="C2849" s="2" t="str">
        <f>"00014192"</f>
        <v>00014192</v>
      </c>
      <c r="D2849" s="2">
        <v>0.13600000000000001</v>
      </c>
      <c r="E2849" s="2">
        <v>3</v>
      </c>
      <c r="F2849" s="2" t="s">
        <v>66</v>
      </c>
    </row>
    <row r="2850" spans="1:6" ht="25.5">
      <c r="A2850" s="2">
        <v>2847</v>
      </c>
      <c r="B2850" s="2" t="s">
        <v>2921</v>
      </c>
      <c r="C2850" s="2" t="str">
        <f>"00810746"</f>
        <v>00810746</v>
      </c>
      <c r="D2850" s="2">
        <v>0.19600000000000001</v>
      </c>
      <c r="E2850" s="2">
        <v>15</v>
      </c>
      <c r="F2850" s="2" t="s">
        <v>161</v>
      </c>
    </row>
    <row r="2851" spans="1:6" ht="25.5">
      <c r="A2851" s="2">
        <v>2848</v>
      </c>
      <c r="B2851" s="2" t="s">
        <v>2922</v>
      </c>
      <c r="C2851" s="2" t="str">
        <f>"00379069"</f>
        <v>00379069</v>
      </c>
      <c r="D2851" s="2">
        <v>0.12</v>
      </c>
      <c r="E2851" s="2">
        <v>6</v>
      </c>
      <c r="F2851" s="2" t="s">
        <v>161</v>
      </c>
    </row>
    <row r="2852" spans="1:6" ht="25.5">
      <c r="A2852" s="2">
        <v>2849</v>
      </c>
      <c r="B2852" s="2" t="s">
        <v>2923</v>
      </c>
      <c r="C2852" s="2" t="str">
        <f>"19619049"</f>
        <v>19619049</v>
      </c>
      <c r="D2852" s="2">
        <v>0.252</v>
      </c>
      <c r="E2852" s="2">
        <v>18</v>
      </c>
      <c r="F2852" s="2" t="s">
        <v>66</v>
      </c>
    </row>
    <row r="2853" spans="1:6" ht="25.5">
      <c r="A2853" s="2">
        <v>2850</v>
      </c>
      <c r="B2853" s="2" t="s">
        <v>2924</v>
      </c>
      <c r="C2853" s="2" t="str">
        <f>"00379247"</f>
        <v>00379247</v>
      </c>
      <c r="D2853" s="2">
        <v>0.11899999999999999</v>
      </c>
      <c r="E2853" s="2">
        <v>4</v>
      </c>
      <c r="F2853" s="2" t="s">
        <v>2925</v>
      </c>
    </row>
    <row r="2854" spans="1:6" ht="25.5">
      <c r="A2854" s="2">
        <v>2851</v>
      </c>
      <c r="B2854" s="2" t="s">
        <v>2926</v>
      </c>
      <c r="C2854" s="2" t="str">
        <f>"00379484"</f>
        <v>00379484</v>
      </c>
      <c r="D2854" s="2">
        <v>1.0029999999999999</v>
      </c>
      <c r="E2854" s="2">
        <v>17</v>
      </c>
      <c r="F2854" s="2" t="s">
        <v>66</v>
      </c>
    </row>
    <row r="2855" spans="1:6" ht="25.5">
      <c r="A2855" s="2">
        <v>2852</v>
      </c>
      <c r="B2855" s="2" t="s">
        <v>2927</v>
      </c>
      <c r="C2855" s="2" t="str">
        <f>"02497638"</f>
        <v>02497638</v>
      </c>
      <c r="D2855" s="2">
        <v>0.215</v>
      </c>
      <c r="E2855" s="2">
        <v>9</v>
      </c>
      <c r="F2855" s="2" t="s">
        <v>66</v>
      </c>
    </row>
    <row r="2856" spans="1:6" ht="25.5">
      <c r="A2856" s="2">
        <v>2853</v>
      </c>
      <c r="B2856" s="2" t="s">
        <v>2928</v>
      </c>
      <c r="C2856" s="2" t="str">
        <f>"00379565"</f>
        <v>00379565</v>
      </c>
      <c r="D2856" s="2">
        <v>0.104</v>
      </c>
      <c r="E2856" s="2">
        <v>7</v>
      </c>
      <c r="F2856" s="2" t="s">
        <v>161</v>
      </c>
    </row>
    <row r="2857" spans="1:6" ht="25.5">
      <c r="A2857" s="2">
        <v>2854</v>
      </c>
      <c r="B2857" s="2" t="s">
        <v>2929</v>
      </c>
      <c r="C2857" s="2" t="str">
        <f>"00379603"</f>
        <v>00379603</v>
      </c>
      <c r="D2857" s="2">
        <v>0.12</v>
      </c>
      <c r="E2857" s="2">
        <v>8</v>
      </c>
      <c r="F2857" s="2" t="s">
        <v>31</v>
      </c>
    </row>
    <row r="2858" spans="1:6" ht="25.5">
      <c r="A2858" s="2">
        <v>2855</v>
      </c>
      <c r="B2858" s="2" t="s">
        <v>2930</v>
      </c>
      <c r="C2858" s="2" t="str">
        <f>"0037962X"</f>
        <v>0037962X</v>
      </c>
      <c r="D2858" s="2">
        <v>0.106</v>
      </c>
      <c r="E2858" s="2">
        <v>8</v>
      </c>
      <c r="F2858" s="2" t="s">
        <v>66</v>
      </c>
    </row>
    <row r="2859" spans="1:6" ht="25.5">
      <c r="A2859" s="2">
        <v>2856</v>
      </c>
      <c r="B2859" s="2" t="s">
        <v>2931</v>
      </c>
      <c r="C2859" s="2" t="str">
        <f>"00045322"</f>
        <v>00045322</v>
      </c>
      <c r="D2859" s="2">
        <v>0.14599999999999999</v>
      </c>
      <c r="E2859" s="2">
        <v>4</v>
      </c>
      <c r="F2859" s="2" t="s">
        <v>66</v>
      </c>
    </row>
    <row r="2860" spans="1:6" ht="25.5">
      <c r="A2860" s="2">
        <v>2857</v>
      </c>
      <c r="B2860" s="2" t="s">
        <v>2932</v>
      </c>
      <c r="C2860" s="2" t="str">
        <f>"19648995"</f>
        <v>19648995</v>
      </c>
      <c r="D2860" s="2">
        <v>0.1</v>
      </c>
      <c r="E2860" s="2">
        <v>0</v>
      </c>
      <c r="F2860" s="2" t="s">
        <v>66</v>
      </c>
    </row>
    <row r="2861" spans="1:6" ht="25.5">
      <c r="A2861" s="2">
        <v>2858</v>
      </c>
      <c r="B2861" s="2" t="s">
        <v>2933</v>
      </c>
      <c r="C2861" s="2" t="str">
        <f>"03746291"</f>
        <v>03746291</v>
      </c>
      <c r="D2861" s="2">
        <v>0.114</v>
      </c>
      <c r="E2861" s="2">
        <v>20</v>
      </c>
      <c r="F2861" s="2" t="s">
        <v>161</v>
      </c>
    </row>
    <row r="2862" spans="1:6" ht="25.5">
      <c r="A2862" s="2">
        <v>2859</v>
      </c>
      <c r="B2862" s="2" t="s">
        <v>2934</v>
      </c>
      <c r="C2862" s="2" t="str">
        <f>"00074497"</f>
        <v>00074497</v>
      </c>
      <c r="D2862" s="2">
        <v>0.42299999999999999</v>
      </c>
      <c r="E2862" s="2">
        <v>19</v>
      </c>
      <c r="F2862" s="2" t="s">
        <v>190</v>
      </c>
    </row>
    <row r="2863" spans="1:6" ht="25.5">
      <c r="A2863" s="2">
        <v>2860</v>
      </c>
      <c r="B2863" s="2" t="s">
        <v>2935</v>
      </c>
      <c r="C2863" s="2" t="str">
        <f>"00074551"</f>
        <v>00074551</v>
      </c>
      <c r="D2863" s="2">
        <v>0.20499999999999999</v>
      </c>
      <c r="E2863" s="2">
        <v>29</v>
      </c>
      <c r="F2863" s="2" t="s">
        <v>66</v>
      </c>
    </row>
    <row r="2864" spans="1:6" ht="25.5">
      <c r="A2864" s="2">
        <v>2861</v>
      </c>
      <c r="B2864" s="2" t="s">
        <v>2936</v>
      </c>
      <c r="C2864" s="2" t="str">
        <f>"02504693"</f>
        <v>02504693</v>
      </c>
      <c r="D2864" s="2">
        <v>0.10100000000000001</v>
      </c>
      <c r="E2864" s="2">
        <v>8</v>
      </c>
      <c r="F2864" s="2" t="s">
        <v>161</v>
      </c>
    </row>
    <row r="2865" spans="1:6" ht="25.5">
      <c r="A2865" s="2">
        <v>2862</v>
      </c>
      <c r="B2865" s="2" t="s">
        <v>2937</v>
      </c>
      <c r="C2865" s="2" t="str">
        <f>"03778231"</f>
        <v>03778231</v>
      </c>
      <c r="D2865" s="2">
        <v>0.13300000000000001</v>
      </c>
      <c r="E2865" s="2">
        <v>8</v>
      </c>
      <c r="F2865" s="2" t="s">
        <v>161</v>
      </c>
    </row>
    <row r="2866" spans="1:6" ht="25.5">
      <c r="A2866" s="2">
        <v>2863</v>
      </c>
      <c r="B2866" s="2" t="s">
        <v>2938</v>
      </c>
      <c r="C2866" s="2" t="str">
        <f>"00074640"</f>
        <v>00074640</v>
      </c>
      <c r="D2866" s="2">
        <v>0.1</v>
      </c>
      <c r="E2866" s="2">
        <v>2</v>
      </c>
      <c r="F2866" s="2" t="s">
        <v>66</v>
      </c>
    </row>
    <row r="2867" spans="1:6" ht="25.5">
      <c r="A2867" s="2">
        <v>2864</v>
      </c>
      <c r="B2867" s="2" t="s">
        <v>2939</v>
      </c>
      <c r="C2867" s="2" t="str">
        <f>"0301102X"</f>
        <v>0301102X</v>
      </c>
      <c r="D2867" s="2">
        <v>0</v>
      </c>
      <c r="E2867" s="2">
        <v>1</v>
      </c>
      <c r="F2867" s="2" t="s">
        <v>16</v>
      </c>
    </row>
    <row r="2868" spans="1:6" ht="25.5">
      <c r="A2868" s="2">
        <v>2865</v>
      </c>
      <c r="B2868" s="2" t="s">
        <v>2940</v>
      </c>
      <c r="C2868" s="2" t="str">
        <f>"12203874"</f>
        <v>12203874</v>
      </c>
      <c r="D2868" s="2">
        <v>0.36299999999999999</v>
      </c>
      <c r="E2868" s="2">
        <v>6</v>
      </c>
      <c r="F2868" s="2" t="s">
        <v>19</v>
      </c>
    </row>
    <row r="2869" spans="1:6" ht="25.5">
      <c r="A2869" s="2">
        <v>2866</v>
      </c>
      <c r="B2869" s="2" t="s">
        <v>2941</v>
      </c>
      <c r="C2869" s="2" t="str">
        <f>"18046495"</f>
        <v>18046495</v>
      </c>
      <c r="D2869" s="2">
        <v>0</v>
      </c>
      <c r="E2869" s="2">
        <v>0</v>
      </c>
      <c r="F2869" s="2" t="s">
        <v>208</v>
      </c>
    </row>
    <row r="2870" spans="1:6" ht="25.5">
      <c r="A2870" s="2">
        <v>2867</v>
      </c>
      <c r="B2870" s="2" t="s">
        <v>2942</v>
      </c>
      <c r="C2870" s="2" t="str">
        <f>"0007473X"</f>
        <v>0007473X</v>
      </c>
      <c r="D2870" s="2">
        <v>0.1</v>
      </c>
      <c r="E2870" s="2">
        <v>2</v>
      </c>
      <c r="F2870" s="2" t="s">
        <v>66</v>
      </c>
    </row>
    <row r="2871" spans="1:6" ht="25.5">
      <c r="A2871" s="2">
        <v>2868</v>
      </c>
      <c r="B2871" s="2" t="s">
        <v>2943</v>
      </c>
      <c r="C2871" s="2" t="str">
        <f>"15228649"</f>
        <v>15228649</v>
      </c>
      <c r="D2871" s="2">
        <v>0.10100000000000001</v>
      </c>
      <c r="E2871" s="2">
        <v>2</v>
      </c>
      <c r="F2871" s="2" t="s">
        <v>6</v>
      </c>
    </row>
    <row r="2872" spans="1:6" ht="25.5">
      <c r="A2872" s="2">
        <v>2869</v>
      </c>
      <c r="B2872" s="2" t="s">
        <v>2944</v>
      </c>
      <c r="C2872" s="2" t="str">
        <f>"19782993"</f>
        <v>19782993</v>
      </c>
      <c r="D2872" s="2">
        <v>0.34799999999999998</v>
      </c>
      <c r="E2872" s="2">
        <v>2</v>
      </c>
      <c r="F2872" s="2" t="s">
        <v>297</v>
      </c>
    </row>
    <row r="2873" spans="1:6" ht="25.5">
      <c r="A2873" s="2">
        <v>2870</v>
      </c>
      <c r="B2873" s="2" t="s">
        <v>2945</v>
      </c>
      <c r="C2873" s="2" t="str">
        <f>"1570761X"</f>
        <v>1570761X</v>
      </c>
      <c r="D2873" s="2">
        <v>0.95</v>
      </c>
      <c r="E2873" s="2">
        <v>20</v>
      </c>
      <c r="F2873" s="2" t="s">
        <v>75</v>
      </c>
    </row>
    <row r="2874" spans="1:6" ht="25.5">
      <c r="A2874" s="2">
        <v>2871</v>
      </c>
      <c r="B2874" s="2" t="s">
        <v>2946</v>
      </c>
      <c r="C2874" s="2" t="str">
        <f>"14678586"</f>
        <v>14678586</v>
      </c>
      <c r="D2874" s="2">
        <v>0.30199999999999999</v>
      </c>
      <c r="E2874" s="2">
        <v>16</v>
      </c>
      <c r="F2874" s="2" t="s">
        <v>16</v>
      </c>
    </row>
    <row r="2875" spans="1:6" ht="25.5">
      <c r="A2875" s="2">
        <v>2872</v>
      </c>
      <c r="B2875" s="2" t="s">
        <v>2947</v>
      </c>
      <c r="C2875" s="2" t="str">
        <f>"14359537"</f>
        <v>14359537</v>
      </c>
      <c r="D2875" s="2">
        <v>0.61899999999999999</v>
      </c>
      <c r="E2875" s="2">
        <v>24</v>
      </c>
      <c r="F2875" s="2" t="s">
        <v>12</v>
      </c>
    </row>
    <row r="2876" spans="1:6" ht="25.5">
      <c r="A2876" s="2">
        <v>2873</v>
      </c>
      <c r="B2876" s="2" t="s">
        <v>2948</v>
      </c>
      <c r="C2876" s="2" t="str">
        <f>"14752670"</f>
        <v>14752670</v>
      </c>
      <c r="D2876" s="2">
        <v>0.80100000000000005</v>
      </c>
      <c r="E2876" s="2">
        <v>42</v>
      </c>
      <c r="F2876" s="2" t="s">
        <v>16</v>
      </c>
    </row>
    <row r="2877" spans="1:6" ht="25.5">
      <c r="A2877" s="2">
        <v>2874</v>
      </c>
      <c r="B2877" s="2" t="s">
        <v>2949</v>
      </c>
      <c r="C2877" s="2" t="str">
        <f>"14320800"</f>
        <v>14320800</v>
      </c>
      <c r="D2877" s="2">
        <v>0.55700000000000005</v>
      </c>
      <c r="E2877" s="2">
        <v>42</v>
      </c>
      <c r="F2877" s="2" t="s">
        <v>6</v>
      </c>
    </row>
    <row r="2878" spans="1:6" ht="25.5">
      <c r="A2878" s="2">
        <v>2875</v>
      </c>
      <c r="B2878" s="2" t="s">
        <v>2950</v>
      </c>
      <c r="C2878" s="2" t="str">
        <f>"15738221"</f>
        <v>15738221</v>
      </c>
      <c r="D2878" s="2">
        <v>0.14699999999999999</v>
      </c>
      <c r="E2878" s="2">
        <v>19</v>
      </c>
      <c r="F2878" s="2" t="s">
        <v>6</v>
      </c>
    </row>
    <row r="2879" spans="1:6" ht="25.5">
      <c r="A2879" s="2">
        <v>2876</v>
      </c>
      <c r="B2879" s="2" t="s">
        <v>2951</v>
      </c>
      <c r="C2879" s="2" t="str">
        <f>"17324254"</f>
        <v>17324254</v>
      </c>
      <c r="D2879" s="2">
        <v>0.22700000000000001</v>
      </c>
      <c r="E2879" s="2">
        <v>2</v>
      </c>
      <c r="F2879" s="2" t="s">
        <v>169</v>
      </c>
    </row>
    <row r="2880" spans="1:6" ht="25.5">
      <c r="A2880" s="2">
        <v>2877</v>
      </c>
      <c r="B2880" s="2" t="s">
        <v>2952</v>
      </c>
      <c r="C2880" s="2" t="str">
        <f>"12141119"</f>
        <v>12141119</v>
      </c>
      <c r="D2880" s="2">
        <v>0.499</v>
      </c>
      <c r="E2880" s="2">
        <v>17</v>
      </c>
      <c r="F2880" s="2" t="s">
        <v>208</v>
      </c>
    </row>
    <row r="2881" spans="1:6" ht="25.5">
      <c r="A2881" s="2">
        <v>2878</v>
      </c>
      <c r="B2881" s="2" t="s">
        <v>2953</v>
      </c>
      <c r="C2881" s="2" t="str">
        <f>"13453807"</f>
        <v>13453807</v>
      </c>
      <c r="D2881" s="2">
        <v>0.126</v>
      </c>
      <c r="E2881" s="2">
        <v>2</v>
      </c>
      <c r="F2881" s="2" t="s">
        <v>131</v>
      </c>
    </row>
    <row r="2882" spans="1:6" ht="25.5">
      <c r="A2882" s="2">
        <v>2879</v>
      </c>
      <c r="B2882" s="2" t="s">
        <v>2954</v>
      </c>
      <c r="C2882" s="2" t="str">
        <f>"14783398"</f>
        <v>14783398</v>
      </c>
      <c r="D2882" s="2">
        <v>0.10199999999999999</v>
      </c>
      <c r="E2882" s="2">
        <v>3</v>
      </c>
      <c r="F2882" s="2" t="s">
        <v>16</v>
      </c>
    </row>
    <row r="2883" spans="1:6" ht="25.5">
      <c r="A2883" s="2">
        <v>2880</v>
      </c>
      <c r="B2883" s="2" t="s">
        <v>2955</v>
      </c>
      <c r="C2883" s="2" t="str">
        <f>"14727234"</f>
        <v>14727234</v>
      </c>
      <c r="D2883" s="2">
        <v>0.44800000000000001</v>
      </c>
      <c r="E2883" s="2">
        <v>16</v>
      </c>
      <c r="F2883" s="2" t="s">
        <v>16</v>
      </c>
    </row>
    <row r="2884" spans="1:6" ht="25.5">
      <c r="A2884" s="2">
        <v>2881</v>
      </c>
      <c r="B2884" s="2" t="s">
        <v>2956</v>
      </c>
      <c r="C2884" s="2" t="str">
        <f>"14709856"</f>
        <v>14709856</v>
      </c>
      <c r="D2884" s="2">
        <v>0.184</v>
      </c>
      <c r="E2884" s="2">
        <v>15</v>
      </c>
      <c r="F2884" s="2" t="s">
        <v>16</v>
      </c>
    </row>
    <row r="2885" spans="1:6" ht="25.5">
      <c r="A2885" s="2">
        <v>2882</v>
      </c>
      <c r="B2885" s="2" t="s">
        <v>2957</v>
      </c>
      <c r="C2885" s="2" t="str">
        <f>"00074977"</f>
        <v>00074977</v>
      </c>
      <c r="D2885" s="2">
        <v>0.51500000000000001</v>
      </c>
      <c r="E2885" s="2">
        <v>47</v>
      </c>
      <c r="F2885" s="2" t="s">
        <v>6</v>
      </c>
    </row>
    <row r="2886" spans="1:6" ht="25.5">
      <c r="A2886" s="2">
        <v>2883</v>
      </c>
      <c r="B2886" s="2" t="s">
        <v>2958</v>
      </c>
      <c r="C2886" s="2" t="str">
        <f>"02504707"</f>
        <v>02504707</v>
      </c>
      <c r="D2886" s="2">
        <v>0.32800000000000001</v>
      </c>
      <c r="E2886" s="2">
        <v>35</v>
      </c>
      <c r="F2886" s="2" t="s">
        <v>488</v>
      </c>
    </row>
    <row r="2887" spans="1:6" ht="25.5">
      <c r="A2887" s="2">
        <v>2884</v>
      </c>
      <c r="B2887" s="2" t="s">
        <v>2959</v>
      </c>
      <c r="C2887" s="2" t="str">
        <f>"15229602"</f>
        <v>15229602</v>
      </c>
      <c r="D2887" s="2">
        <v>0.86799999999999999</v>
      </c>
      <c r="E2887" s="2">
        <v>52</v>
      </c>
      <c r="F2887" s="2" t="s">
        <v>6</v>
      </c>
    </row>
    <row r="2888" spans="1:6" ht="25.5">
      <c r="A2888" s="2">
        <v>2885</v>
      </c>
      <c r="B2888" s="2" t="s">
        <v>2960</v>
      </c>
      <c r="C2888" s="2" t="str">
        <f>"10072802"</f>
        <v>10072802</v>
      </c>
      <c r="D2888" s="2">
        <v>0.155</v>
      </c>
      <c r="E2888" s="2">
        <v>10</v>
      </c>
      <c r="F2888" s="2" t="s">
        <v>46</v>
      </c>
    </row>
    <row r="2889" spans="1:6" ht="25.5">
      <c r="A2889" s="2">
        <v>2886</v>
      </c>
      <c r="B2889" s="2" t="s">
        <v>2961</v>
      </c>
      <c r="C2889" s="2" t="str">
        <f>"13434292"</f>
        <v>13434292</v>
      </c>
      <c r="D2889" s="2">
        <v>0.122</v>
      </c>
      <c r="E2889" s="2">
        <v>7</v>
      </c>
      <c r="F2889" s="2" t="s">
        <v>131</v>
      </c>
    </row>
    <row r="2890" spans="1:6" ht="25.5">
      <c r="A2890" s="2">
        <v>2887</v>
      </c>
      <c r="B2890" s="2" t="s">
        <v>2962</v>
      </c>
      <c r="C2890" s="2" t="str">
        <f>"11100052"</f>
        <v>11100052</v>
      </c>
      <c r="D2890" s="2">
        <v>0.10100000000000001</v>
      </c>
      <c r="E2890" s="2">
        <v>2</v>
      </c>
      <c r="F2890" s="2" t="s">
        <v>523</v>
      </c>
    </row>
    <row r="2891" spans="1:6" ht="25.5">
      <c r="A2891" s="2">
        <v>2888</v>
      </c>
      <c r="B2891" s="2" t="s">
        <v>2963</v>
      </c>
      <c r="C2891" s="2" t="str">
        <f>"14783428"</f>
        <v>14783428</v>
      </c>
      <c r="D2891" s="2">
        <v>0.1</v>
      </c>
      <c r="E2891" s="2">
        <v>1</v>
      </c>
      <c r="F2891" s="2" t="s">
        <v>6</v>
      </c>
    </row>
    <row r="2892" spans="1:6" ht="25.5">
      <c r="A2892" s="2">
        <v>2889</v>
      </c>
      <c r="B2892" s="2" t="s">
        <v>2964</v>
      </c>
      <c r="C2892" s="2" t="str">
        <f>"10798986"</f>
        <v>10798986</v>
      </c>
      <c r="D2892" s="2">
        <v>0.63700000000000001</v>
      </c>
      <c r="E2892" s="2">
        <v>19</v>
      </c>
      <c r="F2892" s="2" t="s">
        <v>6</v>
      </c>
    </row>
    <row r="2893" spans="1:6" ht="25.5">
      <c r="A2893" s="2">
        <v>2890</v>
      </c>
      <c r="B2893" s="2" t="s">
        <v>2965</v>
      </c>
      <c r="C2893" s="2" t="str">
        <f>"00028045"</f>
        <v>00028045</v>
      </c>
      <c r="D2893" s="2">
        <v>0.159</v>
      </c>
      <c r="E2893" s="2">
        <v>15</v>
      </c>
      <c r="F2893" s="2" t="s">
        <v>6</v>
      </c>
    </row>
    <row r="2894" spans="1:6" ht="25.5">
      <c r="A2894" s="2">
        <v>2891</v>
      </c>
      <c r="B2894" s="2" t="s">
        <v>2966</v>
      </c>
      <c r="C2894" s="2" t="str">
        <f>"10889485"</f>
        <v>10889485</v>
      </c>
      <c r="D2894" s="2">
        <v>2.387</v>
      </c>
      <c r="E2894" s="2">
        <v>35</v>
      </c>
      <c r="F2894" s="2" t="s">
        <v>6</v>
      </c>
    </row>
    <row r="2895" spans="1:6" ht="25.5">
      <c r="A2895" s="2">
        <v>2892</v>
      </c>
      <c r="B2895" s="2" t="s">
        <v>2967</v>
      </c>
      <c r="C2895" s="2" t="str">
        <f>"15200477"</f>
        <v>15200477</v>
      </c>
      <c r="D2895" s="2">
        <v>3.5230000000000001</v>
      </c>
      <c r="E2895" s="2">
        <v>115</v>
      </c>
      <c r="F2895" s="2" t="s">
        <v>6</v>
      </c>
    </row>
    <row r="2896" spans="1:6" ht="25.5">
      <c r="A2896" s="2">
        <v>2893</v>
      </c>
      <c r="B2896" s="2" t="s">
        <v>2968</v>
      </c>
      <c r="C2896" s="2" t="str">
        <f>"00030090"</f>
        <v>00030090</v>
      </c>
      <c r="D2896" s="2">
        <v>1.4079999999999999</v>
      </c>
      <c r="E2896" s="2">
        <v>32</v>
      </c>
      <c r="F2896" s="2" t="s">
        <v>6</v>
      </c>
    </row>
    <row r="2897" spans="1:6" ht="25.5">
      <c r="A2897" s="2">
        <v>2894</v>
      </c>
      <c r="B2897" s="2" t="s">
        <v>2969</v>
      </c>
      <c r="C2897" s="2" t="str">
        <f>"0003097X"</f>
        <v>0003097X</v>
      </c>
      <c r="D2897" s="2">
        <v>0.16900000000000001</v>
      </c>
      <c r="E2897" s="2">
        <v>2</v>
      </c>
      <c r="F2897" s="2" t="s">
        <v>6</v>
      </c>
    </row>
    <row r="2898" spans="1:6" ht="25.5">
      <c r="A2898" s="2">
        <v>2895</v>
      </c>
      <c r="B2898" s="2" t="s">
        <v>2970</v>
      </c>
      <c r="C2898" s="2" t="str">
        <f>"19386958"</f>
        <v>19386958</v>
      </c>
      <c r="D2898" s="2">
        <v>0.10100000000000001</v>
      </c>
      <c r="E2898" s="2">
        <v>3</v>
      </c>
      <c r="F2898" s="2" t="s">
        <v>6</v>
      </c>
    </row>
    <row r="2899" spans="1:6" ht="25.5">
      <c r="A2899" s="2">
        <v>2896</v>
      </c>
      <c r="B2899" s="2" t="s">
        <v>2971</v>
      </c>
      <c r="C2899" s="2" t="str">
        <f>"03049523"</f>
        <v>03049523</v>
      </c>
      <c r="D2899" s="2">
        <v>0.97399999999999998</v>
      </c>
      <c r="E2899" s="2">
        <v>6</v>
      </c>
      <c r="F2899" s="2" t="s">
        <v>488</v>
      </c>
    </row>
    <row r="2900" spans="1:6" ht="25.5">
      <c r="A2900" s="2">
        <v>2897</v>
      </c>
      <c r="B2900" s="2" t="s">
        <v>2972</v>
      </c>
      <c r="C2900" s="2" t="str">
        <f>"00963402"</f>
        <v>00963402</v>
      </c>
      <c r="D2900" s="2">
        <v>0.23100000000000001</v>
      </c>
      <c r="E2900" s="2">
        <v>7</v>
      </c>
      <c r="F2900" s="2" t="s">
        <v>6</v>
      </c>
    </row>
    <row r="2901" spans="1:6" ht="25.5">
      <c r="A2901" s="2">
        <v>2898</v>
      </c>
      <c r="B2901" s="2" t="s">
        <v>2973</v>
      </c>
      <c r="C2901" s="2" t="str">
        <f>"00049727"</f>
        <v>00049727</v>
      </c>
      <c r="D2901" s="2">
        <v>0.54800000000000004</v>
      </c>
      <c r="E2901" s="2">
        <v>23</v>
      </c>
      <c r="F2901" s="2" t="s">
        <v>16</v>
      </c>
    </row>
    <row r="2902" spans="1:6" ht="25.5">
      <c r="A2902" s="2">
        <v>2899</v>
      </c>
      <c r="B2902" s="2" t="s">
        <v>2974</v>
      </c>
      <c r="C2902" s="2" t="str">
        <f>"13701444"</f>
        <v>13701444</v>
      </c>
      <c r="D2902" s="2">
        <v>0.36099999999999999</v>
      </c>
      <c r="E2902" s="2">
        <v>17</v>
      </c>
      <c r="F2902" s="2" t="s">
        <v>161</v>
      </c>
    </row>
    <row r="2903" spans="1:6" ht="25.5">
      <c r="A2903" s="2">
        <v>2900</v>
      </c>
      <c r="B2903" s="2" t="s">
        <v>2975</v>
      </c>
      <c r="C2903" s="2" t="str">
        <f>"16787544"</f>
        <v>16787544</v>
      </c>
      <c r="D2903" s="2">
        <v>0.441</v>
      </c>
      <c r="E2903" s="2">
        <v>10</v>
      </c>
      <c r="F2903" s="2" t="s">
        <v>6</v>
      </c>
    </row>
    <row r="2904" spans="1:6" ht="25.5">
      <c r="A2904" s="2">
        <v>2901</v>
      </c>
      <c r="B2904" s="2" t="s">
        <v>2976</v>
      </c>
      <c r="C2904" s="2" t="str">
        <f>"1726801X"</f>
        <v>1726801X</v>
      </c>
      <c r="D2904" s="2">
        <v>0.16400000000000001</v>
      </c>
      <c r="E2904" s="2">
        <v>10</v>
      </c>
      <c r="F2904" s="2" t="s">
        <v>2977</v>
      </c>
    </row>
    <row r="2905" spans="1:6" ht="25.5">
      <c r="A2905" s="2">
        <v>2902</v>
      </c>
      <c r="B2905" s="2" t="s">
        <v>2978</v>
      </c>
      <c r="C2905" s="2" t="str">
        <f>"13480634"</f>
        <v>13480634</v>
      </c>
      <c r="D2905" s="2">
        <v>0.59499999999999997</v>
      </c>
      <c r="E2905" s="2">
        <v>69</v>
      </c>
      <c r="F2905" s="2" t="s">
        <v>131</v>
      </c>
    </row>
    <row r="2906" spans="1:6" ht="25.5">
      <c r="A2906" s="2">
        <v>2903</v>
      </c>
      <c r="B2906" s="2" t="s">
        <v>2979</v>
      </c>
      <c r="C2906" s="2" t="str">
        <f>"00075108"</f>
        <v>00075108</v>
      </c>
      <c r="D2906" s="2">
        <v>0.10100000000000001</v>
      </c>
      <c r="E2906" s="2">
        <v>3</v>
      </c>
      <c r="F2906" s="2" t="s">
        <v>6</v>
      </c>
    </row>
    <row r="2907" spans="1:6" ht="25.5">
      <c r="A2907" s="2">
        <v>2904</v>
      </c>
      <c r="B2907" s="2" t="s">
        <v>2980</v>
      </c>
      <c r="C2907" s="2" t="str">
        <f>"00109894"</f>
        <v>00109894</v>
      </c>
      <c r="D2907" s="2">
        <v>0.184</v>
      </c>
      <c r="E2907" s="2">
        <v>7</v>
      </c>
      <c r="F2907" s="2" t="s">
        <v>6</v>
      </c>
    </row>
    <row r="2908" spans="1:6" ht="25.5">
      <c r="A2908" s="2">
        <v>2905</v>
      </c>
      <c r="B2908" s="2" t="s">
        <v>2981</v>
      </c>
      <c r="C2908" s="2" t="str">
        <f>"01080288"</f>
        <v>01080288</v>
      </c>
      <c r="D2908" s="2">
        <v>0.23</v>
      </c>
      <c r="E2908" s="2">
        <v>25</v>
      </c>
      <c r="F2908" s="2" t="s">
        <v>16</v>
      </c>
    </row>
    <row r="2909" spans="1:6" ht="25.5">
      <c r="A2909" s="2">
        <v>2906</v>
      </c>
      <c r="B2909" s="2" t="s">
        <v>2982</v>
      </c>
      <c r="C2909" s="2" t="str">
        <f>"00116297"</f>
        <v>00116297</v>
      </c>
      <c r="D2909" s="2">
        <v>0.34399999999999997</v>
      </c>
      <c r="E2909" s="2">
        <v>17</v>
      </c>
      <c r="F2909" s="2" t="s">
        <v>163</v>
      </c>
    </row>
    <row r="2910" spans="1:6" ht="25.5">
      <c r="A2910" s="2">
        <v>2907</v>
      </c>
      <c r="B2910" s="2" t="s">
        <v>2983</v>
      </c>
      <c r="C2910" s="2" t="str">
        <f>"03675211"</f>
        <v>03675211</v>
      </c>
      <c r="D2910" s="2">
        <v>0.436</v>
      </c>
      <c r="E2910" s="2">
        <v>15</v>
      </c>
      <c r="F2910" s="2" t="s">
        <v>751</v>
      </c>
    </row>
    <row r="2911" spans="1:6" ht="25.5">
      <c r="A2911" s="2">
        <v>2908</v>
      </c>
      <c r="B2911" s="2" t="s">
        <v>2984</v>
      </c>
      <c r="C2911" s="2" t="str">
        <f>"01266187"</f>
        <v>01266187</v>
      </c>
      <c r="D2911" s="2">
        <v>0.111</v>
      </c>
      <c r="E2911" s="2">
        <v>1</v>
      </c>
      <c r="F2911" s="2" t="s">
        <v>37</v>
      </c>
    </row>
    <row r="2912" spans="1:6" ht="25.5">
      <c r="A2912" s="2">
        <v>2909</v>
      </c>
      <c r="B2912" s="2" t="s">
        <v>2985</v>
      </c>
      <c r="C2912" s="2" t="str">
        <f>"01321447"</f>
        <v>01321447</v>
      </c>
      <c r="D2912" s="2">
        <v>0.20100000000000001</v>
      </c>
      <c r="E2912" s="2">
        <v>1</v>
      </c>
      <c r="F2912" s="2" t="s">
        <v>2986</v>
      </c>
    </row>
    <row r="2913" spans="1:6" ht="25.5">
      <c r="A2913" s="2">
        <v>2910</v>
      </c>
      <c r="B2913" s="2" t="s">
        <v>2987</v>
      </c>
      <c r="C2913" s="2" t="str">
        <f>"10863176"</f>
        <v>10863176</v>
      </c>
      <c r="D2913" s="2">
        <v>0.18</v>
      </c>
      <c r="E2913" s="2">
        <v>16</v>
      </c>
      <c r="F2913" s="2" t="s">
        <v>6</v>
      </c>
    </row>
    <row r="2914" spans="1:6" ht="25.5">
      <c r="A2914" s="2">
        <v>2911</v>
      </c>
      <c r="B2914" s="2" t="s">
        <v>2988</v>
      </c>
      <c r="C2914" s="2" t="str">
        <f>"00192031"</f>
        <v>00192031</v>
      </c>
      <c r="D2914" s="2">
        <v>0.10299999999999999</v>
      </c>
      <c r="E2914" s="2">
        <v>2</v>
      </c>
      <c r="F2914" s="2" t="s">
        <v>6</v>
      </c>
    </row>
    <row r="2915" spans="1:6" ht="25.5">
      <c r="A2915" s="2">
        <v>2912</v>
      </c>
      <c r="B2915" s="2" t="s">
        <v>2989</v>
      </c>
      <c r="C2915" s="2" t="str">
        <f>"01561316"</f>
        <v>01561316</v>
      </c>
      <c r="D2915" s="2">
        <v>0.10199999999999999</v>
      </c>
      <c r="E2915" s="2">
        <v>0</v>
      </c>
      <c r="F2915" s="2" t="s">
        <v>127</v>
      </c>
    </row>
    <row r="2916" spans="1:6" ht="25.5">
      <c r="A2916" s="2">
        <v>2913</v>
      </c>
      <c r="B2916" s="2" t="s">
        <v>2990</v>
      </c>
      <c r="C2916" s="2" t="str">
        <f>"20415370"</f>
        <v>20415370</v>
      </c>
      <c r="D2916" s="2">
        <v>0.10100000000000001</v>
      </c>
      <c r="E2916" s="2">
        <v>1</v>
      </c>
      <c r="F2916" s="2" t="s">
        <v>6</v>
      </c>
    </row>
    <row r="2917" spans="1:6" ht="25.5">
      <c r="A2917" s="2">
        <v>2914</v>
      </c>
      <c r="B2917" s="2" t="s">
        <v>2991</v>
      </c>
      <c r="C2917" s="2" t="str">
        <f>"0074655X"</f>
        <v>0074655X</v>
      </c>
      <c r="D2917" s="2">
        <v>0.1</v>
      </c>
      <c r="E2917" s="2">
        <v>3</v>
      </c>
      <c r="F2917" s="2" t="s">
        <v>131</v>
      </c>
    </row>
    <row r="2918" spans="1:6" ht="25.5">
      <c r="A2918" s="2">
        <v>2915</v>
      </c>
      <c r="B2918" s="2" t="s">
        <v>2992</v>
      </c>
      <c r="C2918" s="2" t="str">
        <f>"10186301"</f>
        <v>10186301</v>
      </c>
      <c r="D2918" s="2">
        <v>0.29199999999999998</v>
      </c>
      <c r="E2918" s="2">
        <v>5</v>
      </c>
      <c r="F2918" s="2" t="s">
        <v>299</v>
      </c>
    </row>
    <row r="2919" spans="1:6" ht="25.5">
      <c r="A2919" s="2">
        <v>2916</v>
      </c>
      <c r="B2919" s="2" t="s">
        <v>2993</v>
      </c>
      <c r="C2919" s="2" t="str">
        <f>"04531906"</f>
        <v>04531906</v>
      </c>
      <c r="D2919" s="2">
        <v>0.10299999999999999</v>
      </c>
      <c r="E2919" s="2">
        <v>2</v>
      </c>
      <c r="F2919" s="2" t="s">
        <v>131</v>
      </c>
    </row>
    <row r="2920" spans="1:6" ht="25.5">
      <c r="A2920" s="2">
        <v>2917</v>
      </c>
      <c r="B2920" s="2" t="s">
        <v>2994</v>
      </c>
      <c r="C2920" s="2" t="str">
        <f>"12295949"</f>
        <v>12295949</v>
      </c>
      <c r="D2920" s="2">
        <v>0.33400000000000002</v>
      </c>
      <c r="E2920" s="2">
        <v>36</v>
      </c>
      <c r="F2920" s="2" t="s">
        <v>274</v>
      </c>
    </row>
    <row r="2921" spans="1:6" ht="25.5">
      <c r="A2921" s="2">
        <v>2918</v>
      </c>
      <c r="B2921" s="2" t="s">
        <v>2995</v>
      </c>
      <c r="C2921" s="2" t="str">
        <f>"10158634"</f>
        <v>10158634</v>
      </c>
      <c r="D2921" s="2">
        <v>0.33800000000000002</v>
      </c>
      <c r="E2921" s="2">
        <v>10</v>
      </c>
      <c r="F2921" s="2" t="s">
        <v>274</v>
      </c>
    </row>
    <row r="2922" spans="1:6" ht="25.5">
      <c r="A2922" s="2">
        <v>2919</v>
      </c>
      <c r="B2922" s="2" t="s">
        <v>2996</v>
      </c>
      <c r="C2922" s="2" t="str">
        <f>"14692120"</f>
        <v>14692120</v>
      </c>
      <c r="D2922" s="2">
        <v>1.0620000000000001</v>
      </c>
      <c r="E2922" s="2">
        <v>27</v>
      </c>
      <c r="F2922" s="2" t="s">
        <v>16</v>
      </c>
    </row>
    <row r="2923" spans="1:6" ht="25.5">
      <c r="A2923" s="2">
        <v>2920</v>
      </c>
      <c r="B2923" s="2" t="s">
        <v>2997</v>
      </c>
      <c r="C2923" s="2" t="str">
        <f>"01266705"</f>
        <v>01266705</v>
      </c>
      <c r="D2923" s="2">
        <v>0.66200000000000003</v>
      </c>
      <c r="E2923" s="2">
        <v>9</v>
      </c>
      <c r="F2923" s="2" t="s">
        <v>37</v>
      </c>
    </row>
    <row r="2924" spans="1:6" ht="25.5">
      <c r="A2924" s="2">
        <v>2921</v>
      </c>
      <c r="B2924" s="2" t="s">
        <v>2998</v>
      </c>
      <c r="C2924" s="2" t="str">
        <f>"00259284"</f>
        <v>00259284</v>
      </c>
      <c r="D2924" s="2">
        <v>0.315</v>
      </c>
      <c r="E2924" s="2">
        <v>27</v>
      </c>
      <c r="F2924" s="2" t="s">
        <v>6</v>
      </c>
    </row>
    <row r="2925" spans="1:6" ht="25.5">
      <c r="A2925" s="2">
        <v>2922</v>
      </c>
      <c r="B2925" s="2" t="s">
        <v>2999</v>
      </c>
      <c r="C2925" s="2" t="str">
        <f>"11749857"</f>
        <v>11749857</v>
      </c>
      <c r="D2925" s="2">
        <v>0.53900000000000003</v>
      </c>
      <c r="E2925" s="2">
        <v>19</v>
      </c>
      <c r="F2925" s="2" t="s">
        <v>503</v>
      </c>
    </row>
    <row r="2926" spans="1:6" ht="25.5">
      <c r="A2926" s="2">
        <v>2923</v>
      </c>
      <c r="B2926" s="2" t="s">
        <v>3000</v>
      </c>
      <c r="C2926" s="2" t="str">
        <f>"19369719"</f>
        <v>19369719</v>
      </c>
      <c r="D2926" s="2">
        <v>0.57999999999999996</v>
      </c>
      <c r="E2926" s="2">
        <v>26</v>
      </c>
      <c r="F2926" s="2" t="s">
        <v>6</v>
      </c>
    </row>
    <row r="2927" spans="1:6" ht="25.5">
      <c r="A2927" s="2">
        <v>2924</v>
      </c>
      <c r="B2927" s="2" t="s">
        <v>3001</v>
      </c>
      <c r="C2927" s="2" t="str">
        <f>"0079032X"</f>
        <v>0079032X</v>
      </c>
      <c r="D2927" s="2">
        <v>0.41</v>
      </c>
      <c r="E2927" s="2">
        <v>4</v>
      </c>
      <c r="F2927" s="2" t="s">
        <v>6</v>
      </c>
    </row>
    <row r="2928" spans="1:6" ht="25.5">
      <c r="A2928" s="2">
        <v>2925</v>
      </c>
      <c r="B2928" s="2" t="s">
        <v>3002</v>
      </c>
      <c r="C2928" s="2" t="str">
        <f>"03899071"</f>
        <v>03899071</v>
      </c>
      <c r="D2928" s="2">
        <v>0.10299999999999999</v>
      </c>
      <c r="E2928" s="2">
        <v>2</v>
      </c>
      <c r="F2928" s="2" t="s">
        <v>131</v>
      </c>
    </row>
    <row r="2929" spans="1:6" ht="25.5">
      <c r="A2929" s="2">
        <v>2926</v>
      </c>
      <c r="B2929" s="2" t="s">
        <v>3003</v>
      </c>
      <c r="C2929" s="2" t="str">
        <f>"03878961"</f>
        <v>03878961</v>
      </c>
      <c r="D2929" s="2">
        <v>0.114</v>
      </c>
      <c r="E2929" s="2">
        <v>10</v>
      </c>
      <c r="F2929" s="2" t="s">
        <v>131</v>
      </c>
    </row>
    <row r="2930" spans="1:6" ht="25.5">
      <c r="A2930" s="2">
        <v>2927</v>
      </c>
      <c r="B2930" s="2" t="s">
        <v>3004</v>
      </c>
      <c r="C2930" s="2" t="str">
        <f>"02397528"</f>
        <v>02397528</v>
      </c>
      <c r="D2930" s="2">
        <v>0.36099999999999999</v>
      </c>
      <c r="E2930" s="2">
        <v>17</v>
      </c>
      <c r="F2930" s="2" t="s">
        <v>169</v>
      </c>
    </row>
    <row r="2931" spans="1:6" ht="25.5">
      <c r="A2931" s="2">
        <v>2928</v>
      </c>
      <c r="B2931" s="2" t="s">
        <v>3005</v>
      </c>
      <c r="C2931" s="2" t="str">
        <f>"10628738"</f>
        <v>10628738</v>
      </c>
      <c r="D2931" s="2">
        <v>0.29299999999999998</v>
      </c>
      <c r="E2931" s="2">
        <v>6</v>
      </c>
      <c r="F2931" s="2" t="s">
        <v>6</v>
      </c>
    </row>
    <row r="2932" spans="1:6" ht="25.5">
      <c r="A2932" s="2">
        <v>2929</v>
      </c>
      <c r="B2932" s="2" t="s">
        <v>3006</v>
      </c>
      <c r="C2932" s="2" t="str">
        <f>"14740699"</f>
        <v>14740699</v>
      </c>
      <c r="D2932" s="2">
        <v>0.10199999999999999</v>
      </c>
      <c r="E2932" s="2">
        <v>5</v>
      </c>
      <c r="F2932" s="2" t="s">
        <v>16</v>
      </c>
    </row>
    <row r="2933" spans="1:6" ht="25.5">
      <c r="A2933" s="2">
        <v>2930</v>
      </c>
      <c r="B2933" s="2" t="s">
        <v>3007</v>
      </c>
      <c r="C2933" s="2" t="str">
        <f>"01380680"</f>
        <v>01380680</v>
      </c>
      <c r="D2933" s="2">
        <v>0.10299999999999999</v>
      </c>
      <c r="E2933" s="2">
        <v>0</v>
      </c>
      <c r="F2933" s="2" t="s">
        <v>169</v>
      </c>
    </row>
    <row r="2934" spans="1:6" ht="25.5">
      <c r="A2934" s="2">
        <v>2931</v>
      </c>
      <c r="B2934" s="2" t="s">
        <v>3008</v>
      </c>
      <c r="C2934" s="2" t="str">
        <f>"00371106"</f>
        <v>00371106</v>
      </c>
      <c r="D2934" s="2">
        <v>1.54</v>
      </c>
      <c r="E2934" s="2">
        <v>85</v>
      </c>
      <c r="F2934" s="2" t="s">
        <v>6</v>
      </c>
    </row>
    <row r="2935" spans="1:6" ht="25.5">
      <c r="A2935" s="2">
        <v>2932</v>
      </c>
      <c r="B2935" s="2" t="s">
        <v>3009</v>
      </c>
      <c r="C2935" s="2" t="str">
        <f>"00361984"</f>
        <v>00361984</v>
      </c>
      <c r="D2935" s="2">
        <v>0.10100000000000001</v>
      </c>
      <c r="E2935" s="2">
        <v>3</v>
      </c>
      <c r="F2935" s="2" t="s">
        <v>16</v>
      </c>
    </row>
    <row r="2936" spans="1:6" ht="25.5">
      <c r="A2936" s="2">
        <v>2933</v>
      </c>
      <c r="B2936" s="2" t="s">
        <v>3010</v>
      </c>
      <c r="C2936" s="2" t="str">
        <f>"20652135"</f>
        <v>20652135</v>
      </c>
      <c r="D2936" s="2">
        <v>0</v>
      </c>
      <c r="E2936" s="2">
        <v>0</v>
      </c>
      <c r="F2936" s="2" t="s">
        <v>19</v>
      </c>
    </row>
    <row r="2937" spans="1:6" ht="25.5">
      <c r="A2937" s="2">
        <v>2934</v>
      </c>
      <c r="B2937" s="2" t="s">
        <v>3011</v>
      </c>
      <c r="C2937" s="2" t="str">
        <f>"20652151"</f>
        <v>20652151</v>
      </c>
      <c r="D2937" s="2">
        <v>0.10199999999999999</v>
      </c>
      <c r="E2937" s="2">
        <v>0</v>
      </c>
      <c r="F2937" s="2" t="s">
        <v>19</v>
      </c>
    </row>
    <row r="2938" spans="1:6" ht="25.5">
      <c r="A2938" s="2">
        <v>2935</v>
      </c>
      <c r="B2938" s="2" t="s">
        <v>3012</v>
      </c>
      <c r="C2938" s="2" t="str">
        <f>"00424870"</f>
        <v>00424870</v>
      </c>
      <c r="D2938" s="2">
        <v>0.23899999999999999</v>
      </c>
      <c r="E2938" s="2">
        <v>12</v>
      </c>
      <c r="F2938" s="2" t="s">
        <v>169</v>
      </c>
    </row>
    <row r="2939" spans="1:6" ht="25.5">
      <c r="A2939" s="2">
        <v>2936</v>
      </c>
      <c r="B2939" s="2" t="s">
        <v>3013</v>
      </c>
      <c r="C2939" s="2" t="str">
        <f>"15640604"</f>
        <v>15640604</v>
      </c>
      <c r="D2939" s="2">
        <v>1.7410000000000001</v>
      </c>
      <c r="E2939" s="2">
        <v>98</v>
      </c>
      <c r="F2939" s="2" t="s">
        <v>31</v>
      </c>
    </row>
    <row r="2940" spans="1:6" ht="25.5">
      <c r="A2940" s="2">
        <v>2937</v>
      </c>
      <c r="B2940" s="2" t="s">
        <v>3014</v>
      </c>
      <c r="C2940" s="2" t="str">
        <f>"00408891"</f>
        <v>00408891</v>
      </c>
      <c r="D2940" s="2">
        <v>0.185</v>
      </c>
      <c r="E2940" s="2">
        <v>13</v>
      </c>
      <c r="F2940" s="2" t="s">
        <v>131</v>
      </c>
    </row>
    <row r="2941" spans="1:6" ht="25.5">
      <c r="A2941" s="2">
        <v>2938</v>
      </c>
      <c r="B2941" s="2" t="s">
        <v>3015</v>
      </c>
      <c r="C2941" s="2" t="str">
        <f>"14320819"</f>
        <v>14320819</v>
      </c>
      <c r="D2941" s="2">
        <v>1.4670000000000001</v>
      </c>
      <c r="E2941" s="2">
        <v>56</v>
      </c>
      <c r="F2941" s="2" t="s">
        <v>12</v>
      </c>
    </row>
    <row r="2942" spans="1:6" ht="25.5">
      <c r="A2942" s="2">
        <v>2939</v>
      </c>
      <c r="B2942" s="2" t="s">
        <v>3016</v>
      </c>
      <c r="C2942" s="2" t="str">
        <f>"17775469"</f>
        <v>17775469</v>
      </c>
      <c r="D2942" s="2">
        <v>0.14000000000000001</v>
      </c>
      <c r="E2942" s="2">
        <v>1</v>
      </c>
      <c r="F2942" s="2" t="s">
        <v>12</v>
      </c>
    </row>
    <row r="2943" spans="1:6" ht="25.5">
      <c r="A2943" s="2">
        <v>2940</v>
      </c>
      <c r="B2943" s="2" t="s">
        <v>3017</v>
      </c>
      <c r="C2943" s="2" t="str">
        <f>"00379409"</f>
        <v>00379409</v>
      </c>
      <c r="D2943" s="2">
        <v>0.59399999999999997</v>
      </c>
      <c r="E2943" s="2">
        <v>34</v>
      </c>
      <c r="F2943" s="2" t="s">
        <v>66</v>
      </c>
    </row>
    <row r="2944" spans="1:6" ht="25.5">
      <c r="A2944" s="2">
        <v>2941</v>
      </c>
      <c r="B2944" s="2" t="s">
        <v>3018</v>
      </c>
      <c r="C2944" s="2" t="str">
        <f>"00075779"</f>
        <v>00075779</v>
      </c>
      <c r="D2944" s="2">
        <v>1.0069999999999999</v>
      </c>
      <c r="E2944" s="2">
        <v>5</v>
      </c>
      <c r="F2944" s="2" t="s">
        <v>6</v>
      </c>
    </row>
    <row r="2945" spans="1:6" ht="25.5">
      <c r="A2945" s="2">
        <v>2942</v>
      </c>
      <c r="B2945" s="2" t="s">
        <v>3019</v>
      </c>
      <c r="C2945" s="2" t="str">
        <f>"14371588"</f>
        <v>14371588</v>
      </c>
      <c r="D2945" s="2">
        <v>0.26700000000000002</v>
      </c>
      <c r="E2945" s="2">
        <v>30</v>
      </c>
      <c r="F2945" s="2" t="s">
        <v>12</v>
      </c>
    </row>
    <row r="2946" spans="1:6" ht="25.5">
      <c r="A2946" s="2">
        <v>2943</v>
      </c>
      <c r="B2946" s="2" t="s">
        <v>3020</v>
      </c>
      <c r="C2946" s="2" t="str">
        <f>"05251931"</f>
        <v>05251931</v>
      </c>
      <c r="D2946" s="2">
        <v>0.153</v>
      </c>
      <c r="E2946" s="2">
        <v>15</v>
      </c>
      <c r="F2946" s="2" t="s">
        <v>131</v>
      </c>
    </row>
    <row r="2947" spans="1:6" ht="25.5">
      <c r="A2947" s="2">
        <v>2944</v>
      </c>
      <c r="B2947" s="2" t="s">
        <v>3021</v>
      </c>
      <c r="C2947" s="2" t="str">
        <f>"00076387"</f>
        <v>00076387</v>
      </c>
      <c r="D2947" s="2">
        <v>0.122</v>
      </c>
      <c r="E2947" s="2">
        <v>5</v>
      </c>
      <c r="F2947" s="2" t="s">
        <v>16</v>
      </c>
    </row>
    <row r="2948" spans="1:6" ht="25.5">
      <c r="A2948" s="2">
        <v>2945</v>
      </c>
      <c r="B2948" s="2" t="s">
        <v>3022</v>
      </c>
      <c r="C2948" s="2" t="str">
        <f>"03054179"</f>
        <v>03054179</v>
      </c>
      <c r="D2948" s="2">
        <v>0.59299999999999997</v>
      </c>
      <c r="E2948" s="2">
        <v>55</v>
      </c>
      <c r="F2948" s="2" t="s">
        <v>16</v>
      </c>
    </row>
    <row r="2949" spans="1:6" ht="25.5">
      <c r="A2949" s="2">
        <v>2946</v>
      </c>
      <c r="B2949" s="2" t="s">
        <v>3023</v>
      </c>
      <c r="C2949" s="2" t="str">
        <f>"18670202"</f>
        <v>18670202</v>
      </c>
      <c r="D2949" s="2">
        <v>0.23799999999999999</v>
      </c>
      <c r="E2949" s="2">
        <v>15</v>
      </c>
      <c r="F2949" s="2" t="s">
        <v>12</v>
      </c>
    </row>
    <row r="2950" spans="1:6" ht="25.5">
      <c r="A2950" s="2">
        <v>2947</v>
      </c>
      <c r="B2950" s="2" t="s">
        <v>3024</v>
      </c>
      <c r="C2950" s="2" t="str">
        <f>"14693569"</f>
        <v>14693569</v>
      </c>
      <c r="D2950" s="2">
        <v>0.27400000000000002</v>
      </c>
      <c r="E2950" s="2">
        <v>10</v>
      </c>
      <c r="F2950" s="2" t="s">
        <v>6</v>
      </c>
    </row>
    <row r="2951" spans="1:6" ht="25.5">
      <c r="A2951" s="2">
        <v>2948</v>
      </c>
      <c r="B2951" s="2" t="s">
        <v>3025</v>
      </c>
      <c r="C2951" s="2" t="str">
        <f>"00076503"</f>
        <v>00076503</v>
      </c>
      <c r="D2951" s="2">
        <v>0.751</v>
      </c>
      <c r="E2951" s="2">
        <v>24</v>
      </c>
      <c r="F2951" s="2" t="s">
        <v>16</v>
      </c>
    </row>
    <row r="2952" spans="1:6" ht="25.5">
      <c r="A2952" s="2">
        <v>2949</v>
      </c>
      <c r="B2952" s="2" t="s">
        <v>3026</v>
      </c>
      <c r="C2952" s="2" t="str">
        <f>"14678594"</f>
        <v>14678594</v>
      </c>
      <c r="D2952" s="2">
        <v>0.217</v>
      </c>
      <c r="E2952" s="2">
        <v>7</v>
      </c>
      <c r="F2952" s="2" t="s">
        <v>16</v>
      </c>
    </row>
    <row r="2953" spans="1:6" ht="25.5">
      <c r="A2953" s="2">
        <v>2950</v>
      </c>
      <c r="B2953" s="2" t="s">
        <v>3027</v>
      </c>
      <c r="C2953" s="2" t="str">
        <f>"10805699"</f>
        <v>10805699</v>
      </c>
      <c r="D2953" s="2">
        <v>0.26500000000000001</v>
      </c>
      <c r="E2953" s="2">
        <v>9</v>
      </c>
      <c r="F2953" s="2" t="s">
        <v>6</v>
      </c>
    </row>
    <row r="2954" spans="1:6" ht="25.5">
      <c r="A2954" s="2">
        <v>2951</v>
      </c>
      <c r="B2954" s="2" t="s">
        <v>3028</v>
      </c>
      <c r="C2954" s="2" t="str">
        <f>"0007666X"</f>
        <v>0007666X</v>
      </c>
      <c r="D2954" s="2">
        <v>0.125</v>
      </c>
      <c r="E2954" s="2">
        <v>5</v>
      </c>
      <c r="F2954" s="2" t="s">
        <v>6</v>
      </c>
    </row>
    <row r="2955" spans="1:6" ht="25.5">
      <c r="A2955" s="2">
        <v>2952</v>
      </c>
      <c r="B2955" s="2" t="s">
        <v>3029</v>
      </c>
      <c r="C2955" s="2" t="str">
        <f>"09628770"</f>
        <v>09628770</v>
      </c>
      <c r="D2955" s="2">
        <v>0.223</v>
      </c>
      <c r="E2955" s="2">
        <v>4</v>
      </c>
      <c r="F2955" s="2" t="s">
        <v>16</v>
      </c>
    </row>
    <row r="2956" spans="1:6" ht="25.5">
      <c r="A2956" s="2">
        <v>2953</v>
      </c>
      <c r="B2956" s="2" t="s">
        <v>3030</v>
      </c>
      <c r="C2956" s="2" t="str">
        <f>"1052150X"</f>
        <v>1052150X</v>
      </c>
      <c r="D2956" s="2">
        <v>1.734</v>
      </c>
      <c r="E2956" s="2">
        <v>30</v>
      </c>
      <c r="F2956" s="2" t="s">
        <v>6</v>
      </c>
    </row>
    <row r="2957" spans="1:6" ht="25.5">
      <c r="A2957" s="2">
        <v>2954</v>
      </c>
      <c r="B2957" s="2" t="s">
        <v>3031</v>
      </c>
      <c r="C2957" s="2" t="str">
        <f>"00076791"</f>
        <v>00076791</v>
      </c>
      <c r="D2957" s="2">
        <v>0.46899999999999997</v>
      </c>
      <c r="E2957" s="2">
        <v>14</v>
      </c>
      <c r="F2957" s="2" t="s">
        <v>16</v>
      </c>
    </row>
    <row r="2958" spans="1:6" ht="25.5">
      <c r="A2958" s="2">
        <v>2955</v>
      </c>
      <c r="B2958" s="2" t="s">
        <v>3032</v>
      </c>
      <c r="C2958" s="2" t="str">
        <f>"00076805"</f>
        <v>00076805</v>
      </c>
      <c r="D2958" s="2">
        <v>0.39500000000000002</v>
      </c>
      <c r="E2958" s="2">
        <v>13</v>
      </c>
      <c r="F2958" s="2" t="s">
        <v>6</v>
      </c>
    </row>
    <row r="2959" spans="1:6" ht="25.5">
      <c r="A2959" s="2">
        <v>2956</v>
      </c>
      <c r="B2959" s="2" t="s">
        <v>3033</v>
      </c>
      <c r="C2959" s="2" t="str">
        <f>"00076813"</f>
        <v>00076813</v>
      </c>
      <c r="D2959" s="2">
        <v>0.94799999999999995</v>
      </c>
      <c r="E2959" s="2">
        <v>33</v>
      </c>
      <c r="F2959" s="2" t="s">
        <v>16</v>
      </c>
    </row>
    <row r="2960" spans="1:6" ht="25.5">
      <c r="A2960" s="2">
        <v>2957</v>
      </c>
      <c r="B2960" s="2" t="s">
        <v>3034</v>
      </c>
      <c r="C2960" s="2" t="str">
        <f>"02663821"</f>
        <v>02663821</v>
      </c>
      <c r="D2960" s="2">
        <v>0.13500000000000001</v>
      </c>
      <c r="E2960" s="2">
        <v>6</v>
      </c>
      <c r="F2960" s="2" t="s">
        <v>16</v>
      </c>
    </row>
    <row r="2961" spans="1:6" ht="25.5">
      <c r="A2961" s="2">
        <v>2958</v>
      </c>
      <c r="B2961" s="2" t="s">
        <v>3035</v>
      </c>
      <c r="C2961" s="2" t="str">
        <f>"00076899"</f>
        <v>00076899</v>
      </c>
      <c r="D2961" s="2">
        <v>0.13</v>
      </c>
      <c r="E2961" s="2">
        <v>10</v>
      </c>
      <c r="F2961" s="2" t="s">
        <v>6</v>
      </c>
    </row>
    <row r="2962" spans="1:6" ht="25.5">
      <c r="A2962" s="2">
        <v>2959</v>
      </c>
      <c r="B2962" s="2" t="s">
        <v>3036</v>
      </c>
      <c r="C2962" s="2" t="str">
        <f>"14637154"</f>
        <v>14637154</v>
      </c>
      <c r="D2962" s="2">
        <v>0.7</v>
      </c>
      <c r="E2962" s="2">
        <v>24</v>
      </c>
      <c r="F2962" s="2" t="s">
        <v>16</v>
      </c>
    </row>
    <row r="2963" spans="1:6" ht="25.5">
      <c r="A2963" s="2">
        <v>2960</v>
      </c>
      <c r="B2963" s="2" t="s">
        <v>3037</v>
      </c>
      <c r="C2963" s="2" t="str">
        <f>"10990836"</f>
        <v>10990836</v>
      </c>
      <c r="D2963" s="2">
        <v>1.0069999999999999</v>
      </c>
      <c r="E2963" s="2">
        <v>39</v>
      </c>
      <c r="F2963" s="2" t="s">
        <v>16</v>
      </c>
    </row>
    <row r="2964" spans="1:6" ht="25.5">
      <c r="A2964" s="2">
        <v>2961</v>
      </c>
      <c r="B2964" s="2" t="s">
        <v>3038</v>
      </c>
      <c r="C2964" s="2" t="str">
        <f>"09556419"</f>
        <v>09556419</v>
      </c>
      <c r="D2964" s="2">
        <v>0.113</v>
      </c>
      <c r="E2964" s="2">
        <v>5</v>
      </c>
      <c r="F2964" s="2" t="s">
        <v>16</v>
      </c>
    </row>
    <row r="2965" spans="1:6" ht="25.5">
      <c r="A2965" s="2">
        <v>2962</v>
      </c>
      <c r="B2965" s="2" t="s">
        <v>3039</v>
      </c>
      <c r="C2965" s="2" t="str">
        <f>"17515637"</f>
        <v>17515637</v>
      </c>
      <c r="D2965" s="2">
        <v>0.13900000000000001</v>
      </c>
      <c r="E2965" s="2">
        <v>2</v>
      </c>
      <c r="F2965" s="2" t="s">
        <v>16</v>
      </c>
    </row>
    <row r="2966" spans="1:6" ht="25.5">
      <c r="A2966" s="2">
        <v>2963</v>
      </c>
      <c r="B2966" s="2" t="s">
        <v>3040</v>
      </c>
      <c r="C2966" s="2" t="str">
        <f>"18224202"</f>
        <v>18224202</v>
      </c>
      <c r="D2966" s="2">
        <v>0.20499999999999999</v>
      </c>
      <c r="E2966" s="2">
        <v>9</v>
      </c>
      <c r="F2966" s="2" t="s">
        <v>426</v>
      </c>
    </row>
    <row r="2967" spans="1:6" ht="25.5">
      <c r="A2967" s="2">
        <v>2964</v>
      </c>
      <c r="B2967" s="2" t="s">
        <v>3041</v>
      </c>
      <c r="C2967" s="2" t="str">
        <f>"20739745"</f>
        <v>20739745</v>
      </c>
      <c r="D2967" s="2">
        <v>0</v>
      </c>
      <c r="E2967" s="2">
        <v>0</v>
      </c>
      <c r="F2967" s="2" t="s">
        <v>129</v>
      </c>
    </row>
    <row r="2968" spans="1:6" ht="25.5">
      <c r="A2968" s="2">
        <v>2965</v>
      </c>
      <c r="B2968" s="2" t="s">
        <v>3042</v>
      </c>
      <c r="C2968" s="2" t="str">
        <f>"03070131"</f>
        <v>03070131</v>
      </c>
      <c r="D2968" s="2">
        <v>0.10100000000000001</v>
      </c>
      <c r="E2968" s="2">
        <v>4</v>
      </c>
      <c r="F2968" s="2" t="s">
        <v>16</v>
      </c>
    </row>
    <row r="2969" spans="1:6" ht="25.5">
      <c r="A2969" s="2">
        <v>2966</v>
      </c>
      <c r="B2969" s="2" t="s">
        <v>3043</v>
      </c>
      <c r="C2969" s="2" t="str">
        <f>"00077704"</f>
        <v>00077704</v>
      </c>
      <c r="D2969" s="2">
        <v>0.1</v>
      </c>
      <c r="E2969" s="2">
        <v>4</v>
      </c>
      <c r="F2969" s="2" t="s">
        <v>12</v>
      </c>
    </row>
    <row r="2970" spans="1:6" ht="25.5">
      <c r="A2970" s="2">
        <v>2967</v>
      </c>
      <c r="B2970" s="2" t="s">
        <v>3044</v>
      </c>
      <c r="C2970" s="2" t="str">
        <f>"00077712"</f>
        <v>00077712</v>
      </c>
      <c r="D2970" s="2">
        <v>0.1</v>
      </c>
      <c r="E2970" s="2">
        <v>2</v>
      </c>
      <c r="F2970" s="2" t="s">
        <v>208</v>
      </c>
    </row>
    <row r="2971" spans="1:6" ht="25.5">
      <c r="A2971" s="2">
        <v>2968</v>
      </c>
      <c r="B2971" s="2" t="s">
        <v>3045</v>
      </c>
      <c r="C2971" s="2" t="str">
        <f>"11051639"</f>
        <v>11051639</v>
      </c>
      <c r="D2971" s="2">
        <v>0.10299999999999999</v>
      </c>
      <c r="E2971" s="2">
        <v>0</v>
      </c>
      <c r="F2971" s="2" t="s">
        <v>313</v>
      </c>
    </row>
    <row r="2972" spans="1:6" ht="25.5">
      <c r="A2972" s="2">
        <v>2969</v>
      </c>
      <c r="B2972" s="2" t="s">
        <v>3046</v>
      </c>
      <c r="C2972" s="2" t="str">
        <f>"03782506"</f>
        <v>03782506</v>
      </c>
      <c r="D2972" s="2">
        <v>0.123</v>
      </c>
      <c r="E2972" s="2">
        <v>3</v>
      </c>
      <c r="F2972" s="2" t="s">
        <v>161</v>
      </c>
    </row>
    <row r="2973" spans="1:6" ht="25.5">
      <c r="A2973" s="2">
        <v>2970</v>
      </c>
      <c r="B2973" s="2" t="s">
        <v>3047</v>
      </c>
      <c r="C2973" s="2" t="str">
        <f>"15424863"</f>
        <v>15424863</v>
      </c>
      <c r="D2973" s="2">
        <v>29.855</v>
      </c>
      <c r="E2973" s="2">
        <v>92</v>
      </c>
      <c r="F2973" s="2" t="s">
        <v>6</v>
      </c>
    </row>
    <row r="2974" spans="1:6" ht="25.5">
      <c r="A2974" s="2">
        <v>2971</v>
      </c>
      <c r="B2974" s="2" t="s">
        <v>3048</v>
      </c>
      <c r="C2974" s="2" t="str">
        <f>"17498848"</f>
        <v>17498848</v>
      </c>
      <c r="D2974" s="2">
        <v>0.21099999999999999</v>
      </c>
      <c r="E2974" s="2">
        <v>6</v>
      </c>
      <c r="F2974" s="2" t="s">
        <v>16</v>
      </c>
    </row>
    <row r="2975" spans="1:6" ht="25.5">
      <c r="A2975" s="2">
        <v>2972</v>
      </c>
      <c r="B2975" s="2" t="s">
        <v>3049</v>
      </c>
      <c r="C2975" s="2" t="str">
        <f>"00104485"</f>
        <v>00104485</v>
      </c>
      <c r="D2975" s="2">
        <v>1.032</v>
      </c>
      <c r="E2975" s="2">
        <v>70</v>
      </c>
      <c r="F2975" s="2" t="s">
        <v>16</v>
      </c>
    </row>
    <row r="2976" spans="1:6" ht="25.5">
      <c r="A2976" s="2">
        <v>2973</v>
      </c>
      <c r="B2976" s="2" t="s">
        <v>3050</v>
      </c>
      <c r="C2976" s="2" t="str">
        <f>"01034979"</f>
        <v>01034979</v>
      </c>
      <c r="D2976" s="2">
        <v>0.19400000000000001</v>
      </c>
      <c r="E2976" s="2">
        <v>1</v>
      </c>
      <c r="F2976" s="2" t="s">
        <v>159</v>
      </c>
    </row>
    <row r="2977" spans="1:6" ht="25.5">
      <c r="A2977" s="2">
        <v>2974</v>
      </c>
      <c r="B2977" s="2" t="s">
        <v>3051</v>
      </c>
      <c r="C2977" s="2" t="str">
        <f>"01013262"</f>
        <v>01013262</v>
      </c>
      <c r="D2977" s="2">
        <v>0.1</v>
      </c>
      <c r="E2977" s="2">
        <v>3</v>
      </c>
      <c r="F2977" s="2" t="s">
        <v>159</v>
      </c>
    </row>
    <row r="2978" spans="1:6" ht="25.5">
      <c r="A2978" s="2">
        <v>2975</v>
      </c>
      <c r="B2978" s="2" t="s">
        <v>3052</v>
      </c>
      <c r="C2978" s="2" t="str">
        <f>"21794790"</f>
        <v>21794790</v>
      </c>
      <c r="D2978" s="2">
        <v>0</v>
      </c>
      <c r="E2978" s="2">
        <v>0</v>
      </c>
      <c r="F2978" s="2" t="s">
        <v>159</v>
      </c>
    </row>
    <row r="2979" spans="1:6" ht="25.5">
      <c r="A2979" s="2">
        <v>2976</v>
      </c>
      <c r="B2979" s="2" t="s">
        <v>3053</v>
      </c>
      <c r="C2979" s="2" t="str">
        <f>"01001574"</f>
        <v>01001574</v>
      </c>
      <c r="D2979" s="2">
        <v>0.161</v>
      </c>
      <c r="E2979" s="2">
        <v>5</v>
      </c>
      <c r="F2979" s="2" t="s">
        <v>159</v>
      </c>
    </row>
    <row r="2980" spans="1:6" ht="25.5">
      <c r="A2980" s="2">
        <v>2977</v>
      </c>
      <c r="B2980" s="2" t="s">
        <v>3054</v>
      </c>
      <c r="C2980" s="2" t="str">
        <f>"0102311X"</f>
        <v>0102311X</v>
      </c>
      <c r="D2980" s="2">
        <v>0.79100000000000004</v>
      </c>
      <c r="E2980" s="2">
        <v>40</v>
      </c>
      <c r="F2980" s="2" t="s">
        <v>159</v>
      </c>
    </row>
    <row r="2981" spans="1:6" ht="25.5">
      <c r="A2981" s="2">
        <v>2978</v>
      </c>
      <c r="B2981" s="2" t="s">
        <v>3055</v>
      </c>
      <c r="C2981" s="2" t="str">
        <f>"01048333"</f>
        <v>01048333</v>
      </c>
      <c r="D2981" s="2">
        <v>0.121</v>
      </c>
      <c r="E2981" s="2">
        <v>2</v>
      </c>
      <c r="F2981" s="2" t="s">
        <v>159</v>
      </c>
    </row>
    <row r="2982" spans="1:6" ht="25.5">
      <c r="A2982" s="2">
        <v>2979</v>
      </c>
      <c r="B2982" s="2" t="s">
        <v>3056</v>
      </c>
      <c r="C2982" s="2" t="str">
        <f>"19725019"</f>
        <v>19725019</v>
      </c>
      <c r="D2982" s="2">
        <v>0.111</v>
      </c>
      <c r="E2982" s="2">
        <v>2</v>
      </c>
      <c r="F2982" s="2" t="s">
        <v>190</v>
      </c>
    </row>
    <row r="2983" spans="1:6" ht="25.5">
      <c r="A2983" s="2">
        <v>2980</v>
      </c>
      <c r="B2983" s="2" t="s">
        <v>3057</v>
      </c>
      <c r="C2983" s="2" t="str">
        <f>"17775949"</f>
        <v>17775949</v>
      </c>
      <c r="D2983" s="2">
        <v>0.28499999999999998</v>
      </c>
      <c r="E2983" s="2">
        <v>8</v>
      </c>
      <c r="F2983" s="2" t="s">
        <v>66</v>
      </c>
    </row>
    <row r="2984" spans="1:6" ht="25.5">
      <c r="A2984" s="2">
        <v>2981</v>
      </c>
      <c r="B2984" s="2" t="s">
        <v>3058</v>
      </c>
      <c r="C2984" s="2" t="str">
        <f>"17821398"</f>
        <v>17821398</v>
      </c>
      <c r="D2984" s="2">
        <v>0.185</v>
      </c>
      <c r="E2984" s="2">
        <v>4</v>
      </c>
      <c r="F2984" s="2" t="s">
        <v>161</v>
      </c>
    </row>
    <row r="2985" spans="1:6" ht="25.5">
      <c r="A2985" s="2">
        <v>2982</v>
      </c>
      <c r="B2985" s="2" t="s">
        <v>3059</v>
      </c>
      <c r="C2985" s="2" t="str">
        <f>"00079723"</f>
        <v>00079723</v>
      </c>
      <c r="D2985" s="2">
        <v>0.27900000000000003</v>
      </c>
      <c r="E2985" s="2">
        <v>20</v>
      </c>
      <c r="F2985" s="2" t="s">
        <v>66</v>
      </c>
    </row>
    <row r="2986" spans="1:6" ht="25.5">
      <c r="A2986" s="2">
        <v>2983</v>
      </c>
      <c r="B2986" s="2" t="s">
        <v>3060</v>
      </c>
      <c r="C2986" s="2" t="str">
        <f>"00079731"</f>
        <v>00079731</v>
      </c>
      <c r="D2986" s="2">
        <v>0.10100000000000001</v>
      </c>
      <c r="E2986" s="2">
        <v>3</v>
      </c>
      <c r="F2986" s="2" t="s">
        <v>66</v>
      </c>
    </row>
    <row r="2987" spans="1:6" ht="25.5">
      <c r="A2987" s="2">
        <v>2984</v>
      </c>
      <c r="B2987" s="2" t="s">
        <v>3061</v>
      </c>
      <c r="C2987" s="2" t="str">
        <f>"00079766"</f>
        <v>00079766</v>
      </c>
      <c r="D2987" s="2">
        <v>0.17299999999999999</v>
      </c>
      <c r="E2987" s="2">
        <v>7</v>
      </c>
      <c r="F2987" s="2" t="s">
        <v>64</v>
      </c>
    </row>
    <row r="2988" spans="1:6" ht="25.5">
      <c r="A2988" s="2">
        <v>2985</v>
      </c>
      <c r="B2988" s="2" t="s">
        <v>3062</v>
      </c>
      <c r="C2988" s="2" t="str">
        <f>"05715865"</f>
        <v>05715865</v>
      </c>
      <c r="D2988" s="2">
        <v>0.1</v>
      </c>
      <c r="E2988" s="2">
        <v>1</v>
      </c>
      <c r="F2988" s="2" t="s">
        <v>66</v>
      </c>
    </row>
    <row r="2989" spans="1:6" ht="25.5">
      <c r="A2989" s="2">
        <v>2986</v>
      </c>
      <c r="B2989" s="2" t="s">
        <v>3063</v>
      </c>
      <c r="C2989" s="2" t="str">
        <f>"07716524"</f>
        <v>07716524</v>
      </c>
      <c r="D2989" s="2">
        <v>0.10100000000000001</v>
      </c>
      <c r="E2989" s="2">
        <v>0</v>
      </c>
      <c r="F2989" s="2" t="s">
        <v>161</v>
      </c>
    </row>
    <row r="2990" spans="1:6" ht="25.5">
      <c r="A2990" s="2">
        <v>2987</v>
      </c>
      <c r="B2990" s="2" t="s">
        <v>3064</v>
      </c>
      <c r="C2990" s="2" t="str">
        <f>"00079960"</f>
        <v>00079960</v>
      </c>
      <c r="D2990" s="2">
        <v>0.127</v>
      </c>
      <c r="E2990" s="2">
        <v>10</v>
      </c>
      <c r="F2990" s="2" t="s">
        <v>66</v>
      </c>
    </row>
    <row r="2991" spans="1:6" ht="25.5">
      <c r="A2991" s="2">
        <v>2988</v>
      </c>
      <c r="B2991" s="2" t="s">
        <v>3065</v>
      </c>
      <c r="C2991" s="2" t="str">
        <f>"17821401"</f>
        <v>17821401</v>
      </c>
      <c r="D2991" s="2">
        <v>0.112</v>
      </c>
      <c r="E2991" s="2">
        <v>3</v>
      </c>
      <c r="F2991" s="2" t="s">
        <v>161</v>
      </c>
    </row>
    <row r="2992" spans="1:6" ht="25.5">
      <c r="A2992" s="2">
        <v>2989</v>
      </c>
      <c r="B2992" s="2" t="s">
        <v>3066</v>
      </c>
      <c r="C2992" s="2" t="str">
        <f>"00080055"</f>
        <v>00080055</v>
      </c>
      <c r="D2992" s="2">
        <v>0.13300000000000001</v>
      </c>
      <c r="E2992" s="2">
        <v>7</v>
      </c>
      <c r="F2992" s="2" t="s">
        <v>66</v>
      </c>
    </row>
    <row r="2993" spans="1:6" ht="25.5">
      <c r="A2993" s="2">
        <v>2990</v>
      </c>
      <c r="B2993" s="2" t="s">
        <v>3067</v>
      </c>
      <c r="C2993" s="2" t="str">
        <f>"17775388"</f>
        <v>17775388</v>
      </c>
      <c r="D2993" s="2">
        <v>0.1</v>
      </c>
      <c r="E2993" s="2">
        <v>7</v>
      </c>
      <c r="F2993" s="2" t="s">
        <v>66</v>
      </c>
    </row>
    <row r="2994" spans="1:6" ht="25.5">
      <c r="A2994" s="2">
        <v>2991</v>
      </c>
      <c r="B2994" s="2" t="s">
        <v>3068</v>
      </c>
      <c r="C2994" s="2" t="str">
        <f>"01811525"</f>
        <v>01811525</v>
      </c>
      <c r="D2994" s="2">
        <v>0.1</v>
      </c>
      <c r="E2994" s="2">
        <v>1</v>
      </c>
      <c r="F2994" s="2" t="s">
        <v>66</v>
      </c>
    </row>
    <row r="2995" spans="1:6" ht="25.5">
      <c r="A2995" s="2">
        <v>2992</v>
      </c>
      <c r="B2995" s="2" t="s">
        <v>3069</v>
      </c>
      <c r="C2995" s="2" t="str">
        <f>"01847678"</f>
        <v>01847678</v>
      </c>
      <c r="D2995" s="2">
        <v>0.10100000000000001</v>
      </c>
      <c r="E2995" s="2">
        <v>1</v>
      </c>
      <c r="F2995" s="2" t="s">
        <v>66</v>
      </c>
    </row>
    <row r="2996" spans="1:6" ht="25.5">
      <c r="A2996" s="2">
        <v>2993</v>
      </c>
      <c r="B2996" s="2" t="s">
        <v>3070</v>
      </c>
      <c r="C2996" s="2" t="str">
        <f>"00080365"</f>
        <v>00080365</v>
      </c>
      <c r="D2996" s="2">
        <v>0.1</v>
      </c>
      <c r="E2996" s="2">
        <v>2</v>
      </c>
      <c r="F2996" s="2" t="s">
        <v>66</v>
      </c>
    </row>
    <row r="2997" spans="1:6" ht="25.5">
      <c r="A2997" s="2">
        <v>2994</v>
      </c>
      <c r="B2997" s="2" t="s">
        <v>3071</v>
      </c>
      <c r="C2997" s="2" t="str">
        <f>"02205610"</f>
        <v>02205610</v>
      </c>
      <c r="D2997" s="2">
        <v>0.1</v>
      </c>
      <c r="E2997" s="2">
        <v>2</v>
      </c>
      <c r="F2997" s="2" t="s">
        <v>66</v>
      </c>
    </row>
    <row r="2998" spans="1:6" ht="25.5">
      <c r="A2998" s="2">
        <v>2995</v>
      </c>
      <c r="B2998" s="2" t="s">
        <v>3072</v>
      </c>
      <c r="C2998" s="2" t="str">
        <f>"16733363"</f>
        <v>16733363</v>
      </c>
      <c r="D2998" s="2">
        <v>0.59499999999999997</v>
      </c>
      <c r="E2998" s="2">
        <v>6</v>
      </c>
      <c r="F2998" s="2" t="s">
        <v>46</v>
      </c>
    </row>
    <row r="2999" spans="1:6" ht="25.5">
      <c r="A2999" s="2">
        <v>2996</v>
      </c>
      <c r="B2999" s="2" t="s">
        <v>3073</v>
      </c>
      <c r="C2999" s="2" t="str">
        <f>"10014381"</f>
        <v>10014381</v>
      </c>
      <c r="D2999" s="2">
        <v>0.14199999999999999</v>
      </c>
      <c r="E2999" s="2">
        <v>7</v>
      </c>
      <c r="F2999" s="2" t="s">
        <v>46</v>
      </c>
    </row>
    <row r="3000" spans="1:6" ht="25.5">
      <c r="A3000" s="2">
        <v>2997</v>
      </c>
      <c r="B3000" s="2" t="s">
        <v>3074</v>
      </c>
      <c r="C3000" s="2" t="str">
        <f>"10050299"</f>
        <v>10050299</v>
      </c>
      <c r="D3000" s="2">
        <v>0.13600000000000001</v>
      </c>
      <c r="E3000" s="2">
        <v>8</v>
      </c>
      <c r="F3000" s="2" t="s">
        <v>46</v>
      </c>
    </row>
    <row r="3001" spans="1:6" ht="25.5">
      <c r="A3001" s="2">
        <v>2998</v>
      </c>
      <c r="B3001" s="2" t="s">
        <v>3075</v>
      </c>
      <c r="C3001" s="2" t="str">
        <f>"10096264"</f>
        <v>10096264</v>
      </c>
      <c r="D3001" s="2">
        <v>0.23400000000000001</v>
      </c>
      <c r="E3001" s="2">
        <v>10</v>
      </c>
      <c r="F3001" s="2" t="s">
        <v>46</v>
      </c>
    </row>
    <row r="3002" spans="1:6" ht="25.5">
      <c r="A3002" s="2">
        <v>2999</v>
      </c>
      <c r="B3002" s="2" t="s">
        <v>3076</v>
      </c>
      <c r="C3002" s="2" t="str">
        <f>"10053093"</f>
        <v>10053093</v>
      </c>
      <c r="D3002" s="2">
        <v>0.16600000000000001</v>
      </c>
      <c r="E3002" s="2">
        <v>11</v>
      </c>
      <c r="F3002" s="2" t="s">
        <v>46</v>
      </c>
    </row>
    <row r="3003" spans="1:6" ht="25.5">
      <c r="A3003" s="2">
        <v>3000</v>
      </c>
      <c r="B3003" s="2" t="s">
        <v>3077</v>
      </c>
      <c r="C3003" s="2" t="str">
        <f>"14320827"</f>
        <v>14320827</v>
      </c>
      <c r="D3003" s="2">
        <v>0.97</v>
      </c>
      <c r="E3003" s="2">
        <v>81</v>
      </c>
      <c r="F3003" s="2" t="s">
        <v>6</v>
      </c>
    </row>
    <row r="3004" spans="1:6" ht="25.5">
      <c r="A3004" s="2">
        <v>3001</v>
      </c>
      <c r="B3004" s="2" t="s">
        <v>3078</v>
      </c>
      <c r="C3004" s="2" t="str">
        <f>"11265434"</f>
        <v>11265434</v>
      </c>
      <c r="D3004" s="2">
        <v>0.72499999999999998</v>
      </c>
      <c r="E3004" s="2">
        <v>15</v>
      </c>
      <c r="F3004" s="2" t="s">
        <v>190</v>
      </c>
    </row>
    <row r="3005" spans="1:6" ht="25.5">
      <c r="A3005" s="2">
        <v>3002</v>
      </c>
      <c r="B3005" s="2" t="s">
        <v>3079</v>
      </c>
      <c r="C3005" s="2" t="str">
        <f>"14320835"</f>
        <v>14320835</v>
      </c>
      <c r="D3005" s="2">
        <v>2.351</v>
      </c>
      <c r="E3005" s="2">
        <v>34</v>
      </c>
      <c r="F3005" s="2" t="s">
        <v>6</v>
      </c>
    </row>
    <row r="3006" spans="1:6" ht="25.5">
      <c r="A3006" s="2">
        <v>3003</v>
      </c>
      <c r="B3006" s="2" t="s">
        <v>3080</v>
      </c>
      <c r="C3006" s="2" t="str">
        <f>"03665232"</f>
        <v>03665232</v>
      </c>
      <c r="D3006" s="2">
        <v>0.22600000000000001</v>
      </c>
      <c r="E3006" s="2">
        <v>6</v>
      </c>
      <c r="F3006" s="2" t="s">
        <v>184</v>
      </c>
    </row>
    <row r="3007" spans="1:6" ht="25.5">
      <c r="A3007" s="2">
        <v>3004</v>
      </c>
      <c r="B3007" s="2" t="s">
        <v>3081</v>
      </c>
      <c r="C3007" s="2" t="str">
        <f>"21776202"</f>
        <v>21776202</v>
      </c>
      <c r="D3007" s="2">
        <v>0.111</v>
      </c>
      <c r="E3007" s="2">
        <v>1</v>
      </c>
      <c r="F3007" s="2" t="s">
        <v>159</v>
      </c>
    </row>
    <row r="3008" spans="1:6" ht="25.5">
      <c r="A3008" s="2">
        <v>3005</v>
      </c>
      <c r="B3008" s="2" t="s">
        <v>3082</v>
      </c>
      <c r="C3008" s="2" t="str">
        <f>"10970967"</f>
        <v>10970967</v>
      </c>
      <c r="D3008" s="2">
        <v>0.45800000000000002</v>
      </c>
      <c r="E3008" s="2">
        <v>8</v>
      </c>
      <c r="F3008" s="2" t="s">
        <v>6</v>
      </c>
    </row>
    <row r="3009" spans="1:6" ht="25.5">
      <c r="A3009" s="2">
        <v>3006</v>
      </c>
      <c r="B3009" s="2" t="s">
        <v>3083</v>
      </c>
      <c r="C3009" s="2" t="str">
        <f>"05753317"</f>
        <v>05753317</v>
      </c>
      <c r="D3009" s="2">
        <v>0.76100000000000001</v>
      </c>
      <c r="E3009" s="2">
        <v>27</v>
      </c>
      <c r="F3009" s="2" t="s">
        <v>6</v>
      </c>
    </row>
    <row r="3010" spans="1:6" ht="25.5">
      <c r="A3010" s="2">
        <v>3007</v>
      </c>
      <c r="B3010" s="2" t="s">
        <v>3084</v>
      </c>
      <c r="C3010" s="2" t="str">
        <f>"00081078"</f>
        <v>00081078</v>
      </c>
      <c r="D3010" s="2">
        <v>0.218</v>
      </c>
      <c r="E3010" s="2">
        <v>11</v>
      </c>
      <c r="F3010" s="2" t="s">
        <v>6</v>
      </c>
    </row>
    <row r="3011" spans="1:6" ht="25.5">
      <c r="A3011" s="2">
        <v>3008</v>
      </c>
      <c r="B3011" s="2" t="s">
        <v>3085</v>
      </c>
      <c r="C3011" s="2" t="str">
        <f>"00081221"</f>
        <v>00081221</v>
      </c>
      <c r="D3011" s="2">
        <v>1.157</v>
      </c>
      <c r="E3011" s="2">
        <v>25</v>
      </c>
      <c r="F3011" s="2" t="s">
        <v>6</v>
      </c>
    </row>
    <row r="3012" spans="1:6" ht="25.5">
      <c r="A3012" s="2">
        <v>3009</v>
      </c>
      <c r="B3012" s="2" t="s">
        <v>3086</v>
      </c>
      <c r="C3012" s="2" t="str">
        <f>"00081256"</f>
        <v>00081256</v>
      </c>
      <c r="D3012" s="2">
        <v>1.504</v>
      </c>
      <c r="E3012" s="2">
        <v>72</v>
      </c>
      <c r="F3012" s="2" t="s">
        <v>6</v>
      </c>
    </row>
    <row r="3013" spans="1:6" ht="25.5">
      <c r="A3013" s="2">
        <v>3010</v>
      </c>
      <c r="B3013" s="2" t="s">
        <v>3087</v>
      </c>
      <c r="C3013" s="2" t="str">
        <f>"10180389"</f>
        <v>10180389</v>
      </c>
      <c r="D3013" s="2">
        <v>0</v>
      </c>
      <c r="E3013" s="2">
        <v>0</v>
      </c>
      <c r="F3013" s="2" t="s">
        <v>19</v>
      </c>
    </row>
    <row r="3014" spans="1:6" ht="25.5">
      <c r="A3014" s="2">
        <v>3011</v>
      </c>
      <c r="B3014" s="2" t="s">
        <v>3088</v>
      </c>
      <c r="C3014" s="2" t="str">
        <f>"10806512"</f>
        <v>10806512</v>
      </c>
      <c r="D3014" s="2">
        <v>0.10100000000000001</v>
      </c>
      <c r="E3014" s="2">
        <v>5</v>
      </c>
      <c r="F3014" s="2" t="s">
        <v>6</v>
      </c>
    </row>
    <row r="3015" spans="1:6" ht="25.5">
      <c r="A3015" s="2">
        <v>3012</v>
      </c>
      <c r="B3015" s="2" t="s">
        <v>3089</v>
      </c>
      <c r="C3015" s="2" t="str">
        <f>"03645916"</f>
        <v>03645916</v>
      </c>
      <c r="D3015" s="2">
        <v>1.1259999999999999</v>
      </c>
      <c r="E3015" s="2">
        <v>33</v>
      </c>
      <c r="F3015" s="2" t="s">
        <v>16</v>
      </c>
    </row>
    <row r="3016" spans="1:6" ht="25.5">
      <c r="A3016" s="2">
        <v>3013</v>
      </c>
      <c r="B3016" s="2" t="s">
        <v>3090</v>
      </c>
      <c r="C3016" s="2" t="str">
        <f>"00081795"</f>
        <v>00081795</v>
      </c>
      <c r="D3016" s="2">
        <v>0.10199999999999999</v>
      </c>
      <c r="E3016" s="2">
        <v>0</v>
      </c>
      <c r="F3016" s="2" t="s">
        <v>6</v>
      </c>
    </row>
    <row r="3017" spans="1:6" ht="25.5">
      <c r="A3017" s="2">
        <v>3014</v>
      </c>
      <c r="B3017" s="2" t="s">
        <v>3091</v>
      </c>
      <c r="C3017" s="2" t="str">
        <f>"13530089"</f>
        <v>13530089</v>
      </c>
      <c r="D3017" s="2">
        <v>0.10100000000000001</v>
      </c>
      <c r="E3017" s="2">
        <v>4</v>
      </c>
      <c r="F3017" s="2" t="s">
        <v>16</v>
      </c>
    </row>
    <row r="3018" spans="1:6" ht="25.5">
      <c r="A3018" s="2">
        <v>3015</v>
      </c>
      <c r="B3018" s="2" t="s">
        <v>3092</v>
      </c>
      <c r="C3018" s="2" t="str">
        <f>"14740540"</f>
        <v>14740540</v>
      </c>
      <c r="D3018" s="2">
        <v>0.76400000000000001</v>
      </c>
      <c r="E3018" s="2">
        <v>21</v>
      </c>
      <c r="F3018" s="2" t="s">
        <v>16</v>
      </c>
    </row>
    <row r="3019" spans="1:6" ht="25.5">
      <c r="A3019" s="2">
        <v>3016</v>
      </c>
      <c r="B3019" s="2" t="s">
        <v>3093</v>
      </c>
      <c r="C3019" s="2" t="str">
        <f>"17502705"</f>
        <v>17502705</v>
      </c>
      <c r="D3019" s="2">
        <v>0.10100000000000001</v>
      </c>
      <c r="E3019" s="2">
        <v>2</v>
      </c>
      <c r="F3019" s="2" t="s">
        <v>16</v>
      </c>
    </row>
    <row r="3020" spans="1:6" ht="25.5">
      <c r="A3020" s="2">
        <v>3017</v>
      </c>
      <c r="B3020" s="2" t="s">
        <v>3094</v>
      </c>
      <c r="C3020" s="2" t="str">
        <f>"14643545"</f>
        <v>14643545</v>
      </c>
      <c r="D3020" s="2">
        <v>1.008</v>
      </c>
      <c r="E3020" s="2">
        <v>38</v>
      </c>
      <c r="F3020" s="2" t="s">
        <v>16</v>
      </c>
    </row>
    <row r="3021" spans="1:6" ht="25.5">
      <c r="A3021" s="2">
        <v>3018</v>
      </c>
      <c r="B3021" s="2" t="s">
        <v>3095</v>
      </c>
      <c r="C3021" s="2" t="str">
        <f>"14693577"</f>
        <v>14693577</v>
      </c>
      <c r="D3021" s="2">
        <v>0.51800000000000002</v>
      </c>
      <c r="E3021" s="2">
        <v>13</v>
      </c>
      <c r="F3021" s="2" t="s">
        <v>6</v>
      </c>
    </row>
    <row r="3022" spans="1:6" ht="25.5">
      <c r="A3022" s="2">
        <v>3019</v>
      </c>
      <c r="B3022" s="2" t="s">
        <v>3096</v>
      </c>
      <c r="C3022" s="2" t="str">
        <f>"17521378"</f>
        <v>17521378</v>
      </c>
      <c r="D3022" s="2">
        <v>1.3029999999999999</v>
      </c>
      <c r="E3022" s="2">
        <v>13</v>
      </c>
      <c r="F3022" s="2" t="s">
        <v>16</v>
      </c>
    </row>
    <row r="3023" spans="1:6" ht="25.5">
      <c r="A3023" s="2">
        <v>3020</v>
      </c>
      <c r="B3023" s="2" t="s">
        <v>3097</v>
      </c>
      <c r="C3023" s="2" t="str">
        <f>"09545867"</f>
        <v>09545867</v>
      </c>
      <c r="D3023" s="2">
        <v>0.125</v>
      </c>
      <c r="E3023" s="2">
        <v>5</v>
      </c>
      <c r="F3023" s="2" t="s">
        <v>16</v>
      </c>
    </row>
    <row r="3024" spans="1:6" ht="25.5">
      <c r="A3024" s="2">
        <v>3021</v>
      </c>
      <c r="B3024" s="2" t="s">
        <v>3098</v>
      </c>
      <c r="C3024" s="2" t="str">
        <f>"14716836"</f>
        <v>14716836</v>
      </c>
      <c r="D3024" s="2">
        <v>0.1</v>
      </c>
      <c r="E3024" s="2">
        <v>4</v>
      </c>
      <c r="F3024" s="2" t="s">
        <v>6</v>
      </c>
    </row>
    <row r="3025" spans="1:6" ht="25.5">
      <c r="A3025" s="2">
        <v>3022</v>
      </c>
      <c r="B3025" s="2" t="s">
        <v>3099</v>
      </c>
      <c r="C3025" s="2" t="str">
        <f>"14692147"</f>
        <v>14692147</v>
      </c>
      <c r="D3025" s="2">
        <v>0.30299999999999999</v>
      </c>
      <c r="E3025" s="2">
        <v>19</v>
      </c>
      <c r="F3025" s="2" t="s">
        <v>16</v>
      </c>
    </row>
    <row r="3026" spans="1:6" ht="25.5">
      <c r="A3026" s="2">
        <v>3023</v>
      </c>
      <c r="B3026" s="2" t="s">
        <v>3100</v>
      </c>
      <c r="C3026" s="2" t="str">
        <f>"1474449X"</f>
        <v>1474449X</v>
      </c>
      <c r="D3026" s="2">
        <v>0.51</v>
      </c>
      <c r="E3026" s="2">
        <v>4</v>
      </c>
      <c r="F3026" s="2" t="s">
        <v>6</v>
      </c>
    </row>
    <row r="3027" spans="1:6" ht="25.5">
      <c r="A3027" s="2">
        <v>3024</v>
      </c>
      <c r="B3027" s="2" t="s">
        <v>3101</v>
      </c>
      <c r="C3027" s="2" t="str">
        <f>"15291510"</f>
        <v>15291510</v>
      </c>
      <c r="D3027" s="2">
        <v>0.122</v>
      </c>
      <c r="E3027" s="2">
        <v>4</v>
      </c>
      <c r="F3027" s="2" t="s">
        <v>6</v>
      </c>
    </row>
    <row r="3028" spans="1:6" ht="25.5">
      <c r="A3028" s="2">
        <v>3025</v>
      </c>
      <c r="B3028" s="2" t="s">
        <v>3102</v>
      </c>
      <c r="C3028" s="2" t="str">
        <f>"10650741"</f>
        <v>10650741</v>
      </c>
      <c r="D3028" s="2">
        <v>0.29199999999999998</v>
      </c>
      <c r="E3028" s="2">
        <v>11</v>
      </c>
      <c r="F3028" s="2" t="s">
        <v>16</v>
      </c>
    </row>
    <row r="3029" spans="1:6" ht="25.5">
      <c r="A3029" s="2">
        <v>3026</v>
      </c>
      <c r="B3029" s="2" t="s">
        <v>3103</v>
      </c>
      <c r="C3029" s="2" t="str">
        <f>"07116659"</f>
        <v>07116659</v>
      </c>
      <c r="D3029" s="2">
        <v>0.182</v>
      </c>
      <c r="E3029" s="2">
        <v>12</v>
      </c>
      <c r="F3029" s="2" t="s">
        <v>64</v>
      </c>
    </row>
    <row r="3030" spans="1:6" ht="25.5">
      <c r="A3030" s="2">
        <v>3027</v>
      </c>
      <c r="B3030" s="2" t="s">
        <v>3104</v>
      </c>
      <c r="C3030" s="2" t="str">
        <f>"00082821"</f>
        <v>00082821</v>
      </c>
      <c r="D3030" s="2">
        <v>0.127</v>
      </c>
      <c r="E3030" s="2">
        <v>15</v>
      </c>
      <c r="F3030" s="2" t="s">
        <v>64</v>
      </c>
    </row>
    <row r="3031" spans="1:6" ht="25.5">
      <c r="A3031" s="2">
        <v>3028</v>
      </c>
      <c r="B3031" s="2" t="s">
        <v>3105</v>
      </c>
      <c r="C3031" s="2" t="str">
        <f>"14882361"</f>
        <v>14882361</v>
      </c>
      <c r="D3031" s="2">
        <v>0.17599999999999999</v>
      </c>
      <c r="E3031" s="2">
        <v>22</v>
      </c>
      <c r="F3031" s="2" t="s">
        <v>64</v>
      </c>
    </row>
    <row r="3032" spans="1:6" ht="25.5">
      <c r="A3032" s="2">
        <v>3029</v>
      </c>
      <c r="B3032" s="2" t="s">
        <v>3106</v>
      </c>
      <c r="C3032" s="2" t="str">
        <f>"14929058"</f>
        <v>14929058</v>
      </c>
      <c r="D3032" s="2">
        <v>0.129</v>
      </c>
      <c r="E3032" s="2">
        <v>20</v>
      </c>
      <c r="F3032" s="2" t="s">
        <v>64</v>
      </c>
    </row>
    <row r="3033" spans="1:6" ht="25.5">
      <c r="A3033" s="2">
        <v>3030</v>
      </c>
      <c r="B3033" s="2" t="s">
        <v>3107</v>
      </c>
      <c r="C3033" s="2" t="str">
        <f>"08232105"</f>
        <v>08232105</v>
      </c>
      <c r="D3033" s="2">
        <v>0.10299999999999999</v>
      </c>
      <c r="E3033" s="2">
        <v>7</v>
      </c>
      <c r="F3033" s="2" t="s">
        <v>64</v>
      </c>
    </row>
    <row r="3034" spans="1:6" ht="25.5">
      <c r="A3034" s="2">
        <v>3031</v>
      </c>
      <c r="B3034" s="2" t="s">
        <v>3108</v>
      </c>
      <c r="C3034" s="2" t="str">
        <f>"08407789"</f>
        <v>08407789</v>
      </c>
      <c r="D3034" s="2">
        <v>0.11600000000000001</v>
      </c>
      <c r="E3034" s="2">
        <v>25</v>
      </c>
      <c r="F3034" s="2" t="s">
        <v>6</v>
      </c>
    </row>
    <row r="3035" spans="1:6" ht="25.5">
      <c r="A3035" s="2">
        <v>3032</v>
      </c>
      <c r="B3035" s="2" t="s">
        <v>3109</v>
      </c>
      <c r="C3035" s="2" t="str">
        <f>"0008347X"</f>
        <v>0008347X</v>
      </c>
      <c r="D3035" s="2">
        <v>0.46800000000000003</v>
      </c>
      <c r="E3035" s="2">
        <v>29</v>
      </c>
      <c r="F3035" s="2" t="s">
        <v>64</v>
      </c>
    </row>
    <row r="3036" spans="1:6" ht="25.5">
      <c r="A3036" s="2">
        <v>3033</v>
      </c>
      <c r="B3036" s="2" t="s">
        <v>3110</v>
      </c>
      <c r="C3036" s="2" t="str">
        <f>"17155258"</f>
        <v>17155258</v>
      </c>
      <c r="D3036" s="2">
        <v>0.30599999999999999</v>
      </c>
      <c r="E3036" s="2">
        <v>34</v>
      </c>
      <c r="F3036" s="2" t="s">
        <v>64</v>
      </c>
    </row>
    <row r="3037" spans="1:6" ht="25.5">
      <c r="A3037" s="2">
        <v>3034</v>
      </c>
      <c r="B3037" s="2" t="s">
        <v>3111</v>
      </c>
      <c r="C3037" s="2" t="str">
        <f>"00083550"</f>
        <v>00083550</v>
      </c>
      <c r="D3037" s="2">
        <v>0.14799999999999999</v>
      </c>
      <c r="E3037" s="2">
        <v>20</v>
      </c>
      <c r="F3037" s="2" t="s">
        <v>64</v>
      </c>
    </row>
    <row r="3038" spans="1:6" ht="25.5">
      <c r="A3038" s="2">
        <v>3035</v>
      </c>
      <c r="B3038" s="2" t="s">
        <v>3112</v>
      </c>
      <c r="C3038" s="2" t="str">
        <f>"15410064"</f>
        <v>15410064</v>
      </c>
      <c r="D3038" s="2">
        <v>0.40200000000000002</v>
      </c>
      <c r="E3038" s="2">
        <v>24</v>
      </c>
      <c r="F3038" s="2" t="s">
        <v>16</v>
      </c>
    </row>
    <row r="3039" spans="1:6" ht="25.5">
      <c r="A3039" s="2">
        <v>3036</v>
      </c>
      <c r="B3039" s="2" t="s">
        <v>3113</v>
      </c>
      <c r="C3039" s="2" t="str">
        <f>"12086010"</f>
        <v>12086010</v>
      </c>
      <c r="D3039" s="2">
        <v>1.054</v>
      </c>
      <c r="E3039" s="2">
        <v>53</v>
      </c>
      <c r="F3039" s="2" t="s">
        <v>64</v>
      </c>
    </row>
    <row r="3040" spans="1:6" ht="25.5">
      <c r="A3040" s="2">
        <v>3037</v>
      </c>
      <c r="B3040" s="2" t="s">
        <v>3114</v>
      </c>
      <c r="C3040" s="2" t="str">
        <f>"00083755"</f>
        <v>00083755</v>
      </c>
      <c r="D3040" s="2">
        <v>0.16900000000000001</v>
      </c>
      <c r="E3040" s="2">
        <v>9</v>
      </c>
      <c r="F3040" s="2" t="s">
        <v>64</v>
      </c>
    </row>
    <row r="3041" spans="1:6" ht="25.5">
      <c r="A3041" s="2">
        <v>3038</v>
      </c>
      <c r="B3041" s="2" t="s">
        <v>3115</v>
      </c>
      <c r="C3041" s="2" t="str">
        <f>"08250383"</f>
        <v>08250383</v>
      </c>
      <c r="D3041" s="2">
        <v>0.24299999999999999</v>
      </c>
      <c r="E3041" s="2">
        <v>23</v>
      </c>
      <c r="F3041" s="2" t="s">
        <v>64</v>
      </c>
    </row>
    <row r="3042" spans="1:6" ht="25.5">
      <c r="A3042" s="2">
        <v>3039</v>
      </c>
      <c r="B3042" s="2" t="s">
        <v>3116</v>
      </c>
      <c r="C3042" s="2" t="str">
        <f>"00083976"</f>
        <v>00083976</v>
      </c>
      <c r="D3042" s="2">
        <v>0.45</v>
      </c>
      <c r="E3042" s="2">
        <v>19</v>
      </c>
      <c r="F3042" s="2" t="s">
        <v>16</v>
      </c>
    </row>
    <row r="3043" spans="1:6" ht="25.5">
      <c r="A3043" s="2">
        <v>3040</v>
      </c>
      <c r="B3043" s="2" t="s">
        <v>3117</v>
      </c>
      <c r="C3043" s="2" t="str">
        <f>"14968975"</f>
        <v>14968975</v>
      </c>
      <c r="D3043" s="2">
        <v>0.75900000000000001</v>
      </c>
      <c r="E3043" s="2">
        <v>64</v>
      </c>
      <c r="F3043" s="2" t="s">
        <v>6</v>
      </c>
    </row>
    <row r="3044" spans="1:6" ht="25.5">
      <c r="A3044" s="2">
        <v>3041</v>
      </c>
      <c r="B3044" s="2" t="s">
        <v>3118</v>
      </c>
      <c r="C3044" s="2" t="str">
        <f>"00083984"</f>
        <v>00083984</v>
      </c>
      <c r="D3044" s="2">
        <v>0.55800000000000005</v>
      </c>
      <c r="E3044" s="2">
        <v>37</v>
      </c>
      <c r="F3044" s="2" t="s">
        <v>64</v>
      </c>
    </row>
    <row r="3045" spans="1:6" ht="25.5">
      <c r="A3045" s="2">
        <v>3042</v>
      </c>
      <c r="B3045" s="2" t="s">
        <v>3119</v>
      </c>
      <c r="C3045" s="2" t="str">
        <f>"0008400X"</f>
        <v>0008400X</v>
      </c>
      <c r="D3045" s="2">
        <v>0.38200000000000001</v>
      </c>
      <c r="E3045" s="2">
        <v>26</v>
      </c>
      <c r="F3045" s="2" t="s">
        <v>64</v>
      </c>
    </row>
    <row r="3046" spans="1:6" ht="25.5">
      <c r="A3046" s="2">
        <v>3043</v>
      </c>
      <c r="B3046" s="2" t="s">
        <v>3120</v>
      </c>
      <c r="C3046" s="2" t="str">
        <f>"0828282X"</f>
        <v>0828282X</v>
      </c>
      <c r="D3046" s="2">
        <v>0.996</v>
      </c>
      <c r="E3046" s="2">
        <v>50</v>
      </c>
      <c r="F3046" s="2" t="s">
        <v>64</v>
      </c>
    </row>
    <row r="3047" spans="1:6" ht="25.5">
      <c r="A3047" s="2">
        <v>3044</v>
      </c>
      <c r="B3047" s="2" t="s">
        <v>3121</v>
      </c>
      <c r="C3047" s="2" t="str">
        <f>"08436096"</f>
        <v>08436096</v>
      </c>
      <c r="D3047" s="2">
        <v>0.14599999999999999</v>
      </c>
      <c r="E3047" s="2">
        <v>10</v>
      </c>
      <c r="F3047" s="2" t="s">
        <v>64</v>
      </c>
    </row>
    <row r="3048" spans="1:6" ht="25.5">
      <c r="A3048" s="2">
        <v>3045</v>
      </c>
      <c r="B3048" s="2" t="s">
        <v>3122</v>
      </c>
      <c r="C3048" s="2" t="str">
        <f>"00084034"</f>
        <v>00084034</v>
      </c>
      <c r="D3048" s="2">
        <v>0.38400000000000001</v>
      </c>
      <c r="E3048" s="2">
        <v>36</v>
      </c>
      <c r="F3048" s="2" t="s">
        <v>6</v>
      </c>
    </row>
    <row r="3049" spans="1:6" ht="25.5">
      <c r="A3049" s="2">
        <v>3046</v>
      </c>
      <c r="B3049" s="2" t="s">
        <v>3123</v>
      </c>
      <c r="C3049" s="2" t="str">
        <f>"14803291"</f>
        <v>14803291</v>
      </c>
      <c r="D3049" s="2">
        <v>0.51100000000000001</v>
      </c>
      <c r="E3049" s="2">
        <v>50</v>
      </c>
      <c r="F3049" s="2" t="s">
        <v>64</v>
      </c>
    </row>
    <row r="3050" spans="1:6" ht="25.5">
      <c r="A3050" s="2">
        <v>3047</v>
      </c>
      <c r="B3050" s="2" t="s">
        <v>3124</v>
      </c>
      <c r="C3050" s="2" t="str">
        <f>"12086029"</f>
        <v>12086029</v>
      </c>
      <c r="D3050" s="2">
        <v>0.318</v>
      </c>
      <c r="E3050" s="2">
        <v>31</v>
      </c>
      <c r="F3050" s="2" t="s">
        <v>64</v>
      </c>
    </row>
    <row r="3051" spans="1:6" ht="25.5">
      <c r="A3051" s="2">
        <v>3048</v>
      </c>
      <c r="B3051" s="2" t="s">
        <v>3125</v>
      </c>
      <c r="C3051" s="2" t="str">
        <f>"1198581X"</f>
        <v>1198581X</v>
      </c>
      <c r="D3051" s="2">
        <v>0.374</v>
      </c>
      <c r="E3051" s="2">
        <v>24</v>
      </c>
      <c r="F3051" s="2" t="s">
        <v>64</v>
      </c>
    </row>
    <row r="3052" spans="1:6" ht="25.5">
      <c r="A3052" s="2">
        <v>3049</v>
      </c>
      <c r="B3052" s="2" t="s">
        <v>3126</v>
      </c>
      <c r="C3052" s="2" t="str">
        <f>"07133936"</f>
        <v>07133936</v>
      </c>
      <c r="D3052" s="2">
        <v>0.14299999999999999</v>
      </c>
      <c r="E3052" s="2">
        <v>14</v>
      </c>
      <c r="F3052" s="2" t="s">
        <v>64</v>
      </c>
    </row>
    <row r="3053" spans="1:6" ht="25.5">
      <c r="A3053" s="2">
        <v>3050</v>
      </c>
      <c r="B3053" s="2" t="s">
        <v>3127</v>
      </c>
      <c r="C3053" s="2" t="str">
        <f>"17077753"</f>
        <v>17077753</v>
      </c>
      <c r="D3053" s="2">
        <v>0.30099999999999999</v>
      </c>
      <c r="E3053" s="2">
        <v>20</v>
      </c>
      <c r="F3053" s="2" t="s">
        <v>64</v>
      </c>
    </row>
    <row r="3054" spans="1:6" ht="25.5">
      <c r="A3054" s="2">
        <v>3051</v>
      </c>
      <c r="B3054" s="2" t="s">
        <v>3128</v>
      </c>
      <c r="C3054" s="2" t="str">
        <f>"02255189"</f>
        <v>02255189</v>
      </c>
      <c r="D3054" s="2">
        <v>0.13200000000000001</v>
      </c>
      <c r="E3054" s="2">
        <v>10</v>
      </c>
      <c r="F3054" s="2" t="s">
        <v>64</v>
      </c>
    </row>
    <row r="3055" spans="1:6" ht="25.5">
      <c r="A3055" s="2">
        <v>3052</v>
      </c>
      <c r="B3055" s="2" t="s">
        <v>3129</v>
      </c>
      <c r="C3055" s="2" t="str">
        <f>"14992671"</f>
        <v>14992671</v>
      </c>
      <c r="D3055" s="2">
        <v>0.17</v>
      </c>
      <c r="E3055" s="2">
        <v>14</v>
      </c>
      <c r="F3055" s="2" t="s">
        <v>64</v>
      </c>
    </row>
    <row r="3056" spans="1:6" ht="25.5">
      <c r="A3056" s="2">
        <v>3053</v>
      </c>
      <c r="B3056" s="2" t="s">
        <v>3130</v>
      </c>
      <c r="C3056" s="2" t="str">
        <f>"14863847"</f>
        <v>14863847</v>
      </c>
      <c r="D3056" s="2">
        <v>0.32900000000000001</v>
      </c>
      <c r="E3056" s="2">
        <v>17</v>
      </c>
      <c r="F3056" s="2" t="s">
        <v>64</v>
      </c>
    </row>
    <row r="3057" spans="1:6" ht="25.5">
      <c r="A3057" s="2">
        <v>3054</v>
      </c>
      <c r="B3057" s="2" t="s">
        <v>3131</v>
      </c>
      <c r="C3057" s="2" t="str">
        <f>"00084077"</f>
        <v>00084077</v>
      </c>
      <c r="D3057" s="2">
        <v>0.72099999999999997</v>
      </c>
      <c r="E3057" s="2">
        <v>48</v>
      </c>
      <c r="F3057" s="2" t="s">
        <v>64</v>
      </c>
    </row>
    <row r="3058" spans="1:6" ht="25.5">
      <c r="A3058" s="2">
        <v>3055</v>
      </c>
      <c r="B3058" s="2" t="s">
        <v>3132</v>
      </c>
      <c r="C3058" s="2" t="str">
        <f>"15405982"</f>
        <v>15405982</v>
      </c>
      <c r="D3058" s="2">
        <v>0.65300000000000002</v>
      </c>
      <c r="E3058" s="2">
        <v>38</v>
      </c>
      <c r="F3058" s="2" t="s">
        <v>16</v>
      </c>
    </row>
    <row r="3059" spans="1:6" ht="25.5">
      <c r="A3059" s="2">
        <v>3056</v>
      </c>
      <c r="B3059" s="2" t="s">
        <v>3133</v>
      </c>
      <c r="C3059" s="2" t="str">
        <f>"03802361"</f>
        <v>03802361</v>
      </c>
      <c r="D3059" s="2">
        <v>0.20499999999999999</v>
      </c>
      <c r="E3059" s="2">
        <v>14</v>
      </c>
      <c r="F3059" s="2" t="s">
        <v>64</v>
      </c>
    </row>
    <row r="3060" spans="1:6" ht="25.5">
      <c r="A3060" s="2">
        <v>3057</v>
      </c>
      <c r="B3060" s="2" t="s">
        <v>3134</v>
      </c>
      <c r="C3060" s="2" t="str">
        <f>"14818035"</f>
        <v>14818035</v>
      </c>
      <c r="D3060" s="2">
        <v>0.57099999999999995</v>
      </c>
      <c r="E3060" s="2">
        <v>22</v>
      </c>
      <c r="F3060" s="2" t="s">
        <v>6</v>
      </c>
    </row>
    <row r="3061" spans="1:6" ht="25.5">
      <c r="A3061" s="2">
        <v>3058</v>
      </c>
      <c r="B3061" s="2" t="s">
        <v>3135</v>
      </c>
      <c r="C3061" s="2" t="str">
        <f>"11961961"</f>
        <v>11961961</v>
      </c>
      <c r="D3061" s="2">
        <v>0.65900000000000003</v>
      </c>
      <c r="E3061" s="2">
        <v>38</v>
      </c>
      <c r="F3061" s="2" t="s">
        <v>64</v>
      </c>
    </row>
    <row r="3062" spans="1:6" ht="25.5">
      <c r="A3062" s="2">
        <v>3059</v>
      </c>
      <c r="B3062" s="2" t="s">
        <v>3136</v>
      </c>
      <c r="C3062" s="2" t="str">
        <f>"12057533"</f>
        <v>12057533</v>
      </c>
      <c r="D3062" s="2">
        <v>1.1240000000000001</v>
      </c>
      <c r="E3062" s="2">
        <v>101</v>
      </c>
      <c r="F3062" s="2" t="s">
        <v>64</v>
      </c>
    </row>
    <row r="3063" spans="1:6" ht="25.5">
      <c r="A3063" s="2">
        <v>3060</v>
      </c>
      <c r="B3063" s="2" t="s">
        <v>3137</v>
      </c>
      <c r="C3063" s="2" t="str">
        <f>"12086037"</f>
        <v>12086037</v>
      </c>
      <c r="D3063" s="2">
        <v>0.96399999999999997</v>
      </c>
      <c r="E3063" s="2">
        <v>78</v>
      </c>
      <c r="F3063" s="2" t="s">
        <v>64</v>
      </c>
    </row>
    <row r="3064" spans="1:6" ht="25.5">
      <c r="A3064" s="2">
        <v>3061</v>
      </c>
      <c r="B3064" s="2" t="s">
        <v>3138</v>
      </c>
      <c r="C3064" s="2" t="str">
        <f>"08357900"</f>
        <v>08357900</v>
      </c>
      <c r="D3064" s="2">
        <v>0.50700000000000001</v>
      </c>
      <c r="E3064" s="2">
        <v>46</v>
      </c>
      <c r="F3064" s="2" t="s">
        <v>64</v>
      </c>
    </row>
    <row r="3065" spans="1:6" ht="25.5">
      <c r="A3065" s="2">
        <v>3062</v>
      </c>
      <c r="B3065" s="2" t="s">
        <v>3139</v>
      </c>
      <c r="C3065" s="2" t="str">
        <f>"00084107"</f>
        <v>00084107</v>
      </c>
      <c r="D3065" s="2">
        <v>0.10299999999999999</v>
      </c>
      <c r="E3065" s="2">
        <v>3</v>
      </c>
      <c r="F3065" s="2" t="s">
        <v>64</v>
      </c>
    </row>
    <row r="3066" spans="1:6" ht="25.5">
      <c r="A3066" s="2">
        <v>3063</v>
      </c>
      <c r="B3066" s="2" t="s">
        <v>3140</v>
      </c>
      <c r="C3066" s="2" t="str">
        <f>"00084123"</f>
        <v>00084123</v>
      </c>
      <c r="D3066" s="2">
        <v>0.123</v>
      </c>
      <c r="E3066" s="2">
        <v>8</v>
      </c>
      <c r="F3066" s="2" t="s">
        <v>64</v>
      </c>
    </row>
    <row r="3067" spans="1:6" ht="25.5">
      <c r="A3067" s="2">
        <v>3064</v>
      </c>
      <c r="B3067" s="2" t="s">
        <v>3141</v>
      </c>
      <c r="C3067" s="2" t="str">
        <f>"11884517"</f>
        <v>11884517</v>
      </c>
      <c r="D3067" s="2">
        <v>0.30399999999999999</v>
      </c>
      <c r="E3067" s="2">
        <v>20</v>
      </c>
      <c r="F3067" s="2" t="s">
        <v>64</v>
      </c>
    </row>
    <row r="3068" spans="1:6" ht="25.5">
      <c r="A3068" s="2">
        <v>3065</v>
      </c>
      <c r="B3068" s="2" t="s">
        <v>3142</v>
      </c>
      <c r="C3068" s="2" t="str">
        <f>"17129532"</f>
        <v>17129532</v>
      </c>
      <c r="D3068" s="2">
        <v>0.35499999999999998</v>
      </c>
      <c r="E3068" s="2">
        <v>19</v>
      </c>
      <c r="F3068" s="2" t="s">
        <v>64</v>
      </c>
    </row>
    <row r="3069" spans="1:6" ht="25.5">
      <c r="A3069" s="2">
        <v>3066</v>
      </c>
      <c r="B3069" s="2" t="s">
        <v>3143</v>
      </c>
      <c r="C3069" s="2" t="str">
        <f>"1195096X"</f>
        <v>1195096X</v>
      </c>
      <c r="D3069" s="2">
        <v>0.24199999999999999</v>
      </c>
      <c r="E3069" s="2">
        <v>11</v>
      </c>
      <c r="F3069" s="2" t="s">
        <v>64</v>
      </c>
    </row>
    <row r="3070" spans="1:6" ht="25.5">
      <c r="A3070" s="2">
        <v>3067</v>
      </c>
      <c r="B3070" s="2" t="s">
        <v>3144</v>
      </c>
      <c r="C3070" s="2" t="str">
        <f>"08293201"</f>
        <v>08293201</v>
      </c>
      <c r="D3070" s="2">
        <v>0.17100000000000001</v>
      </c>
      <c r="E3070" s="2">
        <v>3</v>
      </c>
      <c r="F3070" s="2" t="s">
        <v>64</v>
      </c>
    </row>
    <row r="3071" spans="1:6" ht="25.5">
      <c r="A3071" s="2">
        <v>3068</v>
      </c>
      <c r="B3071" s="2" t="s">
        <v>3145</v>
      </c>
      <c r="C3071" s="2" t="str">
        <f>"00084131"</f>
        <v>00084131</v>
      </c>
      <c r="D3071" s="2">
        <v>0.251</v>
      </c>
      <c r="E3071" s="2">
        <v>9</v>
      </c>
      <c r="F3071" s="2" t="s">
        <v>64</v>
      </c>
    </row>
    <row r="3072" spans="1:6" ht="25.5">
      <c r="A3072" s="2">
        <v>3069</v>
      </c>
      <c r="B3072" s="2" t="s">
        <v>3146</v>
      </c>
      <c r="C3072" s="2" t="str">
        <f>"14964279"</f>
        <v>14964279</v>
      </c>
      <c r="D3072" s="2">
        <v>0.51500000000000001</v>
      </c>
      <c r="E3072" s="2">
        <v>24</v>
      </c>
      <c r="F3072" s="2" t="s">
        <v>64</v>
      </c>
    </row>
    <row r="3073" spans="1:6" ht="25.5">
      <c r="A3073" s="2">
        <v>3070</v>
      </c>
      <c r="B3073" s="2" t="s">
        <v>3147</v>
      </c>
      <c r="C3073" s="2" t="str">
        <f>"14803275"</f>
        <v>14803275</v>
      </c>
      <c r="D3073" s="2">
        <v>0.45800000000000002</v>
      </c>
      <c r="E3073" s="2">
        <v>58</v>
      </c>
      <c r="F3073" s="2" t="s">
        <v>64</v>
      </c>
    </row>
    <row r="3074" spans="1:6" ht="25.5">
      <c r="A3074" s="2">
        <v>3071</v>
      </c>
      <c r="B3074" s="2" t="s">
        <v>3148</v>
      </c>
      <c r="C3074" s="2" t="str">
        <f>"03171671"</f>
        <v>03171671</v>
      </c>
      <c r="D3074" s="2">
        <v>0.42699999999999999</v>
      </c>
      <c r="E3074" s="2">
        <v>45</v>
      </c>
      <c r="F3074" s="2" t="s">
        <v>64</v>
      </c>
    </row>
    <row r="3075" spans="1:6" ht="25.5">
      <c r="A3075" s="2">
        <v>3072</v>
      </c>
      <c r="B3075" s="2" t="s">
        <v>3149</v>
      </c>
      <c r="C3075" s="2" t="str">
        <f>"19137176"</f>
        <v>19137176</v>
      </c>
      <c r="D3075" s="2">
        <v>0.14399999999999999</v>
      </c>
      <c r="E3075" s="2">
        <v>8</v>
      </c>
      <c r="F3075" s="2" t="s">
        <v>64</v>
      </c>
    </row>
    <row r="3076" spans="1:6" ht="25.5">
      <c r="A3076" s="2">
        <v>3073</v>
      </c>
      <c r="B3076" s="2" t="s">
        <v>3150</v>
      </c>
      <c r="C3076" s="2" t="str">
        <f>"08445621"</f>
        <v>08445621</v>
      </c>
      <c r="D3076" s="2">
        <v>0.248</v>
      </c>
      <c r="E3076" s="2">
        <v>27</v>
      </c>
      <c r="F3076" s="2" t="s">
        <v>64</v>
      </c>
    </row>
    <row r="3077" spans="1:6" ht="25.5">
      <c r="A3077" s="2">
        <v>3074</v>
      </c>
      <c r="B3077" s="2" t="s">
        <v>3151</v>
      </c>
      <c r="C3077" s="2" t="str">
        <f>"00084174"</f>
        <v>00084174</v>
      </c>
      <c r="D3077" s="2">
        <v>0.60299999999999998</v>
      </c>
      <c r="E3077" s="2">
        <v>34</v>
      </c>
      <c r="F3077" s="2" t="s">
        <v>64</v>
      </c>
    </row>
    <row r="3078" spans="1:6" ht="25.5">
      <c r="A3078" s="2">
        <v>3075</v>
      </c>
      <c r="B3078" s="2" t="s">
        <v>3152</v>
      </c>
      <c r="C3078" s="2" t="str">
        <f>"00084182"</f>
        <v>00084182</v>
      </c>
      <c r="D3078" s="2">
        <v>0.64</v>
      </c>
      <c r="E3078" s="2">
        <v>28</v>
      </c>
      <c r="F3078" s="2" t="s">
        <v>64</v>
      </c>
    </row>
    <row r="3079" spans="1:6" ht="25.5">
      <c r="A3079" s="2">
        <v>3076</v>
      </c>
      <c r="B3079" s="2" t="s">
        <v>3153</v>
      </c>
      <c r="C3079" s="2" t="str">
        <f>"00455091"</f>
        <v>00455091</v>
      </c>
      <c r="D3079" s="2">
        <v>0.186</v>
      </c>
      <c r="E3079" s="2">
        <v>7</v>
      </c>
      <c r="F3079" s="2" t="s">
        <v>64</v>
      </c>
    </row>
    <row r="3080" spans="1:6" ht="25.5">
      <c r="A3080" s="2">
        <v>3077</v>
      </c>
      <c r="B3080" s="2" t="s">
        <v>3154</v>
      </c>
      <c r="C3080" s="2" t="str">
        <f>"12086045"</f>
        <v>12086045</v>
      </c>
      <c r="D3080" s="2">
        <v>0.45100000000000001</v>
      </c>
      <c r="E3080" s="2">
        <v>33</v>
      </c>
      <c r="F3080" s="2" t="s">
        <v>64</v>
      </c>
    </row>
    <row r="3081" spans="1:6" ht="25.5">
      <c r="A3081" s="2">
        <v>3078</v>
      </c>
      <c r="B3081" s="2" t="s">
        <v>3155</v>
      </c>
      <c r="C3081" s="2" t="str">
        <f>"12057541"</f>
        <v>12057541</v>
      </c>
      <c r="D3081" s="2">
        <v>0.55000000000000004</v>
      </c>
      <c r="E3081" s="2">
        <v>58</v>
      </c>
      <c r="F3081" s="2" t="s">
        <v>64</v>
      </c>
    </row>
    <row r="3082" spans="1:6" ht="25.5">
      <c r="A3082" s="2">
        <v>3079</v>
      </c>
      <c r="B3082" s="2" t="s">
        <v>3156</v>
      </c>
      <c r="C3082" s="2" t="str">
        <f>"07060661"</f>
        <v>07060661</v>
      </c>
      <c r="D3082" s="2">
        <v>0.46500000000000002</v>
      </c>
      <c r="E3082" s="2">
        <v>36</v>
      </c>
      <c r="F3082" s="2" t="s">
        <v>16</v>
      </c>
    </row>
    <row r="3083" spans="1:6" ht="25.5">
      <c r="A3083" s="2">
        <v>3080</v>
      </c>
      <c r="B3083" s="2" t="s">
        <v>3157</v>
      </c>
      <c r="C3083" s="2" t="str">
        <f>"00084220"</f>
        <v>00084220</v>
      </c>
      <c r="D3083" s="2">
        <v>0.317</v>
      </c>
      <c r="E3083" s="2">
        <v>35</v>
      </c>
      <c r="F3083" s="2" t="s">
        <v>64</v>
      </c>
    </row>
    <row r="3084" spans="1:6" ht="25.5">
      <c r="A3084" s="2">
        <v>3081</v>
      </c>
      <c r="B3084" s="2" t="s">
        <v>3158</v>
      </c>
      <c r="C3084" s="2" t="str">
        <f>"11952199"</f>
        <v>11952199</v>
      </c>
      <c r="D3084" s="2">
        <v>0.14299999999999999</v>
      </c>
      <c r="E3084" s="2">
        <v>4</v>
      </c>
      <c r="F3084" s="2" t="s">
        <v>64</v>
      </c>
    </row>
    <row r="3085" spans="1:6" ht="25.5">
      <c r="A3085" s="2">
        <v>3082</v>
      </c>
      <c r="B3085" s="2" t="s">
        <v>3159</v>
      </c>
      <c r="C3085" s="2" t="str">
        <f>"17449324"</f>
        <v>17449324</v>
      </c>
      <c r="D3085" s="2">
        <v>0.503</v>
      </c>
      <c r="E3085" s="2">
        <v>14</v>
      </c>
      <c r="F3085" s="2" t="s">
        <v>16</v>
      </c>
    </row>
    <row r="3086" spans="1:6" ht="25.5">
      <c r="A3086" s="2">
        <v>3083</v>
      </c>
      <c r="B3086" s="2" t="s">
        <v>3160</v>
      </c>
      <c r="C3086" s="2" t="str">
        <f>"08341516"</f>
        <v>08341516</v>
      </c>
      <c r="D3086" s="2">
        <v>0.16</v>
      </c>
      <c r="E3086" s="2">
        <v>6</v>
      </c>
      <c r="F3086" s="2" t="s">
        <v>64</v>
      </c>
    </row>
    <row r="3087" spans="1:6" ht="25.5">
      <c r="A3087" s="2">
        <v>3084</v>
      </c>
      <c r="B3087" s="2" t="s">
        <v>3161</v>
      </c>
      <c r="C3087" s="2" t="str">
        <f>"14970015"</f>
        <v>14970015</v>
      </c>
      <c r="D3087" s="2">
        <v>1.1200000000000001</v>
      </c>
      <c r="E3087" s="2">
        <v>72</v>
      </c>
      <c r="F3087" s="2" t="s">
        <v>64</v>
      </c>
    </row>
    <row r="3088" spans="1:6" ht="25.5">
      <c r="A3088" s="2">
        <v>3085</v>
      </c>
      <c r="B3088" s="2" t="s">
        <v>3162</v>
      </c>
      <c r="C3088" s="2" t="str">
        <f>"00084263"</f>
        <v>00084263</v>
      </c>
      <c r="D3088" s="2">
        <v>0.45</v>
      </c>
      <c r="E3088" s="2">
        <v>41</v>
      </c>
      <c r="F3088" s="2" t="s">
        <v>64</v>
      </c>
    </row>
    <row r="3089" spans="1:6" ht="25.5">
      <c r="A3089" s="2">
        <v>3086</v>
      </c>
      <c r="B3089" s="2" t="s">
        <v>3163</v>
      </c>
      <c r="C3089" s="2" t="str">
        <f>"07038992"</f>
        <v>07038992</v>
      </c>
      <c r="D3089" s="2">
        <v>0.60099999999999998</v>
      </c>
      <c r="E3089" s="2">
        <v>41</v>
      </c>
      <c r="F3089" s="2" t="s">
        <v>64</v>
      </c>
    </row>
    <row r="3090" spans="1:6" ht="25.5">
      <c r="A3090" s="2">
        <v>3087</v>
      </c>
      <c r="B3090" s="2" t="s">
        <v>3164</v>
      </c>
      <c r="C3090" s="2" t="str">
        <f>"12059838"</f>
        <v>12059838</v>
      </c>
      <c r="D3090" s="2">
        <v>0.11799999999999999</v>
      </c>
      <c r="E3090" s="2">
        <v>3</v>
      </c>
      <c r="F3090" s="2" t="s">
        <v>64</v>
      </c>
    </row>
    <row r="3091" spans="1:6" ht="38.25">
      <c r="A3091" s="2">
        <v>3088</v>
      </c>
      <c r="B3091" s="2" t="s">
        <v>3165</v>
      </c>
      <c r="C3091" s="2" t="str">
        <f>"12037796"</f>
        <v>12037796</v>
      </c>
      <c r="D3091" s="2">
        <v>0.249</v>
      </c>
      <c r="E3091" s="2">
        <v>11</v>
      </c>
      <c r="F3091" s="2" t="s">
        <v>64</v>
      </c>
    </row>
    <row r="3092" spans="1:6" ht="25.5">
      <c r="A3092" s="2">
        <v>3089</v>
      </c>
      <c r="B3092" s="2" t="s">
        <v>3166</v>
      </c>
      <c r="C3092" s="2" t="str">
        <f>"08295735"</f>
        <v>08295735</v>
      </c>
      <c r="D3092" s="2">
        <v>0.59199999999999997</v>
      </c>
      <c r="E3092" s="2">
        <v>8</v>
      </c>
      <c r="F3092" s="2" t="s">
        <v>16</v>
      </c>
    </row>
    <row r="3093" spans="1:6" ht="25.5">
      <c r="A3093" s="2">
        <v>3090</v>
      </c>
      <c r="B3093" s="2" t="s">
        <v>3167</v>
      </c>
      <c r="C3093" s="2" t="str">
        <f>"03186431"</f>
        <v>03186431</v>
      </c>
      <c r="D3093" s="2">
        <v>0.125</v>
      </c>
      <c r="E3093" s="2">
        <v>17</v>
      </c>
      <c r="F3093" s="2" t="s">
        <v>64</v>
      </c>
    </row>
    <row r="3094" spans="1:6" ht="25.5">
      <c r="A3094" s="2">
        <v>3091</v>
      </c>
      <c r="B3094" s="2" t="s">
        <v>3168</v>
      </c>
      <c r="C3094" s="2" t="str">
        <f>"00084271"</f>
        <v>00084271</v>
      </c>
      <c r="D3094" s="2">
        <v>0.48199999999999998</v>
      </c>
      <c r="E3094" s="2">
        <v>42</v>
      </c>
      <c r="F3094" s="2" t="s">
        <v>64</v>
      </c>
    </row>
    <row r="3095" spans="1:6" ht="25.5">
      <c r="A3095" s="2">
        <v>3092</v>
      </c>
      <c r="B3095" s="2" t="s">
        <v>3169</v>
      </c>
      <c r="C3095" s="2" t="str">
        <f>"1913200X"</f>
        <v>1913200X</v>
      </c>
      <c r="D3095" s="2">
        <v>0.157</v>
      </c>
      <c r="E3095" s="2">
        <v>5</v>
      </c>
      <c r="F3095" s="2" t="s">
        <v>64</v>
      </c>
    </row>
    <row r="3096" spans="1:6" ht="25.5">
      <c r="A3096" s="2">
        <v>3093</v>
      </c>
      <c r="B3096" s="2" t="s">
        <v>3170</v>
      </c>
      <c r="C3096" s="2" t="str">
        <f>"03195724"</f>
        <v>03195724</v>
      </c>
      <c r="D3096" s="2">
        <v>1.091</v>
      </c>
      <c r="E3096" s="2">
        <v>28</v>
      </c>
      <c r="F3096" s="2" t="s">
        <v>64</v>
      </c>
    </row>
    <row r="3097" spans="1:6" ht="25.5">
      <c r="A3097" s="2">
        <v>3094</v>
      </c>
      <c r="B3097" s="2" t="s">
        <v>3171</v>
      </c>
      <c r="C3097" s="2" t="str">
        <f>"14882310"</f>
        <v>14882310</v>
      </c>
      <c r="D3097" s="2">
        <v>0.57199999999999995</v>
      </c>
      <c r="E3097" s="2">
        <v>37</v>
      </c>
      <c r="F3097" s="2" t="s">
        <v>64</v>
      </c>
    </row>
    <row r="3098" spans="1:6" ht="25.5">
      <c r="A3098" s="2">
        <v>3095</v>
      </c>
      <c r="B3098" s="2" t="s">
        <v>3172</v>
      </c>
      <c r="C3098" s="2" t="str">
        <f>"11883774"</f>
        <v>11883774</v>
      </c>
      <c r="D3098" s="2">
        <v>0.17299999999999999</v>
      </c>
      <c r="E3098" s="2">
        <v>10</v>
      </c>
      <c r="F3098" s="2" t="s">
        <v>64</v>
      </c>
    </row>
    <row r="3099" spans="1:6" ht="25.5">
      <c r="A3099" s="2">
        <v>3096</v>
      </c>
      <c r="B3099" s="2" t="s">
        <v>3173</v>
      </c>
      <c r="C3099" s="2" t="str">
        <f>"11959479"</f>
        <v>11959479</v>
      </c>
      <c r="D3099" s="2">
        <v>0.372</v>
      </c>
      <c r="E3099" s="2">
        <v>24</v>
      </c>
      <c r="F3099" s="2" t="s">
        <v>64</v>
      </c>
    </row>
    <row r="3100" spans="1:6" ht="25.5">
      <c r="A3100" s="2">
        <v>3097</v>
      </c>
      <c r="B3100" s="2" t="s">
        <v>3174</v>
      </c>
      <c r="C3100" s="2" t="str">
        <f>"08309000"</f>
        <v>08309000</v>
      </c>
      <c r="D3100" s="2">
        <v>0.45100000000000001</v>
      </c>
      <c r="E3100" s="2">
        <v>31</v>
      </c>
      <c r="F3100" s="2" t="s">
        <v>64</v>
      </c>
    </row>
    <row r="3101" spans="1:6" ht="25.5">
      <c r="A3101" s="2">
        <v>3098</v>
      </c>
      <c r="B3101" s="2" t="s">
        <v>3175</v>
      </c>
      <c r="C3101" s="2" t="str">
        <f>"08328781"</f>
        <v>08328781</v>
      </c>
      <c r="D3101" s="2">
        <v>0.20699999999999999</v>
      </c>
      <c r="E3101" s="2">
        <v>2</v>
      </c>
      <c r="F3101" s="2" t="s">
        <v>64</v>
      </c>
    </row>
    <row r="3102" spans="1:6" ht="25.5">
      <c r="A3102" s="2">
        <v>3099</v>
      </c>
      <c r="B3102" s="2" t="s">
        <v>3176</v>
      </c>
      <c r="C3102" s="2" t="str">
        <f>"14803283"</f>
        <v>14803283</v>
      </c>
      <c r="D3102" s="2">
        <v>0.61399999999999999</v>
      </c>
      <c r="E3102" s="2">
        <v>66</v>
      </c>
      <c r="F3102" s="2" t="s">
        <v>64</v>
      </c>
    </row>
    <row r="3103" spans="1:6" ht="25.5">
      <c r="A3103" s="2">
        <v>3100</v>
      </c>
      <c r="B3103" s="2" t="s">
        <v>3177</v>
      </c>
      <c r="C3103" s="2" t="str">
        <f>"07149808"</f>
        <v>07149808</v>
      </c>
      <c r="D3103" s="2">
        <v>0.33600000000000002</v>
      </c>
      <c r="E3103" s="2">
        <v>22</v>
      </c>
      <c r="F3103" s="2" t="s">
        <v>16</v>
      </c>
    </row>
    <row r="3104" spans="1:6" ht="25.5">
      <c r="A3104" s="2">
        <v>3101</v>
      </c>
      <c r="B3104" s="2" t="s">
        <v>3178</v>
      </c>
      <c r="C3104" s="2" t="str">
        <f>"00084360"</f>
        <v>00084360</v>
      </c>
      <c r="D3104" s="2">
        <v>0.11</v>
      </c>
      <c r="E3104" s="2">
        <v>5</v>
      </c>
      <c r="F3104" s="2" t="s">
        <v>64</v>
      </c>
    </row>
    <row r="3105" spans="1:6" ht="25.5">
      <c r="A3105" s="2">
        <v>3102</v>
      </c>
      <c r="B3105" s="2" t="s">
        <v>3179</v>
      </c>
      <c r="C3105" s="2" t="str">
        <f>"14964287"</f>
        <v>14964287</v>
      </c>
      <c r="D3105" s="2">
        <v>0.27900000000000003</v>
      </c>
      <c r="E3105" s="2">
        <v>16</v>
      </c>
      <c r="F3105" s="2" t="s">
        <v>64</v>
      </c>
    </row>
    <row r="3106" spans="1:6" ht="25.5">
      <c r="A3106" s="2">
        <v>3103</v>
      </c>
      <c r="B3106" s="2" t="s">
        <v>3180</v>
      </c>
      <c r="C3106" s="2" t="str">
        <f>"14882329"</f>
        <v>14882329</v>
      </c>
      <c r="D3106" s="2">
        <v>1.391</v>
      </c>
      <c r="E3106" s="2">
        <v>121</v>
      </c>
      <c r="F3106" s="2" t="s">
        <v>64</v>
      </c>
    </row>
    <row r="3107" spans="1:6" ht="25.5">
      <c r="A3107" s="2">
        <v>3104</v>
      </c>
      <c r="B3107" s="2" t="s">
        <v>3181</v>
      </c>
      <c r="C3107" s="2" t="str">
        <f>"00084433"</f>
        <v>00084433</v>
      </c>
      <c r="D3107" s="2">
        <v>0.29199999999999998</v>
      </c>
      <c r="E3107" s="2">
        <v>23</v>
      </c>
      <c r="F3107" s="2" t="s">
        <v>16</v>
      </c>
    </row>
    <row r="3108" spans="1:6" ht="25.5">
      <c r="A3108" s="2">
        <v>3105</v>
      </c>
      <c r="B3108" s="2" t="s">
        <v>3182</v>
      </c>
      <c r="C3108" s="2" t="str">
        <f>"00084476"</f>
        <v>00084476</v>
      </c>
      <c r="D3108" s="2">
        <v>0.69899999999999995</v>
      </c>
      <c r="E3108" s="2">
        <v>43</v>
      </c>
      <c r="F3108" s="2" t="s">
        <v>64</v>
      </c>
    </row>
    <row r="3109" spans="1:6" ht="25.5">
      <c r="A3109" s="2">
        <v>3106</v>
      </c>
      <c r="B3109" s="2" t="s">
        <v>3183</v>
      </c>
      <c r="C3109" s="2" t="str">
        <f>"00084506"</f>
        <v>00084506</v>
      </c>
      <c r="D3109" s="2">
        <v>0.39200000000000002</v>
      </c>
      <c r="E3109" s="2">
        <v>19</v>
      </c>
      <c r="F3109" s="2" t="s">
        <v>64</v>
      </c>
    </row>
    <row r="3110" spans="1:6" ht="25.5">
      <c r="A3110" s="2">
        <v>3107</v>
      </c>
      <c r="B3110" s="2" t="s">
        <v>3184</v>
      </c>
      <c r="C3110" s="2" t="str">
        <f>"00084581"</f>
        <v>00084581</v>
      </c>
      <c r="D3110" s="2">
        <v>0.112</v>
      </c>
      <c r="E3110" s="2">
        <v>12</v>
      </c>
      <c r="F3110" s="2" t="s">
        <v>64</v>
      </c>
    </row>
    <row r="3111" spans="1:6" ht="25.5">
      <c r="A3111" s="2">
        <v>3108</v>
      </c>
      <c r="B3111" s="2" t="s">
        <v>3185</v>
      </c>
      <c r="C3111" s="2" t="str">
        <f>"1181912X"</f>
        <v>1181912X</v>
      </c>
      <c r="D3111" s="2">
        <v>0.217</v>
      </c>
      <c r="E3111" s="2">
        <v>12</v>
      </c>
      <c r="F3111" s="2" t="s">
        <v>64</v>
      </c>
    </row>
    <row r="3112" spans="1:6" ht="25.5">
      <c r="A3112" s="2">
        <v>3109</v>
      </c>
      <c r="B3112" s="2" t="s">
        <v>3186</v>
      </c>
      <c r="C3112" s="2" t="str">
        <f>"07126778"</f>
        <v>07126778</v>
      </c>
      <c r="D3112" s="2">
        <v>0.13200000000000001</v>
      </c>
      <c r="E3112" s="2">
        <v>4</v>
      </c>
      <c r="F3112" s="2" t="s">
        <v>64</v>
      </c>
    </row>
    <row r="3113" spans="1:6" ht="25.5">
      <c r="A3113" s="2">
        <v>3110</v>
      </c>
      <c r="B3113" s="2" t="s">
        <v>3187</v>
      </c>
      <c r="C3113" s="2" t="str">
        <f>"17151635"</f>
        <v>17151635</v>
      </c>
      <c r="D3113" s="2">
        <v>0.21</v>
      </c>
      <c r="E3113" s="2">
        <v>10</v>
      </c>
      <c r="F3113" s="2" t="s">
        <v>64</v>
      </c>
    </row>
    <row r="3114" spans="1:6" ht="25.5">
      <c r="A3114" s="2">
        <v>3111</v>
      </c>
      <c r="B3114" s="2" t="s">
        <v>3188</v>
      </c>
      <c r="C3114" s="2" t="str">
        <f>"07085591"</f>
        <v>07085591</v>
      </c>
      <c r="D3114" s="2">
        <v>0.38800000000000001</v>
      </c>
      <c r="E3114" s="2">
        <v>25</v>
      </c>
      <c r="F3114" s="2" t="s">
        <v>64</v>
      </c>
    </row>
    <row r="3115" spans="1:6" ht="25.5">
      <c r="A3115" s="2">
        <v>3112</v>
      </c>
      <c r="B3115" s="2" t="s">
        <v>3189</v>
      </c>
      <c r="C3115" s="2" t="str">
        <f>"00084840"</f>
        <v>00084840</v>
      </c>
      <c r="D3115" s="2">
        <v>0.35699999999999998</v>
      </c>
      <c r="E3115" s="2">
        <v>10</v>
      </c>
      <c r="F3115" s="2" t="s">
        <v>64</v>
      </c>
    </row>
    <row r="3116" spans="1:6" ht="25.5">
      <c r="A3116" s="2">
        <v>3113</v>
      </c>
      <c r="B3116" s="2" t="s">
        <v>3190</v>
      </c>
      <c r="C3116" s="2" t="str">
        <f>"03170861"</f>
        <v>03170861</v>
      </c>
      <c r="D3116" s="2">
        <v>0.28100000000000003</v>
      </c>
      <c r="E3116" s="2">
        <v>17</v>
      </c>
      <c r="F3116" s="2" t="s">
        <v>64</v>
      </c>
    </row>
    <row r="3117" spans="1:6" ht="25.5">
      <c r="A3117" s="2">
        <v>3114</v>
      </c>
      <c r="B3117" s="2" t="s">
        <v>3191</v>
      </c>
      <c r="C3117" s="2" t="str">
        <f>"11982241"</f>
        <v>11982241</v>
      </c>
      <c r="D3117" s="2">
        <v>0.54600000000000004</v>
      </c>
      <c r="E3117" s="2">
        <v>36</v>
      </c>
      <c r="F3117" s="2" t="s">
        <v>64</v>
      </c>
    </row>
    <row r="3118" spans="1:6" ht="25.5">
      <c r="A3118" s="2">
        <v>3115</v>
      </c>
      <c r="B3118" s="2" t="s">
        <v>3192</v>
      </c>
      <c r="C3118" s="2" t="str">
        <f>"00077720"</f>
        <v>00077720</v>
      </c>
      <c r="D3118" s="2">
        <v>0.111</v>
      </c>
      <c r="E3118" s="2">
        <v>2</v>
      </c>
      <c r="F3118" s="2" t="s">
        <v>64</v>
      </c>
    </row>
    <row r="3119" spans="1:6" ht="25.5">
      <c r="A3119" s="2">
        <v>3116</v>
      </c>
      <c r="B3119" s="2" t="s">
        <v>3193</v>
      </c>
      <c r="C3119" s="2" t="str">
        <f>"0319051X"</f>
        <v>0319051X</v>
      </c>
      <c r="D3119" s="2">
        <v>0.1</v>
      </c>
      <c r="E3119" s="2">
        <v>1</v>
      </c>
      <c r="F3119" s="2" t="s">
        <v>64</v>
      </c>
    </row>
    <row r="3120" spans="1:6" ht="25.5">
      <c r="A3120" s="2">
        <v>3117</v>
      </c>
      <c r="B3120" s="2" t="s">
        <v>3194</v>
      </c>
      <c r="C3120" s="2" t="str">
        <f>"1755618X"</f>
        <v>1755618X</v>
      </c>
      <c r="D3120" s="2">
        <v>0.309</v>
      </c>
      <c r="E3120" s="2">
        <v>15</v>
      </c>
      <c r="F3120" s="2" t="s">
        <v>64</v>
      </c>
    </row>
    <row r="3121" spans="1:6" ht="25.5">
      <c r="A3121" s="2">
        <v>3118</v>
      </c>
      <c r="B3121" s="2" t="s">
        <v>3195</v>
      </c>
      <c r="C3121" s="2" t="str">
        <f>"03801489"</f>
        <v>03801489</v>
      </c>
      <c r="D3121" s="2">
        <v>0.13800000000000001</v>
      </c>
      <c r="E3121" s="2">
        <v>1</v>
      </c>
      <c r="F3121" s="2" t="s">
        <v>64</v>
      </c>
    </row>
    <row r="3122" spans="1:6" ht="25.5">
      <c r="A3122" s="2">
        <v>3119</v>
      </c>
      <c r="B3122" s="2" t="s">
        <v>3196</v>
      </c>
      <c r="C3122" s="2" t="str">
        <f>"03150836"</f>
        <v>03150836</v>
      </c>
      <c r="D3122" s="2">
        <v>0.114</v>
      </c>
      <c r="E3122" s="2">
        <v>1</v>
      </c>
      <c r="F3122" s="2" t="s">
        <v>64</v>
      </c>
    </row>
    <row r="3123" spans="1:6" ht="25.5">
      <c r="A3123" s="2">
        <v>3120</v>
      </c>
      <c r="B3123" s="2" t="s">
        <v>3197</v>
      </c>
      <c r="C3123" s="2" t="str">
        <f>"00085286"</f>
        <v>00085286</v>
      </c>
      <c r="D3123" s="2">
        <v>0.373</v>
      </c>
      <c r="E3123" s="2">
        <v>35</v>
      </c>
      <c r="F3123" s="2" t="s">
        <v>64</v>
      </c>
    </row>
    <row r="3124" spans="1:6" ht="25.5">
      <c r="A3124" s="2">
        <v>3121</v>
      </c>
      <c r="B3124" s="2" t="s">
        <v>3198</v>
      </c>
      <c r="C3124" s="2" t="str">
        <f>"07011784"</f>
        <v>07011784</v>
      </c>
      <c r="D3124" s="2">
        <v>0.378</v>
      </c>
      <c r="E3124" s="2">
        <v>16</v>
      </c>
      <c r="F3124" s="2" t="s">
        <v>64</v>
      </c>
    </row>
    <row r="3125" spans="1:6" ht="25.5">
      <c r="A3125" s="2">
        <v>3122</v>
      </c>
      <c r="B3125" s="2" t="s">
        <v>3199</v>
      </c>
      <c r="C3125" s="2" t="str">
        <f>"10970142"</f>
        <v>10970142</v>
      </c>
      <c r="D3125" s="2">
        <v>2.407</v>
      </c>
      <c r="E3125" s="2">
        <v>191</v>
      </c>
      <c r="F3125" s="2" t="s">
        <v>6</v>
      </c>
    </row>
    <row r="3126" spans="1:6" ht="25.5">
      <c r="A3126" s="2">
        <v>3123</v>
      </c>
      <c r="B3126" s="2" t="s">
        <v>3200</v>
      </c>
      <c r="C3126" s="2" t="str">
        <f>"1885740X"</f>
        <v>1885740X</v>
      </c>
      <c r="D3126" s="2">
        <v>0.104</v>
      </c>
      <c r="E3126" s="2">
        <v>1</v>
      </c>
      <c r="F3126" s="2" t="s">
        <v>351</v>
      </c>
    </row>
    <row r="3127" spans="1:6" ht="25.5">
      <c r="A3127" s="2">
        <v>3124</v>
      </c>
      <c r="B3127" s="2" t="s">
        <v>3201</v>
      </c>
      <c r="C3127" s="2" t="str">
        <f>"15737233"</f>
        <v>15737233</v>
      </c>
      <c r="D3127" s="2">
        <v>4.2229999999999999</v>
      </c>
      <c r="E3127" s="2">
        <v>90</v>
      </c>
      <c r="F3127" s="2" t="s">
        <v>75</v>
      </c>
    </row>
    <row r="3128" spans="1:6" ht="25.5">
      <c r="A3128" s="2">
        <v>3125</v>
      </c>
      <c r="B3128" s="2" t="s">
        <v>3202</v>
      </c>
      <c r="C3128" s="2" t="str">
        <f>"15384047"</f>
        <v>15384047</v>
      </c>
      <c r="D3128" s="2">
        <v>1.1879999999999999</v>
      </c>
      <c r="E3128" s="2">
        <v>63</v>
      </c>
      <c r="F3128" s="2" t="s">
        <v>6</v>
      </c>
    </row>
    <row r="3129" spans="1:6" ht="25.5">
      <c r="A3129" s="2">
        <v>3126</v>
      </c>
      <c r="B3129" s="2" t="s">
        <v>3203</v>
      </c>
      <c r="C3129" s="2" t="str">
        <f>"15740153"</f>
        <v>15740153</v>
      </c>
      <c r="D3129" s="2">
        <v>0.36399999999999999</v>
      </c>
      <c r="E3129" s="2">
        <v>18</v>
      </c>
      <c r="F3129" s="2" t="s">
        <v>75</v>
      </c>
    </row>
    <row r="3130" spans="1:6" ht="25.5">
      <c r="A3130" s="2">
        <v>3127</v>
      </c>
      <c r="B3130" s="2" t="s">
        <v>3204</v>
      </c>
      <c r="C3130" s="2" t="str">
        <f>"15578852"</f>
        <v>15578852</v>
      </c>
      <c r="D3130" s="2">
        <v>0.627</v>
      </c>
      <c r="E3130" s="2">
        <v>38</v>
      </c>
      <c r="F3130" s="2" t="s">
        <v>6</v>
      </c>
    </row>
    <row r="3131" spans="1:6" ht="25.5">
      <c r="A3131" s="2">
        <v>3128</v>
      </c>
      <c r="B3131" s="2" t="s">
        <v>3205</v>
      </c>
      <c r="C3131" s="2" t="str">
        <f>"15737225"</f>
        <v>15737225</v>
      </c>
      <c r="D3131" s="2">
        <v>1.458</v>
      </c>
      <c r="E3131" s="2">
        <v>92</v>
      </c>
      <c r="F3131" s="2" t="s">
        <v>75</v>
      </c>
    </row>
    <row r="3132" spans="1:6" ht="25.5">
      <c r="A3132" s="2">
        <v>3129</v>
      </c>
      <c r="B3132" s="2" t="s">
        <v>3206</v>
      </c>
      <c r="C3132" s="2" t="str">
        <f>"15356108"</f>
        <v>15356108</v>
      </c>
      <c r="D3132" s="2">
        <v>12.847</v>
      </c>
      <c r="E3132" s="2">
        <v>188</v>
      </c>
      <c r="F3132" s="2" t="s">
        <v>6</v>
      </c>
    </row>
    <row r="3133" spans="1:6" ht="25.5">
      <c r="A3133" s="2">
        <v>3130</v>
      </c>
      <c r="B3133" s="2" t="s">
        <v>3207</v>
      </c>
      <c r="C3133" s="2" t="str">
        <f>"14752867"</f>
        <v>14752867</v>
      </c>
      <c r="D3133" s="2">
        <v>0.77700000000000002</v>
      </c>
      <c r="E3133" s="2">
        <v>25</v>
      </c>
      <c r="F3133" s="2" t="s">
        <v>16</v>
      </c>
    </row>
    <row r="3134" spans="1:6" ht="25.5">
      <c r="A3134" s="2">
        <v>3131</v>
      </c>
      <c r="B3134" s="2" t="s">
        <v>3208</v>
      </c>
      <c r="C3134" s="2" t="str">
        <f>"14320843"</f>
        <v>14320843</v>
      </c>
      <c r="D3134" s="2">
        <v>0.90400000000000003</v>
      </c>
      <c r="E3134" s="2">
        <v>69</v>
      </c>
      <c r="F3134" s="2" t="s">
        <v>12</v>
      </c>
    </row>
    <row r="3135" spans="1:6" ht="25.5">
      <c r="A3135" s="2">
        <v>3132</v>
      </c>
      <c r="B3135" s="2" t="s">
        <v>3209</v>
      </c>
      <c r="C3135" s="2" t="str">
        <f>"15262359"</f>
        <v>15262359</v>
      </c>
      <c r="D3135" s="2">
        <v>1.546</v>
      </c>
      <c r="E3135" s="2">
        <v>47</v>
      </c>
      <c r="F3135" s="2" t="s">
        <v>6</v>
      </c>
    </row>
    <row r="3136" spans="1:6" ht="25.5">
      <c r="A3136" s="2">
        <v>3133</v>
      </c>
      <c r="B3136" s="2" t="s">
        <v>3210</v>
      </c>
      <c r="C3136" s="2" t="str">
        <f>"19346638"</f>
        <v>19346638</v>
      </c>
      <c r="D3136" s="2">
        <v>1.369</v>
      </c>
      <c r="E3136" s="2">
        <v>17</v>
      </c>
      <c r="F3136" s="2" t="s">
        <v>6</v>
      </c>
    </row>
    <row r="3137" spans="1:6" ht="25.5">
      <c r="A3137" s="2">
        <v>3134</v>
      </c>
      <c r="B3137" s="2" t="s">
        <v>3211</v>
      </c>
      <c r="C3137" s="2" t="str">
        <f>"18777821"</f>
        <v>18777821</v>
      </c>
      <c r="D3137" s="2">
        <v>0.81799999999999995</v>
      </c>
      <c r="E3137" s="2">
        <v>47</v>
      </c>
      <c r="F3137" s="2" t="s">
        <v>75</v>
      </c>
    </row>
    <row r="3138" spans="1:6" ht="25.5">
      <c r="A3138" s="2">
        <v>3135</v>
      </c>
      <c r="B3138" s="2" t="s">
        <v>3212</v>
      </c>
      <c r="C3138" s="2" t="str">
        <f>"10559965"</f>
        <v>10559965</v>
      </c>
      <c r="D3138" s="2">
        <v>2.2349999999999999</v>
      </c>
      <c r="E3138" s="2">
        <v>128</v>
      </c>
      <c r="F3138" s="2" t="s">
        <v>6</v>
      </c>
    </row>
    <row r="3139" spans="1:6" ht="25.5">
      <c r="A3139" s="2">
        <v>3136</v>
      </c>
      <c r="B3139" s="2" t="s">
        <v>3213</v>
      </c>
      <c r="C3139" s="2" t="str">
        <f>"0311306X"</f>
        <v>0311306X</v>
      </c>
      <c r="D3139" s="2">
        <v>0.216</v>
      </c>
      <c r="E3139" s="2">
        <v>7</v>
      </c>
      <c r="F3139" s="2" t="s">
        <v>127</v>
      </c>
    </row>
    <row r="3140" spans="1:6" ht="25.5">
      <c r="A3140" s="2">
        <v>3137</v>
      </c>
      <c r="B3140" s="2" t="s">
        <v>3214</v>
      </c>
      <c r="C3140" s="2" t="str">
        <f>"09291903"</f>
        <v>09291903</v>
      </c>
      <c r="D3140" s="2">
        <v>0.94799999999999995</v>
      </c>
      <c r="E3140" s="2">
        <v>65</v>
      </c>
      <c r="F3140" s="2" t="s">
        <v>16</v>
      </c>
    </row>
    <row r="3141" spans="1:6" ht="25.5">
      <c r="A3141" s="2">
        <v>3138</v>
      </c>
      <c r="B3141" s="2" t="s">
        <v>3215</v>
      </c>
      <c r="C3141" s="2" t="str">
        <f>"22107762"</f>
        <v>22107762</v>
      </c>
      <c r="D3141" s="2">
        <v>0.78800000000000003</v>
      </c>
      <c r="E3141" s="2">
        <v>7</v>
      </c>
      <c r="F3141" s="2" t="s">
        <v>75</v>
      </c>
    </row>
    <row r="3142" spans="1:6" ht="25.5">
      <c r="A3142" s="2">
        <v>3139</v>
      </c>
      <c r="B3142" s="2" t="s">
        <v>3216</v>
      </c>
      <c r="C3142" s="2" t="str">
        <f>"11096535"</f>
        <v>11096535</v>
      </c>
      <c r="D3142" s="2">
        <v>0.64700000000000002</v>
      </c>
      <c r="E3142" s="2">
        <v>16</v>
      </c>
      <c r="F3142" s="2" t="s">
        <v>313</v>
      </c>
    </row>
    <row r="3143" spans="1:6" ht="25.5">
      <c r="A3143" s="2">
        <v>3140</v>
      </c>
      <c r="B3143" s="2" t="s">
        <v>3217</v>
      </c>
      <c r="C3143" s="2" t="str">
        <f>"17405025"</f>
        <v>17405025</v>
      </c>
      <c r="D3143" s="2">
        <v>0.40699999999999997</v>
      </c>
      <c r="E3143" s="2">
        <v>20</v>
      </c>
      <c r="F3143" s="2" t="s">
        <v>16</v>
      </c>
    </row>
    <row r="3144" spans="1:6" ht="25.5">
      <c r="A3144" s="2">
        <v>3141</v>
      </c>
      <c r="B3144" s="2" t="s">
        <v>3218</v>
      </c>
      <c r="C3144" s="2" t="str">
        <f>"14249634"</f>
        <v>14249634</v>
      </c>
      <c r="D3144" s="2">
        <v>1.1539999999999999</v>
      </c>
      <c r="E3144" s="2">
        <v>28</v>
      </c>
      <c r="F3144" s="2" t="s">
        <v>6</v>
      </c>
    </row>
    <row r="3145" spans="1:6" ht="25.5">
      <c r="A3145" s="2">
        <v>3142</v>
      </c>
      <c r="B3145" s="2" t="s">
        <v>3219</v>
      </c>
      <c r="C3145" s="2" t="str">
        <f>"14320851"</f>
        <v>14320851</v>
      </c>
      <c r="D3145" s="2">
        <v>1.333</v>
      </c>
      <c r="E3145" s="2">
        <v>72</v>
      </c>
      <c r="F3145" s="2" t="s">
        <v>12</v>
      </c>
    </row>
    <row r="3146" spans="1:6" ht="25.5">
      <c r="A3146" s="2">
        <v>3143</v>
      </c>
      <c r="B3146" s="2" t="s">
        <v>3220</v>
      </c>
      <c r="C3146" s="2" t="str">
        <f>"11769351"</f>
        <v>11769351</v>
      </c>
      <c r="D3146" s="2">
        <v>0.35199999999999998</v>
      </c>
      <c r="E3146" s="2">
        <v>15</v>
      </c>
      <c r="F3146" s="2" t="s">
        <v>503</v>
      </c>
    </row>
    <row r="3147" spans="1:6" ht="25.5">
      <c r="A3147" s="2">
        <v>3144</v>
      </c>
      <c r="B3147" s="2" t="s">
        <v>3221</v>
      </c>
      <c r="C3147" s="2" t="str">
        <f>"15324192"</f>
        <v>15324192</v>
      </c>
      <c r="D3147" s="2">
        <v>0.91900000000000004</v>
      </c>
      <c r="E3147" s="2">
        <v>58</v>
      </c>
      <c r="F3147" s="2" t="s">
        <v>16</v>
      </c>
    </row>
    <row r="3148" spans="1:6" ht="25.5">
      <c r="A3148" s="2">
        <v>3145</v>
      </c>
      <c r="B3148" s="2" t="s">
        <v>3222</v>
      </c>
      <c r="C3148" s="2" t="str">
        <f>"07657846"</f>
        <v>07657846</v>
      </c>
      <c r="D3148" s="2">
        <v>1.63</v>
      </c>
      <c r="E3148" s="2">
        <v>46</v>
      </c>
      <c r="F3148" s="2" t="s">
        <v>66</v>
      </c>
    </row>
    <row r="3149" spans="1:6" ht="25.5">
      <c r="A3149" s="2">
        <v>3146</v>
      </c>
      <c r="B3149" s="2" t="s">
        <v>3223</v>
      </c>
      <c r="C3149" s="2" t="str">
        <f>"18727980"</f>
        <v>18727980</v>
      </c>
      <c r="D3149" s="2">
        <v>1.502</v>
      </c>
      <c r="E3149" s="2">
        <v>105</v>
      </c>
      <c r="F3149" s="2" t="s">
        <v>732</v>
      </c>
    </row>
    <row r="3150" spans="1:6" ht="25.5">
      <c r="A3150" s="2">
        <v>3147</v>
      </c>
      <c r="B3150" s="2" t="s">
        <v>3224</v>
      </c>
      <c r="C3150" s="2" t="str">
        <f>"11791322"</f>
        <v>11791322</v>
      </c>
      <c r="D3150" s="2">
        <v>0.64900000000000002</v>
      </c>
      <c r="E3150" s="2">
        <v>8</v>
      </c>
      <c r="F3150" s="2" t="s">
        <v>503</v>
      </c>
    </row>
    <row r="3151" spans="1:6" ht="25.5">
      <c r="A3151" s="2">
        <v>3148</v>
      </c>
      <c r="B3151" s="2" t="s">
        <v>3225</v>
      </c>
      <c r="C3151" s="2" t="str">
        <f>"15682102"</f>
        <v>15682102</v>
      </c>
      <c r="D3151" s="2">
        <v>0.10199999999999999</v>
      </c>
      <c r="E3151" s="2">
        <v>0</v>
      </c>
      <c r="F3151" s="2" t="s">
        <v>12</v>
      </c>
    </row>
    <row r="3152" spans="1:6" ht="25.5">
      <c r="A3152" s="2">
        <v>3149</v>
      </c>
      <c r="B3152" s="2" t="s">
        <v>3226</v>
      </c>
      <c r="C3152" s="2" t="str">
        <f>"18752292"</f>
        <v>18752292</v>
      </c>
      <c r="D3152" s="2">
        <v>0.92300000000000004</v>
      </c>
      <c r="E3152" s="2">
        <v>12</v>
      </c>
      <c r="F3152" s="2" t="s">
        <v>75</v>
      </c>
    </row>
    <row r="3153" spans="1:6" ht="25.5">
      <c r="A3153" s="2">
        <v>3150</v>
      </c>
      <c r="B3153" s="2" t="s">
        <v>3227</v>
      </c>
      <c r="C3153" s="2" t="str">
        <f>"0162220X"</f>
        <v>0162220X</v>
      </c>
      <c r="D3153" s="2">
        <v>0.82899999999999996</v>
      </c>
      <c r="E3153" s="2">
        <v>52</v>
      </c>
      <c r="F3153" s="2" t="s">
        <v>6</v>
      </c>
    </row>
    <row r="3154" spans="1:6" ht="25.5">
      <c r="A3154" s="2">
        <v>3151</v>
      </c>
      <c r="B3154" s="2" t="s">
        <v>3228</v>
      </c>
      <c r="C3154" s="2" t="str">
        <f>"19406215"</f>
        <v>19406215</v>
      </c>
      <c r="D3154" s="2">
        <v>1.8859999999999999</v>
      </c>
      <c r="E3154" s="2">
        <v>35</v>
      </c>
      <c r="F3154" s="2" t="s">
        <v>6</v>
      </c>
    </row>
    <row r="3155" spans="1:6" ht="25.5">
      <c r="A3155" s="2">
        <v>3152</v>
      </c>
      <c r="B3155" s="2" t="s">
        <v>3229</v>
      </c>
      <c r="C3155" s="2" t="str">
        <f>"12783218"</f>
        <v>12783218</v>
      </c>
      <c r="D3155" s="2">
        <v>0.30199999999999999</v>
      </c>
      <c r="E3155" s="2">
        <v>21</v>
      </c>
      <c r="F3155" s="2" t="s">
        <v>66</v>
      </c>
    </row>
    <row r="3156" spans="1:6" ht="25.5">
      <c r="A3156" s="2">
        <v>3153</v>
      </c>
      <c r="B3156" s="2" t="s">
        <v>3230</v>
      </c>
      <c r="C3156" s="2" t="str">
        <f>"00085472"</f>
        <v>00085472</v>
      </c>
      <c r="D3156" s="2">
        <v>4.1520000000000001</v>
      </c>
      <c r="E3156" s="2">
        <v>305</v>
      </c>
      <c r="F3156" s="2" t="s">
        <v>6</v>
      </c>
    </row>
    <row r="3157" spans="1:6" ht="25.5">
      <c r="A3157" s="2">
        <v>3154</v>
      </c>
      <c r="B3157" s="2" t="s">
        <v>3231</v>
      </c>
      <c r="C3157" s="2" t="str">
        <f>"15982998"</f>
        <v>15982998</v>
      </c>
      <c r="D3157" s="2">
        <v>0.59099999999999997</v>
      </c>
      <c r="E3157" s="2">
        <v>5</v>
      </c>
      <c r="F3157" s="2" t="s">
        <v>274</v>
      </c>
    </row>
    <row r="3158" spans="1:6" ht="25.5">
      <c r="A3158" s="2">
        <v>3155</v>
      </c>
      <c r="B3158" s="2" t="s">
        <v>3232</v>
      </c>
      <c r="C3158" s="2" t="str">
        <f>"20726694"</f>
        <v>20726694</v>
      </c>
      <c r="D3158" s="2">
        <v>0.38900000000000001</v>
      </c>
      <c r="E3158" s="2">
        <v>9</v>
      </c>
      <c r="F3158" s="2" t="s">
        <v>31</v>
      </c>
    </row>
    <row r="3159" spans="1:6" ht="25.5">
      <c r="A3159" s="2">
        <v>3156</v>
      </c>
      <c r="B3159" s="2" t="s">
        <v>3233</v>
      </c>
      <c r="C3159" s="2" t="str">
        <f>"13497006"</f>
        <v>13497006</v>
      </c>
      <c r="D3159" s="2">
        <v>1.4770000000000001</v>
      </c>
      <c r="E3159" s="2">
        <v>86</v>
      </c>
      <c r="F3159" s="2" t="s">
        <v>16</v>
      </c>
    </row>
    <row r="3160" spans="1:6" ht="25.5">
      <c r="A3160" s="2">
        <v>3157</v>
      </c>
      <c r="B3160" s="2" t="s">
        <v>3234</v>
      </c>
      <c r="C3160" s="2" t="str">
        <f>"15439143"</f>
        <v>15439143</v>
      </c>
      <c r="D3160" s="2">
        <v>0.16</v>
      </c>
      <c r="E3160" s="2">
        <v>5</v>
      </c>
      <c r="F3160" s="2" t="s">
        <v>6</v>
      </c>
    </row>
    <row r="3161" spans="1:6" ht="25.5">
      <c r="A3161" s="2">
        <v>3158</v>
      </c>
      <c r="B3161" s="2" t="s">
        <v>3235</v>
      </c>
      <c r="C3161" s="2" t="str">
        <f>"09273042"</f>
        <v>09273042</v>
      </c>
      <c r="D3161" s="2">
        <v>0.34799999999999998</v>
      </c>
      <c r="E3161" s="2">
        <v>30</v>
      </c>
      <c r="F3161" s="2" t="s">
        <v>75</v>
      </c>
    </row>
    <row r="3162" spans="1:6" ht="25.5">
      <c r="A3162" s="2">
        <v>3159</v>
      </c>
      <c r="B3162" s="2" t="s">
        <v>3236</v>
      </c>
      <c r="C3162" s="2" t="str">
        <f>"03057372"</f>
        <v>03057372</v>
      </c>
      <c r="D3162" s="2">
        <v>2.23</v>
      </c>
      <c r="E3162" s="2">
        <v>72</v>
      </c>
      <c r="F3162" s="2" t="s">
        <v>16</v>
      </c>
    </row>
    <row r="3163" spans="1:6" ht="25.5">
      <c r="A3163" s="2">
        <v>3160</v>
      </c>
      <c r="B3163" s="2" t="s">
        <v>3237</v>
      </c>
      <c r="C3163" s="2" t="str">
        <f>"03732967"</f>
        <v>03732967</v>
      </c>
      <c r="D3163" s="2">
        <v>0.28499999999999998</v>
      </c>
      <c r="E3163" s="2">
        <v>9</v>
      </c>
      <c r="F3163" s="2" t="s">
        <v>31</v>
      </c>
    </row>
    <row r="3164" spans="1:6" ht="25.5">
      <c r="A3164" s="2">
        <v>3161</v>
      </c>
      <c r="B3164" s="2" t="s">
        <v>3238</v>
      </c>
      <c r="C3164" s="2" t="str">
        <f>"14985136"</f>
        <v>14985136</v>
      </c>
      <c r="D3164" s="2">
        <v>0.18099999999999999</v>
      </c>
      <c r="E3164" s="2">
        <v>6</v>
      </c>
      <c r="F3164" s="2" t="s">
        <v>64</v>
      </c>
    </row>
    <row r="3165" spans="1:6" ht="25.5">
      <c r="A3165" s="2">
        <v>3162</v>
      </c>
      <c r="B3165" s="2" t="s">
        <v>3239</v>
      </c>
      <c r="C3165" s="2" t="str">
        <f>"03098168"</f>
        <v>03098168</v>
      </c>
      <c r="D3165" s="2">
        <v>0</v>
      </c>
      <c r="E3165" s="2">
        <v>1</v>
      </c>
      <c r="F3165" s="2" t="s">
        <v>16</v>
      </c>
    </row>
    <row r="3166" spans="1:6" ht="25.5">
      <c r="A3166" s="2">
        <v>3163</v>
      </c>
      <c r="B3166" s="2" t="s">
        <v>3240</v>
      </c>
      <c r="C3166" s="2" t="str">
        <f>"19320213"</f>
        <v>19320213</v>
      </c>
      <c r="D3166" s="2">
        <v>0.15</v>
      </c>
      <c r="E3166" s="2">
        <v>4</v>
      </c>
      <c r="F3166" s="2" t="s">
        <v>6</v>
      </c>
    </row>
    <row r="3167" spans="1:6" ht="25.5">
      <c r="A3167" s="2">
        <v>3164</v>
      </c>
      <c r="B3167" s="2" t="s">
        <v>3241</v>
      </c>
      <c r="C3167" s="2" t="str">
        <f>"15483290"</f>
        <v>15483290</v>
      </c>
      <c r="D3167" s="2">
        <v>0.23300000000000001</v>
      </c>
      <c r="E3167" s="2">
        <v>13</v>
      </c>
      <c r="F3167" s="2" t="s">
        <v>6</v>
      </c>
    </row>
    <row r="3168" spans="1:6" ht="25.5">
      <c r="A3168" s="2">
        <v>3165</v>
      </c>
      <c r="B3168" s="2" t="s">
        <v>3242</v>
      </c>
      <c r="C3168" s="2" t="str">
        <f>"19705492"</f>
        <v>19705492</v>
      </c>
      <c r="D3168" s="2">
        <v>0.112</v>
      </c>
      <c r="E3168" s="2">
        <v>1</v>
      </c>
      <c r="F3168" s="2" t="s">
        <v>190</v>
      </c>
    </row>
    <row r="3169" spans="1:6" ht="25.5">
      <c r="A3169" s="2">
        <v>3166</v>
      </c>
      <c r="B3169" s="2" t="s">
        <v>3243</v>
      </c>
      <c r="C3169" s="2" t="str">
        <f>"11476753"</f>
        <v>11476753</v>
      </c>
      <c r="D3169" s="2">
        <v>0.1</v>
      </c>
      <c r="E3169" s="2">
        <v>1</v>
      </c>
      <c r="F3169" s="2" t="s">
        <v>66</v>
      </c>
    </row>
    <row r="3170" spans="1:6" ht="25.5">
      <c r="A3170" s="2">
        <v>3167</v>
      </c>
      <c r="B3170" s="2" t="s">
        <v>3244</v>
      </c>
      <c r="C3170" s="2" t="str">
        <f>"01448617"</f>
        <v>01448617</v>
      </c>
      <c r="D3170" s="2">
        <v>1.2350000000000001</v>
      </c>
      <c r="E3170" s="2">
        <v>83</v>
      </c>
      <c r="F3170" s="2" t="s">
        <v>16</v>
      </c>
    </row>
    <row r="3171" spans="1:6" ht="25.5">
      <c r="A3171" s="2">
        <v>3168</v>
      </c>
      <c r="B3171" s="2" t="s">
        <v>3245</v>
      </c>
      <c r="C3171" s="2" t="str">
        <f>"00086215"</f>
        <v>00086215</v>
      </c>
      <c r="D3171" s="2">
        <v>0.67500000000000004</v>
      </c>
      <c r="E3171" s="2">
        <v>77</v>
      </c>
      <c r="F3171" s="2" t="s">
        <v>75</v>
      </c>
    </row>
    <row r="3172" spans="1:6" ht="25.5">
      <c r="A3172" s="2">
        <v>3169</v>
      </c>
      <c r="B3172" s="2" t="s">
        <v>3246</v>
      </c>
      <c r="C3172" s="2" t="str">
        <f>"00086223"</f>
        <v>00086223</v>
      </c>
      <c r="D3172" s="2">
        <v>2.1829999999999998</v>
      </c>
      <c r="E3172" s="2">
        <v>137</v>
      </c>
      <c r="F3172" s="2" t="s">
        <v>16</v>
      </c>
    </row>
    <row r="3173" spans="1:6" ht="25.5">
      <c r="A3173" s="2">
        <v>3170</v>
      </c>
      <c r="B3173" s="2" t="s">
        <v>3247</v>
      </c>
      <c r="C3173" s="2" t="str">
        <f>"08912556"</f>
        <v>08912556</v>
      </c>
      <c r="D3173" s="2">
        <v>0.219</v>
      </c>
      <c r="E3173" s="2">
        <v>13</v>
      </c>
      <c r="F3173" s="2" t="s">
        <v>12</v>
      </c>
    </row>
    <row r="3174" spans="1:6" ht="25.5">
      <c r="A3174" s="2">
        <v>3171</v>
      </c>
      <c r="B3174" s="2" t="s">
        <v>3248</v>
      </c>
      <c r="C3174" s="2" t="str">
        <f>"17500680"</f>
        <v>17500680</v>
      </c>
      <c r="D3174" s="2">
        <v>0.98</v>
      </c>
      <c r="E3174" s="2">
        <v>11</v>
      </c>
      <c r="F3174" s="2" t="s">
        <v>16</v>
      </c>
    </row>
    <row r="3175" spans="1:6" ht="25.5">
      <c r="A3175" s="2">
        <v>3172</v>
      </c>
      <c r="B3175" s="2" t="s">
        <v>3249</v>
      </c>
      <c r="C3175" s="2" t="str">
        <f>"17583004"</f>
        <v>17583004</v>
      </c>
      <c r="D3175" s="2">
        <v>0.59599999999999997</v>
      </c>
      <c r="E3175" s="2">
        <v>8</v>
      </c>
      <c r="F3175" s="2" t="s">
        <v>16</v>
      </c>
    </row>
    <row r="3176" spans="1:6" ht="25.5">
      <c r="A3176" s="2">
        <v>3173</v>
      </c>
      <c r="B3176" s="2" t="s">
        <v>3250</v>
      </c>
      <c r="C3176" s="2" t="str">
        <f>"0"</f>
        <v>0</v>
      </c>
      <c r="D3176" s="2">
        <v>0</v>
      </c>
      <c r="E3176" s="2">
        <v>0</v>
      </c>
      <c r="F3176" s="2" t="s">
        <v>6</v>
      </c>
    </row>
    <row r="3177" spans="1:6" ht="25.5">
      <c r="A3177" s="2">
        <v>3174</v>
      </c>
      <c r="B3177" s="2" t="s">
        <v>3251</v>
      </c>
      <c r="C3177" s="2" t="str">
        <f>"14602180"</f>
        <v>14602180</v>
      </c>
      <c r="D3177" s="2">
        <v>2.3490000000000002</v>
      </c>
      <c r="E3177" s="2">
        <v>136</v>
      </c>
      <c r="F3177" s="2" t="s">
        <v>16</v>
      </c>
    </row>
    <row r="3178" spans="1:6" ht="25.5">
      <c r="A3178" s="2">
        <v>3175</v>
      </c>
      <c r="B3178" s="2" t="s">
        <v>3252</v>
      </c>
      <c r="C3178" s="2" t="str">
        <f>"18779182"</f>
        <v>18779182</v>
      </c>
      <c r="D3178" s="2">
        <v>0.14000000000000001</v>
      </c>
      <c r="E3178" s="2">
        <v>3</v>
      </c>
      <c r="F3178" s="2" t="s">
        <v>16</v>
      </c>
    </row>
    <row r="3179" spans="1:6" ht="25.5">
      <c r="A3179" s="2">
        <v>3176</v>
      </c>
      <c r="B3179" s="2" t="s">
        <v>3253</v>
      </c>
      <c r="C3179" s="2" t="str">
        <f>"1889898X"</f>
        <v>1889898X</v>
      </c>
      <c r="D3179" s="2">
        <v>0.112</v>
      </c>
      <c r="E3179" s="2">
        <v>2</v>
      </c>
      <c r="F3179" s="2" t="s">
        <v>351</v>
      </c>
    </row>
    <row r="3180" spans="1:6" ht="25.5">
      <c r="A3180" s="2">
        <v>3177</v>
      </c>
      <c r="B3180" s="2" t="s">
        <v>3254</v>
      </c>
      <c r="C3180" s="2" t="str">
        <f>"14219751"</f>
        <v>14219751</v>
      </c>
      <c r="D3180" s="2">
        <v>0.58399999999999996</v>
      </c>
      <c r="E3180" s="2">
        <v>44</v>
      </c>
      <c r="F3180" s="2" t="s">
        <v>31</v>
      </c>
    </row>
    <row r="3181" spans="1:6" ht="25.5">
      <c r="A3181" s="2">
        <v>3178</v>
      </c>
      <c r="B3181" s="2" t="s">
        <v>3255</v>
      </c>
      <c r="C3181" s="2" t="str">
        <f>"07338651"</f>
        <v>07338651</v>
      </c>
      <c r="D3181" s="2">
        <v>0.48499999999999999</v>
      </c>
      <c r="E3181" s="2">
        <v>38</v>
      </c>
      <c r="F3181" s="2" t="s">
        <v>16</v>
      </c>
    </row>
    <row r="3182" spans="1:6" ht="25.5">
      <c r="A3182" s="2">
        <v>3179</v>
      </c>
      <c r="B3182" s="2" t="s">
        <v>3256</v>
      </c>
      <c r="C3182" s="2" t="str">
        <f>"10615377"</f>
        <v>10615377</v>
      </c>
      <c r="D3182" s="2">
        <v>1.042</v>
      </c>
      <c r="E3182" s="2">
        <v>33</v>
      </c>
      <c r="F3182" s="2" t="s">
        <v>6</v>
      </c>
    </row>
    <row r="3183" spans="1:6" ht="25.5">
      <c r="A3183" s="2">
        <v>3180</v>
      </c>
      <c r="B3183" s="2" t="s">
        <v>3257</v>
      </c>
      <c r="C3183" s="2" t="str">
        <f>"14671107"</f>
        <v>14671107</v>
      </c>
      <c r="D3183" s="2">
        <v>0.439</v>
      </c>
      <c r="E3183" s="2">
        <v>32</v>
      </c>
      <c r="F3183" s="2" t="s">
        <v>16</v>
      </c>
    </row>
    <row r="3184" spans="1:6" ht="25.5">
      <c r="A3184" s="2">
        <v>3181</v>
      </c>
      <c r="B3184" s="2" t="s">
        <v>3258</v>
      </c>
      <c r="C3184" s="2" t="str">
        <f>"18975593"</f>
        <v>18975593</v>
      </c>
      <c r="D3184" s="2">
        <v>0.437</v>
      </c>
      <c r="E3184" s="2">
        <v>14</v>
      </c>
      <c r="F3184" s="2" t="s">
        <v>169</v>
      </c>
    </row>
    <row r="3185" spans="1:6" ht="25.5">
      <c r="A3185" s="2">
        <v>3182</v>
      </c>
      <c r="B3185" s="2" t="s">
        <v>3259</v>
      </c>
      <c r="C3185" s="2" t="str">
        <f>"13383655"</f>
        <v>13383655</v>
      </c>
      <c r="D3185" s="2">
        <v>0.129</v>
      </c>
      <c r="E3185" s="2">
        <v>4</v>
      </c>
      <c r="F3185" s="2" t="s">
        <v>241</v>
      </c>
    </row>
    <row r="3186" spans="1:6" ht="25.5">
      <c r="A3186" s="2">
        <v>3183</v>
      </c>
      <c r="B3186" s="2" t="s">
        <v>3260</v>
      </c>
      <c r="C3186" s="2" t="str">
        <f>"18118194"</f>
        <v>18118194</v>
      </c>
      <c r="D3186" s="2">
        <v>0.113</v>
      </c>
      <c r="E3186" s="2">
        <v>0</v>
      </c>
      <c r="F3186" s="2" t="s">
        <v>43</v>
      </c>
    </row>
    <row r="3187" spans="1:6" ht="25.5">
      <c r="A3187" s="2">
        <v>3184</v>
      </c>
      <c r="B3187" s="2" t="s">
        <v>3261</v>
      </c>
      <c r="C3187" s="2" t="str">
        <f>"20900597"</f>
        <v>20900597</v>
      </c>
      <c r="D3187" s="2">
        <v>0.27</v>
      </c>
      <c r="E3187" s="2">
        <v>6</v>
      </c>
      <c r="F3187" s="2" t="s">
        <v>6</v>
      </c>
    </row>
    <row r="3188" spans="1:6" ht="25.5">
      <c r="A3188" s="2">
        <v>3185</v>
      </c>
      <c r="B3188" s="2" t="s">
        <v>3262</v>
      </c>
      <c r="C3188" s="2" t="str">
        <f>"10926607"</f>
        <v>10926607</v>
      </c>
      <c r="D3188" s="2">
        <v>0.10100000000000001</v>
      </c>
      <c r="E3188" s="2">
        <v>3</v>
      </c>
      <c r="F3188" s="2" t="s">
        <v>6</v>
      </c>
    </row>
    <row r="3189" spans="1:6" ht="25.5">
      <c r="A3189" s="2">
        <v>3186</v>
      </c>
      <c r="B3189" s="2" t="s">
        <v>3263</v>
      </c>
      <c r="C3189" s="2" t="str">
        <f>"18715257"</f>
        <v>18715257</v>
      </c>
      <c r="D3189" s="2">
        <v>0.42099999999999999</v>
      </c>
      <c r="E3189" s="2">
        <v>23</v>
      </c>
      <c r="F3189" s="2" t="s">
        <v>75</v>
      </c>
    </row>
    <row r="3190" spans="1:6" ht="25.5">
      <c r="A3190" s="2">
        <v>3187</v>
      </c>
      <c r="B3190" s="2" t="s">
        <v>3264</v>
      </c>
      <c r="C3190" s="2" t="str">
        <f>"1871529X"</f>
        <v>1871529X</v>
      </c>
      <c r="D3190" s="2">
        <v>0.35099999999999998</v>
      </c>
      <c r="E3190" s="2">
        <v>27</v>
      </c>
      <c r="F3190" s="2" t="s">
        <v>75</v>
      </c>
    </row>
    <row r="3191" spans="1:6" ht="25.5">
      <c r="A3191" s="2">
        <v>3188</v>
      </c>
      <c r="B3191" s="2" t="s">
        <v>3265</v>
      </c>
      <c r="C3191" s="2" t="str">
        <f>"74155101"</f>
        <v>74155101</v>
      </c>
      <c r="D3191" s="2">
        <v>0.75</v>
      </c>
      <c r="E3191" s="2">
        <v>51</v>
      </c>
      <c r="F3191" s="2" t="s">
        <v>12</v>
      </c>
    </row>
    <row r="3192" spans="1:6" ht="25.5">
      <c r="A3192" s="2">
        <v>3189</v>
      </c>
      <c r="B3192" s="2" t="s">
        <v>3266</v>
      </c>
      <c r="C3192" s="2" t="str">
        <f>"14752840"</f>
        <v>14752840</v>
      </c>
      <c r="D3192" s="2">
        <v>1.0469999999999999</v>
      </c>
      <c r="E3192" s="2">
        <v>34</v>
      </c>
      <c r="F3192" s="2" t="s">
        <v>16</v>
      </c>
    </row>
    <row r="3193" spans="1:6" ht="25.5">
      <c r="A3193" s="2">
        <v>3190</v>
      </c>
      <c r="B3193" s="2" t="s">
        <v>3267</v>
      </c>
      <c r="C3193" s="2" t="str">
        <f>"15737241"</f>
        <v>15737241</v>
      </c>
      <c r="D3193" s="2">
        <v>0.97399999999999998</v>
      </c>
      <c r="E3193" s="2">
        <v>44</v>
      </c>
      <c r="F3193" s="2" t="s">
        <v>75</v>
      </c>
    </row>
    <row r="3194" spans="1:6" ht="25.5">
      <c r="A3194" s="2">
        <v>3191</v>
      </c>
      <c r="B3194" s="2" t="s">
        <v>3268</v>
      </c>
      <c r="C3194" s="2" t="str">
        <f>"18694098"</f>
        <v>18694098</v>
      </c>
      <c r="D3194" s="2">
        <v>0.39600000000000002</v>
      </c>
      <c r="E3194" s="2">
        <v>5</v>
      </c>
      <c r="F3194" s="2" t="s">
        <v>6</v>
      </c>
    </row>
    <row r="3195" spans="1:6" ht="25.5">
      <c r="A3195" s="2">
        <v>3192</v>
      </c>
      <c r="B3195" s="2" t="s">
        <v>3269</v>
      </c>
      <c r="C3195" s="2" t="str">
        <f>"18684300"</f>
        <v>18684300</v>
      </c>
      <c r="D3195" s="2">
        <v>0.28599999999999998</v>
      </c>
      <c r="E3195" s="2">
        <v>1</v>
      </c>
      <c r="F3195" s="2" t="s">
        <v>12</v>
      </c>
    </row>
    <row r="3196" spans="1:6" ht="25.5">
      <c r="A3196" s="2">
        <v>3193</v>
      </c>
      <c r="B3196" s="2" t="s">
        <v>3270</v>
      </c>
      <c r="C3196" s="2" t="str">
        <f>"19951892"</f>
        <v>19951892</v>
      </c>
      <c r="D3196" s="2">
        <v>0.19700000000000001</v>
      </c>
      <c r="E3196" s="2">
        <v>16</v>
      </c>
      <c r="F3196" s="2" t="s">
        <v>410</v>
      </c>
    </row>
    <row r="3197" spans="1:6" ht="25.5">
      <c r="A3197" s="2">
        <v>3194</v>
      </c>
      <c r="B3197" s="2" t="s">
        <v>3271</v>
      </c>
      <c r="C3197" s="2" t="str">
        <f>"10548807"</f>
        <v>10548807</v>
      </c>
      <c r="D3197" s="2">
        <v>0.53900000000000003</v>
      </c>
      <c r="E3197" s="2">
        <v>42</v>
      </c>
      <c r="F3197" s="2" t="s">
        <v>6</v>
      </c>
    </row>
    <row r="3198" spans="1:6" ht="25.5">
      <c r="A3198" s="2">
        <v>3195</v>
      </c>
      <c r="B3198" s="2" t="s">
        <v>3272</v>
      </c>
      <c r="C3198" s="2" t="str">
        <f>"00086363"</f>
        <v>00086363</v>
      </c>
      <c r="D3198" s="2">
        <v>2.2189999999999999</v>
      </c>
      <c r="E3198" s="2">
        <v>143</v>
      </c>
      <c r="F3198" s="2" t="s">
        <v>16</v>
      </c>
    </row>
    <row r="3199" spans="1:6" ht="25.5">
      <c r="A3199" s="2">
        <v>3196</v>
      </c>
      <c r="B3199" s="2" t="s">
        <v>3273</v>
      </c>
      <c r="C3199" s="2" t="str">
        <f>"15538389"</f>
        <v>15538389</v>
      </c>
      <c r="D3199" s="2">
        <v>0.439</v>
      </c>
      <c r="E3199" s="2">
        <v>21</v>
      </c>
      <c r="F3199" s="2" t="s">
        <v>6</v>
      </c>
    </row>
    <row r="3200" spans="1:6" ht="25.5">
      <c r="A3200" s="2">
        <v>3197</v>
      </c>
      <c r="B3200" s="2" t="s">
        <v>3274</v>
      </c>
      <c r="C3200" s="2" t="str">
        <f>"17555922"</f>
        <v>17555922</v>
      </c>
      <c r="D3200" s="2">
        <v>0.82899999999999996</v>
      </c>
      <c r="E3200" s="2">
        <v>15</v>
      </c>
      <c r="F3200" s="2" t="s">
        <v>16</v>
      </c>
    </row>
    <row r="3201" spans="1:6" ht="25.5">
      <c r="A3201" s="2">
        <v>3198</v>
      </c>
      <c r="B3201" s="2" t="s">
        <v>3275</v>
      </c>
      <c r="C3201" s="2" t="str">
        <f>"17288800"</f>
        <v>17288800</v>
      </c>
      <c r="D3201" s="2">
        <v>0</v>
      </c>
      <c r="E3201" s="2">
        <v>1</v>
      </c>
      <c r="F3201" s="2" t="s">
        <v>129</v>
      </c>
    </row>
    <row r="3202" spans="1:6" ht="25.5">
      <c r="A3202" s="2">
        <v>3199</v>
      </c>
      <c r="B3202" s="2" t="s">
        <v>3276</v>
      </c>
      <c r="C3202" s="2" t="str">
        <f>"15307905"</f>
        <v>15307905</v>
      </c>
      <c r="D3202" s="2">
        <v>0.58599999999999997</v>
      </c>
      <c r="E3202" s="2">
        <v>30</v>
      </c>
      <c r="F3202" s="2" t="s">
        <v>6</v>
      </c>
    </row>
    <row r="3203" spans="1:6" ht="25.5">
      <c r="A3203" s="2">
        <v>3200</v>
      </c>
      <c r="B3203" s="2" t="s">
        <v>3277</v>
      </c>
      <c r="C3203" s="2" t="str">
        <f>"14767120"</f>
        <v>14767120</v>
      </c>
      <c r="D3203" s="2">
        <v>0.48599999999999999</v>
      </c>
      <c r="E3203" s="2">
        <v>23</v>
      </c>
      <c r="F3203" s="2" t="s">
        <v>16</v>
      </c>
    </row>
    <row r="3204" spans="1:6" ht="25.5">
      <c r="A3204" s="2">
        <v>3201</v>
      </c>
      <c r="B3204" s="2" t="s">
        <v>3278</v>
      </c>
      <c r="C3204" s="2" t="str">
        <f>"15575047"</f>
        <v>15575047</v>
      </c>
      <c r="D3204" s="2">
        <v>1.355</v>
      </c>
      <c r="E3204" s="2">
        <v>10</v>
      </c>
      <c r="F3204" s="2" t="s">
        <v>6</v>
      </c>
    </row>
    <row r="3205" spans="1:6" ht="25.5">
      <c r="A3205" s="2">
        <v>3202</v>
      </c>
      <c r="B3205" s="2" t="s">
        <v>3279</v>
      </c>
      <c r="C3205" s="2" t="str">
        <f>"13620436"</f>
        <v>13620436</v>
      </c>
      <c r="D3205" s="2">
        <v>0.75</v>
      </c>
      <c r="E3205" s="2">
        <v>19</v>
      </c>
      <c r="F3205" s="2" t="s">
        <v>16</v>
      </c>
    </row>
    <row r="3206" spans="1:6" ht="25.5">
      <c r="A3206" s="2">
        <v>3203</v>
      </c>
      <c r="B3206" s="2" t="s">
        <v>3280</v>
      </c>
      <c r="C3206" s="2" t="str">
        <f>"08894019"</f>
        <v>08894019</v>
      </c>
      <c r="D3206" s="2">
        <v>0.63100000000000001</v>
      </c>
      <c r="E3206" s="2">
        <v>27</v>
      </c>
      <c r="F3206" s="2" t="s">
        <v>6</v>
      </c>
    </row>
    <row r="3207" spans="1:6" ht="25.5">
      <c r="A3207" s="2">
        <v>3204</v>
      </c>
      <c r="B3207" s="2" t="s">
        <v>3281</v>
      </c>
      <c r="C3207" s="2" t="str">
        <f>"15210987"</f>
        <v>15210987</v>
      </c>
      <c r="D3207" s="2">
        <v>0.17399999999999999</v>
      </c>
      <c r="E3207" s="2">
        <v>9</v>
      </c>
      <c r="F3207" s="2" t="s">
        <v>6</v>
      </c>
    </row>
    <row r="3208" spans="1:6" ht="25.5">
      <c r="A3208" s="2">
        <v>3205</v>
      </c>
      <c r="B3208" s="2" t="s">
        <v>3282</v>
      </c>
      <c r="C3208" s="2" t="str">
        <f>"02529939"</f>
        <v>02529939</v>
      </c>
      <c r="D3208" s="2">
        <v>0.104</v>
      </c>
      <c r="E3208" s="2">
        <v>4</v>
      </c>
      <c r="F3208" s="2" t="s">
        <v>3283</v>
      </c>
    </row>
    <row r="3209" spans="1:6" ht="25.5">
      <c r="A3209" s="2">
        <v>3206</v>
      </c>
      <c r="B3209" s="2" t="s">
        <v>3284</v>
      </c>
      <c r="C3209" s="2" t="str">
        <f>"1421976X"</f>
        <v>1421976X</v>
      </c>
      <c r="D3209" s="2">
        <v>1.1100000000000001</v>
      </c>
      <c r="E3209" s="2">
        <v>57</v>
      </c>
      <c r="F3209" s="2" t="s">
        <v>31</v>
      </c>
    </row>
    <row r="3210" spans="1:6" ht="25.5">
      <c r="A3210" s="2">
        <v>3207</v>
      </c>
      <c r="B3210" s="2" t="s">
        <v>3285</v>
      </c>
      <c r="C3210" s="2" t="str">
        <f>"0738467X"</f>
        <v>0738467X</v>
      </c>
      <c r="D3210" s="2">
        <v>0.1</v>
      </c>
      <c r="E3210" s="2">
        <v>7</v>
      </c>
      <c r="F3210" s="2" t="s">
        <v>6</v>
      </c>
    </row>
    <row r="3211" spans="1:6">
      <c r="A3211" s="2">
        <v>3208</v>
      </c>
      <c r="B3211" s="2" t="s">
        <v>3286</v>
      </c>
      <c r="C3211" s="2" t="str">
        <f>"0"</f>
        <v>0</v>
      </c>
      <c r="D3211" s="2">
        <v>0</v>
      </c>
      <c r="E3211" s="2">
        <v>0</v>
      </c>
      <c r="F3211" s="2" t="s">
        <v>6</v>
      </c>
    </row>
    <row r="3212" spans="1:6">
      <c r="A3212" s="2">
        <v>3209</v>
      </c>
      <c r="B3212" s="2" t="s">
        <v>3287</v>
      </c>
      <c r="C3212" s="2" t="str">
        <f>"0"</f>
        <v>0</v>
      </c>
      <c r="D3212" s="2">
        <v>0</v>
      </c>
      <c r="E3212" s="2">
        <v>0</v>
      </c>
      <c r="F3212" s="2" t="s">
        <v>6</v>
      </c>
    </row>
    <row r="3213" spans="1:6" ht="25.5">
      <c r="A3213" s="2">
        <v>3210</v>
      </c>
      <c r="B3213" s="2" t="s">
        <v>3288</v>
      </c>
      <c r="C3213" s="2" t="str">
        <f>"16340744"</f>
        <v>16340744</v>
      </c>
      <c r="D3213" s="2">
        <v>0.17699999999999999</v>
      </c>
      <c r="E3213" s="2">
        <v>3</v>
      </c>
      <c r="F3213" s="2" t="s">
        <v>66</v>
      </c>
    </row>
    <row r="3214" spans="1:6" ht="25.5">
      <c r="A3214" s="2">
        <v>3211</v>
      </c>
      <c r="B3214" s="2" t="s">
        <v>3289</v>
      </c>
      <c r="C3214" s="2" t="str">
        <f>"18424090"</f>
        <v>18424090</v>
      </c>
      <c r="D3214" s="2">
        <v>0.307</v>
      </c>
      <c r="E3214" s="2">
        <v>9</v>
      </c>
      <c r="F3214" s="2" t="s">
        <v>19</v>
      </c>
    </row>
    <row r="3215" spans="1:6" ht="25.5">
      <c r="A3215" s="2">
        <v>3212</v>
      </c>
      <c r="B3215" s="2" t="s">
        <v>3290</v>
      </c>
      <c r="C3215" s="2" t="str">
        <f>"20666845"</f>
        <v>20666845</v>
      </c>
      <c r="D3215" s="2">
        <v>0.107</v>
      </c>
      <c r="E3215" s="2">
        <v>1</v>
      </c>
      <c r="F3215" s="2" t="s">
        <v>19</v>
      </c>
    </row>
    <row r="3216" spans="1:6" ht="25.5">
      <c r="A3216" s="2">
        <v>3213</v>
      </c>
      <c r="B3216" s="2" t="s">
        <v>3291</v>
      </c>
      <c r="C3216" s="2" t="str">
        <f>"18434401"</f>
        <v>18434401</v>
      </c>
      <c r="D3216" s="2">
        <v>0.874</v>
      </c>
      <c r="E3216" s="2">
        <v>11</v>
      </c>
      <c r="F3216" s="2" t="s">
        <v>19</v>
      </c>
    </row>
    <row r="3217" spans="1:6" ht="25.5">
      <c r="A3217" s="2">
        <v>3214</v>
      </c>
      <c r="B3217" s="2" t="s">
        <v>3292</v>
      </c>
      <c r="C3217" s="2" t="str">
        <f>"19696949"</f>
        <v>19696949</v>
      </c>
      <c r="D3217" s="2">
        <v>0.1</v>
      </c>
      <c r="E3217" s="2">
        <v>2</v>
      </c>
      <c r="F3217" s="2" t="s">
        <v>66</v>
      </c>
    </row>
    <row r="3218" spans="1:6" ht="25.5">
      <c r="A3218" s="2">
        <v>3215</v>
      </c>
      <c r="B3218" s="2" t="s">
        <v>3293</v>
      </c>
      <c r="C3218" s="2" t="str">
        <f>"02126389"</f>
        <v>02126389</v>
      </c>
      <c r="D3218" s="2">
        <v>0.123</v>
      </c>
      <c r="E3218" s="2">
        <v>2</v>
      </c>
      <c r="F3218" s="2" t="s">
        <v>351</v>
      </c>
    </row>
    <row r="3219" spans="1:6" ht="25.5">
      <c r="A3219" s="2">
        <v>3216</v>
      </c>
      <c r="B3219" s="2" t="s">
        <v>3294</v>
      </c>
      <c r="C3219" s="2" t="str">
        <f>"19476043"</f>
        <v>19476043</v>
      </c>
      <c r="D3219" s="2">
        <v>0.622</v>
      </c>
      <c r="E3219" s="2">
        <v>6</v>
      </c>
      <c r="F3219" s="2" t="s">
        <v>6</v>
      </c>
    </row>
    <row r="3220" spans="1:6" ht="25.5">
      <c r="A3220" s="2">
        <v>3217</v>
      </c>
      <c r="B3220" s="2" t="s">
        <v>3295</v>
      </c>
      <c r="C3220" s="2" t="str">
        <f>"03177173"</f>
        <v>03177173</v>
      </c>
      <c r="D3220" s="2">
        <v>0.33700000000000002</v>
      </c>
      <c r="E3220" s="2">
        <v>16</v>
      </c>
      <c r="F3220" s="2" t="s">
        <v>64</v>
      </c>
    </row>
    <row r="3221" spans="1:6" ht="25.5">
      <c r="A3221" s="2">
        <v>3218</v>
      </c>
      <c r="B3221" s="2" t="s">
        <v>3296</v>
      </c>
      <c r="C3221" s="2" t="str">
        <f>"00087041"</f>
        <v>00087041</v>
      </c>
      <c r="D3221" s="2">
        <v>0.22900000000000001</v>
      </c>
      <c r="E3221" s="2">
        <v>14</v>
      </c>
      <c r="F3221" s="2" t="s">
        <v>16</v>
      </c>
    </row>
    <row r="3222" spans="1:6" ht="25.5">
      <c r="A3222" s="2">
        <v>3219</v>
      </c>
      <c r="B3222" s="2" t="s">
        <v>3297</v>
      </c>
      <c r="C3222" s="2" t="str">
        <f>"10489053"</f>
        <v>10489053</v>
      </c>
      <c r="D3222" s="2">
        <v>0.14399999999999999</v>
      </c>
      <c r="E3222" s="2">
        <v>5</v>
      </c>
      <c r="F3222" s="2" t="s">
        <v>6</v>
      </c>
    </row>
    <row r="3223" spans="1:6" ht="25.5">
      <c r="A3223" s="2">
        <v>3220</v>
      </c>
      <c r="B3223" s="2" t="s">
        <v>3298</v>
      </c>
      <c r="C3223" s="2" t="str">
        <f>"15230406"</f>
        <v>15230406</v>
      </c>
      <c r="D3223" s="2">
        <v>0.379</v>
      </c>
      <c r="E3223" s="2">
        <v>30</v>
      </c>
      <c r="F3223" s="2" t="s">
        <v>6</v>
      </c>
    </row>
    <row r="3224" spans="1:6" ht="25.5">
      <c r="A3224" s="2">
        <v>3221</v>
      </c>
      <c r="B3224" s="2" t="s">
        <v>3299</v>
      </c>
      <c r="C3224" s="2" t="str">
        <f>"00087114"</f>
        <v>00087114</v>
      </c>
      <c r="D3224" s="2">
        <v>0.38500000000000001</v>
      </c>
      <c r="E3224" s="2">
        <v>18</v>
      </c>
      <c r="F3224" s="2" t="s">
        <v>190</v>
      </c>
    </row>
    <row r="3225" spans="1:6" ht="25.5">
      <c r="A3225" s="2">
        <v>3222</v>
      </c>
      <c r="B3225" s="2" t="s">
        <v>3300</v>
      </c>
      <c r="C3225" s="2" t="str">
        <f>"16626567"</f>
        <v>16626567</v>
      </c>
      <c r="D3225" s="2">
        <v>0.216</v>
      </c>
      <c r="E3225" s="2">
        <v>3</v>
      </c>
      <c r="F3225" s="2" t="s">
        <v>31</v>
      </c>
    </row>
    <row r="3226" spans="1:6" ht="25.5">
      <c r="A3226" s="2">
        <v>3223</v>
      </c>
      <c r="B3226" s="2" t="s">
        <v>3301</v>
      </c>
      <c r="C3226" s="2" t="str">
        <f>"16620631"</f>
        <v>16620631</v>
      </c>
      <c r="D3226" s="2">
        <v>0.191</v>
      </c>
      <c r="E3226" s="2">
        <v>4</v>
      </c>
      <c r="F3226" s="2" t="s">
        <v>31</v>
      </c>
    </row>
    <row r="3227" spans="1:6" ht="25.5">
      <c r="A3227" s="2">
        <v>3224</v>
      </c>
      <c r="B3227" s="2" t="s">
        <v>3302</v>
      </c>
      <c r="C3227" s="2" t="str">
        <f>"16626575"</f>
        <v>16626575</v>
      </c>
      <c r="D3227" s="2">
        <v>0.19500000000000001</v>
      </c>
      <c r="E3227" s="2">
        <v>4</v>
      </c>
      <c r="F3227" s="2" t="s">
        <v>31</v>
      </c>
    </row>
    <row r="3228" spans="1:6" ht="25.5">
      <c r="A3228" s="2">
        <v>3225</v>
      </c>
      <c r="B3228" s="2" t="s">
        <v>3303</v>
      </c>
      <c r="C3228" s="2" t="str">
        <f>"16632699"</f>
        <v>16632699</v>
      </c>
      <c r="D3228" s="2">
        <v>0.224</v>
      </c>
      <c r="E3228" s="2">
        <v>2</v>
      </c>
      <c r="F3228" s="2" t="s">
        <v>31</v>
      </c>
    </row>
    <row r="3229" spans="1:6">
      <c r="A3229" s="2">
        <v>3226</v>
      </c>
      <c r="B3229" s="2" t="s">
        <v>3304</v>
      </c>
      <c r="C3229" s="2" t="str">
        <f>"0"</f>
        <v>0</v>
      </c>
      <c r="D3229" s="2">
        <v>0</v>
      </c>
      <c r="E3229" s="2">
        <v>0</v>
      </c>
      <c r="F3229" s="2" t="s">
        <v>6</v>
      </c>
    </row>
    <row r="3230" spans="1:6" ht="25.5">
      <c r="A3230" s="2">
        <v>3227</v>
      </c>
      <c r="B3230" s="2" t="s">
        <v>3305</v>
      </c>
      <c r="C3230" s="2" t="str">
        <f>"00087335"</f>
        <v>00087335</v>
      </c>
      <c r="D3230" s="2">
        <v>0.113</v>
      </c>
      <c r="E3230" s="2">
        <v>11</v>
      </c>
      <c r="F3230" s="2" t="s">
        <v>208</v>
      </c>
    </row>
    <row r="3231" spans="1:6" ht="25.5">
      <c r="A3231" s="2">
        <v>3228</v>
      </c>
      <c r="B3231" s="2" t="s">
        <v>3306</v>
      </c>
      <c r="C3231" s="2" t="str">
        <f>"00087475"</f>
        <v>00087475</v>
      </c>
      <c r="D3231" s="2">
        <v>0.22</v>
      </c>
      <c r="E3231" s="2">
        <v>19</v>
      </c>
      <c r="F3231" s="2" t="s">
        <v>6</v>
      </c>
    </row>
    <row r="3232" spans="1:6" ht="25.5">
      <c r="A3232" s="2">
        <v>3229</v>
      </c>
      <c r="B3232" s="2" t="s">
        <v>3307</v>
      </c>
      <c r="C3232" s="2" t="str">
        <f>"20134088"</f>
        <v>20134088</v>
      </c>
      <c r="D3232" s="2">
        <v>0.10100000000000001</v>
      </c>
      <c r="E3232" s="2">
        <v>1</v>
      </c>
      <c r="F3232" s="2" t="s">
        <v>351</v>
      </c>
    </row>
    <row r="3233" spans="1:6" ht="25.5">
      <c r="A3233" s="2">
        <v>3230</v>
      </c>
      <c r="B3233" s="2" t="s">
        <v>3308</v>
      </c>
      <c r="C3233" s="2" t="str">
        <f>"16956885"</f>
        <v>16956885</v>
      </c>
      <c r="D3233" s="2">
        <v>0.104</v>
      </c>
      <c r="E3233" s="2">
        <v>0</v>
      </c>
      <c r="F3233" s="2" t="s">
        <v>351</v>
      </c>
    </row>
    <row r="3234" spans="1:6" ht="25.5">
      <c r="A3234" s="2">
        <v>3231</v>
      </c>
      <c r="B3234" s="2" t="s">
        <v>3309</v>
      </c>
      <c r="C3234" s="2" t="str">
        <f>"0898008X"</f>
        <v>0898008X</v>
      </c>
      <c r="D3234" s="2">
        <v>0.69499999999999995</v>
      </c>
      <c r="E3234" s="2">
        <v>10</v>
      </c>
      <c r="F3234" s="2" t="s">
        <v>6</v>
      </c>
    </row>
    <row r="3235" spans="1:6" ht="25.5">
      <c r="A3235" s="2">
        <v>3232</v>
      </c>
      <c r="B3235" s="2" t="s">
        <v>3310</v>
      </c>
      <c r="C3235" s="2" t="str">
        <f>"01400568"</f>
        <v>01400568</v>
      </c>
      <c r="D3235" s="2">
        <v>0.20499999999999999</v>
      </c>
      <c r="E3235" s="2">
        <v>2</v>
      </c>
      <c r="F3235" s="2" t="s">
        <v>16</v>
      </c>
    </row>
    <row r="3236" spans="1:6" ht="25.5">
      <c r="A3236" s="2">
        <v>3233</v>
      </c>
      <c r="B3236" s="2" t="s">
        <v>3311</v>
      </c>
      <c r="C3236" s="2" t="str">
        <f>"15667367"</f>
        <v>15667367</v>
      </c>
      <c r="D3236" s="2">
        <v>1.0249999999999999</v>
      </c>
      <c r="E3236" s="2">
        <v>58</v>
      </c>
      <c r="F3236" s="2" t="s">
        <v>75</v>
      </c>
    </row>
    <row r="3237" spans="1:6" ht="25.5">
      <c r="A3237" s="2">
        <v>3234</v>
      </c>
      <c r="B3237" s="2" t="s">
        <v>3312</v>
      </c>
      <c r="C3237" s="2" t="str">
        <f>"20700555"</f>
        <v>20700555</v>
      </c>
      <c r="D3237" s="2">
        <v>0.16500000000000001</v>
      </c>
      <c r="E3237" s="2">
        <v>2</v>
      </c>
      <c r="F3237" s="2" t="s">
        <v>129</v>
      </c>
    </row>
    <row r="3238" spans="1:6" ht="25.5">
      <c r="A3238" s="2">
        <v>3235</v>
      </c>
      <c r="B3238" s="2" t="s">
        <v>3313</v>
      </c>
      <c r="C3238" s="2" t="str">
        <f>"1572879X"</f>
        <v>1572879X</v>
      </c>
      <c r="D3238" s="2">
        <v>0.90200000000000002</v>
      </c>
      <c r="E3238" s="2">
        <v>78</v>
      </c>
      <c r="F3238" s="2" t="s">
        <v>75</v>
      </c>
    </row>
    <row r="3239" spans="1:6" ht="25.5">
      <c r="A3239" s="2">
        <v>3236</v>
      </c>
      <c r="B3239" s="2" t="s">
        <v>3314</v>
      </c>
      <c r="C3239" s="2" t="str">
        <f>"01614940"</f>
        <v>01614940</v>
      </c>
      <c r="D3239" s="2">
        <v>3.415</v>
      </c>
      <c r="E3239" s="2">
        <v>66</v>
      </c>
      <c r="F3239" s="2" t="s">
        <v>16</v>
      </c>
    </row>
    <row r="3240" spans="1:6" ht="25.5">
      <c r="A3240" s="2">
        <v>3237</v>
      </c>
      <c r="B3240" s="2" t="s">
        <v>3315</v>
      </c>
      <c r="C3240" s="2" t="str">
        <f>"20444753"</f>
        <v>20444753</v>
      </c>
      <c r="D3240" s="2">
        <v>1.353</v>
      </c>
      <c r="E3240" s="2">
        <v>14</v>
      </c>
      <c r="F3240" s="2" t="s">
        <v>16</v>
      </c>
    </row>
    <row r="3241" spans="1:6" ht="25.5">
      <c r="A3241" s="2">
        <v>3238</v>
      </c>
      <c r="B3241" s="2" t="s">
        <v>3316</v>
      </c>
      <c r="C3241" s="2" t="str">
        <f>"15728803"</f>
        <v>15728803</v>
      </c>
      <c r="D3241" s="2">
        <v>0.64</v>
      </c>
      <c r="E3241" s="2">
        <v>32</v>
      </c>
      <c r="F3241" s="2" t="s">
        <v>6</v>
      </c>
    </row>
    <row r="3242" spans="1:6" ht="25.5">
      <c r="A3242" s="2">
        <v>3239</v>
      </c>
      <c r="B3242" s="2" t="s">
        <v>3317</v>
      </c>
      <c r="C3242" s="2" t="str">
        <f>"09205861"</f>
        <v>09205861</v>
      </c>
      <c r="D3242" s="2">
        <v>1.2829999999999999</v>
      </c>
      <c r="E3242" s="2">
        <v>129</v>
      </c>
      <c r="F3242" s="2" t="s">
        <v>75</v>
      </c>
    </row>
    <row r="3243" spans="1:6" ht="25.5">
      <c r="A3243" s="2">
        <v>3240</v>
      </c>
      <c r="B3243" s="2" t="s">
        <v>3318</v>
      </c>
      <c r="C3243" s="2" t="str">
        <f>"03418162"</f>
        <v>03418162</v>
      </c>
      <c r="D3243" s="2">
        <v>0.80900000000000005</v>
      </c>
      <c r="E3243" s="2">
        <v>61</v>
      </c>
      <c r="F3243" s="2" t="s">
        <v>75</v>
      </c>
    </row>
    <row r="3244" spans="1:6" ht="25.5">
      <c r="A3244" s="2">
        <v>3241</v>
      </c>
      <c r="B3244" s="2" t="s">
        <v>3319</v>
      </c>
      <c r="C3244" s="2" t="str">
        <f>"1522726X"</f>
        <v>1522726X</v>
      </c>
      <c r="D3244" s="2">
        <v>1.3680000000000001</v>
      </c>
      <c r="E3244" s="2">
        <v>77</v>
      </c>
      <c r="F3244" s="2" t="s">
        <v>6</v>
      </c>
    </row>
    <row r="3245" spans="1:6" ht="25.5">
      <c r="A3245" s="2">
        <v>3242</v>
      </c>
      <c r="B3245" s="2" t="s">
        <v>3320</v>
      </c>
      <c r="C3245" s="2" t="str">
        <f>"00088501"</f>
        <v>00088501</v>
      </c>
      <c r="D3245" s="2">
        <v>0.11</v>
      </c>
      <c r="E3245" s="2">
        <v>2</v>
      </c>
      <c r="F3245" s="2" t="s">
        <v>12</v>
      </c>
    </row>
    <row r="3246" spans="1:6" ht="25.5">
      <c r="A3246" s="2">
        <v>3243</v>
      </c>
      <c r="B3246" s="2" t="s">
        <v>3321</v>
      </c>
      <c r="C3246" s="2" t="str">
        <f>"00087912"</f>
        <v>00087912</v>
      </c>
      <c r="D3246" s="2">
        <v>0.17399999999999999</v>
      </c>
      <c r="E3246" s="2">
        <v>5</v>
      </c>
      <c r="F3246" s="2" t="s">
        <v>6</v>
      </c>
    </row>
    <row r="3247" spans="1:6" ht="25.5">
      <c r="A3247" s="2">
        <v>3244</v>
      </c>
      <c r="B3247" s="2" t="s">
        <v>3322</v>
      </c>
      <c r="C3247" s="2" t="str">
        <f>"15340708"</f>
        <v>15340708</v>
      </c>
      <c r="D3247" s="2">
        <v>0.1</v>
      </c>
      <c r="E3247" s="2">
        <v>4</v>
      </c>
      <c r="F3247" s="2" t="s">
        <v>6</v>
      </c>
    </row>
    <row r="3248" spans="1:6" ht="25.5">
      <c r="A3248" s="2">
        <v>3245</v>
      </c>
      <c r="B3248" s="2" t="s">
        <v>3323</v>
      </c>
      <c r="C3248" s="2" t="str">
        <f>"00088390"</f>
        <v>00088390</v>
      </c>
      <c r="D3248" s="2">
        <v>0.25900000000000001</v>
      </c>
      <c r="E3248" s="2">
        <v>3</v>
      </c>
      <c r="F3248" s="2" t="s">
        <v>6</v>
      </c>
    </row>
    <row r="3249" spans="1:6" ht="25.5">
      <c r="A3249" s="2">
        <v>3246</v>
      </c>
      <c r="B3249" s="2" t="s">
        <v>3324</v>
      </c>
      <c r="C3249" s="2" t="str">
        <f>"02733072"</f>
        <v>02733072</v>
      </c>
      <c r="D3249" s="2">
        <v>0.40699999999999997</v>
      </c>
      <c r="E3249" s="2">
        <v>14</v>
      </c>
      <c r="F3249" s="2" t="s">
        <v>6</v>
      </c>
    </row>
    <row r="3250" spans="1:6" ht="25.5">
      <c r="A3250" s="2">
        <v>3247</v>
      </c>
      <c r="B3250" s="2" t="s">
        <v>3325</v>
      </c>
      <c r="C3250" s="2" t="str">
        <f>"09691251"</f>
        <v>09691251</v>
      </c>
      <c r="D3250" s="2">
        <v>0.155</v>
      </c>
      <c r="E3250" s="2">
        <v>6</v>
      </c>
      <c r="F3250" s="2" t="s">
        <v>16</v>
      </c>
    </row>
    <row r="3251" spans="1:6" ht="25.5">
      <c r="A3251" s="2">
        <v>3248</v>
      </c>
      <c r="B3251" s="2" t="s">
        <v>3326</v>
      </c>
      <c r="C3251" s="2" t="str">
        <f>"18864945"</f>
        <v>18864945</v>
      </c>
      <c r="D3251" s="2">
        <v>0</v>
      </c>
      <c r="E3251" s="2">
        <v>0</v>
      </c>
      <c r="F3251" s="2" t="s">
        <v>351</v>
      </c>
    </row>
    <row r="3252" spans="1:6" ht="25.5">
      <c r="A3252" s="2">
        <v>3249</v>
      </c>
      <c r="B3252" s="2" t="s">
        <v>3327</v>
      </c>
      <c r="C3252" s="2" t="str">
        <f>"1356191X"</f>
        <v>1356191X</v>
      </c>
      <c r="D3252" s="2">
        <v>0.12</v>
      </c>
      <c r="E3252" s="2">
        <v>9</v>
      </c>
      <c r="F3252" s="2" t="s">
        <v>16</v>
      </c>
    </row>
    <row r="3253" spans="1:6" ht="25.5">
      <c r="A3253" s="2">
        <v>3250</v>
      </c>
      <c r="B3253" s="2" t="s">
        <v>3328</v>
      </c>
      <c r="C3253" s="2" t="str">
        <f>"19317913"</f>
        <v>19317913</v>
      </c>
      <c r="D3253" s="2">
        <v>0.59199999999999997</v>
      </c>
      <c r="E3253" s="2">
        <v>22</v>
      </c>
      <c r="F3253" s="2" t="s">
        <v>6</v>
      </c>
    </row>
    <row r="3254" spans="1:6" ht="25.5">
      <c r="A3254" s="2">
        <v>3251</v>
      </c>
      <c r="B3254" s="2" t="s">
        <v>3329</v>
      </c>
      <c r="C3254" s="2" t="str">
        <f>"10234063"</f>
        <v>10234063</v>
      </c>
      <c r="D3254" s="2">
        <v>0.33</v>
      </c>
      <c r="E3254" s="2">
        <v>20</v>
      </c>
      <c r="F3254" s="2" t="s">
        <v>127</v>
      </c>
    </row>
    <row r="3255" spans="1:6" ht="25.5">
      <c r="A3255" s="2">
        <v>3252</v>
      </c>
      <c r="B3255" s="2" t="s">
        <v>3330</v>
      </c>
      <c r="C3255" s="2" t="str">
        <f>"00911666"</f>
        <v>00911666</v>
      </c>
      <c r="D3255" s="2">
        <v>0.1</v>
      </c>
      <c r="E3255" s="2">
        <v>3</v>
      </c>
      <c r="F3255" s="2" t="s">
        <v>6</v>
      </c>
    </row>
    <row r="3256" spans="1:6" ht="25.5">
      <c r="A3256" s="2">
        <v>3253</v>
      </c>
      <c r="B3256" s="2" t="s">
        <v>3331</v>
      </c>
      <c r="C3256" s="2" t="str">
        <f>"00078069"</f>
        <v>00078069</v>
      </c>
      <c r="D3256" s="2">
        <v>0.1</v>
      </c>
      <c r="E3256" s="2">
        <v>1</v>
      </c>
      <c r="F3256" s="2" t="s">
        <v>6</v>
      </c>
    </row>
    <row r="3257" spans="1:6" ht="25.5">
      <c r="A3257" s="2">
        <v>3254</v>
      </c>
      <c r="B3257" s="2" t="s">
        <v>3332</v>
      </c>
      <c r="C3257" s="2" t="str">
        <f>"18682510"</f>
        <v>18682510</v>
      </c>
      <c r="D3257" s="2">
        <v>0.14799999999999999</v>
      </c>
      <c r="E3257" s="2">
        <v>1</v>
      </c>
      <c r="F3257" s="2" t="s">
        <v>288</v>
      </c>
    </row>
    <row r="3258" spans="1:6" ht="25.5">
      <c r="A3258" s="2">
        <v>3255</v>
      </c>
      <c r="B3258" s="2" t="s">
        <v>3333</v>
      </c>
      <c r="C3258" s="2" t="str">
        <f>"17450322"</f>
        <v>17450322</v>
      </c>
      <c r="D3258" s="2">
        <v>0.13200000000000001</v>
      </c>
      <c r="E3258" s="2">
        <v>1</v>
      </c>
      <c r="F3258" s="2" t="s">
        <v>16</v>
      </c>
    </row>
    <row r="3259" spans="1:6" ht="25.5">
      <c r="A3259" s="2">
        <v>3256</v>
      </c>
      <c r="B3259" s="2" t="s">
        <v>3334</v>
      </c>
      <c r="C3259" s="2" t="str">
        <f>"16994949"</f>
        <v>16994949</v>
      </c>
      <c r="D3259" s="2">
        <v>0.1</v>
      </c>
      <c r="E3259" s="2">
        <v>1</v>
      </c>
      <c r="F3259" s="2" t="s">
        <v>351</v>
      </c>
    </row>
    <row r="3260" spans="1:6" ht="25.5">
      <c r="A3260" s="2">
        <v>3257</v>
      </c>
      <c r="B3260" s="2" t="s">
        <v>3335</v>
      </c>
      <c r="C3260" s="2" t="str">
        <f>"19392400"</f>
        <v>19392400</v>
      </c>
      <c r="D3260" s="2">
        <v>0.20599999999999999</v>
      </c>
      <c r="E3260" s="2">
        <v>5</v>
      </c>
      <c r="F3260" s="2" t="s">
        <v>6</v>
      </c>
    </row>
    <row r="3261" spans="1:6" ht="25.5">
      <c r="A3261" s="2">
        <v>3258</v>
      </c>
      <c r="B3261" s="2" t="s">
        <v>3336</v>
      </c>
      <c r="C3261" s="2" t="str">
        <f>"15729478"</f>
        <v>15729478</v>
      </c>
      <c r="D3261" s="2">
        <v>1.238</v>
      </c>
      <c r="E3261" s="2">
        <v>31</v>
      </c>
      <c r="F3261" s="2" t="s">
        <v>75</v>
      </c>
    </row>
    <row r="3262" spans="1:6" ht="25.5">
      <c r="A3262" s="2">
        <v>3259</v>
      </c>
      <c r="B3262" s="2" t="s">
        <v>3337</v>
      </c>
      <c r="C3262" s="2" t="str">
        <f>"10974172"</f>
        <v>10974172</v>
      </c>
      <c r="D3262" s="2">
        <v>19.847999999999999</v>
      </c>
      <c r="E3262" s="2">
        <v>521</v>
      </c>
      <c r="F3262" s="2" t="s">
        <v>6</v>
      </c>
    </row>
    <row r="3263" spans="1:6" ht="25.5">
      <c r="A3263" s="2">
        <v>3260</v>
      </c>
      <c r="B3263" s="2" t="s">
        <v>3338</v>
      </c>
      <c r="C3263" s="2" t="str">
        <f>"19336926"</f>
        <v>19336926</v>
      </c>
      <c r="D3263" s="2">
        <v>1.3140000000000001</v>
      </c>
      <c r="E3263" s="2">
        <v>16</v>
      </c>
      <c r="F3263" s="2" t="s">
        <v>6</v>
      </c>
    </row>
    <row r="3264" spans="1:6" ht="25.5">
      <c r="A3264" s="2">
        <v>3261</v>
      </c>
      <c r="B3264" s="2" t="s">
        <v>3339</v>
      </c>
      <c r="C3264" s="2" t="str">
        <f>"20453701"</f>
        <v>20453701</v>
      </c>
      <c r="D3264" s="2">
        <v>0.98199999999999998</v>
      </c>
      <c r="E3264" s="2">
        <v>6</v>
      </c>
      <c r="F3264" s="2" t="s">
        <v>6</v>
      </c>
    </row>
    <row r="3265" spans="1:6" ht="25.5">
      <c r="A3265" s="2">
        <v>3262</v>
      </c>
      <c r="B3265" s="2" t="s">
        <v>3340</v>
      </c>
      <c r="C3265" s="2" t="str">
        <f>"15736814"</f>
        <v>15736814</v>
      </c>
      <c r="D3265" s="2">
        <v>0.41899999999999998</v>
      </c>
      <c r="E3265" s="2">
        <v>25</v>
      </c>
      <c r="F3265" s="2" t="s">
        <v>75</v>
      </c>
    </row>
    <row r="3266" spans="1:6" ht="25.5">
      <c r="A3266" s="2">
        <v>3263</v>
      </c>
      <c r="B3266" s="2" t="s">
        <v>3341</v>
      </c>
      <c r="C3266" s="2" t="str">
        <f>"19905203"</f>
        <v>19905203</v>
      </c>
      <c r="D3266" s="2">
        <v>0.13300000000000001</v>
      </c>
      <c r="E3266" s="2">
        <v>4</v>
      </c>
      <c r="F3266" s="2" t="s">
        <v>129</v>
      </c>
    </row>
    <row r="3267" spans="1:6" ht="25.5">
      <c r="A3267" s="2">
        <v>3264</v>
      </c>
      <c r="B3267" s="2" t="s">
        <v>3342</v>
      </c>
      <c r="C3267" s="2" t="str">
        <f>"14320878"</f>
        <v>14320878</v>
      </c>
      <c r="D3267" s="2">
        <v>1.143</v>
      </c>
      <c r="E3267" s="2">
        <v>87</v>
      </c>
      <c r="F3267" s="2" t="s">
        <v>12</v>
      </c>
    </row>
    <row r="3268" spans="1:6" ht="25.5">
      <c r="A3268" s="2">
        <v>3265</v>
      </c>
      <c r="B3268" s="2" t="s">
        <v>3343</v>
      </c>
      <c r="C3268" s="2" t="str">
        <f>"15590283"</f>
        <v>15590283</v>
      </c>
      <c r="D3268" s="2">
        <v>0.89900000000000002</v>
      </c>
      <c r="E3268" s="2">
        <v>45</v>
      </c>
      <c r="F3268" s="2" t="s">
        <v>6</v>
      </c>
    </row>
    <row r="3269" spans="1:6" ht="25.5">
      <c r="A3269" s="2">
        <v>3266</v>
      </c>
      <c r="B3269" s="2" t="s">
        <v>3344</v>
      </c>
      <c r="C3269" s="2" t="str">
        <f>"10990844"</f>
        <v>10990844</v>
      </c>
      <c r="D3269" s="2">
        <v>0.60799999999999998</v>
      </c>
      <c r="E3269" s="2">
        <v>37</v>
      </c>
      <c r="F3269" s="2" t="s">
        <v>16</v>
      </c>
    </row>
    <row r="3270" spans="1:6" ht="25.5">
      <c r="A3270" s="2">
        <v>3267</v>
      </c>
      <c r="B3270" s="2" t="s">
        <v>3345</v>
      </c>
      <c r="C3270" s="2" t="str">
        <f>"15736822"</f>
        <v>15736822</v>
      </c>
      <c r="D3270" s="2">
        <v>0.625</v>
      </c>
      <c r="E3270" s="2">
        <v>40</v>
      </c>
      <c r="F3270" s="2" t="s">
        <v>75</v>
      </c>
    </row>
    <row r="3271" spans="1:6" ht="25.5">
      <c r="A3271" s="2">
        <v>3268</v>
      </c>
      <c r="B3271" s="2" t="s">
        <v>3346</v>
      </c>
      <c r="C3271" s="2" t="str">
        <f>"10958355"</f>
        <v>10958355</v>
      </c>
      <c r="D3271" s="2">
        <v>0.59899999999999998</v>
      </c>
      <c r="E3271" s="2">
        <v>48</v>
      </c>
      <c r="F3271" s="2" t="s">
        <v>16</v>
      </c>
    </row>
    <row r="3272" spans="1:6" ht="25.5">
      <c r="A3272" s="2">
        <v>3269</v>
      </c>
      <c r="B3272" s="2" t="s">
        <v>3347</v>
      </c>
      <c r="C3272" s="2" t="str">
        <f>"01434160"</f>
        <v>01434160</v>
      </c>
      <c r="D3272" s="2">
        <v>1.73</v>
      </c>
      <c r="E3272" s="2">
        <v>80</v>
      </c>
      <c r="F3272" s="2" t="s">
        <v>6</v>
      </c>
    </row>
    <row r="3273" spans="1:6" ht="25.5">
      <c r="A3273" s="2">
        <v>3270</v>
      </c>
      <c r="B3273" s="2" t="s">
        <v>3348</v>
      </c>
      <c r="C3273" s="2" t="str">
        <f>"15419061"</f>
        <v>15419061</v>
      </c>
      <c r="D3273" s="2">
        <v>0.42499999999999999</v>
      </c>
      <c r="E3273" s="2">
        <v>36</v>
      </c>
      <c r="F3273" s="2" t="s">
        <v>16</v>
      </c>
    </row>
    <row r="3274" spans="1:6" ht="25.5">
      <c r="A3274" s="2">
        <v>3271</v>
      </c>
      <c r="B3274" s="2" t="s">
        <v>3349</v>
      </c>
      <c r="C3274" s="2" t="str">
        <f>"1478811X"</f>
        <v>1478811X</v>
      </c>
      <c r="D3274" s="2">
        <v>2.306</v>
      </c>
      <c r="E3274" s="2">
        <v>17</v>
      </c>
      <c r="F3274" s="2" t="s">
        <v>12</v>
      </c>
    </row>
    <row r="3275" spans="1:6" ht="25.5">
      <c r="A3275" s="2">
        <v>3272</v>
      </c>
      <c r="B3275" s="2" t="s">
        <v>3350</v>
      </c>
      <c r="C3275" s="2" t="str">
        <f>"15384101"</f>
        <v>15384101</v>
      </c>
      <c r="D3275" s="2">
        <v>1.919</v>
      </c>
      <c r="E3275" s="2">
        <v>80</v>
      </c>
      <c r="F3275" s="2" t="s">
        <v>6</v>
      </c>
    </row>
    <row r="3276" spans="1:6" ht="25.5">
      <c r="A3276" s="2">
        <v>3273</v>
      </c>
      <c r="B3276" s="2" t="s">
        <v>3351</v>
      </c>
      <c r="C3276" s="2" t="str">
        <f>"14765403"</f>
        <v>14765403</v>
      </c>
      <c r="D3276" s="2">
        <v>3.7250000000000001</v>
      </c>
      <c r="E3276" s="2">
        <v>136</v>
      </c>
      <c r="F3276" s="2" t="s">
        <v>16</v>
      </c>
    </row>
    <row r="3277" spans="1:6" ht="25.5">
      <c r="A3277" s="2">
        <v>3274</v>
      </c>
      <c r="B3277" s="2" t="s">
        <v>3352</v>
      </c>
      <c r="C3277" s="2" t="str">
        <f>"17471028"</f>
        <v>17471028</v>
      </c>
      <c r="D3277" s="2">
        <v>2.0539999999999998</v>
      </c>
      <c r="E3277" s="2">
        <v>24</v>
      </c>
      <c r="F3277" s="2" t="s">
        <v>16</v>
      </c>
    </row>
    <row r="3278" spans="1:6" ht="25.5">
      <c r="A3278" s="2">
        <v>3275</v>
      </c>
      <c r="B3278" s="2" t="s">
        <v>3353</v>
      </c>
      <c r="C3278" s="2" t="str">
        <f>"11791330"</f>
        <v>11791330</v>
      </c>
      <c r="D3278" s="2">
        <v>0.28199999999999997</v>
      </c>
      <c r="E3278" s="2">
        <v>3</v>
      </c>
      <c r="F3278" s="2" t="s">
        <v>503</v>
      </c>
    </row>
    <row r="3279" spans="1:6" ht="25.5">
      <c r="A3279" s="2">
        <v>3276</v>
      </c>
      <c r="B3279" s="2" t="s">
        <v>3354</v>
      </c>
      <c r="C3279" s="2" t="str">
        <f>"19313128"</f>
        <v>19313128</v>
      </c>
      <c r="D3279" s="2">
        <v>6.0860000000000003</v>
      </c>
      <c r="E3279" s="2">
        <v>65</v>
      </c>
      <c r="F3279" s="2" t="s">
        <v>6</v>
      </c>
    </row>
    <row r="3280" spans="1:6" ht="25.5">
      <c r="A3280" s="2">
        <v>3277</v>
      </c>
      <c r="B3280" s="2" t="s">
        <v>3355</v>
      </c>
      <c r="C3280" s="2" t="str">
        <f>"22285814"</f>
        <v>22285814</v>
      </c>
      <c r="D3280" s="2">
        <v>0.16200000000000001</v>
      </c>
      <c r="E3280" s="2">
        <v>5</v>
      </c>
      <c r="F3280" s="2" t="s">
        <v>299</v>
      </c>
    </row>
    <row r="3281" spans="1:6" ht="25.5">
      <c r="A3281" s="2">
        <v>3278</v>
      </c>
      <c r="B3281" s="2" t="s">
        <v>3356</v>
      </c>
      <c r="C3281" s="2" t="str">
        <f>"15504131"</f>
        <v>15504131</v>
      </c>
      <c r="D3281" s="2">
        <v>7.1829999999999998</v>
      </c>
      <c r="E3281" s="2">
        <v>114</v>
      </c>
      <c r="F3281" s="2" t="s">
        <v>6</v>
      </c>
    </row>
    <row r="3282" spans="1:6" ht="25.5">
      <c r="A3282" s="2">
        <v>3279</v>
      </c>
      <c r="B3282" s="2" t="s">
        <v>3357</v>
      </c>
      <c r="C3282" s="2" t="str">
        <f>"09607722"</f>
        <v>09607722</v>
      </c>
      <c r="D3282" s="2">
        <v>0.88100000000000001</v>
      </c>
      <c r="E3282" s="2">
        <v>44</v>
      </c>
      <c r="F3282" s="2" t="s">
        <v>16</v>
      </c>
    </row>
    <row r="3283" spans="1:6" ht="25.5">
      <c r="A3283" s="2">
        <v>3280</v>
      </c>
      <c r="B3283" s="2" t="s">
        <v>3358</v>
      </c>
      <c r="C3283" s="2" t="str">
        <f>"22111247"</f>
        <v>22111247</v>
      </c>
      <c r="D3283" s="2">
        <v>0</v>
      </c>
      <c r="E3283" s="2">
        <v>6</v>
      </c>
      <c r="F3283" s="2" t="s">
        <v>6</v>
      </c>
    </row>
    <row r="3284" spans="1:6" ht="25.5">
      <c r="A3284" s="2">
        <v>3281</v>
      </c>
      <c r="B3284" s="2" t="s">
        <v>3359</v>
      </c>
      <c r="C3284" s="2" t="str">
        <f>"17487838"</f>
        <v>17487838</v>
      </c>
      <c r="D3284" s="2">
        <v>3.7389999999999999</v>
      </c>
      <c r="E3284" s="2">
        <v>71</v>
      </c>
      <c r="F3284" s="2" t="s">
        <v>16</v>
      </c>
    </row>
    <row r="3285" spans="1:6" ht="25.5">
      <c r="A3285" s="2">
        <v>3282</v>
      </c>
      <c r="B3285" s="2" t="s">
        <v>3360</v>
      </c>
      <c r="C3285" s="2" t="str">
        <f>"19345909"</f>
        <v>19345909</v>
      </c>
      <c r="D3285" s="2">
        <v>10.035</v>
      </c>
      <c r="E3285" s="2">
        <v>101</v>
      </c>
      <c r="F3285" s="2" t="s">
        <v>6</v>
      </c>
    </row>
    <row r="3286" spans="1:6" ht="25.5">
      <c r="A3286" s="2">
        <v>3283</v>
      </c>
      <c r="B3286" s="2" t="s">
        <v>3361</v>
      </c>
      <c r="C3286" s="2" t="str">
        <f>"14226421"</f>
        <v>14226421</v>
      </c>
      <c r="D3286" s="2">
        <v>0.59399999999999997</v>
      </c>
      <c r="E3286" s="2">
        <v>52</v>
      </c>
      <c r="F3286" s="2" t="s">
        <v>31</v>
      </c>
    </row>
    <row r="3287" spans="1:6" ht="25.5">
      <c r="A3287" s="2">
        <v>3284</v>
      </c>
      <c r="B3287" s="2" t="s">
        <v>3362</v>
      </c>
      <c r="C3287" s="2" t="str">
        <f>"13558145"</f>
        <v>13558145</v>
      </c>
      <c r="D3287" s="2">
        <v>0.97499999999999998</v>
      </c>
      <c r="E3287" s="2">
        <v>59</v>
      </c>
      <c r="F3287" s="2" t="s">
        <v>75</v>
      </c>
    </row>
    <row r="3288" spans="1:6" ht="25.5">
      <c r="A3288" s="2">
        <v>3285</v>
      </c>
      <c r="B3288" s="2" t="s">
        <v>3363</v>
      </c>
      <c r="C3288" s="2" t="str">
        <f>"13473700"</f>
        <v>13473700</v>
      </c>
      <c r="D3288" s="2">
        <v>0.84</v>
      </c>
      <c r="E3288" s="2">
        <v>47</v>
      </c>
      <c r="F3288" s="2" t="s">
        <v>131</v>
      </c>
    </row>
    <row r="3289" spans="1:6" ht="25.5">
      <c r="A3289" s="2">
        <v>3286</v>
      </c>
      <c r="B3289" s="2" t="s">
        <v>3364</v>
      </c>
      <c r="C3289" s="2" t="str">
        <f>"09636897"</f>
        <v>09636897</v>
      </c>
      <c r="D3289" s="2">
        <v>1.3120000000000001</v>
      </c>
      <c r="E3289" s="2">
        <v>60</v>
      </c>
      <c r="F3289" s="2" t="s">
        <v>6</v>
      </c>
    </row>
    <row r="3290" spans="1:6" ht="25.5">
      <c r="A3290" s="2">
        <v>3287</v>
      </c>
      <c r="B3290" s="2" t="s">
        <v>3365</v>
      </c>
      <c r="C3290" s="2" t="str">
        <f>"18655033"</f>
        <v>18655033</v>
      </c>
      <c r="D3290" s="2">
        <v>0.72799999999999998</v>
      </c>
      <c r="E3290" s="2">
        <v>11</v>
      </c>
      <c r="F3290" s="2" t="s">
        <v>6</v>
      </c>
    </row>
    <row r="3291" spans="1:6" ht="25.5">
      <c r="A3291" s="2">
        <v>3288</v>
      </c>
      <c r="B3291" s="2" t="s">
        <v>3366</v>
      </c>
      <c r="C3291" s="2" t="str">
        <f>"1165158X"</f>
        <v>1165158X</v>
      </c>
      <c r="D3291" s="2">
        <v>0.33900000000000002</v>
      </c>
      <c r="E3291" s="2">
        <v>52</v>
      </c>
      <c r="F3291" s="2" t="s">
        <v>66</v>
      </c>
    </row>
    <row r="3292" spans="1:6" ht="25.5">
      <c r="A3292" s="2">
        <v>3289</v>
      </c>
      <c r="B3292" s="2" t="s">
        <v>3367</v>
      </c>
      <c r="C3292" s="2" t="str">
        <f>"16891392"</f>
        <v>16891392</v>
      </c>
      <c r="D3292" s="2">
        <v>0.65600000000000003</v>
      </c>
      <c r="E3292" s="2">
        <v>29</v>
      </c>
      <c r="F3292" s="2" t="s">
        <v>12</v>
      </c>
    </row>
    <row r="3293" spans="1:6" ht="25.5">
      <c r="A3293" s="2">
        <v>3290</v>
      </c>
      <c r="B3293" s="2" t="s">
        <v>3368</v>
      </c>
      <c r="C3293" s="2" t="str">
        <f>"20420226"</f>
        <v>20420226</v>
      </c>
      <c r="D3293" s="2">
        <v>1.089</v>
      </c>
      <c r="E3293" s="2">
        <v>37</v>
      </c>
      <c r="F3293" s="2" t="s">
        <v>16</v>
      </c>
    </row>
    <row r="3294" spans="1:6" ht="25.5">
      <c r="A3294" s="2">
        <v>3291</v>
      </c>
      <c r="B3294" s="2" t="s">
        <v>3369</v>
      </c>
      <c r="C3294" s="2" t="str">
        <f>"14209071"</f>
        <v>14209071</v>
      </c>
      <c r="D3294" s="2">
        <v>2.7109999999999999</v>
      </c>
      <c r="E3294" s="2">
        <v>134</v>
      </c>
      <c r="F3294" s="2" t="s">
        <v>31</v>
      </c>
    </row>
    <row r="3295" spans="1:6" ht="25.5">
      <c r="A3295" s="2">
        <v>3292</v>
      </c>
      <c r="B3295" s="2" t="s">
        <v>3370</v>
      </c>
      <c r="C3295" s="2" t="str">
        <f>"15736830"</f>
        <v>15736830</v>
      </c>
      <c r="D3295" s="2">
        <v>0.77700000000000002</v>
      </c>
      <c r="E3295" s="2">
        <v>59</v>
      </c>
      <c r="F3295" s="2" t="s">
        <v>6</v>
      </c>
    </row>
    <row r="3296" spans="1:6" ht="25.5">
      <c r="A3296" s="2">
        <v>3293</v>
      </c>
      <c r="B3296" s="2" t="s">
        <v>3371</v>
      </c>
      <c r="C3296" s="2" t="str">
        <f>"10902163"</f>
        <v>10902163</v>
      </c>
      <c r="D3296" s="2">
        <v>0.68700000000000006</v>
      </c>
      <c r="E3296" s="2">
        <v>64</v>
      </c>
      <c r="F3296" s="2" t="s">
        <v>6</v>
      </c>
    </row>
    <row r="3297" spans="1:6" ht="25.5">
      <c r="A3297" s="2">
        <v>3294</v>
      </c>
      <c r="B3297" s="2" t="s">
        <v>3372</v>
      </c>
      <c r="C3297" s="2" t="str">
        <f>"14625822"</f>
        <v>14625822</v>
      </c>
      <c r="D3297" s="2">
        <v>2.4279999999999999</v>
      </c>
      <c r="E3297" s="2">
        <v>85</v>
      </c>
      <c r="F3297" s="2" t="s">
        <v>16</v>
      </c>
    </row>
    <row r="3298" spans="1:6" ht="25.5">
      <c r="A3298" s="2">
        <v>3295</v>
      </c>
      <c r="B3298" s="2" t="s">
        <v>3373</v>
      </c>
      <c r="C3298" s="2" t="str">
        <f>"22113436"</f>
        <v>22113436</v>
      </c>
      <c r="D3298" s="2">
        <v>0.56599999999999995</v>
      </c>
      <c r="E3298" s="2">
        <v>2</v>
      </c>
      <c r="F3298" s="2" t="s">
        <v>75</v>
      </c>
    </row>
    <row r="3299" spans="1:6" ht="25.5">
      <c r="A3299" s="2">
        <v>3296</v>
      </c>
      <c r="B3299" s="2" t="s">
        <v>3374</v>
      </c>
      <c r="C3299" s="2" t="str">
        <f>"14219778"</f>
        <v>14219778</v>
      </c>
      <c r="D3299" s="2">
        <v>1.1299999999999999</v>
      </c>
      <c r="E3299" s="2">
        <v>53</v>
      </c>
      <c r="F3299" s="2" t="s">
        <v>31</v>
      </c>
    </row>
    <row r="3300" spans="1:6" ht="25.5">
      <c r="A3300" s="2">
        <v>3297</v>
      </c>
      <c r="B3300" s="2" t="s">
        <v>3375</v>
      </c>
      <c r="C3300" s="2" t="str">
        <f>"02624893"</f>
        <v>02624893</v>
      </c>
      <c r="D3300" s="2">
        <v>0.17199999999999999</v>
      </c>
      <c r="E3300" s="2">
        <v>18</v>
      </c>
      <c r="F3300" s="2" t="s">
        <v>16</v>
      </c>
    </row>
    <row r="3301" spans="1:6" ht="25.5">
      <c r="A3301" s="2">
        <v>3298</v>
      </c>
      <c r="B3301" s="2" t="s">
        <v>3376</v>
      </c>
      <c r="C3301" s="2" t="str">
        <f>"21524998"</f>
        <v>21524998</v>
      </c>
      <c r="D3301" s="2">
        <v>0.89</v>
      </c>
      <c r="E3301" s="2">
        <v>43</v>
      </c>
      <c r="F3301" s="2" t="s">
        <v>6</v>
      </c>
    </row>
    <row r="3302" spans="1:6" ht="25.5">
      <c r="A3302" s="2">
        <v>3299</v>
      </c>
      <c r="B3302" s="2" t="s">
        <v>3377</v>
      </c>
      <c r="C3302" s="2" t="str">
        <f>"08986568"</f>
        <v>08986568</v>
      </c>
      <c r="D3302" s="2">
        <v>2.048</v>
      </c>
      <c r="E3302" s="2">
        <v>96</v>
      </c>
      <c r="F3302" s="2" t="s">
        <v>6</v>
      </c>
    </row>
    <row r="3303" spans="1:6" ht="25.5">
      <c r="A3303" s="2">
        <v>3300</v>
      </c>
      <c r="B3303" s="2" t="s">
        <v>3378</v>
      </c>
      <c r="C3303" s="2" t="str">
        <f>"1867416X"</f>
        <v>1867416X</v>
      </c>
      <c r="D3303" s="2">
        <v>0.121</v>
      </c>
      <c r="E3303" s="2">
        <v>2</v>
      </c>
      <c r="F3303" s="2" t="s">
        <v>12</v>
      </c>
    </row>
    <row r="3304" spans="1:6" ht="25.5">
      <c r="A3304" s="2">
        <v>3301</v>
      </c>
      <c r="B3304" s="2" t="s">
        <v>3379</v>
      </c>
      <c r="C3304" s="2" t="str">
        <f>"1815445X"</f>
        <v>1815445X</v>
      </c>
      <c r="D3304" s="2">
        <v>0.1</v>
      </c>
      <c r="E3304" s="2">
        <v>0</v>
      </c>
      <c r="F3304" s="2" t="s">
        <v>129</v>
      </c>
    </row>
    <row r="3305" spans="1:6" ht="25.5">
      <c r="A3305" s="2">
        <v>3302</v>
      </c>
      <c r="B3305" s="2" t="s">
        <v>3380</v>
      </c>
      <c r="C3305" s="2" t="str">
        <f>"09690239"</f>
        <v>09690239</v>
      </c>
      <c r="D3305" s="2">
        <v>1.0269999999999999</v>
      </c>
      <c r="E3305" s="2">
        <v>47</v>
      </c>
      <c r="F3305" s="2" t="s">
        <v>75</v>
      </c>
    </row>
    <row r="3306" spans="1:6" ht="25.5">
      <c r="A3306" s="2">
        <v>3303</v>
      </c>
      <c r="B3306" s="2" t="s">
        <v>3381</v>
      </c>
      <c r="C3306" s="2" t="str">
        <f>"05769787"</f>
        <v>05769787</v>
      </c>
      <c r="D3306" s="2">
        <v>0.28999999999999998</v>
      </c>
      <c r="E3306" s="2">
        <v>14</v>
      </c>
      <c r="F3306" s="2" t="s">
        <v>19</v>
      </c>
    </row>
    <row r="3307" spans="1:6" ht="25.5">
      <c r="A3307" s="2">
        <v>3304</v>
      </c>
      <c r="B3307" s="2" t="s">
        <v>3382</v>
      </c>
      <c r="C3307" s="2" t="str">
        <f>"09589465"</f>
        <v>09589465</v>
      </c>
      <c r="D3307" s="2">
        <v>2.5760000000000001</v>
      </c>
      <c r="E3307" s="2">
        <v>52</v>
      </c>
      <c r="F3307" s="2" t="s">
        <v>16</v>
      </c>
    </row>
    <row r="3308" spans="1:6" ht="25.5">
      <c r="A3308" s="2">
        <v>3305</v>
      </c>
      <c r="B3308" s="2" t="s">
        <v>3383</v>
      </c>
      <c r="C3308" s="2" t="str">
        <f>"00088846"</f>
        <v>00088846</v>
      </c>
      <c r="D3308" s="2">
        <v>2.9729999999999999</v>
      </c>
      <c r="E3308" s="2">
        <v>80</v>
      </c>
      <c r="F3308" s="2" t="s">
        <v>16</v>
      </c>
    </row>
    <row r="3309" spans="1:6" ht="25.5">
      <c r="A3309" s="2">
        <v>3306</v>
      </c>
      <c r="B3309" s="2" t="s">
        <v>3384</v>
      </c>
      <c r="C3309" s="2" t="str">
        <f>"16106199"</f>
        <v>16106199</v>
      </c>
      <c r="D3309" s="2">
        <v>0.157</v>
      </c>
      <c r="E3309" s="2">
        <v>2</v>
      </c>
      <c r="F3309" s="2" t="s">
        <v>12</v>
      </c>
    </row>
    <row r="3310" spans="1:6" ht="25.5">
      <c r="A3310" s="2">
        <v>3307</v>
      </c>
      <c r="B3310" s="2" t="s">
        <v>3385</v>
      </c>
      <c r="C3310" s="2" t="str">
        <f>"14258129"</f>
        <v>14258129</v>
      </c>
      <c r="D3310" s="2">
        <v>0.26600000000000001</v>
      </c>
      <c r="E3310" s="2">
        <v>4</v>
      </c>
      <c r="F3310" s="2" t="s">
        <v>169</v>
      </c>
    </row>
    <row r="3311" spans="1:6" ht="25.5">
      <c r="A3311" s="2">
        <v>3308</v>
      </c>
      <c r="B3311" s="2" t="s">
        <v>3386</v>
      </c>
      <c r="C3311" s="2" t="str">
        <f>"16000498"</f>
        <v>16000498</v>
      </c>
      <c r="D3311" s="2">
        <v>0.106</v>
      </c>
      <c r="E3311" s="2">
        <v>2</v>
      </c>
      <c r="F3311" s="2" t="s">
        <v>16</v>
      </c>
    </row>
    <row r="3312" spans="1:6" ht="25.5">
      <c r="A3312" s="2">
        <v>3309</v>
      </c>
      <c r="B3312" s="2" t="s">
        <v>3387</v>
      </c>
      <c r="C3312" s="2" t="str">
        <f>"00089182"</f>
        <v>00089182</v>
      </c>
      <c r="D3312" s="2">
        <v>0.10100000000000001</v>
      </c>
      <c r="E3312" s="2">
        <v>3</v>
      </c>
      <c r="F3312" s="2" t="s">
        <v>12</v>
      </c>
    </row>
    <row r="3313" spans="1:6" ht="25.5">
      <c r="A3313" s="2">
        <v>3310</v>
      </c>
      <c r="B3313" s="2" t="s">
        <v>3388</v>
      </c>
      <c r="C3313" s="2" t="str">
        <f>"14790963"</f>
        <v>14790963</v>
      </c>
      <c r="D3313" s="2">
        <v>0.11</v>
      </c>
      <c r="E3313" s="2">
        <v>11</v>
      </c>
      <c r="F3313" s="2" t="s">
        <v>16</v>
      </c>
    </row>
    <row r="3314" spans="1:6" ht="25.5">
      <c r="A3314" s="2">
        <v>3311</v>
      </c>
      <c r="B3314" s="2" t="s">
        <v>3389</v>
      </c>
      <c r="C3314" s="2" t="str">
        <f>"17893348"</f>
        <v>17893348</v>
      </c>
      <c r="D3314" s="2">
        <v>0.22</v>
      </c>
      <c r="E3314" s="2">
        <v>15</v>
      </c>
      <c r="F3314" s="2" t="s">
        <v>135</v>
      </c>
    </row>
    <row r="3315" spans="1:6" ht="25.5">
      <c r="A3315" s="2">
        <v>3312</v>
      </c>
      <c r="B3315" s="2" t="s">
        <v>3390</v>
      </c>
      <c r="C3315" s="2" t="str">
        <f>"00089389"</f>
        <v>00089389</v>
      </c>
      <c r="D3315" s="2">
        <v>0.17399999999999999</v>
      </c>
      <c r="E3315" s="2">
        <v>8</v>
      </c>
      <c r="F3315" s="2" t="s">
        <v>16</v>
      </c>
    </row>
    <row r="3316" spans="1:6" ht="25.5">
      <c r="A3316" s="2">
        <v>3313</v>
      </c>
      <c r="B3316" s="2" t="s">
        <v>3391</v>
      </c>
      <c r="C3316" s="2" t="str">
        <f>"1895104X"</f>
        <v>1895104X</v>
      </c>
      <c r="D3316" s="2">
        <v>0.27800000000000002</v>
      </c>
      <c r="E3316" s="2">
        <v>13</v>
      </c>
      <c r="F3316" s="2" t="s">
        <v>16</v>
      </c>
    </row>
    <row r="3317" spans="1:6" ht="25.5">
      <c r="A3317" s="2">
        <v>3314</v>
      </c>
      <c r="B3317" s="2" t="s">
        <v>3392</v>
      </c>
      <c r="C3317" s="2" t="str">
        <f>"18951066"</f>
        <v>18951066</v>
      </c>
      <c r="D3317" s="2">
        <v>0.34599999999999997</v>
      </c>
      <c r="E3317" s="2">
        <v>17</v>
      </c>
      <c r="F3317" s="2" t="s">
        <v>169</v>
      </c>
    </row>
    <row r="3318" spans="1:6" ht="25.5">
      <c r="A3318" s="2">
        <v>3315</v>
      </c>
      <c r="B3318" s="2" t="s">
        <v>3393</v>
      </c>
      <c r="C3318" s="2" t="str">
        <f>"17337178"</f>
        <v>17337178</v>
      </c>
      <c r="D3318" s="2">
        <v>0.504</v>
      </c>
      <c r="E3318" s="2">
        <v>4</v>
      </c>
      <c r="F3318" s="2" t="s">
        <v>169</v>
      </c>
    </row>
    <row r="3319" spans="1:6" ht="25.5">
      <c r="A3319" s="2">
        <v>3316</v>
      </c>
      <c r="B3319" s="2" t="s">
        <v>3394</v>
      </c>
      <c r="C3319" s="2" t="str">
        <f>"18961517"</f>
        <v>18961517</v>
      </c>
      <c r="D3319" s="2">
        <v>0.23400000000000001</v>
      </c>
      <c r="E3319" s="2">
        <v>5</v>
      </c>
      <c r="F3319" s="2" t="s">
        <v>169</v>
      </c>
    </row>
    <row r="3320" spans="1:6" ht="25.5">
      <c r="A3320" s="2">
        <v>3317</v>
      </c>
      <c r="B3320" s="2" t="s">
        <v>3395</v>
      </c>
      <c r="C3320" s="2" t="str">
        <f>"14263912"</f>
        <v>14263912</v>
      </c>
      <c r="D3320" s="2">
        <v>0.19900000000000001</v>
      </c>
      <c r="E3320" s="2">
        <v>8</v>
      </c>
      <c r="F3320" s="2" t="s">
        <v>169</v>
      </c>
    </row>
    <row r="3321" spans="1:6" ht="25.5">
      <c r="A3321" s="2">
        <v>3318</v>
      </c>
      <c r="B3321" s="2" t="s">
        <v>3396</v>
      </c>
      <c r="C3321" s="2" t="str">
        <f>"7805482X"</f>
        <v>7805482X</v>
      </c>
      <c r="D3321" s="2">
        <v>0</v>
      </c>
      <c r="E3321" s="2">
        <v>0</v>
      </c>
      <c r="F3321" s="2" t="s">
        <v>208</v>
      </c>
    </row>
    <row r="3322" spans="1:6" ht="25.5">
      <c r="A3322" s="2">
        <v>3319</v>
      </c>
      <c r="B3322" s="2" t="s">
        <v>3397</v>
      </c>
      <c r="C3322" s="2" t="str">
        <f>"18951074"</f>
        <v>18951074</v>
      </c>
      <c r="D3322" s="2">
        <v>0.51300000000000001</v>
      </c>
      <c r="E3322" s="2">
        <v>9</v>
      </c>
      <c r="F3322" s="2" t="s">
        <v>16</v>
      </c>
    </row>
    <row r="3323" spans="1:6" ht="25.5">
      <c r="A3323" s="2">
        <v>3320</v>
      </c>
      <c r="B3323" s="2" t="s">
        <v>3398</v>
      </c>
      <c r="C3323" s="2" t="str">
        <f>"18951058"</f>
        <v>18951058</v>
      </c>
      <c r="D3323" s="2">
        <v>0.14199999999999999</v>
      </c>
      <c r="E3323" s="2">
        <v>7</v>
      </c>
      <c r="F3323" s="2" t="s">
        <v>12</v>
      </c>
    </row>
    <row r="3324" spans="1:6" ht="25.5">
      <c r="A3324" s="2">
        <v>3321</v>
      </c>
      <c r="B3324" s="2" t="s">
        <v>3399</v>
      </c>
      <c r="C3324" s="2" t="str">
        <f>"1435246X"</f>
        <v>1435246X</v>
      </c>
      <c r="D3324" s="2">
        <v>0.55300000000000005</v>
      </c>
      <c r="E3324" s="2">
        <v>9</v>
      </c>
      <c r="F3324" s="2" t="s">
        <v>12</v>
      </c>
    </row>
    <row r="3325" spans="1:6" ht="25.5">
      <c r="A3325" s="2">
        <v>3322</v>
      </c>
      <c r="B3325" s="2" t="s">
        <v>3400</v>
      </c>
      <c r="C3325" s="2" t="str">
        <f>"18951082"</f>
        <v>18951082</v>
      </c>
      <c r="D3325" s="2">
        <v>0.34599999999999997</v>
      </c>
      <c r="E3325" s="2">
        <v>15</v>
      </c>
      <c r="F3325" s="2" t="s">
        <v>169</v>
      </c>
    </row>
    <row r="3326" spans="1:6" ht="25.5">
      <c r="A3326" s="2">
        <v>3323</v>
      </c>
      <c r="B3326" s="2" t="s">
        <v>3401</v>
      </c>
      <c r="C3326" s="2" t="str">
        <f>"12107778"</f>
        <v>12107778</v>
      </c>
      <c r="D3326" s="2">
        <v>0.29099999999999998</v>
      </c>
      <c r="E3326" s="2">
        <v>22</v>
      </c>
      <c r="F3326" s="2" t="s">
        <v>208</v>
      </c>
    </row>
    <row r="3327" spans="1:6" ht="25.5">
      <c r="A3327" s="2">
        <v>3324</v>
      </c>
      <c r="B3327" s="2" t="s">
        <v>3402</v>
      </c>
      <c r="C3327" s="2" t="str">
        <f>"18024866"</f>
        <v>18024866</v>
      </c>
      <c r="D3327" s="2">
        <v>0</v>
      </c>
      <c r="E3327" s="2">
        <v>0</v>
      </c>
      <c r="F3327" s="2" t="s">
        <v>208</v>
      </c>
    </row>
    <row r="3328" spans="1:6" ht="25.5">
      <c r="A3328" s="2">
        <v>3325</v>
      </c>
      <c r="B3328" s="2" t="s">
        <v>3403</v>
      </c>
      <c r="C3328" s="2" t="str">
        <f>"20804806"</f>
        <v>20804806</v>
      </c>
      <c r="D3328" s="2">
        <v>0.12</v>
      </c>
      <c r="E3328" s="2">
        <v>3</v>
      </c>
      <c r="F3328" s="2" t="s">
        <v>169</v>
      </c>
    </row>
    <row r="3329" spans="1:6" ht="25.5">
      <c r="A3329" s="2">
        <v>3326</v>
      </c>
      <c r="B3329" s="2" t="s">
        <v>3404</v>
      </c>
      <c r="C3329" s="2" t="str">
        <f>"18684912"</f>
        <v>18684912</v>
      </c>
      <c r="D3329" s="2">
        <v>0.314</v>
      </c>
      <c r="E3329" s="2">
        <v>2</v>
      </c>
      <c r="F3329" s="2" t="s">
        <v>12</v>
      </c>
    </row>
    <row r="3330" spans="1:6" ht="25.5">
      <c r="A3330" s="2">
        <v>3327</v>
      </c>
      <c r="B3330" s="2" t="s">
        <v>3405</v>
      </c>
      <c r="C3330" s="2" t="str">
        <f>"18715249"</f>
        <v>18715249</v>
      </c>
      <c r="D3330" s="2">
        <v>0.70899999999999996</v>
      </c>
      <c r="E3330" s="2">
        <v>17</v>
      </c>
      <c r="F3330" s="2" t="s">
        <v>75</v>
      </c>
    </row>
    <row r="3331" spans="1:6" ht="25.5">
      <c r="A3331" s="2">
        <v>3328</v>
      </c>
      <c r="B3331" s="2" t="s">
        <v>3406</v>
      </c>
      <c r="C3331" s="2" t="str">
        <f>"15386279"</f>
        <v>15386279</v>
      </c>
      <c r="D3331" s="2">
        <v>0.1</v>
      </c>
      <c r="E3331" s="2">
        <v>4</v>
      </c>
      <c r="F3331" s="2" t="s">
        <v>6</v>
      </c>
    </row>
    <row r="3332" spans="1:6" ht="25.5">
      <c r="A3332" s="2">
        <v>3329</v>
      </c>
      <c r="B3332" s="2" t="s">
        <v>3407</v>
      </c>
      <c r="C3332" s="2" t="str">
        <f>"02520257"</f>
        <v>02520257</v>
      </c>
      <c r="D3332" s="2">
        <v>0.115</v>
      </c>
      <c r="E3332" s="2">
        <v>4</v>
      </c>
      <c r="F3332" s="2" t="s">
        <v>6</v>
      </c>
    </row>
    <row r="3333" spans="1:6" ht="25.5">
      <c r="A3333" s="2">
        <v>3330</v>
      </c>
      <c r="B3333" s="2" t="s">
        <v>3408</v>
      </c>
      <c r="C3333" s="2" t="str">
        <f>"14682982"</f>
        <v>14682982</v>
      </c>
      <c r="D3333" s="2">
        <v>1.1970000000000001</v>
      </c>
      <c r="E3333" s="2">
        <v>83</v>
      </c>
      <c r="F3333" s="2" t="s">
        <v>16</v>
      </c>
    </row>
    <row r="3334" spans="1:6" ht="25.5">
      <c r="A3334" s="2">
        <v>3331</v>
      </c>
      <c r="B3334" s="2" t="s">
        <v>3409</v>
      </c>
      <c r="C3334" s="2" t="str">
        <f>"16784553"</f>
        <v>16784553</v>
      </c>
      <c r="D3334" s="2">
        <v>0.222</v>
      </c>
      <c r="E3334" s="2">
        <v>8</v>
      </c>
      <c r="F3334" s="2" t="s">
        <v>159</v>
      </c>
    </row>
    <row r="3335" spans="1:6" ht="25.5">
      <c r="A3335" s="2">
        <v>3332</v>
      </c>
      <c r="B3335" s="2" t="s">
        <v>3410</v>
      </c>
      <c r="C3335" s="2" t="str">
        <f>"01966219"</f>
        <v>01966219</v>
      </c>
      <c r="D3335" s="2">
        <v>0.13300000000000001</v>
      </c>
      <c r="E3335" s="2">
        <v>23</v>
      </c>
      <c r="F3335" s="2" t="s">
        <v>6</v>
      </c>
    </row>
    <row r="3336" spans="1:6" ht="25.5">
      <c r="A3336" s="2">
        <v>3333</v>
      </c>
      <c r="B3336" s="2" t="s">
        <v>3411</v>
      </c>
      <c r="C3336" s="2" t="str">
        <f>"10351841"</f>
        <v>10351841</v>
      </c>
      <c r="D3336" s="2">
        <v>0.1</v>
      </c>
      <c r="E3336" s="2">
        <v>1</v>
      </c>
      <c r="F3336" s="2" t="s">
        <v>6</v>
      </c>
    </row>
    <row r="3337" spans="1:6" ht="25.5">
      <c r="A3337" s="2">
        <v>3334</v>
      </c>
      <c r="B3337" s="2" t="s">
        <v>3412</v>
      </c>
      <c r="C3337" s="2" t="str">
        <f>"02728842"</f>
        <v>02728842</v>
      </c>
      <c r="D3337" s="2">
        <v>0.77800000000000002</v>
      </c>
      <c r="E3337" s="2">
        <v>50</v>
      </c>
      <c r="F3337" s="2" t="s">
        <v>16</v>
      </c>
    </row>
    <row r="3338" spans="1:6" ht="25.5">
      <c r="A3338" s="2">
        <v>3335</v>
      </c>
      <c r="B3338" s="2" t="s">
        <v>3413</v>
      </c>
      <c r="C3338" s="2" t="str">
        <f>"08625468"</f>
        <v>08625468</v>
      </c>
      <c r="D3338" s="2">
        <v>0.26400000000000001</v>
      </c>
      <c r="E3338" s="2">
        <v>14</v>
      </c>
      <c r="F3338" s="2" t="s">
        <v>208</v>
      </c>
    </row>
    <row r="3339" spans="1:6" ht="25.5">
      <c r="A3339" s="2">
        <v>3336</v>
      </c>
      <c r="B3339" s="2" t="s">
        <v>3414</v>
      </c>
      <c r="C3339" s="2" t="str">
        <f>"13244175"</f>
        <v>13244175</v>
      </c>
      <c r="D3339" s="2">
        <v>0.1</v>
      </c>
      <c r="E3339" s="2">
        <v>1</v>
      </c>
      <c r="F3339" s="2" t="s">
        <v>6</v>
      </c>
    </row>
    <row r="3340" spans="1:6" ht="25.5">
      <c r="A3340" s="2">
        <v>3337</v>
      </c>
      <c r="B3340" s="2" t="s">
        <v>3415</v>
      </c>
      <c r="C3340" s="2" t="str">
        <f>"10421122"</f>
        <v>10421122</v>
      </c>
      <c r="D3340" s="2">
        <v>0.14199999999999999</v>
      </c>
      <c r="E3340" s="2">
        <v>10</v>
      </c>
      <c r="F3340" s="2" t="s">
        <v>6</v>
      </c>
    </row>
    <row r="3341" spans="1:6" ht="25.5">
      <c r="A3341" s="2">
        <v>3338</v>
      </c>
      <c r="B3341" s="2" t="s">
        <v>3416</v>
      </c>
      <c r="C3341" s="2" t="str">
        <f>"00090352"</f>
        <v>00090352</v>
      </c>
      <c r="D3341" s="2">
        <v>0.68400000000000005</v>
      </c>
      <c r="E3341" s="2">
        <v>61</v>
      </c>
      <c r="F3341" s="2" t="s">
        <v>6</v>
      </c>
    </row>
    <row r="3342" spans="1:6" ht="25.5">
      <c r="A3342" s="2">
        <v>3339</v>
      </c>
      <c r="B3342" s="2" t="s">
        <v>3417</v>
      </c>
      <c r="C3342" s="2" t="str">
        <f>"01466283"</f>
        <v>01466283</v>
      </c>
      <c r="D3342" s="2">
        <v>0.23400000000000001</v>
      </c>
      <c r="E3342" s="2">
        <v>29</v>
      </c>
      <c r="F3342" s="2" t="s">
        <v>6</v>
      </c>
    </row>
    <row r="3343" spans="1:6" ht="25.5">
      <c r="A3343" s="2">
        <v>3340</v>
      </c>
      <c r="B3343" s="2" t="s">
        <v>3418</v>
      </c>
      <c r="C3343" s="2" t="str">
        <f>"01333720"</f>
        <v>01333720</v>
      </c>
      <c r="D3343" s="2">
        <v>0.21</v>
      </c>
      <c r="E3343" s="2">
        <v>23</v>
      </c>
      <c r="F3343" s="2" t="s">
        <v>135</v>
      </c>
    </row>
    <row r="3344" spans="1:6" ht="25.5">
      <c r="A3344" s="2">
        <v>3341</v>
      </c>
      <c r="B3344" s="2" t="s">
        <v>3419</v>
      </c>
      <c r="C3344" s="2" t="str">
        <f>"14734230"</f>
        <v>14734230</v>
      </c>
      <c r="D3344" s="2">
        <v>0.83799999999999997</v>
      </c>
      <c r="E3344" s="2">
        <v>34</v>
      </c>
      <c r="F3344" s="2" t="s">
        <v>6</v>
      </c>
    </row>
    <row r="3345" spans="1:6" ht="25.5">
      <c r="A3345" s="2">
        <v>3342</v>
      </c>
      <c r="B3345" s="2" t="s">
        <v>3420</v>
      </c>
      <c r="C3345" s="2" t="str">
        <f>"14602199"</f>
        <v>14602199</v>
      </c>
      <c r="D3345" s="2">
        <v>4.0250000000000004</v>
      </c>
      <c r="E3345" s="2">
        <v>148</v>
      </c>
      <c r="F3345" s="2" t="s">
        <v>16</v>
      </c>
    </row>
    <row r="3346" spans="1:6" ht="25.5">
      <c r="A3346" s="2">
        <v>3343</v>
      </c>
      <c r="B3346" s="2" t="s">
        <v>3421</v>
      </c>
      <c r="C3346" s="2" t="str">
        <f>"14219786"</f>
        <v>14219786</v>
      </c>
      <c r="D3346" s="2">
        <v>1.4419999999999999</v>
      </c>
      <c r="E3346" s="2">
        <v>66</v>
      </c>
      <c r="F3346" s="2" t="s">
        <v>31</v>
      </c>
    </row>
    <row r="3347" spans="1:6" ht="25.5">
      <c r="A3347" s="2">
        <v>3344</v>
      </c>
      <c r="B3347" s="2" t="s">
        <v>3422</v>
      </c>
      <c r="C3347" s="2" t="str">
        <f>"13737163"</f>
        <v>13737163</v>
      </c>
      <c r="D3347" s="2">
        <v>0.17699999999999999</v>
      </c>
      <c r="E3347" s="2">
        <v>2</v>
      </c>
      <c r="F3347" s="2" t="s">
        <v>75</v>
      </c>
    </row>
    <row r="3348" spans="1:6" ht="25.5">
      <c r="A3348" s="2">
        <v>3345</v>
      </c>
      <c r="B3348" s="2" t="s">
        <v>3423</v>
      </c>
      <c r="C3348" s="2" t="str">
        <f>"01047760"</f>
        <v>01047760</v>
      </c>
      <c r="D3348" s="2">
        <v>0.3</v>
      </c>
      <c r="E3348" s="2">
        <v>7</v>
      </c>
      <c r="F3348" s="2" t="s">
        <v>159</v>
      </c>
    </row>
    <row r="3349" spans="1:6" ht="25.5">
      <c r="A3349" s="2">
        <v>3346</v>
      </c>
      <c r="B3349" s="2" t="s">
        <v>3424</v>
      </c>
      <c r="C3349" s="2" t="str">
        <f>"16120663"</f>
        <v>16120663</v>
      </c>
      <c r="D3349" s="2">
        <v>0.105</v>
      </c>
      <c r="E3349" s="2">
        <v>4</v>
      </c>
      <c r="F3349" s="2" t="s">
        <v>12</v>
      </c>
    </row>
    <row r="3350" spans="1:6" ht="25.5">
      <c r="A3350" s="2">
        <v>3347</v>
      </c>
      <c r="B3350" s="2" t="s">
        <v>3425</v>
      </c>
      <c r="C3350" s="2" t="str">
        <f>"1610241X"</f>
        <v>1610241X</v>
      </c>
      <c r="D3350" s="2">
        <v>0.41399999999999998</v>
      </c>
      <c r="E3350" s="2">
        <v>12</v>
      </c>
      <c r="F3350" s="2" t="s">
        <v>16</v>
      </c>
    </row>
    <row r="3351" spans="1:6" ht="25.5">
      <c r="A3351" s="2">
        <v>3348</v>
      </c>
      <c r="B3351" s="2" t="s">
        <v>3426</v>
      </c>
      <c r="C3351" s="2" t="str">
        <f>"1615245X"</f>
        <v>1615245X</v>
      </c>
      <c r="D3351" s="2">
        <v>0.14000000000000001</v>
      </c>
      <c r="E3351" s="2">
        <v>4</v>
      </c>
      <c r="F3351" s="2" t="s">
        <v>12</v>
      </c>
    </row>
    <row r="3352" spans="1:6" ht="25.5">
      <c r="A3352" s="2">
        <v>3349</v>
      </c>
      <c r="B3352" s="2" t="s">
        <v>3427</v>
      </c>
      <c r="C3352" s="2" t="str">
        <f>"12107816"</f>
        <v>12107816</v>
      </c>
      <c r="D3352" s="2">
        <v>0.14000000000000001</v>
      </c>
      <c r="E3352" s="2">
        <v>11</v>
      </c>
      <c r="F3352" s="2" t="s">
        <v>208</v>
      </c>
    </row>
    <row r="3353" spans="1:6" ht="25.5">
      <c r="A3353" s="2">
        <v>3350</v>
      </c>
      <c r="B3353" s="2" t="s">
        <v>3428</v>
      </c>
      <c r="C3353" s="2" t="str">
        <f>"18024041"</f>
        <v>18024041</v>
      </c>
      <c r="D3353" s="2">
        <v>0.13900000000000001</v>
      </c>
      <c r="E3353" s="2">
        <v>6</v>
      </c>
      <c r="F3353" s="2" t="s">
        <v>208</v>
      </c>
    </row>
    <row r="3354" spans="1:6" ht="25.5">
      <c r="A3354" s="2">
        <v>3351</v>
      </c>
      <c r="B3354" s="2" t="s">
        <v>3429</v>
      </c>
      <c r="C3354" s="2" t="str">
        <f>"12119059"</f>
        <v>12119059</v>
      </c>
      <c r="D3354" s="2">
        <v>0.153</v>
      </c>
      <c r="E3354" s="2">
        <v>8</v>
      </c>
      <c r="F3354" s="2" t="s">
        <v>208</v>
      </c>
    </row>
    <row r="3355" spans="1:6" ht="25.5">
      <c r="A3355" s="2">
        <v>3352</v>
      </c>
      <c r="B3355" s="2" t="s">
        <v>3430</v>
      </c>
      <c r="C3355" s="2" t="str">
        <f>"12120383"</f>
        <v>12120383</v>
      </c>
      <c r="D3355" s="2">
        <v>0.115</v>
      </c>
      <c r="E3355" s="2">
        <v>7</v>
      </c>
      <c r="F3355" s="2" t="s">
        <v>208</v>
      </c>
    </row>
    <row r="3356" spans="1:6" ht="25.5">
      <c r="A3356" s="2">
        <v>3353</v>
      </c>
      <c r="B3356" s="2" t="s">
        <v>3431</v>
      </c>
      <c r="C3356" s="2" t="str">
        <f>"12107832"</f>
        <v>12107832</v>
      </c>
      <c r="D3356" s="2">
        <v>0.16</v>
      </c>
      <c r="E3356" s="2">
        <v>11</v>
      </c>
      <c r="F3356" s="2" t="s">
        <v>208</v>
      </c>
    </row>
    <row r="3357" spans="1:6" ht="25.5">
      <c r="A3357" s="2">
        <v>3354</v>
      </c>
      <c r="B3357" s="2" t="s">
        <v>3432</v>
      </c>
      <c r="C3357" s="2" t="str">
        <f>"00090468"</f>
        <v>00090468</v>
      </c>
      <c r="D3357" s="2">
        <v>0.1</v>
      </c>
      <c r="E3357" s="2">
        <v>3</v>
      </c>
      <c r="F3357" s="2" t="s">
        <v>208</v>
      </c>
    </row>
    <row r="3358" spans="1:6" ht="25.5">
      <c r="A3358" s="2">
        <v>3355</v>
      </c>
      <c r="B3358" s="2" t="s">
        <v>3433</v>
      </c>
      <c r="C3358" s="2" t="str">
        <f>"12107883"</f>
        <v>12107883</v>
      </c>
      <c r="D3358" s="2">
        <v>0.107</v>
      </c>
      <c r="E3358" s="2">
        <v>5</v>
      </c>
      <c r="F3358" s="2" t="s">
        <v>208</v>
      </c>
    </row>
    <row r="3359" spans="1:6" ht="25.5">
      <c r="A3359" s="2">
        <v>3356</v>
      </c>
      <c r="B3359" s="2" t="s">
        <v>3434</v>
      </c>
      <c r="C3359" s="2" t="str">
        <f>"12107905"</f>
        <v>12107905</v>
      </c>
      <c r="D3359" s="2">
        <v>0.13</v>
      </c>
      <c r="E3359" s="2">
        <v>6</v>
      </c>
      <c r="F3359" s="2" t="s">
        <v>208</v>
      </c>
    </row>
    <row r="3360" spans="1:6" ht="25.5">
      <c r="A3360" s="2">
        <v>3357</v>
      </c>
      <c r="B3360" s="2" t="s">
        <v>3435</v>
      </c>
      <c r="C3360" s="2" t="str">
        <f>"00090514"</f>
        <v>00090514</v>
      </c>
      <c r="D3360" s="2">
        <v>0.155</v>
      </c>
      <c r="E3360" s="2">
        <v>3</v>
      </c>
      <c r="F3360" s="2" t="s">
        <v>208</v>
      </c>
    </row>
    <row r="3361" spans="1:6" ht="25.5">
      <c r="A3361" s="2">
        <v>3358</v>
      </c>
      <c r="B3361" s="2" t="s">
        <v>3436</v>
      </c>
      <c r="C3361" s="2" t="str">
        <f>"12106313"</f>
        <v>12106313</v>
      </c>
      <c r="D3361" s="2">
        <v>0.121</v>
      </c>
      <c r="E3361" s="2">
        <v>5</v>
      </c>
      <c r="F3361" s="2" t="s">
        <v>208</v>
      </c>
    </row>
    <row r="3362" spans="1:6" ht="25.5">
      <c r="A3362" s="2">
        <v>3359</v>
      </c>
      <c r="B3362" s="2" t="s">
        <v>3437</v>
      </c>
      <c r="C3362" s="2" t="str">
        <f>"00692328"</f>
        <v>00692328</v>
      </c>
      <c r="D3362" s="2">
        <v>0.17599999999999999</v>
      </c>
      <c r="E3362" s="2">
        <v>7</v>
      </c>
      <c r="F3362" s="2" t="s">
        <v>208</v>
      </c>
    </row>
    <row r="3363" spans="1:6" ht="25.5">
      <c r="A3363" s="2">
        <v>3360</v>
      </c>
      <c r="B3363" s="2" t="s">
        <v>3438</v>
      </c>
      <c r="C3363" s="2" t="str">
        <f>"0009062X"</f>
        <v>0009062X</v>
      </c>
      <c r="D3363" s="2">
        <v>0.19400000000000001</v>
      </c>
      <c r="E3363" s="2">
        <v>10</v>
      </c>
      <c r="F3363" s="2" t="s">
        <v>208</v>
      </c>
    </row>
    <row r="3364" spans="1:6" ht="25.5">
      <c r="A3364" s="2">
        <v>3361</v>
      </c>
      <c r="B3364" s="2" t="s">
        <v>3439</v>
      </c>
      <c r="C3364" s="2" t="str">
        <f>"08626111"</f>
        <v>08626111</v>
      </c>
      <c r="D3364" s="2">
        <v>0</v>
      </c>
      <c r="E3364" s="2">
        <v>0</v>
      </c>
      <c r="F3364" s="2" t="s">
        <v>208</v>
      </c>
    </row>
    <row r="3365" spans="1:6" ht="25.5">
      <c r="A3365" s="2">
        <v>3362</v>
      </c>
      <c r="B3365" s="2" t="s">
        <v>3440</v>
      </c>
      <c r="C3365" s="2" t="str">
        <f>"00090794"</f>
        <v>00090794</v>
      </c>
      <c r="D3365" s="2">
        <v>0.13800000000000001</v>
      </c>
      <c r="E3365" s="2">
        <v>3</v>
      </c>
      <c r="F3365" s="2" t="s">
        <v>208</v>
      </c>
    </row>
    <row r="3366" spans="1:6" ht="25.5">
      <c r="A3366" s="2">
        <v>3363</v>
      </c>
      <c r="B3366" s="2" t="s">
        <v>3441</v>
      </c>
      <c r="C3366" s="2" t="str">
        <f>"19923147"</f>
        <v>19923147</v>
      </c>
      <c r="D3366" s="2">
        <v>0</v>
      </c>
      <c r="E3366" s="2">
        <v>1</v>
      </c>
      <c r="F3366" s="2" t="s">
        <v>135</v>
      </c>
    </row>
    <row r="3367" spans="1:6" ht="25.5">
      <c r="A3367" s="2">
        <v>3364</v>
      </c>
      <c r="B3367" s="2" t="s">
        <v>3442</v>
      </c>
      <c r="C3367" s="2" t="str">
        <f>"00090875"</f>
        <v>00090875</v>
      </c>
      <c r="D3367" s="2">
        <v>0.13</v>
      </c>
      <c r="E3367" s="2">
        <v>12</v>
      </c>
      <c r="F3367" s="2" t="s">
        <v>3443</v>
      </c>
    </row>
    <row r="3368" spans="1:6" ht="25.5">
      <c r="A3368" s="2">
        <v>3365</v>
      </c>
      <c r="B3368" s="2" t="s">
        <v>3444</v>
      </c>
      <c r="C3368" s="2" t="str">
        <f>"21801363"</f>
        <v>21801363</v>
      </c>
      <c r="D3368" s="2">
        <v>0.25600000000000001</v>
      </c>
      <c r="E3368" s="2">
        <v>2</v>
      </c>
      <c r="F3368" s="2" t="s">
        <v>37</v>
      </c>
    </row>
    <row r="3369" spans="1:6" ht="25.5">
      <c r="A3369" s="2">
        <v>3366</v>
      </c>
      <c r="B3369" s="2" t="s">
        <v>3445</v>
      </c>
      <c r="C3369" s="2" t="str">
        <f>"15848663"</f>
        <v>15848663</v>
      </c>
      <c r="D3369" s="2">
        <v>0.374</v>
      </c>
      <c r="E3369" s="2">
        <v>9</v>
      </c>
      <c r="F3369" s="2" t="s">
        <v>19</v>
      </c>
    </row>
    <row r="3370" spans="1:6" ht="25.5">
      <c r="A3370" s="2">
        <v>3367</v>
      </c>
      <c r="B3370" s="2" t="s">
        <v>3446</v>
      </c>
      <c r="C3370" s="2" t="str">
        <f>"19618638"</f>
        <v>19618638</v>
      </c>
      <c r="D3370" s="2">
        <v>0.16900000000000001</v>
      </c>
      <c r="E3370" s="2">
        <v>3</v>
      </c>
      <c r="F3370" s="2" t="s">
        <v>66</v>
      </c>
    </row>
    <row r="3371" spans="1:6" ht="25.5">
      <c r="A3371" s="2">
        <v>3368</v>
      </c>
      <c r="B3371" s="2" t="s">
        <v>3447</v>
      </c>
      <c r="C3371" s="2" t="str">
        <f>"16718879"</f>
        <v>16718879</v>
      </c>
      <c r="D3371" s="2">
        <v>0.32700000000000001</v>
      </c>
      <c r="E3371" s="2">
        <v>11</v>
      </c>
      <c r="F3371" s="2" t="s">
        <v>46</v>
      </c>
    </row>
    <row r="3372" spans="1:6" ht="25.5">
      <c r="A3372" s="2">
        <v>3369</v>
      </c>
      <c r="B3372" s="2" t="s">
        <v>3448</v>
      </c>
      <c r="C3372" s="2" t="str">
        <f>"02558270"</f>
        <v>02558270</v>
      </c>
      <c r="D3372" s="2">
        <v>0.27500000000000002</v>
      </c>
      <c r="E3372" s="2">
        <v>19</v>
      </c>
      <c r="F3372" s="2" t="s">
        <v>165</v>
      </c>
    </row>
    <row r="3373" spans="1:6" ht="25.5">
      <c r="A3373" s="2">
        <v>3370</v>
      </c>
      <c r="B3373" s="2" t="s">
        <v>3449</v>
      </c>
      <c r="C3373" s="2" t="str">
        <f>"1358684X"</f>
        <v>1358684X</v>
      </c>
      <c r="D3373" s="2">
        <v>0.214</v>
      </c>
      <c r="E3373" s="2">
        <v>3</v>
      </c>
      <c r="F3373" s="2" t="s">
        <v>6</v>
      </c>
    </row>
    <row r="3374" spans="1:6" ht="25.5">
      <c r="A3374" s="2">
        <v>3371</v>
      </c>
      <c r="B3374" s="2" t="s">
        <v>3450</v>
      </c>
      <c r="C3374" s="2" t="str">
        <f>"19336969"</f>
        <v>19336969</v>
      </c>
      <c r="D3374" s="2">
        <v>0.64400000000000002</v>
      </c>
      <c r="E3374" s="2">
        <v>18</v>
      </c>
      <c r="F3374" s="2" t="s">
        <v>6</v>
      </c>
    </row>
    <row r="3375" spans="1:6" ht="25.5">
      <c r="A3375" s="2">
        <v>3372</v>
      </c>
      <c r="B3375" s="2" t="s">
        <v>3451</v>
      </c>
      <c r="C3375" s="2" t="str">
        <f>"10897682"</f>
        <v>10897682</v>
      </c>
      <c r="D3375" s="2">
        <v>0.876</v>
      </c>
      <c r="E3375" s="2">
        <v>61</v>
      </c>
      <c r="F3375" s="2" t="s">
        <v>6</v>
      </c>
    </row>
    <row r="3376" spans="1:6" ht="25.5">
      <c r="A3376" s="2">
        <v>3373</v>
      </c>
      <c r="B3376" s="2" t="s">
        <v>3452</v>
      </c>
      <c r="C3376" s="2" t="str">
        <f>"09600779"</f>
        <v>09600779</v>
      </c>
      <c r="D3376" s="2">
        <v>0.82099999999999995</v>
      </c>
      <c r="E3376" s="2">
        <v>93</v>
      </c>
      <c r="F3376" s="2" t="s">
        <v>16</v>
      </c>
    </row>
    <row r="3377" spans="1:6" ht="25.5">
      <c r="A3377" s="2">
        <v>3374</v>
      </c>
      <c r="B3377" s="2" t="s">
        <v>3453</v>
      </c>
      <c r="C3377" s="2" t="str">
        <f>"13901079"</f>
        <v>13901079</v>
      </c>
      <c r="D3377" s="2">
        <v>0.1</v>
      </c>
      <c r="E3377" s="2">
        <v>2</v>
      </c>
      <c r="F3377" s="2" t="s">
        <v>3454</v>
      </c>
    </row>
    <row r="3378" spans="1:6" ht="25.5">
      <c r="A3378" s="2">
        <v>3375</v>
      </c>
      <c r="B3378" s="2" t="s">
        <v>3455</v>
      </c>
      <c r="C3378" s="2" t="str">
        <f>"15284204"</f>
        <v>15284204</v>
      </c>
      <c r="D3378" s="2">
        <v>0.19900000000000001</v>
      </c>
      <c r="E3378" s="2">
        <v>5</v>
      </c>
      <c r="F3378" s="2" t="s">
        <v>6</v>
      </c>
    </row>
    <row r="3379" spans="1:6" ht="25.5">
      <c r="A3379" s="2">
        <v>3376</v>
      </c>
      <c r="B3379" s="2" t="s">
        <v>3456</v>
      </c>
      <c r="C3379" s="2" t="str">
        <f>"1809127X"</f>
        <v>1809127X</v>
      </c>
      <c r="D3379" s="2">
        <v>0.30599999999999999</v>
      </c>
      <c r="E3379" s="2">
        <v>5</v>
      </c>
      <c r="F3379" s="2" t="s">
        <v>159</v>
      </c>
    </row>
    <row r="3380" spans="1:6" ht="25.5">
      <c r="A3380" s="2">
        <v>3377</v>
      </c>
      <c r="B3380" s="2" t="s">
        <v>3457</v>
      </c>
      <c r="C3380" s="2" t="str">
        <f>"10718443"</f>
        <v>10718443</v>
      </c>
      <c r="D3380" s="2">
        <v>0.34799999999999998</v>
      </c>
      <c r="E3380" s="2">
        <v>13</v>
      </c>
      <c r="F3380" s="2" t="s">
        <v>6</v>
      </c>
    </row>
    <row r="3381" spans="1:6" ht="25.5">
      <c r="A3381" s="2">
        <v>3378</v>
      </c>
      <c r="B3381" s="2" t="s">
        <v>3458</v>
      </c>
      <c r="C3381" s="2" t="str">
        <f>"14397633"</f>
        <v>14397633</v>
      </c>
      <c r="D3381" s="2">
        <v>1.581</v>
      </c>
      <c r="E3381" s="2">
        <v>76</v>
      </c>
      <c r="F3381" s="2" t="s">
        <v>12</v>
      </c>
    </row>
    <row r="3382" spans="1:6" ht="25.5">
      <c r="A3382" s="2">
        <v>3379</v>
      </c>
      <c r="B3382" s="2" t="s">
        <v>3459</v>
      </c>
      <c r="C3382" s="2" t="str">
        <f>"13476297"</f>
        <v>13476297</v>
      </c>
      <c r="D3382" s="2">
        <v>0.17399999999999999</v>
      </c>
      <c r="E3382" s="2">
        <v>7</v>
      </c>
      <c r="F3382" s="2" t="s">
        <v>131</v>
      </c>
    </row>
    <row r="3383" spans="1:6" ht="25.5">
      <c r="A3383" s="2">
        <v>3380</v>
      </c>
      <c r="B3383" s="2" t="s">
        <v>3460</v>
      </c>
      <c r="C3383" s="2" t="str">
        <f>"18673899"</f>
        <v>18673899</v>
      </c>
      <c r="D3383" s="2">
        <v>2.0219999999999998</v>
      </c>
      <c r="E3383" s="2">
        <v>25</v>
      </c>
      <c r="F3383" s="2" t="s">
        <v>12</v>
      </c>
    </row>
    <row r="3384" spans="1:6" ht="25.5">
      <c r="A3384" s="2">
        <v>3381</v>
      </c>
      <c r="B3384" s="2" t="s">
        <v>3461</v>
      </c>
      <c r="C3384" s="2" t="str">
        <f>"03529568"</f>
        <v>03529568</v>
      </c>
      <c r="D3384" s="2">
        <v>0.251</v>
      </c>
      <c r="E3384" s="2">
        <v>20</v>
      </c>
      <c r="F3384" s="2" t="s">
        <v>149</v>
      </c>
    </row>
    <row r="3385" spans="1:6" ht="25.5">
      <c r="A3385" s="2">
        <v>3382</v>
      </c>
      <c r="B3385" s="2" t="s">
        <v>3462</v>
      </c>
      <c r="C3385" s="2" t="str">
        <f>"00092355"</f>
        <v>00092355</v>
      </c>
      <c r="D3385" s="2">
        <v>0.10100000000000001</v>
      </c>
      <c r="E3385" s="2">
        <v>6</v>
      </c>
      <c r="F3385" s="2" t="s">
        <v>6</v>
      </c>
    </row>
    <row r="3386" spans="1:6" ht="25.5">
      <c r="A3386" s="2">
        <v>3383</v>
      </c>
      <c r="B3386" s="2" t="s">
        <v>3463</v>
      </c>
      <c r="C3386" s="2" t="str">
        <f>"13475223"</f>
        <v>13475223</v>
      </c>
      <c r="D3386" s="2">
        <v>0.55700000000000005</v>
      </c>
      <c r="E3386" s="2">
        <v>61</v>
      </c>
      <c r="F3386" s="2" t="s">
        <v>131</v>
      </c>
    </row>
    <row r="3387" spans="1:6" ht="25.5">
      <c r="A3387" s="2">
        <v>3384</v>
      </c>
      <c r="B3387" s="2" t="s">
        <v>3464</v>
      </c>
      <c r="C3387" s="2" t="str">
        <f>"17470277"</f>
        <v>17470277</v>
      </c>
      <c r="D3387" s="2">
        <v>0.70799999999999996</v>
      </c>
      <c r="E3387" s="2">
        <v>46</v>
      </c>
      <c r="F3387" s="2" t="s">
        <v>16</v>
      </c>
    </row>
    <row r="3388" spans="1:6" ht="25.5">
      <c r="A3388" s="2">
        <v>3385</v>
      </c>
      <c r="B3388" s="2" t="s">
        <v>3465</v>
      </c>
      <c r="C3388" s="2" t="str">
        <f>"13597345"</f>
        <v>13597345</v>
      </c>
      <c r="D3388" s="2">
        <v>2.6240000000000001</v>
      </c>
      <c r="E3388" s="2">
        <v>178</v>
      </c>
      <c r="F3388" s="2" t="s">
        <v>16</v>
      </c>
    </row>
    <row r="3389" spans="1:6" ht="25.5">
      <c r="A3389" s="2">
        <v>3386</v>
      </c>
      <c r="B3389" s="2" t="s">
        <v>3466</v>
      </c>
      <c r="C3389" s="2" t="str">
        <f>"00092460"</f>
        <v>00092460</v>
      </c>
      <c r="D3389" s="2">
        <v>0.12</v>
      </c>
      <c r="E3389" s="2">
        <v>13</v>
      </c>
      <c r="F3389" s="2" t="s">
        <v>6</v>
      </c>
    </row>
    <row r="3390" spans="1:6" ht="25.5">
      <c r="A3390" s="2">
        <v>3387</v>
      </c>
      <c r="B3390" s="2" t="s">
        <v>3467</v>
      </c>
      <c r="C3390" s="2" t="str">
        <f>"02552701"</f>
        <v>02552701</v>
      </c>
      <c r="D3390" s="2">
        <v>0.88</v>
      </c>
      <c r="E3390" s="2">
        <v>49</v>
      </c>
      <c r="F3390" s="2" t="s">
        <v>75</v>
      </c>
    </row>
    <row r="3391" spans="1:6" ht="25.5">
      <c r="A3391" s="2">
        <v>3388</v>
      </c>
      <c r="B3391" s="2" t="s">
        <v>3468</v>
      </c>
      <c r="C3391" s="2" t="str">
        <f>"15214125"</f>
        <v>15214125</v>
      </c>
      <c r="D3391" s="2">
        <v>0.59699999999999998</v>
      </c>
      <c r="E3391" s="2">
        <v>43</v>
      </c>
      <c r="F3391" s="2" t="s">
        <v>12</v>
      </c>
    </row>
    <row r="3392" spans="1:6" ht="25.5">
      <c r="A3392" s="2">
        <v>3389</v>
      </c>
      <c r="B3392" s="2" t="s">
        <v>3469</v>
      </c>
      <c r="C3392" s="2" t="str">
        <f>"15635201"</f>
        <v>15635201</v>
      </c>
      <c r="D3392" s="2">
        <v>0.378</v>
      </c>
      <c r="E3392" s="2">
        <v>27</v>
      </c>
      <c r="F3392" s="2" t="s">
        <v>16</v>
      </c>
    </row>
    <row r="3393" spans="1:6" ht="25.5">
      <c r="A3393" s="2">
        <v>3390</v>
      </c>
      <c r="B3393" s="2" t="s">
        <v>3470</v>
      </c>
      <c r="C3393" s="2" t="str">
        <f>"00092479"</f>
        <v>00092479</v>
      </c>
      <c r="D3393" s="2">
        <v>0.23899999999999999</v>
      </c>
      <c r="E3393" s="2">
        <v>17</v>
      </c>
      <c r="F3393" s="2" t="s">
        <v>6</v>
      </c>
    </row>
    <row r="3394" spans="1:6" ht="25.5">
      <c r="A3394" s="2">
        <v>3391</v>
      </c>
      <c r="B3394" s="2" t="s">
        <v>3471</v>
      </c>
      <c r="C3394" s="2" t="str">
        <f>"13858947"</f>
        <v>13858947</v>
      </c>
      <c r="D3394" s="2">
        <v>1.339</v>
      </c>
      <c r="E3394" s="2">
        <v>78</v>
      </c>
      <c r="F3394" s="2" t="s">
        <v>75</v>
      </c>
    </row>
    <row r="3395" spans="1:6" ht="25.5">
      <c r="A3395" s="2">
        <v>3392</v>
      </c>
      <c r="B3395" s="2" t="s">
        <v>3472</v>
      </c>
      <c r="C3395" s="2" t="str">
        <f>"03607275"</f>
        <v>03607275</v>
      </c>
      <c r="D3395" s="2">
        <v>0.47299999999999998</v>
      </c>
      <c r="E3395" s="2">
        <v>27</v>
      </c>
      <c r="F3395" s="2" t="s">
        <v>6</v>
      </c>
    </row>
    <row r="3396" spans="1:6" ht="25.5">
      <c r="A3396" s="2">
        <v>3393</v>
      </c>
      <c r="B3396" s="2" t="s">
        <v>3473</v>
      </c>
      <c r="C3396" s="2" t="str">
        <f>"17443563"</f>
        <v>17443563</v>
      </c>
      <c r="D3396" s="2">
        <v>0.80500000000000005</v>
      </c>
      <c r="E3396" s="2">
        <v>47</v>
      </c>
      <c r="F3396" s="2" t="s">
        <v>16</v>
      </c>
    </row>
    <row r="3397" spans="1:6" ht="25.5">
      <c r="A3397" s="2">
        <v>3394</v>
      </c>
      <c r="B3397" s="2" t="s">
        <v>3474</v>
      </c>
      <c r="C3397" s="2" t="str">
        <f>"20729510"</f>
        <v>20729510</v>
      </c>
      <c r="D3397" s="2">
        <v>0.106</v>
      </c>
      <c r="E3397" s="2">
        <v>1</v>
      </c>
      <c r="F3397" s="2" t="s">
        <v>2282</v>
      </c>
    </row>
    <row r="3398" spans="1:6" ht="25.5">
      <c r="A3398" s="2">
        <v>3395</v>
      </c>
      <c r="B3398" s="2" t="s">
        <v>3475</v>
      </c>
      <c r="C3398" s="2" t="str">
        <f>"00092509"</f>
        <v>00092509</v>
      </c>
      <c r="D3398" s="2">
        <v>1.0329999999999999</v>
      </c>
      <c r="E3398" s="2">
        <v>103</v>
      </c>
      <c r="F3398" s="2" t="s">
        <v>75</v>
      </c>
    </row>
    <row r="3399" spans="1:6" ht="25.5">
      <c r="A3399" s="2">
        <v>3396</v>
      </c>
      <c r="B3399" s="2" t="s">
        <v>3476</v>
      </c>
      <c r="C3399" s="2" t="str">
        <f>"19749791"</f>
        <v>19749791</v>
      </c>
      <c r="D3399" s="2">
        <v>0.31</v>
      </c>
      <c r="E3399" s="2">
        <v>8</v>
      </c>
      <c r="F3399" s="2" t="s">
        <v>190</v>
      </c>
    </row>
    <row r="3400" spans="1:6" ht="25.5">
      <c r="A3400" s="2">
        <v>3397</v>
      </c>
      <c r="B3400" s="2" t="s">
        <v>3477</v>
      </c>
      <c r="C3400" s="2" t="str">
        <f>"00092541"</f>
        <v>00092541</v>
      </c>
      <c r="D3400" s="2">
        <v>1.714</v>
      </c>
      <c r="E3400" s="2">
        <v>111</v>
      </c>
      <c r="F3400" s="2" t="s">
        <v>75</v>
      </c>
    </row>
    <row r="3401" spans="1:6" ht="25.5">
      <c r="A3401" s="2">
        <v>3398</v>
      </c>
      <c r="B3401" s="2" t="s">
        <v>3478</v>
      </c>
      <c r="C3401" s="2" t="str">
        <f>"16602242"</f>
        <v>16602242</v>
      </c>
      <c r="D3401" s="2">
        <v>0.78300000000000003</v>
      </c>
      <c r="E3401" s="2">
        <v>40</v>
      </c>
      <c r="F3401" s="2" t="s">
        <v>31</v>
      </c>
    </row>
    <row r="3402" spans="1:6" ht="25.5">
      <c r="A3402" s="2">
        <v>3399</v>
      </c>
      <c r="B3402" s="2" t="s">
        <v>3479</v>
      </c>
      <c r="C3402" s="2" t="str">
        <f>"14519372"</f>
        <v>14519372</v>
      </c>
      <c r="D3402" s="2">
        <v>0.254</v>
      </c>
      <c r="E3402" s="2">
        <v>7</v>
      </c>
      <c r="F3402" s="2" t="s">
        <v>212</v>
      </c>
    </row>
    <row r="3403" spans="1:6" ht="25.5">
      <c r="A3403" s="2">
        <v>3400</v>
      </c>
      <c r="B3403" s="2" t="s">
        <v>3480</v>
      </c>
      <c r="C3403" s="2" t="str">
        <f>"05848555"</f>
        <v>05848555</v>
      </c>
      <c r="D3403" s="2">
        <v>0.20599999999999999</v>
      </c>
      <c r="E3403" s="2">
        <v>1</v>
      </c>
      <c r="F3403" s="2" t="s">
        <v>16</v>
      </c>
    </row>
    <row r="3404" spans="1:6" ht="25.5">
      <c r="A3404" s="2">
        <v>3401</v>
      </c>
      <c r="B3404" s="2" t="s">
        <v>3481</v>
      </c>
      <c r="C3404" s="2" t="str">
        <f>"03666352"</f>
        <v>03666352</v>
      </c>
      <c r="D3404" s="2">
        <v>0.27300000000000002</v>
      </c>
      <c r="E3404" s="2">
        <v>20</v>
      </c>
      <c r="F3404" s="2" t="s">
        <v>16</v>
      </c>
    </row>
    <row r="3405" spans="1:6" ht="25.5">
      <c r="A3405" s="2">
        <v>3402</v>
      </c>
      <c r="B3405" s="2" t="s">
        <v>3482</v>
      </c>
      <c r="C3405" s="2" t="str">
        <f>"03010104"</f>
        <v>03010104</v>
      </c>
      <c r="D3405" s="2">
        <v>0.73799999999999999</v>
      </c>
      <c r="E3405" s="2">
        <v>80</v>
      </c>
      <c r="F3405" s="2" t="s">
        <v>75</v>
      </c>
    </row>
    <row r="3406" spans="1:6" ht="25.5">
      <c r="A3406" s="2">
        <v>3403</v>
      </c>
      <c r="B3406" s="2" t="s">
        <v>3483</v>
      </c>
      <c r="C3406" s="2" t="str">
        <f>"00092614"</f>
        <v>00092614</v>
      </c>
      <c r="D3406" s="2">
        <v>0.95099999999999996</v>
      </c>
      <c r="E3406" s="2">
        <v>156</v>
      </c>
      <c r="F3406" s="2" t="s">
        <v>75</v>
      </c>
    </row>
    <row r="3407" spans="1:6" ht="25.5">
      <c r="A3407" s="2">
        <v>3404</v>
      </c>
      <c r="B3407" s="2" t="s">
        <v>3484</v>
      </c>
      <c r="C3407" s="2" t="str">
        <f>"19342659"</f>
        <v>19342659</v>
      </c>
      <c r="D3407" s="2">
        <v>0.19</v>
      </c>
      <c r="E3407" s="2">
        <v>9</v>
      </c>
      <c r="F3407" s="2" t="s">
        <v>6</v>
      </c>
    </row>
    <row r="3408" spans="1:6" ht="25.5">
      <c r="A3408" s="2">
        <v>3405</v>
      </c>
      <c r="B3408" s="2" t="s">
        <v>3485</v>
      </c>
      <c r="C3408" s="2" t="str">
        <f>"15280691"</f>
        <v>15280691</v>
      </c>
      <c r="D3408" s="2">
        <v>2.0209999999999999</v>
      </c>
      <c r="E3408" s="2">
        <v>44</v>
      </c>
      <c r="F3408" s="2" t="s">
        <v>6</v>
      </c>
    </row>
    <row r="3409" spans="1:6" ht="25.5">
      <c r="A3409" s="2">
        <v>3406</v>
      </c>
      <c r="B3409" s="2" t="s">
        <v>3486</v>
      </c>
      <c r="C3409" s="2" t="str">
        <f>"10059040"</f>
        <v>10059040</v>
      </c>
      <c r="D3409" s="2">
        <v>0.22</v>
      </c>
      <c r="E3409" s="2">
        <v>12</v>
      </c>
      <c r="F3409" s="2" t="s">
        <v>46</v>
      </c>
    </row>
    <row r="3410" spans="1:6" ht="25.5">
      <c r="A3410" s="2">
        <v>3407</v>
      </c>
      <c r="B3410" s="2" t="s">
        <v>3487</v>
      </c>
      <c r="C3410" s="2" t="str">
        <f>"15205010"</f>
        <v>15205010</v>
      </c>
      <c r="D3410" s="2">
        <v>1.1499999999999999</v>
      </c>
      <c r="E3410" s="2">
        <v>105</v>
      </c>
      <c r="F3410" s="2" t="s">
        <v>6</v>
      </c>
    </row>
    <row r="3411" spans="1:6" ht="25.5">
      <c r="A3411" s="2">
        <v>3408</v>
      </c>
      <c r="B3411" s="2" t="s">
        <v>3488</v>
      </c>
      <c r="C3411" s="2" t="str">
        <f>"15206890"</f>
        <v>15206890</v>
      </c>
      <c r="D3411" s="2">
        <v>17.308</v>
      </c>
      <c r="E3411" s="2">
        <v>400</v>
      </c>
      <c r="F3411" s="2" t="s">
        <v>6</v>
      </c>
    </row>
    <row r="3412" spans="1:6" ht="25.5">
      <c r="A3412" s="2">
        <v>3409</v>
      </c>
      <c r="B3412" s="2" t="s">
        <v>3489</v>
      </c>
      <c r="C3412" s="2" t="str">
        <f>"20416539"</f>
        <v>20416539</v>
      </c>
      <c r="D3412" s="2">
        <v>4.3419999999999996</v>
      </c>
      <c r="E3412" s="2">
        <v>30</v>
      </c>
      <c r="F3412" s="2" t="s">
        <v>16</v>
      </c>
    </row>
    <row r="3413" spans="1:6" ht="25.5">
      <c r="A3413" s="2">
        <v>3410</v>
      </c>
      <c r="B3413" s="2" t="s">
        <v>3490</v>
      </c>
      <c r="C3413" s="2" t="str">
        <f>"14643553"</f>
        <v>14643553</v>
      </c>
      <c r="D3413" s="2">
        <v>0.95799999999999996</v>
      </c>
      <c r="E3413" s="2">
        <v>58</v>
      </c>
      <c r="F3413" s="2" t="s">
        <v>16</v>
      </c>
    </row>
    <row r="3414" spans="1:6" ht="25.5">
      <c r="A3414" s="2">
        <v>3411</v>
      </c>
      <c r="B3414" s="2" t="s">
        <v>3491</v>
      </c>
      <c r="C3414" s="2" t="str">
        <f>"14604744"</f>
        <v>14604744</v>
      </c>
      <c r="D3414" s="2">
        <v>12.696</v>
      </c>
      <c r="E3414" s="2">
        <v>195</v>
      </c>
      <c r="F3414" s="2" t="s">
        <v>16</v>
      </c>
    </row>
    <row r="3415" spans="1:6" ht="25.5">
      <c r="A3415" s="2">
        <v>3412</v>
      </c>
      <c r="B3415" s="2" t="s">
        <v>3492</v>
      </c>
      <c r="C3415" s="2" t="str">
        <f>"09542299"</f>
        <v>09542299</v>
      </c>
      <c r="D3415" s="2">
        <v>0.26200000000000001</v>
      </c>
      <c r="E3415" s="2">
        <v>19</v>
      </c>
      <c r="F3415" s="2" t="s">
        <v>16</v>
      </c>
    </row>
    <row r="3416" spans="1:6" ht="25.5">
      <c r="A3416" s="2">
        <v>3413</v>
      </c>
      <c r="B3416" s="2" t="s">
        <v>3493</v>
      </c>
      <c r="C3416" s="2" t="str">
        <f>"15213862"</f>
        <v>15213862</v>
      </c>
      <c r="D3416" s="2">
        <v>0.68100000000000005</v>
      </c>
      <c r="E3416" s="2">
        <v>42</v>
      </c>
      <c r="F3416" s="2" t="s">
        <v>12</v>
      </c>
    </row>
    <row r="3417" spans="1:6" ht="25.5">
      <c r="A3417" s="2">
        <v>3414</v>
      </c>
      <c r="B3417" s="2" t="s">
        <v>3494</v>
      </c>
      <c r="C3417" s="2" t="str">
        <f>"12137103"</f>
        <v>12137103</v>
      </c>
      <c r="D3417" s="2">
        <v>0.222</v>
      </c>
      <c r="E3417" s="2">
        <v>17</v>
      </c>
      <c r="F3417" s="2" t="s">
        <v>208</v>
      </c>
    </row>
    <row r="3418" spans="1:6" ht="25.5">
      <c r="A3418" s="2">
        <v>3415</v>
      </c>
      <c r="B3418" s="2" t="s">
        <v>3495</v>
      </c>
      <c r="C3418" s="2" t="str">
        <f>"00092797"</f>
        <v>00092797</v>
      </c>
      <c r="D3418" s="2">
        <v>0.93400000000000005</v>
      </c>
      <c r="E3418" s="2">
        <v>73</v>
      </c>
      <c r="F3418" s="2" t="s">
        <v>732</v>
      </c>
    </row>
    <row r="3419" spans="1:6" ht="25.5">
      <c r="A3419" s="2">
        <v>3416</v>
      </c>
      <c r="B3419" s="2" t="s">
        <v>3496</v>
      </c>
      <c r="C3419" s="2" t="str">
        <f>"00092819"</f>
        <v>00092819</v>
      </c>
      <c r="D3419" s="2">
        <v>0.61199999999999999</v>
      </c>
      <c r="E3419" s="2">
        <v>23</v>
      </c>
      <c r="F3419" s="2" t="s">
        <v>12</v>
      </c>
    </row>
    <row r="3420" spans="1:6" ht="25.5">
      <c r="A3420" s="2">
        <v>3417</v>
      </c>
      <c r="B3420" s="2" t="s">
        <v>3497</v>
      </c>
      <c r="C3420" s="2" t="str">
        <f>"15222640"</f>
        <v>15222640</v>
      </c>
      <c r="D3420" s="2">
        <v>0.309</v>
      </c>
      <c r="E3420" s="2">
        <v>20</v>
      </c>
      <c r="F3420" s="2" t="s">
        <v>12</v>
      </c>
    </row>
    <row r="3421" spans="1:6" ht="25.5">
      <c r="A3421" s="2">
        <v>3418</v>
      </c>
      <c r="B3421" s="2" t="s">
        <v>3498</v>
      </c>
      <c r="C3421" s="2" t="str">
        <f>"15213781"</f>
        <v>15213781</v>
      </c>
      <c r="D3421" s="2">
        <v>0.224</v>
      </c>
      <c r="E3421" s="2">
        <v>16</v>
      </c>
      <c r="F3421" s="2" t="s">
        <v>12</v>
      </c>
    </row>
    <row r="3422" spans="1:6" ht="25.5">
      <c r="A3422" s="2">
        <v>3419</v>
      </c>
      <c r="B3422" s="2" t="s">
        <v>3499</v>
      </c>
      <c r="C3422" s="2" t="str">
        <f>"02357216"</f>
        <v>02357216</v>
      </c>
      <c r="D3422" s="2">
        <v>0.14599999999999999</v>
      </c>
      <c r="E3422" s="2">
        <v>5</v>
      </c>
      <c r="F3422" s="2" t="s">
        <v>426</v>
      </c>
    </row>
    <row r="3423" spans="1:6" ht="25.5">
      <c r="A3423" s="2">
        <v>3420</v>
      </c>
      <c r="B3423" s="2" t="s">
        <v>3500</v>
      </c>
      <c r="C3423" s="2" t="str">
        <f>"08619255"</f>
        <v>08619255</v>
      </c>
      <c r="D3423" s="2">
        <v>0.187</v>
      </c>
      <c r="E3423" s="2">
        <v>6</v>
      </c>
      <c r="F3423" s="2" t="s">
        <v>293</v>
      </c>
    </row>
    <row r="3424" spans="1:6" ht="25.5">
      <c r="A3424" s="2">
        <v>3421</v>
      </c>
      <c r="B3424" s="2" t="s">
        <v>3501</v>
      </c>
      <c r="C3424" s="2" t="str">
        <f>"15213765"</f>
        <v>15213765</v>
      </c>
      <c r="D3424" s="2">
        <v>2.4380000000000002</v>
      </c>
      <c r="E3424" s="2">
        <v>146</v>
      </c>
      <c r="F3424" s="2" t="s">
        <v>12</v>
      </c>
    </row>
    <row r="3425" spans="1:6" ht="25.5">
      <c r="A3425" s="2">
        <v>3422</v>
      </c>
      <c r="B3425" s="2" t="s">
        <v>3502</v>
      </c>
      <c r="C3425" s="2" t="str">
        <f>"18614728"</f>
        <v>18614728</v>
      </c>
      <c r="D3425" s="2">
        <v>1.9410000000000001</v>
      </c>
      <c r="E3425" s="2">
        <v>49</v>
      </c>
      <c r="F3425" s="2" t="s">
        <v>16</v>
      </c>
    </row>
    <row r="3426" spans="1:6" ht="25.5">
      <c r="A3426" s="2">
        <v>3423</v>
      </c>
      <c r="B3426" s="2" t="s">
        <v>3503</v>
      </c>
      <c r="C3426" s="2" t="str">
        <f>"16121880"</f>
        <v>16121880</v>
      </c>
      <c r="D3426" s="2">
        <v>0.54100000000000004</v>
      </c>
      <c r="E3426" s="2">
        <v>35</v>
      </c>
      <c r="F3426" s="2" t="s">
        <v>12</v>
      </c>
    </row>
    <row r="3427" spans="1:6" ht="25.5">
      <c r="A3427" s="2">
        <v>3424</v>
      </c>
      <c r="B3427" s="2" t="s">
        <v>3504</v>
      </c>
      <c r="C3427" s="2" t="str">
        <f>"10745521"</f>
        <v>10745521</v>
      </c>
      <c r="D3427" s="2">
        <v>2.258</v>
      </c>
      <c r="E3427" s="2">
        <v>123</v>
      </c>
      <c r="F3427" s="2" t="s">
        <v>6</v>
      </c>
    </row>
    <row r="3428" spans="1:6" ht="25.5">
      <c r="A3428" s="2">
        <v>3425</v>
      </c>
      <c r="B3428" s="2" t="s">
        <v>3505</v>
      </c>
      <c r="C3428" s="2" t="str">
        <f>"19964196"</f>
        <v>19964196</v>
      </c>
      <c r="D3428" s="2">
        <v>0</v>
      </c>
      <c r="E3428" s="2">
        <v>1</v>
      </c>
      <c r="F3428" s="2" t="s">
        <v>438</v>
      </c>
    </row>
    <row r="3429" spans="1:6" ht="25.5">
      <c r="A3429" s="2">
        <v>3426</v>
      </c>
      <c r="B3429" s="2" t="s">
        <v>3506</v>
      </c>
      <c r="C3429" s="2" t="str">
        <f>"02757540"</f>
        <v>02757540</v>
      </c>
      <c r="D3429" s="2">
        <v>0.34899999999999998</v>
      </c>
      <c r="E3429" s="2">
        <v>16</v>
      </c>
      <c r="F3429" s="2" t="s">
        <v>16</v>
      </c>
    </row>
    <row r="3430" spans="1:6" ht="25.5">
      <c r="A3430" s="2">
        <v>3427</v>
      </c>
      <c r="B3430" s="2" t="s">
        <v>3507</v>
      </c>
      <c r="C3430" s="2" t="str">
        <f>"00093084"</f>
        <v>00093084</v>
      </c>
      <c r="D3430" s="2">
        <v>0.69399999999999995</v>
      </c>
      <c r="E3430" s="2">
        <v>66</v>
      </c>
      <c r="F3430" s="2" t="s">
        <v>732</v>
      </c>
    </row>
    <row r="3431" spans="1:6" ht="25.5">
      <c r="A3431" s="2">
        <v>3428</v>
      </c>
      <c r="B3431" s="2" t="s">
        <v>3508</v>
      </c>
      <c r="C3431" s="2" t="str">
        <f>"15738310"</f>
        <v>15738310</v>
      </c>
      <c r="D3431" s="2">
        <v>0.15</v>
      </c>
      <c r="E3431" s="2">
        <v>6</v>
      </c>
      <c r="F3431" s="2" t="s">
        <v>12</v>
      </c>
    </row>
    <row r="3432" spans="1:6" ht="25.5">
      <c r="A3432" s="2">
        <v>3429</v>
      </c>
      <c r="B3432" s="2" t="s">
        <v>3509</v>
      </c>
      <c r="C3432" s="2" t="str">
        <f>"04413776"</f>
        <v>04413776</v>
      </c>
      <c r="D3432" s="2">
        <v>0.106</v>
      </c>
      <c r="E3432" s="2">
        <v>7</v>
      </c>
      <c r="F3432" s="2" t="s">
        <v>46</v>
      </c>
    </row>
    <row r="3433" spans="1:6" ht="25.5">
      <c r="A3433" s="2">
        <v>3430</v>
      </c>
      <c r="B3433" s="2" t="s">
        <v>3510</v>
      </c>
      <c r="C3433" s="2" t="str">
        <f>"1752153X"</f>
        <v>1752153X</v>
      </c>
      <c r="D3433" s="2">
        <v>0.30499999999999999</v>
      </c>
      <c r="E3433" s="2">
        <v>14</v>
      </c>
      <c r="F3433" s="2" t="s">
        <v>16</v>
      </c>
    </row>
    <row r="3434" spans="1:6" ht="25.5">
      <c r="A3434" s="2">
        <v>3431</v>
      </c>
      <c r="B3434" s="2" t="s">
        <v>3511</v>
      </c>
      <c r="C3434" s="2" t="str">
        <f>"11094028"</f>
        <v>11094028</v>
      </c>
      <c r="D3434" s="2">
        <v>0.88800000000000001</v>
      </c>
      <c r="E3434" s="2">
        <v>12</v>
      </c>
      <c r="F3434" s="2" t="s">
        <v>313</v>
      </c>
    </row>
    <row r="3435" spans="1:6" ht="25.5">
      <c r="A3435" s="2">
        <v>3432</v>
      </c>
      <c r="B3435" s="2" t="s">
        <v>3512</v>
      </c>
      <c r="C3435" s="2" t="str">
        <f>"03667022"</f>
        <v>03667022</v>
      </c>
      <c r="D3435" s="2">
        <v>0.67200000000000004</v>
      </c>
      <c r="E3435" s="2">
        <v>74</v>
      </c>
      <c r="F3435" s="2" t="s">
        <v>131</v>
      </c>
    </row>
    <row r="3436" spans="1:6" ht="25.5">
      <c r="A3436" s="2">
        <v>3433</v>
      </c>
      <c r="B3436" s="2" t="s">
        <v>3513</v>
      </c>
      <c r="C3436" s="2" t="str">
        <f>"15738353"</f>
        <v>15738353</v>
      </c>
      <c r="D3436" s="2">
        <v>0.185</v>
      </c>
      <c r="E3436" s="2">
        <v>19</v>
      </c>
      <c r="F3436" s="2" t="s">
        <v>6</v>
      </c>
    </row>
    <row r="3437" spans="1:6" ht="25.5">
      <c r="A3437" s="2">
        <v>3434</v>
      </c>
      <c r="B3437" s="2" t="s">
        <v>3514</v>
      </c>
      <c r="C3437" s="2" t="str">
        <f>"15205002"</f>
        <v>15205002</v>
      </c>
      <c r="D3437" s="2">
        <v>3.6</v>
      </c>
      <c r="E3437" s="2">
        <v>218</v>
      </c>
      <c r="F3437" s="2" t="s">
        <v>6</v>
      </c>
    </row>
    <row r="3438" spans="1:6" ht="25.5">
      <c r="A3438" s="2">
        <v>3435</v>
      </c>
      <c r="B3438" s="2" t="s">
        <v>3515</v>
      </c>
      <c r="C3438" s="2" t="str">
        <f>"15738388"</f>
        <v>15738388</v>
      </c>
      <c r="D3438" s="2">
        <v>0.24099999999999999</v>
      </c>
      <c r="E3438" s="2">
        <v>17</v>
      </c>
      <c r="F3438" s="2" t="s">
        <v>6</v>
      </c>
    </row>
    <row r="3439" spans="1:6" ht="25.5">
      <c r="A3439" s="2">
        <v>3436</v>
      </c>
      <c r="B3439" s="2" t="s">
        <v>3516</v>
      </c>
      <c r="C3439" s="2" t="str">
        <f>"18607187"</f>
        <v>18607187</v>
      </c>
      <c r="D3439" s="2">
        <v>0.95199999999999996</v>
      </c>
      <c r="E3439" s="2">
        <v>42</v>
      </c>
      <c r="F3439" s="2" t="s">
        <v>16</v>
      </c>
    </row>
    <row r="3440" spans="1:6" ht="25.5">
      <c r="A3440" s="2">
        <v>3437</v>
      </c>
      <c r="B3440" s="2" t="s">
        <v>3517</v>
      </c>
      <c r="C3440" s="2" t="str">
        <f>"14230445"</f>
        <v>14230445</v>
      </c>
      <c r="D3440" s="2">
        <v>0.76400000000000001</v>
      </c>
      <c r="E3440" s="2">
        <v>32</v>
      </c>
      <c r="F3440" s="2" t="s">
        <v>31</v>
      </c>
    </row>
    <row r="3441" spans="1:6" ht="25.5">
      <c r="A3441" s="2">
        <v>3438</v>
      </c>
      <c r="B3441" s="2" t="s">
        <v>3518</v>
      </c>
      <c r="C3441" s="2" t="str">
        <f>"01697439"</f>
        <v>01697439</v>
      </c>
      <c r="D3441" s="2">
        <v>0.78700000000000003</v>
      </c>
      <c r="E3441" s="2">
        <v>74</v>
      </c>
      <c r="F3441" s="2" t="s">
        <v>75</v>
      </c>
    </row>
    <row r="3442" spans="1:6" ht="25.5">
      <c r="A3442" s="2">
        <v>3439</v>
      </c>
      <c r="B3442" s="2" t="s">
        <v>3519</v>
      </c>
      <c r="C3442" s="2" t="str">
        <f>"19365802"</f>
        <v>19365802</v>
      </c>
      <c r="D3442" s="2">
        <v>0.42899999999999999</v>
      </c>
      <c r="E3442" s="2">
        <v>7</v>
      </c>
      <c r="F3442" s="2" t="s">
        <v>6</v>
      </c>
    </row>
    <row r="3443" spans="1:6" ht="25.5">
      <c r="A3443" s="2">
        <v>3440</v>
      </c>
      <c r="B3443" s="2" t="s">
        <v>3520</v>
      </c>
      <c r="C3443" s="2" t="str">
        <f>"00456535"</f>
        <v>00456535</v>
      </c>
      <c r="D3443" s="2">
        <v>1.554</v>
      </c>
      <c r="E3443" s="2">
        <v>125</v>
      </c>
      <c r="F3443" s="2" t="s">
        <v>16</v>
      </c>
    </row>
    <row r="3444" spans="1:6" ht="25.5">
      <c r="A3444" s="2">
        <v>3441</v>
      </c>
      <c r="B3444" s="2" t="s">
        <v>3521</v>
      </c>
      <c r="C3444" s="2" t="str">
        <f>"09406735"</f>
        <v>09406735</v>
      </c>
      <c r="D3444" s="2">
        <v>0.17399999999999999</v>
      </c>
      <c r="E3444" s="2">
        <v>13</v>
      </c>
      <c r="F3444" s="2" t="s">
        <v>12</v>
      </c>
    </row>
    <row r="3445" spans="1:6" ht="25.5">
      <c r="A3445" s="2">
        <v>3442</v>
      </c>
      <c r="B3445" s="2" t="s">
        <v>3522</v>
      </c>
      <c r="C3445" s="2" t="str">
        <f>"14219794"</f>
        <v>14219794</v>
      </c>
      <c r="D3445" s="2">
        <v>0.63400000000000001</v>
      </c>
      <c r="E3445" s="2">
        <v>39</v>
      </c>
      <c r="F3445" s="2" t="s">
        <v>31</v>
      </c>
    </row>
    <row r="3446" spans="1:6" ht="25.5">
      <c r="A3446" s="2">
        <v>3443</v>
      </c>
      <c r="B3446" s="2" t="s">
        <v>3523</v>
      </c>
      <c r="C3446" s="2" t="str">
        <f>"14397641"</f>
        <v>14397641</v>
      </c>
      <c r="D3446" s="2">
        <v>1.514</v>
      </c>
      <c r="E3446" s="2">
        <v>80</v>
      </c>
      <c r="F3446" s="2" t="s">
        <v>12</v>
      </c>
    </row>
    <row r="3447" spans="1:6" ht="25.5">
      <c r="A3447" s="2">
        <v>3444</v>
      </c>
      <c r="B3447" s="2" t="s">
        <v>3524</v>
      </c>
      <c r="C3447" s="2" t="str">
        <f>"21926506"</f>
        <v>21926506</v>
      </c>
      <c r="D3447" s="2">
        <v>0.374</v>
      </c>
      <c r="E3447" s="2">
        <v>37</v>
      </c>
      <c r="F3447" s="2" t="s">
        <v>12</v>
      </c>
    </row>
    <row r="3448" spans="1:6" ht="25.5">
      <c r="A3448" s="2">
        <v>3445</v>
      </c>
      <c r="B3448" s="2" t="s">
        <v>3525</v>
      </c>
      <c r="C3448" s="2" t="str">
        <f>"1864564X"</f>
        <v>1864564X</v>
      </c>
      <c r="D3448" s="2">
        <v>2.5979999999999999</v>
      </c>
      <c r="E3448" s="2">
        <v>47</v>
      </c>
      <c r="F3448" s="2" t="s">
        <v>12</v>
      </c>
    </row>
    <row r="3449" spans="1:6" ht="25.5">
      <c r="A3449" s="2">
        <v>3446</v>
      </c>
      <c r="B3449" s="2" t="s">
        <v>3526</v>
      </c>
      <c r="C3449" s="2" t="str">
        <f>"00123692"</f>
        <v>00123692</v>
      </c>
      <c r="D3449" s="2">
        <v>2.0310000000000001</v>
      </c>
      <c r="E3449" s="2">
        <v>185</v>
      </c>
      <c r="F3449" s="2" t="s">
        <v>6</v>
      </c>
    </row>
    <row r="3450" spans="1:6" ht="25.5">
      <c r="A3450" s="2">
        <v>3447</v>
      </c>
      <c r="B3450" s="2" t="s">
        <v>3527</v>
      </c>
      <c r="C3450" s="2" t="str">
        <f>"01252526"</f>
        <v>01252526</v>
      </c>
      <c r="D3450" s="2">
        <v>0.23799999999999999</v>
      </c>
      <c r="E3450" s="2">
        <v>6</v>
      </c>
      <c r="F3450" s="2" t="s">
        <v>1966</v>
      </c>
    </row>
    <row r="3451" spans="1:6" ht="25.5">
      <c r="A3451" s="2">
        <v>3448</v>
      </c>
      <c r="B3451" s="2" t="s">
        <v>3528</v>
      </c>
      <c r="C3451" s="2" t="str">
        <f>"16851994"</f>
        <v>16851994</v>
      </c>
      <c r="D3451" s="2">
        <v>0.13600000000000001</v>
      </c>
      <c r="E3451" s="2">
        <v>3</v>
      </c>
      <c r="F3451" s="2" t="s">
        <v>1966</v>
      </c>
    </row>
    <row r="3452" spans="1:6" ht="25.5">
      <c r="A3452" s="2">
        <v>3449</v>
      </c>
      <c r="B3452" s="2" t="s">
        <v>3529</v>
      </c>
      <c r="C3452" s="2" t="str">
        <f>"03035476"</f>
        <v>03035476</v>
      </c>
      <c r="D3452" s="2">
        <v>0.111</v>
      </c>
      <c r="E3452" s="2">
        <v>2</v>
      </c>
      <c r="F3452" s="2" t="s">
        <v>131</v>
      </c>
    </row>
    <row r="3453" spans="1:6" ht="25.5">
      <c r="A3453" s="2">
        <v>3450</v>
      </c>
      <c r="B3453" s="2" t="s">
        <v>3530</v>
      </c>
      <c r="C3453" s="2" t="str">
        <f>"00093696"</f>
        <v>00093696</v>
      </c>
      <c r="D3453" s="2">
        <v>0.11799999999999999</v>
      </c>
      <c r="E3453" s="2">
        <v>2</v>
      </c>
      <c r="F3453" s="2" t="s">
        <v>6</v>
      </c>
    </row>
    <row r="3454" spans="1:6" ht="25.5">
      <c r="A3454" s="2">
        <v>3451</v>
      </c>
      <c r="B3454" s="2" t="s">
        <v>3531</v>
      </c>
      <c r="C3454" s="2" t="str">
        <f>"03891755"</f>
        <v>03891755</v>
      </c>
      <c r="D3454" s="2">
        <v>0.14399999999999999</v>
      </c>
      <c r="E3454" s="2">
        <v>9</v>
      </c>
      <c r="F3454" s="2" t="s">
        <v>131</v>
      </c>
    </row>
    <row r="3455" spans="1:6" ht="25.5">
      <c r="A3455" s="2">
        <v>3452</v>
      </c>
      <c r="B3455" s="2" t="s">
        <v>3532</v>
      </c>
      <c r="C3455" s="2" t="str">
        <f>"01452134"</f>
        <v>01452134</v>
      </c>
      <c r="D3455" s="2">
        <v>1.0349999999999999</v>
      </c>
      <c r="E3455" s="2">
        <v>76</v>
      </c>
      <c r="F3455" s="2" t="s">
        <v>16</v>
      </c>
    </row>
    <row r="3456" spans="1:6" ht="25.5">
      <c r="A3456" s="2">
        <v>3453</v>
      </c>
      <c r="B3456" s="2" t="s">
        <v>3533</v>
      </c>
      <c r="C3456" s="2" t="str">
        <f>"09529136"</f>
        <v>09529136</v>
      </c>
      <c r="D3456" s="2">
        <v>0.33400000000000002</v>
      </c>
      <c r="E3456" s="2">
        <v>12</v>
      </c>
      <c r="F3456" s="2" t="s">
        <v>16</v>
      </c>
    </row>
    <row r="3457" spans="1:6" ht="25.5">
      <c r="A3457" s="2">
        <v>3454</v>
      </c>
      <c r="B3457" s="2" t="s">
        <v>3534</v>
      </c>
      <c r="C3457" s="2" t="str">
        <f>"14753588"</f>
        <v>14753588</v>
      </c>
      <c r="D3457" s="2">
        <v>0.35199999999999998</v>
      </c>
      <c r="E3457" s="2">
        <v>17</v>
      </c>
      <c r="F3457" s="2" t="s">
        <v>16</v>
      </c>
    </row>
    <row r="3458" spans="1:6" ht="25.5">
      <c r="A3458" s="2">
        <v>3455</v>
      </c>
      <c r="B3458" s="2" t="s">
        <v>3535</v>
      </c>
      <c r="C3458" s="2" t="str">
        <f>"10564993"</f>
        <v>10564993</v>
      </c>
      <c r="D3458" s="2">
        <v>0.71799999999999997</v>
      </c>
      <c r="E3458" s="2">
        <v>44</v>
      </c>
      <c r="F3458" s="2" t="s">
        <v>16</v>
      </c>
    </row>
    <row r="3459" spans="1:6" ht="25.5">
      <c r="A3459" s="2">
        <v>3456</v>
      </c>
      <c r="B3459" s="2" t="s">
        <v>3536</v>
      </c>
      <c r="C3459" s="2" t="str">
        <f>"17532000"</f>
        <v>17532000</v>
      </c>
      <c r="D3459" s="2">
        <v>0.71399999999999997</v>
      </c>
      <c r="E3459" s="2">
        <v>15</v>
      </c>
      <c r="F3459" s="2" t="s">
        <v>16</v>
      </c>
    </row>
    <row r="3460" spans="1:6" ht="25.5">
      <c r="A3460" s="2">
        <v>3457</v>
      </c>
      <c r="B3460" s="2" t="s">
        <v>3537</v>
      </c>
      <c r="C3460" s="2" t="str">
        <f>"15732797"</f>
        <v>15732797</v>
      </c>
      <c r="D3460" s="2">
        <v>0.26</v>
      </c>
      <c r="E3460" s="2">
        <v>23</v>
      </c>
      <c r="F3460" s="2" t="s">
        <v>6</v>
      </c>
    </row>
    <row r="3461" spans="1:6" ht="25.5">
      <c r="A3461" s="2">
        <v>3458</v>
      </c>
      <c r="B3461" s="2" t="s">
        <v>3538</v>
      </c>
      <c r="C3461" s="2" t="str">
        <f>"1545228X"</f>
        <v>1545228X</v>
      </c>
      <c r="D3461" s="2">
        <v>0.55900000000000005</v>
      </c>
      <c r="E3461" s="2">
        <v>17</v>
      </c>
      <c r="F3461" s="2" t="s">
        <v>6</v>
      </c>
    </row>
    <row r="3462" spans="1:6" ht="25.5">
      <c r="A3462" s="2">
        <v>3459</v>
      </c>
      <c r="B3462" s="2" t="s">
        <v>3539</v>
      </c>
      <c r="C3462" s="2" t="str">
        <f>"13567500"</f>
        <v>13567500</v>
      </c>
      <c r="D3462" s="2">
        <v>0.76</v>
      </c>
      <c r="E3462" s="2">
        <v>23</v>
      </c>
      <c r="F3462" s="2" t="s">
        <v>16</v>
      </c>
    </row>
    <row r="3463" spans="1:6" ht="25.5">
      <c r="A3463" s="2">
        <v>3460</v>
      </c>
      <c r="B3463" s="2" t="s">
        <v>3540</v>
      </c>
      <c r="C3463" s="2" t="str">
        <f>"15733319"</f>
        <v>15733319</v>
      </c>
      <c r="D3463" s="2">
        <v>0.47</v>
      </c>
      <c r="E3463" s="2">
        <v>15</v>
      </c>
      <c r="F3463" s="2" t="s">
        <v>6</v>
      </c>
    </row>
    <row r="3464" spans="1:6" ht="25.5">
      <c r="A3464" s="2">
        <v>3461</v>
      </c>
      <c r="B3464" s="2" t="s">
        <v>3541</v>
      </c>
      <c r="C3464" s="2" t="str">
        <f>"15452298"</f>
        <v>15452298</v>
      </c>
      <c r="D3464" s="2">
        <v>0.11899999999999999</v>
      </c>
      <c r="E3464" s="2">
        <v>1</v>
      </c>
      <c r="F3464" s="2" t="s">
        <v>6</v>
      </c>
    </row>
    <row r="3465" spans="1:6" ht="25.5">
      <c r="A3465" s="2">
        <v>3462</v>
      </c>
      <c r="B3465" s="2" t="s">
        <v>3542</v>
      </c>
      <c r="C3465" s="2" t="str">
        <f>"13652214"</f>
        <v>13652214</v>
      </c>
      <c r="D3465" s="2">
        <v>0.626</v>
      </c>
      <c r="E3465" s="2">
        <v>44</v>
      </c>
      <c r="F3465" s="2" t="s">
        <v>16</v>
      </c>
    </row>
    <row r="3466" spans="1:6" ht="25.5">
      <c r="A3466" s="2">
        <v>3463</v>
      </c>
      <c r="B3466" s="2" t="s">
        <v>3543</v>
      </c>
      <c r="C3466" s="2" t="str">
        <f>"13575279"</f>
        <v>13575279</v>
      </c>
      <c r="D3466" s="2">
        <v>0.18099999999999999</v>
      </c>
      <c r="E3466" s="2">
        <v>5</v>
      </c>
      <c r="F3466" s="2" t="s">
        <v>6</v>
      </c>
    </row>
    <row r="3467" spans="1:6" ht="25.5">
      <c r="A3467" s="2">
        <v>3464</v>
      </c>
      <c r="B3467" s="2" t="s">
        <v>3544</v>
      </c>
      <c r="C3467" s="2" t="str">
        <f>"14678624"</f>
        <v>14678624</v>
      </c>
      <c r="D3467" s="2">
        <v>2.8860000000000001</v>
      </c>
      <c r="E3467" s="2">
        <v>138</v>
      </c>
      <c r="F3467" s="2" t="s">
        <v>16</v>
      </c>
    </row>
    <row r="3468" spans="1:6" ht="25.5">
      <c r="A3468" s="2">
        <v>3465</v>
      </c>
      <c r="B3468" s="2" t="s">
        <v>3545</v>
      </c>
      <c r="C3468" s="2" t="str">
        <f>"17508606"</f>
        <v>17508606</v>
      </c>
      <c r="D3468" s="2">
        <v>1.1539999999999999</v>
      </c>
      <c r="E3468" s="2">
        <v>14</v>
      </c>
      <c r="F3468" s="2" t="s">
        <v>16</v>
      </c>
    </row>
    <row r="3469" spans="1:6" ht="25.5">
      <c r="A3469" s="2">
        <v>3466</v>
      </c>
      <c r="B3469" s="2" t="s">
        <v>3546</v>
      </c>
      <c r="C3469" s="2" t="str">
        <f>"14617013"</f>
        <v>14617013</v>
      </c>
      <c r="D3469" s="2">
        <v>0.77200000000000002</v>
      </c>
      <c r="E3469" s="2">
        <v>32</v>
      </c>
      <c r="F3469" s="2" t="s">
        <v>16</v>
      </c>
    </row>
    <row r="3470" spans="1:6" ht="25.5">
      <c r="A3470" s="2">
        <v>3467</v>
      </c>
      <c r="B3470" s="2" t="s">
        <v>3547</v>
      </c>
      <c r="C3470" s="2" t="str">
        <f>"18748988"</f>
        <v>18748988</v>
      </c>
      <c r="D3470" s="2">
        <v>0.23599999999999999</v>
      </c>
      <c r="E3470" s="2">
        <v>3</v>
      </c>
      <c r="F3470" s="2" t="s">
        <v>75</v>
      </c>
    </row>
    <row r="3471" spans="1:6" ht="25.5">
      <c r="A3471" s="2">
        <v>3468</v>
      </c>
      <c r="B3471" s="2" t="s">
        <v>3548</v>
      </c>
      <c r="C3471" s="2" t="str">
        <f>"02656590"</f>
        <v>02656590</v>
      </c>
      <c r="D3471" s="2">
        <v>0.57399999999999995</v>
      </c>
      <c r="E3471" s="2">
        <v>15</v>
      </c>
      <c r="F3471" s="2" t="s">
        <v>16</v>
      </c>
    </row>
    <row r="3472" spans="1:6" ht="25.5">
      <c r="A3472" s="2">
        <v>3469</v>
      </c>
      <c r="B3472" s="2" t="s">
        <v>3549</v>
      </c>
      <c r="C3472" s="2" t="str">
        <f>"10775595"</f>
        <v>10775595</v>
      </c>
      <c r="D3472" s="2">
        <v>1.389</v>
      </c>
      <c r="E3472" s="2">
        <v>45</v>
      </c>
      <c r="F3472" s="2" t="s">
        <v>6</v>
      </c>
    </row>
    <row r="3473" spans="1:6" ht="25.5">
      <c r="A3473" s="2">
        <v>3470</v>
      </c>
      <c r="B3473" s="2" t="s">
        <v>3550</v>
      </c>
      <c r="C3473" s="2" t="str">
        <f>"09297049"</f>
        <v>09297049</v>
      </c>
      <c r="D3473" s="2">
        <v>0.86799999999999999</v>
      </c>
      <c r="E3473" s="2">
        <v>41</v>
      </c>
      <c r="F3473" s="2" t="s">
        <v>16</v>
      </c>
    </row>
    <row r="3474" spans="1:6" ht="25.5">
      <c r="A3474" s="2">
        <v>3471</v>
      </c>
      <c r="B3474" s="2" t="s">
        <v>3551</v>
      </c>
      <c r="C3474" s="2" t="str">
        <f>"15733327"</f>
        <v>15733327</v>
      </c>
      <c r="D3474" s="2">
        <v>0.79</v>
      </c>
      <c r="E3474" s="2">
        <v>27</v>
      </c>
      <c r="F3474" s="2" t="s">
        <v>6</v>
      </c>
    </row>
    <row r="3475" spans="1:6" ht="25.5">
      <c r="A3475" s="2">
        <v>3472</v>
      </c>
      <c r="B3475" s="2" t="s">
        <v>3552</v>
      </c>
      <c r="C3475" s="2" t="str">
        <f>"15328759"</f>
        <v>15328759</v>
      </c>
      <c r="D3475" s="2">
        <v>0.29499999999999998</v>
      </c>
      <c r="E3475" s="2">
        <v>12</v>
      </c>
      <c r="F3475" s="2" t="s">
        <v>6</v>
      </c>
    </row>
    <row r="3476" spans="1:6" ht="25.5">
      <c r="A3476" s="2">
        <v>3473</v>
      </c>
      <c r="B3476" s="2" t="s">
        <v>3553</v>
      </c>
      <c r="C3476" s="2" t="str">
        <f>"10990860"</f>
        <v>10990860</v>
      </c>
      <c r="D3476" s="2">
        <v>0.49</v>
      </c>
      <c r="E3476" s="2">
        <v>19</v>
      </c>
      <c r="F3476" s="2" t="s">
        <v>16</v>
      </c>
    </row>
    <row r="3477" spans="1:6" ht="25.5">
      <c r="A3477" s="2">
        <v>3474</v>
      </c>
      <c r="B3477" s="2" t="s">
        <v>3554</v>
      </c>
      <c r="C3477" s="2" t="str">
        <f>"01907409"</f>
        <v>01907409</v>
      </c>
      <c r="D3477" s="2">
        <v>0.71499999999999997</v>
      </c>
      <c r="E3477" s="2">
        <v>41</v>
      </c>
      <c r="F3477" s="2" t="s">
        <v>16</v>
      </c>
    </row>
    <row r="3478" spans="1:6" ht="25.5">
      <c r="A3478" s="2">
        <v>3475</v>
      </c>
      <c r="B3478" s="2" t="s">
        <v>3555</v>
      </c>
      <c r="C3478" s="2" t="str">
        <f>"14733285"</f>
        <v>14733285</v>
      </c>
      <c r="D3478" s="2">
        <v>0.85599999999999998</v>
      </c>
      <c r="E3478" s="2">
        <v>24</v>
      </c>
      <c r="F3478" s="2" t="s">
        <v>16</v>
      </c>
    </row>
    <row r="3479" spans="1:6" ht="25.5">
      <c r="A3479" s="2">
        <v>3476</v>
      </c>
      <c r="B3479" s="2" t="s">
        <v>3556</v>
      </c>
      <c r="C3479" s="2" t="str">
        <f>"15326888"</f>
        <v>15326888</v>
      </c>
      <c r="D3479" s="2">
        <v>0.36699999999999999</v>
      </c>
      <c r="E3479" s="2">
        <v>23</v>
      </c>
      <c r="F3479" s="2" t="s">
        <v>6</v>
      </c>
    </row>
    <row r="3480" spans="1:6" ht="25.5">
      <c r="A3480" s="2">
        <v>3477</v>
      </c>
      <c r="B3480" s="2" t="s">
        <v>3557</v>
      </c>
      <c r="C3480" s="2" t="str">
        <f>"00456713"</f>
        <v>00456713</v>
      </c>
      <c r="D3480" s="2">
        <v>0.158</v>
      </c>
      <c r="E3480" s="2">
        <v>6</v>
      </c>
      <c r="F3480" s="2" t="s">
        <v>75</v>
      </c>
    </row>
    <row r="3481" spans="1:6" ht="25.5">
      <c r="A3481" s="2">
        <v>3478</v>
      </c>
      <c r="B3481" s="2" t="s">
        <v>3558</v>
      </c>
      <c r="C3481" s="2" t="str">
        <f>"14330350"</f>
        <v>14330350</v>
      </c>
      <c r="D3481" s="2">
        <v>0.59399999999999997</v>
      </c>
      <c r="E3481" s="2">
        <v>48</v>
      </c>
      <c r="F3481" s="2" t="s">
        <v>12</v>
      </c>
    </row>
    <row r="3482" spans="1:6" ht="25.5">
      <c r="A3482" s="2">
        <v>3479</v>
      </c>
      <c r="B3482" s="2" t="s">
        <v>3559</v>
      </c>
      <c r="C3482" s="2" t="str">
        <f>"00094021"</f>
        <v>00094021</v>
      </c>
      <c r="D3482" s="2">
        <v>0.58199999999999996</v>
      </c>
      <c r="E3482" s="2">
        <v>32</v>
      </c>
      <c r="F3482" s="2" t="s">
        <v>6</v>
      </c>
    </row>
    <row r="3483" spans="1:6" ht="25.5">
      <c r="A3483" s="2">
        <v>3480</v>
      </c>
      <c r="B3483" s="2" t="s">
        <v>3560</v>
      </c>
      <c r="C3483" s="2" t="str">
        <f>"07185820"</f>
        <v>07185820</v>
      </c>
      <c r="D3483" s="2">
        <v>0.26400000000000001</v>
      </c>
      <c r="E3483" s="2">
        <v>8</v>
      </c>
      <c r="F3483" s="2" t="s">
        <v>182</v>
      </c>
    </row>
    <row r="3484" spans="1:6" ht="25.5">
      <c r="A3484" s="2">
        <v>3481</v>
      </c>
      <c r="B3484" s="2" t="s">
        <v>3561</v>
      </c>
      <c r="C3484" s="2" t="str">
        <f>"00094293"</f>
        <v>00094293</v>
      </c>
      <c r="D3484" s="2">
        <v>0.39900000000000002</v>
      </c>
      <c r="E3484" s="2">
        <v>39</v>
      </c>
      <c r="F3484" s="2" t="s">
        <v>31</v>
      </c>
    </row>
    <row r="3485" spans="1:6" ht="25.5">
      <c r="A3485" s="2">
        <v>3482</v>
      </c>
      <c r="B3485" s="2" t="s">
        <v>3562</v>
      </c>
      <c r="C3485" s="2" t="str">
        <f>"0392839X"</f>
        <v>0392839X</v>
      </c>
      <c r="D3485" s="2">
        <v>0.22</v>
      </c>
      <c r="E3485" s="2">
        <v>16</v>
      </c>
      <c r="F3485" s="2" t="s">
        <v>190</v>
      </c>
    </row>
    <row r="3486" spans="1:6" ht="25.5">
      <c r="A3486" s="2">
        <v>3483</v>
      </c>
      <c r="B3486" s="2" t="s">
        <v>3563</v>
      </c>
      <c r="C3486" s="2" t="str">
        <f>"1756137X"</f>
        <v>1756137X</v>
      </c>
      <c r="D3486" s="2">
        <v>0.315</v>
      </c>
      <c r="E3486" s="2">
        <v>4</v>
      </c>
      <c r="F3486" s="2" t="s">
        <v>16</v>
      </c>
    </row>
    <row r="3487" spans="1:6" ht="25.5">
      <c r="A3487" s="2">
        <v>3484</v>
      </c>
      <c r="B3487" s="2" t="s">
        <v>3564</v>
      </c>
      <c r="C3487" s="2" t="str">
        <f>"16712234"</f>
        <v>16712234</v>
      </c>
      <c r="D3487" s="2">
        <v>0.44900000000000001</v>
      </c>
      <c r="E3487" s="2">
        <v>10</v>
      </c>
      <c r="F3487" s="2" t="s">
        <v>16</v>
      </c>
    </row>
    <row r="3488" spans="1:6" ht="25.5">
      <c r="A3488" s="2">
        <v>3485</v>
      </c>
      <c r="B3488" s="2" t="s">
        <v>3565</v>
      </c>
      <c r="C3488" s="2" t="str">
        <f>"02197472"</f>
        <v>02197472</v>
      </c>
      <c r="D3488" s="2">
        <v>0.19900000000000001</v>
      </c>
      <c r="E3488" s="2">
        <v>3</v>
      </c>
      <c r="F3488" s="2" t="s">
        <v>543</v>
      </c>
    </row>
    <row r="3489" spans="1:6" ht="25.5">
      <c r="A3489" s="2">
        <v>3486</v>
      </c>
      <c r="B3489" s="2" t="s">
        <v>3566</v>
      </c>
      <c r="C3489" s="2" t="str">
        <f>"01637169"</f>
        <v>01637169</v>
      </c>
      <c r="D3489" s="2">
        <v>0.11</v>
      </c>
      <c r="E3489" s="2">
        <v>5</v>
      </c>
      <c r="F3489" s="2" t="s">
        <v>6</v>
      </c>
    </row>
    <row r="3490" spans="1:6" ht="25.5">
      <c r="A3490" s="2">
        <v>3487</v>
      </c>
      <c r="B3490" s="2" t="s">
        <v>3567</v>
      </c>
      <c r="C3490" s="2" t="str">
        <f>"16735447"</f>
        <v>16735447</v>
      </c>
      <c r="D3490" s="2">
        <v>0.20699999999999999</v>
      </c>
      <c r="E3490" s="2">
        <v>5</v>
      </c>
      <c r="F3490" s="2" t="s">
        <v>46</v>
      </c>
    </row>
    <row r="3491" spans="1:6" ht="25.5">
      <c r="A3491" s="2">
        <v>3488</v>
      </c>
      <c r="B3491" s="2" t="s">
        <v>3568</v>
      </c>
      <c r="C3491" s="2" t="str">
        <f>"17538971"</f>
        <v>17538971</v>
      </c>
      <c r="D3491" s="2">
        <v>0.30099999999999999</v>
      </c>
      <c r="E3491" s="2">
        <v>4</v>
      </c>
      <c r="F3491" s="2" t="s">
        <v>6</v>
      </c>
    </row>
    <row r="3492" spans="1:6" ht="25.5">
      <c r="A3492" s="2">
        <v>3489</v>
      </c>
      <c r="B3492" s="2" t="s">
        <v>3569</v>
      </c>
      <c r="C3492" s="2" t="str">
        <f>"1043951X"</f>
        <v>1043951X</v>
      </c>
      <c r="D3492" s="2">
        <v>1.194</v>
      </c>
      <c r="E3492" s="2">
        <v>33</v>
      </c>
      <c r="F3492" s="2" t="s">
        <v>75</v>
      </c>
    </row>
    <row r="3493" spans="1:6" ht="25.5">
      <c r="A3493" s="2">
        <v>3490</v>
      </c>
      <c r="B3493" s="2" t="s">
        <v>3570</v>
      </c>
      <c r="C3493" s="2" t="str">
        <f>"16726421"</f>
        <v>16726421</v>
      </c>
      <c r="D3493" s="2">
        <v>0.27300000000000002</v>
      </c>
      <c r="E3493" s="2">
        <v>4</v>
      </c>
      <c r="F3493" s="2" t="s">
        <v>46</v>
      </c>
    </row>
    <row r="3494" spans="1:6" ht="25.5">
      <c r="A3494" s="2">
        <v>3491</v>
      </c>
      <c r="B3494" s="2" t="s">
        <v>3571</v>
      </c>
      <c r="C3494" s="2" t="str">
        <f>"1741590X"</f>
        <v>1741590X</v>
      </c>
      <c r="D3494" s="2">
        <v>0.14000000000000001</v>
      </c>
      <c r="E3494" s="2">
        <v>7</v>
      </c>
      <c r="F3494" s="2" t="s">
        <v>16</v>
      </c>
    </row>
    <row r="3495" spans="1:6" ht="25.5">
      <c r="A3495" s="2">
        <v>3492</v>
      </c>
      <c r="B3495" s="2" t="s">
        <v>3572</v>
      </c>
      <c r="C3495" s="2" t="str">
        <f>"13249347"</f>
        <v>13249347</v>
      </c>
      <c r="D3495" s="2">
        <v>0.28399999999999997</v>
      </c>
      <c r="E3495" s="2">
        <v>17</v>
      </c>
      <c r="F3495" s="2" t="s">
        <v>127</v>
      </c>
    </row>
    <row r="3496" spans="1:6" ht="25.5">
      <c r="A3496" s="2">
        <v>3493</v>
      </c>
      <c r="B3496" s="2" t="s">
        <v>3573</v>
      </c>
      <c r="C3496" s="2" t="str">
        <f>"17525101"</f>
        <v>17525101</v>
      </c>
      <c r="D3496" s="2">
        <v>0.11799999999999999</v>
      </c>
      <c r="E3496" s="2">
        <v>1</v>
      </c>
      <c r="F3496" s="2" t="s">
        <v>6</v>
      </c>
    </row>
    <row r="3497" spans="1:6" ht="25.5">
      <c r="A3497" s="2">
        <v>3494</v>
      </c>
      <c r="B3497" s="2" t="s">
        <v>3574</v>
      </c>
      <c r="C3497" s="2" t="str">
        <f>"18765149"</f>
        <v>18765149</v>
      </c>
      <c r="D3497" s="2">
        <v>0.109</v>
      </c>
      <c r="E3497" s="2">
        <v>1</v>
      </c>
      <c r="F3497" s="2" t="s">
        <v>75</v>
      </c>
    </row>
    <row r="3498" spans="1:6" ht="25.5">
      <c r="A3498" s="2">
        <v>3495</v>
      </c>
      <c r="B3498" s="2" t="s">
        <v>3575</v>
      </c>
      <c r="C3498" s="2" t="str">
        <f>"08905487"</f>
        <v>08905487</v>
      </c>
      <c r="D3498" s="2">
        <v>0.31</v>
      </c>
      <c r="E3498" s="2">
        <v>15</v>
      </c>
      <c r="F3498" s="2" t="s">
        <v>6</v>
      </c>
    </row>
    <row r="3499" spans="1:6" ht="25.5">
      <c r="A3499" s="2">
        <v>3496</v>
      </c>
      <c r="B3499" s="2" t="s">
        <v>3576</v>
      </c>
      <c r="C3499" s="2" t="str">
        <f>"10086234"</f>
        <v>10086234</v>
      </c>
      <c r="D3499" s="2">
        <v>0.13200000000000001</v>
      </c>
      <c r="E3499" s="2">
        <v>4</v>
      </c>
      <c r="F3499" s="2" t="s">
        <v>46</v>
      </c>
    </row>
    <row r="3500" spans="1:6" ht="25.5">
      <c r="A3500" s="2">
        <v>3497</v>
      </c>
      <c r="B3500" s="2" t="s">
        <v>3577</v>
      </c>
      <c r="C3500" s="2" t="str">
        <f>"14682648"</f>
        <v>14682648</v>
      </c>
      <c r="D3500" s="2">
        <v>0.45800000000000002</v>
      </c>
      <c r="E3500" s="2">
        <v>36</v>
      </c>
      <c r="F3500" s="2" t="s">
        <v>16</v>
      </c>
    </row>
    <row r="3501" spans="1:6" ht="25.5">
      <c r="A3501" s="2">
        <v>3498</v>
      </c>
      <c r="B3501" s="2" t="s">
        <v>3578</v>
      </c>
      <c r="C3501" s="2" t="str">
        <f>"00094455"</f>
        <v>00094455</v>
      </c>
      <c r="D3501" s="2">
        <v>0.106</v>
      </c>
      <c r="E3501" s="2">
        <v>3</v>
      </c>
      <c r="F3501" s="2" t="s">
        <v>488</v>
      </c>
    </row>
    <row r="3502" spans="1:6" ht="25.5">
      <c r="A3502" s="2">
        <v>3499</v>
      </c>
      <c r="B3502" s="2" t="s">
        <v>3579</v>
      </c>
      <c r="C3502" s="2" t="str">
        <f>"16802012"</f>
        <v>16802012</v>
      </c>
      <c r="D3502" s="2">
        <v>0.20799999999999999</v>
      </c>
      <c r="E3502" s="2">
        <v>6</v>
      </c>
      <c r="F3502" s="2" t="s">
        <v>46</v>
      </c>
    </row>
    <row r="3503" spans="1:6" ht="25.5">
      <c r="A3503" s="2">
        <v>3500</v>
      </c>
      <c r="B3503" s="2" t="s">
        <v>3580</v>
      </c>
      <c r="C3503" s="2" t="str">
        <f>"10045341"</f>
        <v>10045341</v>
      </c>
      <c r="D3503" s="2">
        <v>0.13900000000000001</v>
      </c>
      <c r="E3503" s="2">
        <v>7</v>
      </c>
      <c r="F3503" s="2" t="s">
        <v>46</v>
      </c>
    </row>
    <row r="3504" spans="1:6" ht="25.5">
      <c r="A3504" s="2">
        <v>3501</v>
      </c>
      <c r="B3504" s="2" t="s">
        <v>3581</v>
      </c>
      <c r="C3504" s="2" t="str">
        <f>"02529599"</f>
        <v>02529599</v>
      </c>
      <c r="D3504" s="2">
        <v>0.52700000000000002</v>
      </c>
      <c r="E3504" s="2">
        <v>18</v>
      </c>
      <c r="F3504" s="2" t="s">
        <v>12</v>
      </c>
    </row>
    <row r="3505" spans="1:6" ht="25.5">
      <c r="A3505" s="2">
        <v>3502</v>
      </c>
      <c r="B3505" s="2" t="s">
        <v>3582</v>
      </c>
      <c r="C3505" s="2" t="str">
        <f>"02751062"</f>
        <v>02751062</v>
      </c>
      <c r="D3505" s="2">
        <v>0.16300000000000001</v>
      </c>
      <c r="E3505" s="2">
        <v>7</v>
      </c>
      <c r="F3505" s="2" t="s">
        <v>16</v>
      </c>
    </row>
    <row r="3506" spans="1:6" ht="25.5">
      <c r="A3506" s="2">
        <v>3503</v>
      </c>
      <c r="B3506" s="2" t="s">
        <v>3583</v>
      </c>
      <c r="C3506" s="2" t="str">
        <f>"10018417"</f>
        <v>10018417</v>
      </c>
      <c r="D3506" s="2">
        <v>0.38700000000000001</v>
      </c>
      <c r="E3506" s="2">
        <v>22</v>
      </c>
      <c r="F3506" s="2" t="s">
        <v>75</v>
      </c>
    </row>
    <row r="3507" spans="1:6" ht="25.5">
      <c r="A3507" s="2">
        <v>3504</v>
      </c>
      <c r="B3507" s="2" t="s">
        <v>3584</v>
      </c>
      <c r="C3507" s="2" t="str">
        <f>"15580954"</f>
        <v>15580954</v>
      </c>
      <c r="D3507" s="2">
        <v>0.20499999999999999</v>
      </c>
      <c r="E3507" s="2">
        <v>4</v>
      </c>
      <c r="F3507" s="2" t="s">
        <v>6</v>
      </c>
    </row>
    <row r="3508" spans="1:6" ht="25.5">
      <c r="A3508" s="2">
        <v>3505</v>
      </c>
      <c r="B3508" s="2" t="s">
        <v>3585</v>
      </c>
      <c r="C3508" s="2" t="str">
        <f>"10611932"</f>
        <v>10611932</v>
      </c>
      <c r="D3508" s="2">
        <v>0.105</v>
      </c>
      <c r="E3508" s="2">
        <v>5</v>
      </c>
      <c r="F3508" s="2" t="s">
        <v>6</v>
      </c>
    </row>
    <row r="3509" spans="1:6" ht="25.5">
      <c r="A3509" s="2">
        <v>3506</v>
      </c>
      <c r="B3509" s="2" t="s">
        <v>3586</v>
      </c>
      <c r="C3509" s="2" t="str">
        <f>"10020063"</f>
        <v>10020063</v>
      </c>
      <c r="D3509" s="2">
        <v>0.28499999999999998</v>
      </c>
      <c r="E3509" s="2">
        <v>10</v>
      </c>
      <c r="F3509" s="2" t="s">
        <v>46</v>
      </c>
    </row>
    <row r="3510" spans="1:6" ht="25.5">
      <c r="A3510" s="2">
        <v>3507</v>
      </c>
      <c r="B3510" s="2" t="s">
        <v>3587</v>
      </c>
      <c r="C3510" s="2" t="str">
        <f>"16139089"</f>
        <v>16139089</v>
      </c>
      <c r="D3510" s="2">
        <v>0.14199999999999999</v>
      </c>
      <c r="E3510" s="2">
        <v>6</v>
      </c>
      <c r="F3510" s="2" t="s">
        <v>12</v>
      </c>
    </row>
    <row r="3511" spans="1:6" ht="25.5">
      <c r="A3511" s="2">
        <v>3508</v>
      </c>
      <c r="B3511" s="2" t="s">
        <v>3588</v>
      </c>
      <c r="C3511" s="2" t="str">
        <f>"10009361"</f>
        <v>10009361</v>
      </c>
      <c r="D3511" s="2">
        <v>0.47</v>
      </c>
      <c r="E3511" s="2">
        <v>14</v>
      </c>
      <c r="F3511" s="2" t="s">
        <v>46</v>
      </c>
    </row>
    <row r="3512" spans="1:6" ht="25.5">
      <c r="A3512" s="2">
        <v>3509</v>
      </c>
      <c r="B3512" s="2" t="s">
        <v>3589</v>
      </c>
      <c r="C3512" s="2" t="str">
        <f>"10080848"</f>
        <v>10080848</v>
      </c>
      <c r="D3512" s="2">
        <v>0.10100000000000001</v>
      </c>
      <c r="E3512" s="2">
        <v>2</v>
      </c>
      <c r="F3512" s="2" t="s">
        <v>46</v>
      </c>
    </row>
    <row r="3513" spans="1:6" ht="25.5">
      <c r="A3513" s="2">
        <v>3510</v>
      </c>
      <c r="B3513" s="2" t="s">
        <v>3590</v>
      </c>
      <c r="C3513" s="2" t="str">
        <f>"10018689"</f>
        <v>10018689</v>
      </c>
      <c r="D3513" s="2">
        <v>0.113</v>
      </c>
      <c r="E3513" s="2">
        <v>7</v>
      </c>
      <c r="F3513" s="2" t="s">
        <v>46</v>
      </c>
    </row>
    <row r="3514" spans="1:6" ht="25.5">
      <c r="A3514" s="2">
        <v>3511</v>
      </c>
      <c r="B3514" s="2" t="s">
        <v>3591</v>
      </c>
      <c r="C3514" s="2" t="str">
        <f>"1006687X"</f>
        <v>1006687X</v>
      </c>
      <c r="D3514" s="2">
        <v>0.19700000000000001</v>
      </c>
      <c r="E3514" s="2">
        <v>11</v>
      </c>
      <c r="F3514" s="2" t="s">
        <v>46</v>
      </c>
    </row>
    <row r="3515" spans="1:6" ht="25.5">
      <c r="A3515" s="2">
        <v>3512</v>
      </c>
      <c r="B3515" s="2" t="s">
        <v>3592</v>
      </c>
      <c r="C3515" s="2" t="str">
        <f>"10019332"</f>
        <v>10019332</v>
      </c>
      <c r="D3515" s="2">
        <v>0.30099999999999999</v>
      </c>
      <c r="E3515" s="2">
        <v>27</v>
      </c>
      <c r="F3515" s="2" t="s">
        <v>46</v>
      </c>
    </row>
    <row r="3516" spans="1:6" ht="25.5">
      <c r="A3516" s="2">
        <v>3513</v>
      </c>
      <c r="B3516" s="2" t="s">
        <v>3593</v>
      </c>
      <c r="C3516" s="2" t="str">
        <f>"10045503"</f>
        <v>10045503</v>
      </c>
      <c r="D3516" s="2">
        <v>0.10100000000000001</v>
      </c>
      <c r="E3516" s="2">
        <v>2</v>
      </c>
      <c r="F3516" s="2" t="s">
        <v>46</v>
      </c>
    </row>
    <row r="3517" spans="1:6" ht="25.5">
      <c r="A3517" s="2">
        <v>3514</v>
      </c>
      <c r="B3517" s="2" t="s">
        <v>3594</v>
      </c>
      <c r="C3517" s="2" t="str">
        <f>"1000467X"</f>
        <v>1000467X</v>
      </c>
      <c r="D3517" s="2">
        <v>0.26100000000000001</v>
      </c>
      <c r="E3517" s="2">
        <v>15</v>
      </c>
      <c r="F3517" s="2" t="s">
        <v>6</v>
      </c>
    </row>
    <row r="3518" spans="1:6" ht="25.5">
      <c r="A3518" s="2">
        <v>3515</v>
      </c>
      <c r="B3518" s="2" t="s">
        <v>3595</v>
      </c>
      <c r="C3518" s="2" t="str">
        <f>"1007385X"</f>
        <v>1007385X</v>
      </c>
      <c r="D3518" s="2">
        <v>0.10100000000000001</v>
      </c>
      <c r="E3518" s="2">
        <v>2</v>
      </c>
      <c r="F3518" s="2" t="s">
        <v>46</v>
      </c>
    </row>
    <row r="3519" spans="1:6" ht="25.5">
      <c r="A3519" s="2">
        <v>3516</v>
      </c>
      <c r="B3519" s="2" t="s">
        <v>3596</v>
      </c>
      <c r="C3519" s="2" t="str">
        <f>"16735269"</f>
        <v>16735269</v>
      </c>
      <c r="D3519" s="2">
        <v>0.10100000000000001</v>
      </c>
      <c r="E3519" s="2">
        <v>3</v>
      </c>
      <c r="F3519" s="2" t="s">
        <v>46</v>
      </c>
    </row>
    <row r="3520" spans="1:6" ht="25.5">
      <c r="A3520" s="2">
        <v>3517</v>
      </c>
      <c r="B3520" s="2" t="s">
        <v>3597</v>
      </c>
      <c r="C3520" s="2" t="str">
        <f>"10009604"</f>
        <v>10009604</v>
      </c>
      <c r="D3520" s="2">
        <v>0.191</v>
      </c>
      <c r="E3520" s="2">
        <v>7</v>
      </c>
      <c r="F3520" s="2" t="s">
        <v>46</v>
      </c>
    </row>
    <row r="3521" spans="1:6" ht="25.5">
      <c r="A3521" s="2">
        <v>3518</v>
      </c>
      <c r="B3521" s="2" t="s">
        <v>3598</v>
      </c>
      <c r="C3521" s="2" t="str">
        <f>"02533758"</f>
        <v>02533758</v>
      </c>
      <c r="D3521" s="2">
        <v>0.13100000000000001</v>
      </c>
      <c r="E3521" s="2">
        <v>9</v>
      </c>
      <c r="F3521" s="2" t="s">
        <v>46</v>
      </c>
    </row>
    <row r="3522" spans="1:6" ht="25.5">
      <c r="A3522" s="2">
        <v>3519</v>
      </c>
      <c r="B3522" s="2" t="s">
        <v>3599</v>
      </c>
      <c r="C3522" s="2" t="str">
        <f>"18722067"</f>
        <v>18722067</v>
      </c>
      <c r="D3522" s="2">
        <v>0.34200000000000003</v>
      </c>
      <c r="E3522" s="2">
        <v>17</v>
      </c>
      <c r="F3522" s="2" t="s">
        <v>46</v>
      </c>
    </row>
    <row r="3523" spans="1:6" ht="25.5">
      <c r="A3523" s="2">
        <v>3520</v>
      </c>
      <c r="B3523" s="2" t="s">
        <v>3600</v>
      </c>
      <c r="C3523" s="2" t="str">
        <f>"16725921"</f>
        <v>16725921</v>
      </c>
      <c r="D3523" s="2">
        <v>0.10199999999999999</v>
      </c>
      <c r="E3523" s="2">
        <v>3</v>
      </c>
      <c r="F3523" s="2" t="s">
        <v>46</v>
      </c>
    </row>
    <row r="3524" spans="1:6" ht="25.5">
      <c r="A3524" s="2">
        <v>3521</v>
      </c>
      <c r="B3524" s="2" t="s">
        <v>3601</v>
      </c>
      <c r="C3524" s="2" t="str">
        <f>"10049541"</f>
        <v>10049541</v>
      </c>
      <c r="D3524" s="2">
        <v>0.49099999999999999</v>
      </c>
      <c r="E3524" s="2">
        <v>20</v>
      </c>
      <c r="F3524" s="2" t="s">
        <v>46</v>
      </c>
    </row>
    <row r="3525" spans="1:6" ht="25.5">
      <c r="A3525" s="2">
        <v>3522</v>
      </c>
      <c r="B3525" s="2" t="s">
        <v>3602</v>
      </c>
      <c r="C3525" s="2" t="str">
        <f>"10037713"</f>
        <v>10037713</v>
      </c>
      <c r="D3525" s="2">
        <v>0.253</v>
      </c>
      <c r="E3525" s="2">
        <v>11</v>
      </c>
      <c r="F3525" s="2" t="s">
        <v>46</v>
      </c>
    </row>
    <row r="3526" spans="1:6" ht="25.5">
      <c r="A3526" s="2">
        <v>3523</v>
      </c>
      <c r="B3526" s="2" t="s">
        <v>3603</v>
      </c>
      <c r="C3526" s="2" t="str">
        <f>"1001604X"</f>
        <v>1001604X</v>
      </c>
      <c r="D3526" s="2">
        <v>0.253</v>
      </c>
      <c r="E3526" s="2">
        <v>23</v>
      </c>
      <c r="F3526" s="2" t="s">
        <v>46</v>
      </c>
    </row>
    <row r="3527" spans="1:6" ht="25.5">
      <c r="A3527" s="2">
        <v>3524</v>
      </c>
      <c r="B3527" s="2" t="s">
        <v>3604</v>
      </c>
      <c r="C3527" s="2" t="str">
        <f>"18722059"</f>
        <v>18722059</v>
      </c>
      <c r="D3527" s="2">
        <v>0.191</v>
      </c>
      <c r="E3527" s="2">
        <v>12</v>
      </c>
      <c r="F3527" s="2" t="s">
        <v>46</v>
      </c>
    </row>
    <row r="3528" spans="1:6" ht="25.5">
      <c r="A3528" s="2">
        <v>3525</v>
      </c>
      <c r="B3528" s="2" t="s">
        <v>3605</v>
      </c>
      <c r="C3528" s="2" t="str">
        <f>"10085882"</f>
        <v>10085882</v>
      </c>
      <c r="D3528" s="2">
        <v>0.1</v>
      </c>
      <c r="E3528" s="2">
        <v>2</v>
      </c>
      <c r="F3528" s="2" t="s">
        <v>46</v>
      </c>
    </row>
    <row r="3529" spans="1:6" ht="25.5">
      <c r="A3529" s="2">
        <v>3526</v>
      </c>
      <c r="B3529" s="2" t="s">
        <v>3606</v>
      </c>
      <c r="C3529" s="2" t="str">
        <f>"10008179"</f>
        <v>10008179</v>
      </c>
      <c r="D3529" s="2">
        <v>0.10100000000000001</v>
      </c>
      <c r="E3529" s="2">
        <v>4</v>
      </c>
      <c r="F3529" s="2" t="s">
        <v>46</v>
      </c>
    </row>
    <row r="3530" spans="1:6" ht="25.5">
      <c r="A3530" s="2">
        <v>3527</v>
      </c>
      <c r="B3530" s="2" t="s">
        <v>3607</v>
      </c>
      <c r="C3530" s="2" t="str">
        <f>"17544769"</f>
        <v>17544769</v>
      </c>
      <c r="D3530" s="2">
        <v>0.25</v>
      </c>
      <c r="E3530" s="2">
        <v>3</v>
      </c>
      <c r="F3530" s="2" t="s">
        <v>16</v>
      </c>
    </row>
    <row r="3531" spans="1:6" ht="25.5">
      <c r="A3531" s="2">
        <v>3528</v>
      </c>
      <c r="B3531" s="2" t="s">
        <v>3608</v>
      </c>
      <c r="C3531" s="2" t="str">
        <f>"16726731"</f>
        <v>16726731</v>
      </c>
      <c r="D3531" s="2">
        <v>0.13100000000000001</v>
      </c>
      <c r="E3531" s="2">
        <v>3</v>
      </c>
      <c r="F3531" s="2" t="s">
        <v>46</v>
      </c>
    </row>
    <row r="3532" spans="1:6" ht="25.5">
      <c r="A3532" s="2">
        <v>3529</v>
      </c>
      <c r="B3532" s="2" t="s">
        <v>3609</v>
      </c>
      <c r="C3532" s="2" t="str">
        <f>"10088830"</f>
        <v>10088830</v>
      </c>
      <c r="D3532" s="2">
        <v>0.13900000000000001</v>
      </c>
      <c r="E3532" s="2">
        <v>7</v>
      </c>
      <c r="F3532" s="2" t="s">
        <v>46</v>
      </c>
    </row>
    <row r="3533" spans="1:6" ht="25.5">
      <c r="A3533" s="2">
        <v>3530</v>
      </c>
      <c r="B3533" s="2" t="s">
        <v>3610</v>
      </c>
      <c r="C3533" s="2" t="str">
        <f>"14626446"</f>
        <v>14626446</v>
      </c>
      <c r="D3533" s="2">
        <v>0.17</v>
      </c>
      <c r="E3533" s="2">
        <v>10</v>
      </c>
      <c r="F3533" s="2" t="s">
        <v>6</v>
      </c>
    </row>
    <row r="3534" spans="1:6" ht="25.5">
      <c r="A3534" s="2">
        <v>3531</v>
      </c>
      <c r="B3534" s="2" t="s">
        <v>3611</v>
      </c>
      <c r="C3534" s="2" t="str">
        <f>"10004890"</f>
        <v>10004890</v>
      </c>
      <c r="D3534" s="2">
        <v>0.158</v>
      </c>
      <c r="E3534" s="2">
        <v>11</v>
      </c>
      <c r="F3534" s="2" t="s">
        <v>46</v>
      </c>
    </row>
    <row r="3535" spans="1:6" ht="25.5">
      <c r="A3535" s="2">
        <v>3532</v>
      </c>
      <c r="B3535" s="2" t="s">
        <v>3612</v>
      </c>
      <c r="C3535" s="2" t="str">
        <f>"10224653"</f>
        <v>10224653</v>
      </c>
      <c r="D3535" s="2">
        <v>0.26800000000000002</v>
      </c>
      <c r="E3535" s="2">
        <v>14</v>
      </c>
      <c r="F3535" s="2" t="s">
        <v>46</v>
      </c>
    </row>
    <row r="3536" spans="1:6" ht="25.5">
      <c r="A3536" s="2">
        <v>3533</v>
      </c>
      <c r="B3536" s="2" t="s">
        <v>3613</v>
      </c>
      <c r="C3536" s="2" t="str">
        <f>"16710282"</f>
        <v>16710282</v>
      </c>
      <c r="D3536" s="2">
        <v>0.10199999999999999</v>
      </c>
      <c r="E3536" s="2">
        <v>2</v>
      </c>
      <c r="F3536" s="2" t="s">
        <v>46</v>
      </c>
    </row>
    <row r="3537" spans="1:6" ht="25.5">
      <c r="A3537" s="2">
        <v>3534</v>
      </c>
      <c r="B3537" s="2" t="s">
        <v>3614</v>
      </c>
      <c r="C3537" s="2" t="str">
        <f>"10004955"</f>
        <v>10004955</v>
      </c>
      <c r="D3537" s="2">
        <v>0.1</v>
      </c>
      <c r="E3537" s="2">
        <v>5</v>
      </c>
      <c r="F3537" s="2" t="s">
        <v>46</v>
      </c>
    </row>
    <row r="3538" spans="1:6" ht="25.5">
      <c r="A3538" s="2">
        <v>3535</v>
      </c>
      <c r="B3538" s="2" t="s">
        <v>3615</v>
      </c>
      <c r="C3538" s="2" t="str">
        <f>"16722531"</f>
        <v>16722531</v>
      </c>
      <c r="D3538" s="2">
        <v>0.122</v>
      </c>
      <c r="E3538" s="2">
        <v>8</v>
      </c>
      <c r="F3538" s="2" t="s">
        <v>46</v>
      </c>
    </row>
    <row r="3539" spans="1:6" ht="25.5">
      <c r="A3539" s="2">
        <v>3536</v>
      </c>
      <c r="B3539" s="2" t="s">
        <v>3616</v>
      </c>
      <c r="C3539" s="2" t="str">
        <f>"10015728"</f>
        <v>10015728</v>
      </c>
      <c r="D3539" s="2">
        <v>0.10299999999999999</v>
      </c>
      <c r="E3539" s="2">
        <v>2</v>
      </c>
      <c r="F3539" s="2" t="s">
        <v>46</v>
      </c>
    </row>
    <row r="3540" spans="1:6" ht="25.5">
      <c r="A3540" s="2">
        <v>3537</v>
      </c>
      <c r="B3540" s="2" t="s">
        <v>3617</v>
      </c>
      <c r="C3540" s="2" t="str">
        <f>"10087125"</f>
        <v>10087125</v>
      </c>
      <c r="D3540" s="2">
        <v>0.10199999999999999</v>
      </c>
      <c r="E3540" s="2">
        <v>4</v>
      </c>
      <c r="F3540" s="2" t="s">
        <v>46</v>
      </c>
    </row>
    <row r="3541" spans="1:6" ht="25.5">
      <c r="A3541" s="2">
        <v>3538</v>
      </c>
      <c r="B3541" s="2" t="s">
        <v>3618</v>
      </c>
      <c r="C3541" s="2" t="str">
        <f>"10009426"</f>
        <v>10009426</v>
      </c>
      <c r="D3541" s="2">
        <v>0.23400000000000001</v>
      </c>
      <c r="E3541" s="2">
        <v>10</v>
      </c>
      <c r="F3541" s="2" t="s">
        <v>46</v>
      </c>
    </row>
    <row r="3542" spans="1:6" ht="25.5">
      <c r="A3542" s="2">
        <v>3539</v>
      </c>
      <c r="B3542" s="2" t="s">
        <v>3619</v>
      </c>
      <c r="C3542" s="2" t="str">
        <f>"10097708"</f>
        <v>10097708</v>
      </c>
      <c r="D3542" s="2">
        <v>0.11899999999999999</v>
      </c>
      <c r="E3542" s="2">
        <v>5</v>
      </c>
      <c r="F3542" s="2" t="s">
        <v>46</v>
      </c>
    </row>
    <row r="3543" spans="1:6" ht="25.5">
      <c r="A3543" s="2">
        <v>3540</v>
      </c>
      <c r="B3543" s="2" t="s">
        <v>3620</v>
      </c>
      <c r="C3543" s="2" t="str">
        <f>"10014861"</f>
        <v>10014861</v>
      </c>
      <c r="D3543" s="2">
        <v>0.20300000000000001</v>
      </c>
      <c r="E3543" s="2">
        <v>19</v>
      </c>
      <c r="F3543" s="2" t="s">
        <v>46</v>
      </c>
    </row>
    <row r="3544" spans="1:6" ht="25.5">
      <c r="A3544" s="2">
        <v>3541</v>
      </c>
      <c r="B3544" s="2" t="s">
        <v>3621</v>
      </c>
      <c r="C3544" s="2" t="str">
        <f>"16720415"</f>
        <v>16720415</v>
      </c>
      <c r="D3544" s="2">
        <v>0.252</v>
      </c>
      <c r="E3544" s="2">
        <v>10</v>
      </c>
      <c r="F3544" s="2" t="s">
        <v>46</v>
      </c>
    </row>
    <row r="3545" spans="1:6" ht="25.5">
      <c r="A3545" s="2">
        <v>3542</v>
      </c>
      <c r="B3545" s="2" t="s">
        <v>3622</v>
      </c>
      <c r="C3545" s="2" t="str">
        <f>"17469937"</f>
        <v>17469937</v>
      </c>
      <c r="D3545" s="2">
        <v>0.35799999999999998</v>
      </c>
      <c r="E3545" s="2">
        <v>4</v>
      </c>
      <c r="F3545" s="2" t="s">
        <v>6</v>
      </c>
    </row>
    <row r="3546" spans="1:6" ht="25.5">
      <c r="A3546" s="2">
        <v>3543</v>
      </c>
      <c r="B3546" s="2" t="s">
        <v>3623</v>
      </c>
      <c r="C3546" s="2" t="str">
        <f>"17508916"</f>
        <v>17508916</v>
      </c>
      <c r="D3546" s="2">
        <v>0.66800000000000004</v>
      </c>
      <c r="E3546" s="2">
        <v>6</v>
      </c>
      <c r="F3546" s="2" t="s">
        <v>16</v>
      </c>
    </row>
    <row r="3547" spans="1:6" ht="25.5">
      <c r="A3547" s="2">
        <v>3544</v>
      </c>
      <c r="B3547" s="2" t="s">
        <v>3624</v>
      </c>
      <c r="C3547" s="2" t="str">
        <f>"16728475"</f>
        <v>16728475</v>
      </c>
      <c r="D3547" s="2">
        <v>0.10100000000000001</v>
      </c>
      <c r="E3547" s="2">
        <v>4</v>
      </c>
      <c r="F3547" s="2" t="s">
        <v>46</v>
      </c>
    </row>
    <row r="3548" spans="1:6" ht="25.5">
      <c r="A3548" s="2">
        <v>3545</v>
      </c>
      <c r="B3548" s="2" t="s">
        <v>3625</v>
      </c>
      <c r="C3548" s="2" t="str">
        <f>"10007032"</f>
        <v>10007032</v>
      </c>
      <c r="D3548" s="2">
        <v>0.248</v>
      </c>
      <c r="E3548" s="2">
        <v>11</v>
      </c>
      <c r="F3548" s="2" t="s">
        <v>46</v>
      </c>
    </row>
    <row r="3549" spans="1:6" ht="25.5">
      <c r="A3549" s="2">
        <v>3546</v>
      </c>
      <c r="B3549" s="2" t="s">
        <v>3626</v>
      </c>
      <c r="C3549" s="2" t="str">
        <f>"10093419"</f>
        <v>10093419</v>
      </c>
      <c r="D3549" s="2">
        <v>0.15</v>
      </c>
      <c r="E3549" s="2">
        <v>7</v>
      </c>
      <c r="F3549" s="2" t="s">
        <v>46</v>
      </c>
    </row>
    <row r="3550" spans="1:6" ht="25.5">
      <c r="A3550" s="2">
        <v>3547</v>
      </c>
      <c r="B3550" s="2" t="s">
        <v>3627</v>
      </c>
      <c r="C3550" s="2" t="str">
        <f>"10009345"</f>
        <v>10009345</v>
      </c>
      <c r="D3550" s="2">
        <v>0.52600000000000002</v>
      </c>
      <c r="E3550" s="2">
        <v>14</v>
      </c>
      <c r="F3550" s="2" t="s">
        <v>46</v>
      </c>
    </row>
    <row r="3551" spans="1:6" ht="25.5">
      <c r="A3551" s="2">
        <v>3548</v>
      </c>
      <c r="B3551" s="2" t="s">
        <v>3628</v>
      </c>
      <c r="C3551" s="2" t="str">
        <f>"10039406"</f>
        <v>10039406</v>
      </c>
      <c r="D3551" s="2">
        <v>0.16400000000000001</v>
      </c>
      <c r="E3551" s="2">
        <v>11</v>
      </c>
      <c r="F3551" s="2" t="s">
        <v>46</v>
      </c>
    </row>
    <row r="3552" spans="1:6" ht="25.5">
      <c r="A3552" s="2">
        <v>3549</v>
      </c>
      <c r="B3552" s="2" t="s">
        <v>3629</v>
      </c>
      <c r="C3552" s="2" t="str">
        <f>"10033289"</f>
        <v>10033289</v>
      </c>
      <c r="D3552" s="2">
        <v>0.10100000000000001</v>
      </c>
      <c r="E3552" s="2">
        <v>6</v>
      </c>
      <c r="F3552" s="2" t="s">
        <v>46</v>
      </c>
    </row>
    <row r="3553" spans="1:6" ht="25.5">
      <c r="A3553" s="2">
        <v>3550</v>
      </c>
      <c r="B3553" s="2" t="s">
        <v>3630</v>
      </c>
      <c r="C3553" s="2" t="str">
        <f>"02545101"</f>
        <v>02545101</v>
      </c>
      <c r="D3553" s="2">
        <v>0.10199999999999999</v>
      </c>
      <c r="E3553" s="2">
        <v>5</v>
      </c>
      <c r="F3553" s="2" t="s">
        <v>46</v>
      </c>
    </row>
    <row r="3554" spans="1:6" ht="25.5">
      <c r="A3554" s="2">
        <v>3551</v>
      </c>
      <c r="B3554" s="2" t="s">
        <v>3631</v>
      </c>
      <c r="C3554" s="2" t="str">
        <f>"16723651"</f>
        <v>16723651</v>
      </c>
      <c r="D3554" s="2">
        <v>0.33500000000000002</v>
      </c>
      <c r="E3554" s="2">
        <v>10</v>
      </c>
      <c r="F3554" s="2" t="s">
        <v>46</v>
      </c>
    </row>
    <row r="3555" spans="1:6" ht="25.5">
      <c r="A3555" s="2">
        <v>3552</v>
      </c>
      <c r="B3555" s="2" t="s">
        <v>3632</v>
      </c>
      <c r="C3555" s="2" t="str">
        <f>"10067876"</f>
        <v>10067876</v>
      </c>
      <c r="D3555" s="2">
        <v>0.104</v>
      </c>
      <c r="E3555" s="2">
        <v>5</v>
      </c>
      <c r="F3555" s="2" t="s">
        <v>46</v>
      </c>
    </row>
    <row r="3556" spans="1:6" ht="25.5">
      <c r="A3556" s="2">
        <v>3553</v>
      </c>
      <c r="B3556" s="2" t="s">
        <v>3633</v>
      </c>
      <c r="C3556" s="2" t="str">
        <f>"10033734"</f>
        <v>10033734</v>
      </c>
      <c r="D3556" s="2">
        <v>0.108</v>
      </c>
      <c r="E3556" s="2">
        <v>4</v>
      </c>
      <c r="F3556" s="2" t="s">
        <v>46</v>
      </c>
    </row>
    <row r="3557" spans="1:6" ht="25.5">
      <c r="A3557" s="2">
        <v>3554</v>
      </c>
      <c r="B3557" s="2" t="s">
        <v>3634</v>
      </c>
      <c r="C3557" s="2" t="str">
        <f>"02544059"</f>
        <v>02544059</v>
      </c>
      <c r="D3557" s="2">
        <v>0.253</v>
      </c>
      <c r="E3557" s="2">
        <v>9</v>
      </c>
      <c r="F3557" s="2" t="s">
        <v>12</v>
      </c>
    </row>
    <row r="3558" spans="1:6" ht="25.5">
      <c r="A3558" s="2">
        <v>3555</v>
      </c>
      <c r="B3558" s="2" t="s">
        <v>3635</v>
      </c>
      <c r="C3558" s="2" t="str">
        <f>"02533766"</f>
        <v>02533766</v>
      </c>
      <c r="D3558" s="2">
        <v>0.14399999999999999</v>
      </c>
      <c r="E3558" s="2">
        <v>17</v>
      </c>
      <c r="F3558" s="2" t="s">
        <v>46</v>
      </c>
    </row>
    <row r="3559" spans="1:6" ht="25.5">
      <c r="A3559" s="2">
        <v>3556</v>
      </c>
      <c r="B3559" s="2" t="s">
        <v>3636</v>
      </c>
      <c r="C3559" s="2" t="str">
        <f>"04124081"</f>
        <v>04124081</v>
      </c>
      <c r="D3559" s="2">
        <v>0.128</v>
      </c>
      <c r="E3559" s="2">
        <v>9</v>
      </c>
      <c r="F3559" s="2" t="s">
        <v>46</v>
      </c>
    </row>
    <row r="3560" spans="1:6" ht="25.5">
      <c r="A3560" s="2">
        <v>3557</v>
      </c>
      <c r="B3560" s="2" t="s">
        <v>3637</v>
      </c>
      <c r="C3560" s="2" t="str">
        <f>"02532786"</f>
        <v>02532786</v>
      </c>
      <c r="D3560" s="2">
        <v>0.19600000000000001</v>
      </c>
      <c r="E3560" s="2">
        <v>21</v>
      </c>
      <c r="F3560" s="2" t="s">
        <v>46</v>
      </c>
    </row>
    <row r="3561" spans="1:6" ht="25.5">
      <c r="A3561" s="2">
        <v>3558</v>
      </c>
      <c r="B3561" s="2" t="s">
        <v>3638</v>
      </c>
      <c r="C3561" s="2" t="str">
        <f>"05295807"</f>
        <v>05295807</v>
      </c>
      <c r="D3561" s="2">
        <v>0.121</v>
      </c>
      <c r="E3561" s="2">
        <v>8</v>
      </c>
      <c r="F3561" s="2" t="s">
        <v>46</v>
      </c>
    </row>
    <row r="3562" spans="1:6" ht="25.5">
      <c r="A3562" s="2">
        <v>3559</v>
      </c>
      <c r="B3562" s="2" t="s">
        <v>3639</v>
      </c>
      <c r="C3562" s="2" t="str">
        <f>"10003002"</f>
        <v>10003002</v>
      </c>
      <c r="D3562" s="2">
        <v>0.11700000000000001</v>
      </c>
      <c r="E3562" s="2">
        <v>9</v>
      </c>
      <c r="F3562" s="2" t="s">
        <v>46</v>
      </c>
    </row>
    <row r="3563" spans="1:6" ht="25.5">
      <c r="A3563" s="2">
        <v>3560</v>
      </c>
      <c r="B3563" s="2" t="s">
        <v>3640</v>
      </c>
      <c r="C3563" s="2" t="str">
        <f>"05779073"</f>
        <v>05779073</v>
      </c>
      <c r="D3563" s="2">
        <v>0.27100000000000002</v>
      </c>
      <c r="E3563" s="2">
        <v>17</v>
      </c>
      <c r="F3563" s="2" t="s">
        <v>165</v>
      </c>
    </row>
    <row r="3564" spans="1:6" ht="25.5">
      <c r="A3564" s="2">
        <v>3561</v>
      </c>
      <c r="B3564" s="2" t="s">
        <v>3641</v>
      </c>
      <c r="C3564" s="2" t="str">
        <f>"03044920"</f>
        <v>03044920</v>
      </c>
      <c r="D3564" s="2">
        <v>0.245</v>
      </c>
      <c r="E3564" s="2">
        <v>20</v>
      </c>
      <c r="F3564" s="2" t="s">
        <v>165</v>
      </c>
    </row>
    <row r="3565" spans="1:6" ht="25.5">
      <c r="A3565" s="2">
        <v>3562</v>
      </c>
      <c r="B3565" s="2" t="s">
        <v>3642</v>
      </c>
      <c r="C3565" s="2" t="str">
        <f>"14396203"</f>
        <v>14396203</v>
      </c>
      <c r="D3565" s="2">
        <v>0.39300000000000002</v>
      </c>
      <c r="E3565" s="2">
        <v>16</v>
      </c>
      <c r="F3565" s="2" t="s">
        <v>12</v>
      </c>
    </row>
    <row r="3566" spans="1:6" ht="25.5">
      <c r="A3566" s="2">
        <v>3563</v>
      </c>
      <c r="B3566" s="2" t="s">
        <v>3643</v>
      </c>
      <c r="C3566" s="2" t="str">
        <f>"10188940"</f>
        <v>10188940</v>
      </c>
      <c r="D3566" s="2">
        <v>0.10100000000000001</v>
      </c>
      <c r="E3566" s="2">
        <v>5</v>
      </c>
      <c r="F3566" s="2" t="s">
        <v>46</v>
      </c>
    </row>
    <row r="3567" spans="1:6" ht="25.5">
      <c r="A3567" s="2">
        <v>3564</v>
      </c>
      <c r="B3567" s="2" t="s">
        <v>3644</v>
      </c>
      <c r="C3567" s="2" t="str">
        <f>"10011242"</f>
        <v>10011242</v>
      </c>
      <c r="D3567" s="2">
        <v>0.108</v>
      </c>
      <c r="E3567" s="2">
        <v>3</v>
      </c>
      <c r="F3567" s="2" t="s">
        <v>46</v>
      </c>
    </row>
    <row r="3568" spans="1:6" ht="25.5">
      <c r="A3568" s="2">
        <v>3565</v>
      </c>
      <c r="B3568" s="2" t="s">
        <v>3645</v>
      </c>
      <c r="C3568" s="2" t="str">
        <f>"10041699"</f>
        <v>10041699</v>
      </c>
      <c r="D3568" s="2">
        <v>0.126</v>
      </c>
      <c r="E3568" s="2">
        <v>9</v>
      </c>
      <c r="F3568" s="2" t="s">
        <v>46</v>
      </c>
    </row>
    <row r="3569" spans="1:6" ht="25.5">
      <c r="A3569" s="2">
        <v>3566</v>
      </c>
      <c r="B3569" s="2" t="s">
        <v>3646</v>
      </c>
      <c r="C3569" s="2" t="str">
        <f>"10081275"</f>
        <v>10081275</v>
      </c>
      <c r="D3569" s="2">
        <v>0.22800000000000001</v>
      </c>
      <c r="E3569" s="2">
        <v>13</v>
      </c>
      <c r="F3569" s="2" t="s">
        <v>75</v>
      </c>
    </row>
    <row r="3570" spans="1:6" ht="25.5">
      <c r="A3570" s="2">
        <v>3567</v>
      </c>
      <c r="B3570" s="2" t="s">
        <v>3647</v>
      </c>
      <c r="C3570" s="2" t="str">
        <f>"00094609"</f>
        <v>00094609</v>
      </c>
      <c r="D3570" s="2">
        <v>0.1</v>
      </c>
      <c r="E3570" s="2">
        <v>2</v>
      </c>
      <c r="F3570" s="2" t="s">
        <v>6</v>
      </c>
    </row>
    <row r="3571" spans="1:6" ht="25.5">
      <c r="A3571" s="2">
        <v>3568</v>
      </c>
      <c r="B3571" s="2" t="s">
        <v>3648</v>
      </c>
      <c r="C3571" s="2" t="str">
        <f>"1750614X"</f>
        <v>1750614X</v>
      </c>
      <c r="D3571" s="2">
        <v>0.254</v>
      </c>
      <c r="E3571" s="2">
        <v>6</v>
      </c>
      <c r="F3571" s="2" t="s">
        <v>16</v>
      </c>
    </row>
    <row r="3572" spans="1:6" ht="25.5">
      <c r="A3572" s="2">
        <v>3569</v>
      </c>
      <c r="B3572" s="2" t="s">
        <v>3649</v>
      </c>
      <c r="C3572" s="2" t="str">
        <f>"03666999"</f>
        <v>03666999</v>
      </c>
      <c r="D3572" s="2">
        <v>0.33600000000000002</v>
      </c>
      <c r="E3572" s="2">
        <v>34</v>
      </c>
      <c r="F3572" s="2" t="s">
        <v>46</v>
      </c>
    </row>
    <row r="3573" spans="1:6" ht="25.5">
      <c r="A3573" s="2">
        <v>3570</v>
      </c>
      <c r="B3573" s="2" t="s">
        <v>3650</v>
      </c>
      <c r="C3573" s="2" t="str">
        <f>"10019294"</f>
        <v>10019294</v>
      </c>
      <c r="D3573" s="2">
        <v>0.19900000000000001</v>
      </c>
      <c r="E3573" s="2">
        <v>13</v>
      </c>
      <c r="F3573" s="2" t="s">
        <v>75</v>
      </c>
    </row>
    <row r="3574" spans="1:6" ht="25.5">
      <c r="A3574" s="2">
        <v>3571</v>
      </c>
      <c r="B3574" s="2" t="s">
        <v>3651</v>
      </c>
      <c r="C3574" s="2" t="str">
        <f>"17498546"</f>
        <v>17498546</v>
      </c>
      <c r="D3574" s="2">
        <v>0.72</v>
      </c>
      <c r="E3574" s="2">
        <v>16</v>
      </c>
      <c r="F3574" s="2" t="s">
        <v>16</v>
      </c>
    </row>
    <row r="3575" spans="1:6" ht="25.5">
      <c r="A3575" s="2">
        <v>3572</v>
      </c>
      <c r="B3575" s="2" t="s">
        <v>3652</v>
      </c>
      <c r="C3575" s="2" t="str">
        <f>"20951531"</f>
        <v>20951531</v>
      </c>
      <c r="D3575" s="2">
        <v>0.23899999999999999</v>
      </c>
      <c r="E3575" s="2">
        <v>3</v>
      </c>
      <c r="F3575" s="2" t="s">
        <v>46</v>
      </c>
    </row>
    <row r="3576" spans="1:6" ht="25.5">
      <c r="A3576" s="2">
        <v>3573</v>
      </c>
      <c r="B3576" s="2" t="s">
        <v>3653</v>
      </c>
      <c r="C3576" s="2" t="str">
        <f>"16717694"</f>
        <v>16717694</v>
      </c>
      <c r="D3576" s="2">
        <v>0.44700000000000001</v>
      </c>
      <c r="E3576" s="2">
        <v>19</v>
      </c>
      <c r="F3576" s="2" t="s">
        <v>46</v>
      </c>
    </row>
    <row r="3577" spans="1:6" ht="25.5">
      <c r="A3577" s="2">
        <v>3574</v>
      </c>
      <c r="B3577" s="2" t="s">
        <v>3654</v>
      </c>
      <c r="C3577" s="2" t="str">
        <f>"10012494"</f>
        <v>10012494</v>
      </c>
      <c r="D3577" s="2">
        <v>0.16700000000000001</v>
      </c>
      <c r="E3577" s="2">
        <v>15</v>
      </c>
      <c r="F3577" s="2" t="s">
        <v>46</v>
      </c>
    </row>
    <row r="3578" spans="1:6" ht="25.5">
      <c r="A3578" s="2">
        <v>3575</v>
      </c>
      <c r="B3578" s="2" t="s">
        <v>3655</v>
      </c>
      <c r="C3578" s="2" t="str">
        <f>"10011978"</f>
        <v>10011978</v>
      </c>
      <c r="D3578" s="2">
        <v>0.17499999999999999</v>
      </c>
      <c r="E3578" s="2">
        <v>11</v>
      </c>
      <c r="F3578" s="2" t="s">
        <v>46</v>
      </c>
    </row>
    <row r="3579" spans="1:6" ht="25.5">
      <c r="A3579" s="2">
        <v>3576</v>
      </c>
      <c r="B3579" s="2" t="s">
        <v>3656</v>
      </c>
      <c r="C3579" s="2" t="str">
        <f>"16741056"</f>
        <v>16741056</v>
      </c>
      <c r="D3579" s="2">
        <v>0.247</v>
      </c>
      <c r="E3579" s="2">
        <v>21</v>
      </c>
      <c r="F3579" s="2" t="s">
        <v>16</v>
      </c>
    </row>
    <row r="3580" spans="1:6" ht="25.5">
      <c r="A3580" s="2">
        <v>3577</v>
      </c>
      <c r="B3580" s="2" t="s">
        <v>3657</v>
      </c>
      <c r="C3580" s="2" t="str">
        <f>"16741137"</f>
        <v>16741137</v>
      </c>
      <c r="D3580" s="2">
        <v>0.253</v>
      </c>
      <c r="E3580" s="2">
        <v>8</v>
      </c>
      <c r="F3580" s="2" t="s">
        <v>16</v>
      </c>
    </row>
    <row r="3581" spans="1:6" ht="25.5">
      <c r="A3581" s="2">
        <v>3578</v>
      </c>
      <c r="B3581" s="2" t="s">
        <v>3658</v>
      </c>
      <c r="C3581" s="2" t="str">
        <f>"17413540"</f>
        <v>17413540</v>
      </c>
      <c r="D3581" s="2">
        <v>0.26</v>
      </c>
      <c r="E3581" s="2">
        <v>40</v>
      </c>
      <c r="F3581" s="2" t="s">
        <v>16</v>
      </c>
    </row>
    <row r="3582" spans="1:6" ht="25.5">
      <c r="A3582" s="2">
        <v>3579</v>
      </c>
      <c r="B3582" s="2" t="s">
        <v>3659</v>
      </c>
      <c r="C3582" s="2" t="str">
        <f>"18619541"</f>
        <v>18619541</v>
      </c>
      <c r="D3582" s="2">
        <v>0.38200000000000001</v>
      </c>
      <c r="E3582" s="2">
        <v>49</v>
      </c>
      <c r="F3582" s="2" t="s">
        <v>46</v>
      </c>
    </row>
    <row r="3583" spans="1:6" ht="25.5">
      <c r="A3583" s="2">
        <v>3580</v>
      </c>
      <c r="B3583" s="2" t="s">
        <v>3660</v>
      </c>
      <c r="C3583" s="2" t="str">
        <f>"21620563"</f>
        <v>21620563</v>
      </c>
      <c r="D3583" s="2">
        <v>0.126</v>
      </c>
      <c r="E3583" s="2">
        <v>3</v>
      </c>
      <c r="F3583" s="2" t="s">
        <v>6</v>
      </c>
    </row>
    <row r="3584" spans="1:6" ht="25.5">
      <c r="A3584" s="2">
        <v>3581</v>
      </c>
      <c r="B3584" s="2" t="s">
        <v>3661</v>
      </c>
      <c r="C3584" s="2" t="str">
        <f>"1000758X"</f>
        <v>1000758X</v>
      </c>
      <c r="D3584" s="2">
        <v>0.23300000000000001</v>
      </c>
      <c r="E3584" s="2">
        <v>5</v>
      </c>
      <c r="F3584" s="2" t="s">
        <v>46</v>
      </c>
    </row>
    <row r="3585" spans="1:6" ht="25.5">
      <c r="A3585" s="2">
        <v>3582</v>
      </c>
      <c r="B3585" s="2" t="s">
        <v>3662</v>
      </c>
      <c r="C3585" s="2" t="str">
        <f>"15580407"</f>
        <v>15580407</v>
      </c>
      <c r="D3585" s="2">
        <v>0.1</v>
      </c>
      <c r="E3585" s="2">
        <v>1</v>
      </c>
      <c r="F3585" s="2" t="s">
        <v>6</v>
      </c>
    </row>
    <row r="3586" spans="1:6" ht="25.5">
      <c r="A3586" s="2">
        <v>3583</v>
      </c>
      <c r="B3586" s="2" t="s">
        <v>3663</v>
      </c>
      <c r="C3586" s="2" t="str">
        <f>"02532670"</f>
        <v>02532670</v>
      </c>
      <c r="D3586" s="2">
        <v>0.127</v>
      </c>
      <c r="E3586" s="2">
        <v>6</v>
      </c>
      <c r="F3586" s="2" t="s">
        <v>46</v>
      </c>
    </row>
    <row r="3587" spans="1:6" ht="25.5">
      <c r="A3587" s="2">
        <v>3584</v>
      </c>
      <c r="B3587" s="2" t="s">
        <v>3664</v>
      </c>
      <c r="C3587" s="2" t="str">
        <f>"09302786"</f>
        <v>09302786</v>
      </c>
      <c r="D3587" s="2">
        <v>0.1</v>
      </c>
      <c r="E3587" s="2">
        <v>3</v>
      </c>
      <c r="F3587" s="2" t="s">
        <v>12</v>
      </c>
    </row>
    <row r="3588" spans="1:6" ht="25.5">
      <c r="A3588" s="2">
        <v>3585</v>
      </c>
      <c r="B3588" s="2" t="s">
        <v>3665</v>
      </c>
      <c r="C3588" s="2" t="str">
        <f>"1520636X"</f>
        <v>1520636X</v>
      </c>
      <c r="D3588" s="2">
        <v>0.55700000000000005</v>
      </c>
      <c r="E3588" s="2">
        <v>52</v>
      </c>
      <c r="F3588" s="2" t="s">
        <v>6</v>
      </c>
    </row>
    <row r="3589" spans="1:6" ht="25.5">
      <c r="A3589" s="2">
        <v>3586</v>
      </c>
      <c r="B3589" s="2" t="s">
        <v>3666</v>
      </c>
      <c r="C3589" s="2" t="str">
        <f>"13479555"</f>
        <v>13479555</v>
      </c>
      <c r="D3589" s="2">
        <v>0.10299999999999999</v>
      </c>
      <c r="E3589" s="2">
        <v>5</v>
      </c>
      <c r="F3589" s="2" t="s">
        <v>131</v>
      </c>
    </row>
    <row r="3590" spans="1:6" ht="25.5">
      <c r="A3590" s="2">
        <v>3587</v>
      </c>
      <c r="B3590" s="2" t="s">
        <v>3667</v>
      </c>
      <c r="C3590" s="2" t="str">
        <f>"2045709X"</f>
        <v>2045709X</v>
      </c>
      <c r="D3590" s="2">
        <v>0.70599999999999996</v>
      </c>
      <c r="E3590" s="2">
        <v>14</v>
      </c>
      <c r="F3590" s="2" t="s">
        <v>16</v>
      </c>
    </row>
    <row r="3591" spans="1:6" ht="25.5">
      <c r="A3591" s="2">
        <v>3588</v>
      </c>
      <c r="B3591" s="2" t="s">
        <v>3668</v>
      </c>
      <c r="C3591" s="2" t="str">
        <f>"18271782"</f>
        <v>18271782</v>
      </c>
      <c r="D3591" s="2">
        <v>0.1</v>
      </c>
      <c r="E3591" s="2">
        <v>3</v>
      </c>
      <c r="F3591" s="2" t="s">
        <v>190</v>
      </c>
    </row>
    <row r="3592" spans="1:6" ht="25.5">
      <c r="A3592" s="2">
        <v>3589</v>
      </c>
      <c r="B3592" s="2" t="s">
        <v>3668</v>
      </c>
      <c r="C3592" s="2" t="str">
        <f>"12219118"</f>
        <v>12219118</v>
      </c>
      <c r="D3592" s="2">
        <v>0.12</v>
      </c>
      <c r="E3592" s="2">
        <v>8</v>
      </c>
      <c r="F3592" s="2" t="s">
        <v>19</v>
      </c>
    </row>
    <row r="3593" spans="1:6" ht="25.5">
      <c r="A3593" s="2">
        <v>3590</v>
      </c>
      <c r="B3593" s="2" t="s">
        <v>3669</v>
      </c>
      <c r="C3593" s="2" t="str">
        <f>"03920771"</f>
        <v>03920771</v>
      </c>
      <c r="D3593" s="2">
        <v>0.159</v>
      </c>
      <c r="E3593" s="2">
        <v>5</v>
      </c>
      <c r="F3593" s="2" t="s">
        <v>190</v>
      </c>
    </row>
    <row r="3594" spans="1:6" ht="25.5">
      <c r="A3594" s="2">
        <v>3591</v>
      </c>
      <c r="B3594" s="2" t="s">
        <v>3670</v>
      </c>
      <c r="C3594" s="2" t="str">
        <f>"0009479X"</f>
        <v>0009479X</v>
      </c>
      <c r="D3594" s="2">
        <v>0.11</v>
      </c>
      <c r="E3594" s="2">
        <v>6</v>
      </c>
      <c r="F3594" s="2" t="s">
        <v>169</v>
      </c>
    </row>
    <row r="3595" spans="1:6" ht="25.5">
      <c r="A3595" s="2">
        <v>3592</v>
      </c>
      <c r="B3595" s="2" t="s">
        <v>3671</v>
      </c>
      <c r="C3595" s="2" t="str">
        <f>"16443349"</f>
        <v>16443349</v>
      </c>
      <c r="D3595" s="2">
        <v>0.104</v>
      </c>
      <c r="E3595" s="2">
        <v>4</v>
      </c>
      <c r="F3595" s="2" t="s">
        <v>169</v>
      </c>
    </row>
    <row r="3596" spans="1:6" ht="25.5">
      <c r="A3596" s="2">
        <v>3593</v>
      </c>
      <c r="B3596" s="2" t="s">
        <v>3672</v>
      </c>
      <c r="C3596" s="2" t="str">
        <f>"12973203"</f>
        <v>12973203</v>
      </c>
      <c r="D3596" s="2">
        <v>0.30099999999999999</v>
      </c>
      <c r="E3596" s="2">
        <v>15</v>
      </c>
      <c r="F3596" s="2" t="s">
        <v>66</v>
      </c>
    </row>
    <row r="3597" spans="1:6" ht="25.5">
      <c r="A3597" s="2">
        <v>3594</v>
      </c>
      <c r="B3597" s="2" t="s">
        <v>3673</v>
      </c>
      <c r="C3597" s="2" t="str">
        <f>"00094846"</f>
        <v>00094846</v>
      </c>
      <c r="D3597" s="2">
        <v>0.10299999999999999</v>
      </c>
      <c r="E3597" s="2">
        <v>3</v>
      </c>
      <c r="F3597" s="2" t="s">
        <v>12</v>
      </c>
    </row>
    <row r="3598" spans="1:6" ht="25.5">
      <c r="A3598" s="2">
        <v>3595</v>
      </c>
      <c r="B3598" s="2" t="s">
        <v>3674</v>
      </c>
      <c r="C3598" s="2" t="str">
        <f>"1000582X"</f>
        <v>1000582X</v>
      </c>
      <c r="D3598" s="2">
        <v>0.22600000000000001</v>
      </c>
      <c r="E3598" s="2">
        <v>5</v>
      </c>
      <c r="F3598" s="2" t="s">
        <v>46</v>
      </c>
    </row>
    <row r="3599" spans="1:6" ht="25.5">
      <c r="A3599" s="2">
        <v>3596</v>
      </c>
      <c r="B3599" s="2" t="s">
        <v>3675</v>
      </c>
      <c r="C3599" s="2" t="str">
        <f>"13803603"</f>
        <v>13803603</v>
      </c>
      <c r="D3599" s="2">
        <v>0.184</v>
      </c>
      <c r="E3599" s="2">
        <v>5</v>
      </c>
      <c r="F3599" s="2" t="s">
        <v>6</v>
      </c>
    </row>
    <row r="3600" spans="1:6" ht="25.5">
      <c r="A3600" s="2">
        <v>3597</v>
      </c>
      <c r="B3600" s="2" t="s">
        <v>3676</v>
      </c>
      <c r="C3600" s="2" t="str">
        <f>"15363759"</f>
        <v>15363759</v>
      </c>
      <c r="D3600" s="2">
        <v>0.11899999999999999</v>
      </c>
      <c r="E3600" s="2">
        <v>2</v>
      </c>
      <c r="F3600" s="2" t="s">
        <v>16</v>
      </c>
    </row>
    <row r="3601" spans="1:6" ht="25.5">
      <c r="A3601" s="2">
        <v>3598</v>
      </c>
      <c r="B3601" s="2" t="s">
        <v>3677</v>
      </c>
      <c r="C3601" s="2" t="str">
        <f>"16121112"</f>
        <v>16121112</v>
      </c>
      <c r="D3601" s="2">
        <v>0.55300000000000005</v>
      </c>
      <c r="E3601" s="2">
        <v>50</v>
      </c>
      <c r="F3601" s="2" t="s">
        <v>12</v>
      </c>
    </row>
    <row r="3602" spans="1:6" ht="25.5">
      <c r="A3602" s="2">
        <v>3599</v>
      </c>
      <c r="B3602" s="2" t="s">
        <v>3678</v>
      </c>
      <c r="C3602" s="2" t="str">
        <f>"14320886"</f>
        <v>14320886</v>
      </c>
      <c r="D3602" s="2">
        <v>1.992</v>
      </c>
      <c r="E3602" s="2">
        <v>64</v>
      </c>
      <c r="F3602" s="2" t="s">
        <v>12</v>
      </c>
    </row>
    <row r="3603" spans="1:6" ht="25.5">
      <c r="A3603" s="2">
        <v>3600</v>
      </c>
      <c r="B3603" s="2" t="s">
        <v>3679</v>
      </c>
      <c r="C3603" s="2" t="str">
        <f>"15736849"</f>
        <v>15736849</v>
      </c>
      <c r="D3603" s="2">
        <v>1.63</v>
      </c>
      <c r="E3603" s="2">
        <v>57</v>
      </c>
      <c r="F3603" s="2" t="s">
        <v>75</v>
      </c>
    </row>
    <row r="3604" spans="1:6" ht="25.5">
      <c r="A3604" s="2">
        <v>3601</v>
      </c>
      <c r="B3604" s="2" t="s">
        <v>3680</v>
      </c>
      <c r="C3604" s="2" t="str">
        <f>"19256523"</f>
        <v>19256523</v>
      </c>
      <c r="D3604" s="2">
        <v>0.80900000000000005</v>
      </c>
      <c r="E3604" s="2">
        <v>1</v>
      </c>
      <c r="F3604" s="2" t="s">
        <v>64</v>
      </c>
    </row>
    <row r="3605" spans="1:6" ht="25.5">
      <c r="A3605" s="2">
        <v>3602</v>
      </c>
      <c r="B3605" s="2" t="s">
        <v>3681</v>
      </c>
      <c r="C3605" s="2" t="str">
        <f>"14818523"</f>
        <v>14818523</v>
      </c>
      <c r="D3605" s="2">
        <v>0.46</v>
      </c>
      <c r="E3605" s="2">
        <v>24</v>
      </c>
      <c r="F3605" s="2" t="s">
        <v>64</v>
      </c>
    </row>
    <row r="3606" spans="1:6" ht="25.5">
      <c r="A3606" s="2">
        <v>3603</v>
      </c>
      <c r="B3606" s="2" t="s">
        <v>3682</v>
      </c>
      <c r="C3606" s="2" t="str">
        <f>"17459206"</f>
        <v>17459206</v>
      </c>
      <c r="D3606" s="2">
        <v>0.86399999999999999</v>
      </c>
      <c r="E3606" s="2">
        <v>17</v>
      </c>
      <c r="F3606" s="2" t="s">
        <v>16</v>
      </c>
    </row>
    <row r="3607" spans="1:6" ht="25.5">
      <c r="A3607" s="2">
        <v>3604</v>
      </c>
      <c r="B3607" s="2" t="s">
        <v>3683</v>
      </c>
      <c r="C3607" s="2" t="str">
        <f>"14799731"</f>
        <v>14799731</v>
      </c>
      <c r="D3607" s="2">
        <v>0.67600000000000005</v>
      </c>
      <c r="E3607" s="2">
        <v>18</v>
      </c>
      <c r="F3607" s="2" t="s">
        <v>16</v>
      </c>
    </row>
    <row r="3608" spans="1:6" ht="25.5">
      <c r="A3608" s="2">
        <v>3605</v>
      </c>
      <c r="B3608" s="2" t="s">
        <v>3684</v>
      </c>
      <c r="C3608" s="2" t="str">
        <f>"00096067"</f>
        <v>00096067</v>
      </c>
      <c r="D3608" s="2">
        <v>0.1</v>
      </c>
      <c r="E3608" s="2">
        <v>2</v>
      </c>
      <c r="F3608" s="2" t="s">
        <v>161</v>
      </c>
    </row>
    <row r="3609" spans="1:6" ht="25.5">
      <c r="A3609" s="2">
        <v>3606</v>
      </c>
      <c r="B3609" s="2" t="s">
        <v>3685</v>
      </c>
      <c r="C3609" s="2" t="str">
        <f>"07420528"</f>
        <v>07420528</v>
      </c>
      <c r="D3609" s="2">
        <v>1.1619999999999999</v>
      </c>
      <c r="E3609" s="2">
        <v>56</v>
      </c>
      <c r="F3609" s="2" t="s">
        <v>16</v>
      </c>
    </row>
    <row r="3610" spans="1:6" ht="25.5">
      <c r="A3610" s="2">
        <v>3607</v>
      </c>
      <c r="B3610" s="2" t="s">
        <v>3686</v>
      </c>
      <c r="C3610" s="2" t="str">
        <f>"10077294"</f>
        <v>10077294</v>
      </c>
      <c r="D3610" s="2">
        <v>0.27600000000000002</v>
      </c>
      <c r="E3610" s="2">
        <v>10</v>
      </c>
      <c r="F3610" s="2" t="s">
        <v>46</v>
      </c>
    </row>
    <row r="3611" spans="1:6" ht="25.5">
      <c r="A3611" s="2">
        <v>3608</v>
      </c>
      <c r="B3611" s="2" t="s">
        <v>3687</v>
      </c>
      <c r="C3611" s="2" t="str">
        <f>"09143777"</f>
        <v>09143777</v>
      </c>
      <c r="D3611" s="2">
        <v>0.104</v>
      </c>
      <c r="E3611" s="2">
        <v>5</v>
      </c>
      <c r="F3611" s="2" t="s">
        <v>131</v>
      </c>
    </row>
    <row r="3612" spans="1:6" ht="25.5">
      <c r="A3612" s="2">
        <v>3609</v>
      </c>
      <c r="B3612" s="2" t="s">
        <v>3688</v>
      </c>
      <c r="C3612" s="2" t="str">
        <f>"07161182"</f>
        <v>07161182</v>
      </c>
      <c r="D3612" s="2">
        <v>0.16900000000000001</v>
      </c>
      <c r="E3612" s="2">
        <v>8</v>
      </c>
      <c r="F3612" s="2" t="s">
        <v>182</v>
      </c>
    </row>
    <row r="3613" spans="1:6" ht="25.5">
      <c r="A3613" s="2">
        <v>3610</v>
      </c>
      <c r="B3613" s="2" t="s">
        <v>3689</v>
      </c>
      <c r="C3613" s="2" t="str">
        <f>"02556030"</f>
        <v>02556030</v>
      </c>
      <c r="D3613" s="2">
        <v>0.14099999999999999</v>
      </c>
      <c r="E3613" s="2">
        <v>3</v>
      </c>
      <c r="F3613" s="2" t="s">
        <v>46</v>
      </c>
    </row>
    <row r="3614" spans="1:6" ht="25.5">
      <c r="A3614" s="2">
        <v>3611</v>
      </c>
      <c r="B3614" s="2" t="s">
        <v>3690</v>
      </c>
      <c r="C3614" s="2" t="str">
        <f>"02533839"</f>
        <v>02533839</v>
      </c>
      <c r="D3614" s="2">
        <v>0.20699999999999999</v>
      </c>
      <c r="E3614" s="2">
        <v>16</v>
      </c>
      <c r="F3614" s="2" t="s">
        <v>165</v>
      </c>
    </row>
    <row r="3615" spans="1:6" ht="25.5">
      <c r="A3615" s="2">
        <v>3612</v>
      </c>
      <c r="B3615" s="2" t="s">
        <v>3691</v>
      </c>
      <c r="C3615" s="2" t="str">
        <f>"00096407"</f>
        <v>00096407</v>
      </c>
      <c r="D3615" s="2">
        <v>0.16200000000000001</v>
      </c>
      <c r="E3615" s="2">
        <v>7</v>
      </c>
      <c r="F3615" s="2" t="s">
        <v>75</v>
      </c>
    </row>
    <row r="3616" spans="1:6" ht="25.5">
      <c r="A3616" s="2">
        <v>3613</v>
      </c>
      <c r="B3616" s="2" t="s">
        <v>3692</v>
      </c>
      <c r="C3616" s="2" t="str">
        <f>"18712428"</f>
        <v>18712428</v>
      </c>
      <c r="D3616" s="2">
        <v>0.127</v>
      </c>
      <c r="E3616" s="2">
        <v>2</v>
      </c>
      <c r="F3616" s="2" t="s">
        <v>75</v>
      </c>
    </row>
    <row r="3617" spans="1:6" ht="25.5">
      <c r="A3617" s="2">
        <v>3614</v>
      </c>
      <c r="B3617" s="2" t="s">
        <v>3693</v>
      </c>
      <c r="C3617" s="2" t="str">
        <f>"0103944X"</f>
        <v>0103944X</v>
      </c>
      <c r="D3617" s="2">
        <v>0.10299999999999999</v>
      </c>
      <c r="E3617" s="2">
        <v>3</v>
      </c>
      <c r="F3617" s="2" t="s">
        <v>159</v>
      </c>
    </row>
    <row r="3618" spans="1:6" ht="25.5">
      <c r="A3618" s="2">
        <v>3615</v>
      </c>
      <c r="B3618" s="2" t="s">
        <v>3694</v>
      </c>
      <c r="C3618" s="2" t="str">
        <f>"01001965"</f>
        <v>01001965</v>
      </c>
      <c r="D3618" s="2">
        <v>0.129</v>
      </c>
      <c r="E3618" s="2">
        <v>4</v>
      </c>
      <c r="F3618" s="2" t="s">
        <v>159</v>
      </c>
    </row>
    <row r="3619" spans="1:6" ht="25.5">
      <c r="A3619" s="2">
        <v>3616</v>
      </c>
      <c r="B3619" s="2" t="s">
        <v>3695</v>
      </c>
      <c r="C3619" s="2" t="str">
        <f>"03263169"</f>
        <v>03263169</v>
      </c>
      <c r="D3619" s="2">
        <v>0.22700000000000001</v>
      </c>
      <c r="E3619" s="2">
        <v>9</v>
      </c>
      <c r="F3619" s="2" t="s">
        <v>192</v>
      </c>
    </row>
    <row r="3620" spans="1:6" ht="25.5">
      <c r="A3620" s="2">
        <v>3617</v>
      </c>
      <c r="B3620" s="2" t="s">
        <v>3696</v>
      </c>
      <c r="C3620" s="2" t="str">
        <f>"14137054"</f>
        <v>14137054</v>
      </c>
      <c r="D3620" s="2">
        <v>0.52600000000000002</v>
      </c>
      <c r="E3620" s="2">
        <v>11</v>
      </c>
      <c r="F3620" s="2" t="s">
        <v>159</v>
      </c>
    </row>
    <row r="3621" spans="1:6" ht="25.5">
      <c r="A3621" s="2">
        <v>3618</v>
      </c>
      <c r="B3621" s="2" t="s">
        <v>3697</v>
      </c>
      <c r="C3621" s="2" t="str">
        <f>"03045609"</f>
        <v>03045609</v>
      </c>
      <c r="D3621" s="2">
        <v>0.20499999999999999</v>
      </c>
      <c r="E3621" s="2">
        <v>6</v>
      </c>
      <c r="F3621" s="2" t="s">
        <v>182</v>
      </c>
    </row>
    <row r="3622" spans="1:6" ht="25.5">
      <c r="A3622" s="2">
        <v>3619</v>
      </c>
      <c r="B3622" s="2" t="s">
        <v>3698</v>
      </c>
      <c r="C3622" s="2" t="str">
        <f>"14138123"</f>
        <v>14138123</v>
      </c>
      <c r="D3622" s="2">
        <v>0.55700000000000005</v>
      </c>
      <c r="E3622" s="2">
        <v>20</v>
      </c>
      <c r="F3622" s="2" t="s">
        <v>159</v>
      </c>
    </row>
    <row r="3623" spans="1:6" ht="25.5">
      <c r="A3623" s="2">
        <v>3620</v>
      </c>
      <c r="B3623" s="2" t="s">
        <v>3699</v>
      </c>
      <c r="C3623" s="2" t="str">
        <f>"01012061"</f>
        <v>01012061</v>
      </c>
      <c r="D3623" s="2">
        <v>0.23300000000000001</v>
      </c>
      <c r="E3623" s="2">
        <v>12</v>
      </c>
      <c r="F3623" s="2" t="s">
        <v>159</v>
      </c>
    </row>
    <row r="3624" spans="1:6" ht="25.5">
      <c r="A3624" s="2">
        <v>3621</v>
      </c>
      <c r="B3624" s="2" t="s">
        <v>3700</v>
      </c>
      <c r="C3624" s="2" t="str">
        <f>"19805098"</f>
        <v>19805098</v>
      </c>
      <c r="D3624" s="2">
        <v>0.28699999999999998</v>
      </c>
      <c r="E3624" s="2">
        <v>6</v>
      </c>
      <c r="F3624" s="2" t="s">
        <v>159</v>
      </c>
    </row>
    <row r="3625" spans="1:6" ht="25.5">
      <c r="A3625" s="2">
        <v>3622</v>
      </c>
      <c r="B3625" s="2" t="s">
        <v>3701</v>
      </c>
      <c r="C3625" s="2" t="str">
        <f>"01038478"</f>
        <v>01038478</v>
      </c>
      <c r="D3625" s="2">
        <v>0.35799999999999998</v>
      </c>
      <c r="E3625" s="2">
        <v>14</v>
      </c>
      <c r="F3625" s="2" t="s">
        <v>159</v>
      </c>
    </row>
    <row r="3626" spans="1:6" ht="25.5">
      <c r="A3626" s="2">
        <v>3623</v>
      </c>
      <c r="B3626" s="2" t="s">
        <v>3702</v>
      </c>
      <c r="C3626" s="2" t="str">
        <f>"01853880"</f>
        <v>01853880</v>
      </c>
      <c r="D3626" s="2">
        <v>0.254</v>
      </c>
      <c r="E3626" s="2">
        <v>16</v>
      </c>
      <c r="F3626" s="2" t="s">
        <v>200</v>
      </c>
    </row>
    <row r="3627" spans="1:6" ht="25.5">
      <c r="A3627" s="2">
        <v>3624</v>
      </c>
      <c r="B3627" s="2" t="s">
        <v>3703</v>
      </c>
      <c r="C3627" s="2" t="str">
        <f>"07179553"</f>
        <v>07179553</v>
      </c>
      <c r="D3627" s="2">
        <v>0.109</v>
      </c>
      <c r="E3627" s="2">
        <v>5</v>
      </c>
      <c r="F3627" s="2" t="s">
        <v>182</v>
      </c>
    </row>
    <row r="3628" spans="1:6" ht="25.5">
      <c r="A3628" s="2">
        <v>3625</v>
      </c>
      <c r="B3628" s="2" t="s">
        <v>3704</v>
      </c>
      <c r="C3628" s="2" t="str">
        <f>"21558817"</f>
        <v>21558817</v>
      </c>
      <c r="D3628" s="2">
        <v>0</v>
      </c>
      <c r="E3628" s="2">
        <v>0</v>
      </c>
      <c r="F3628" s="2" t="s">
        <v>6</v>
      </c>
    </row>
    <row r="3629" spans="1:6" ht="25.5">
      <c r="A3629" s="2">
        <v>3626</v>
      </c>
      <c r="B3629" s="2" t="s">
        <v>3705</v>
      </c>
      <c r="C3629" s="2" t="str">
        <f>"15389774"</f>
        <v>15389774</v>
      </c>
      <c r="D3629" s="2">
        <v>0.32900000000000001</v>
      </c>
      <c r="E3629" s="2">
        <v>29</v>
      </c>
      <c r="F3629" s="2" t="s">
        <v>6</v>
      </c>
    </row>
    <row r="3630" spans="1:6" ht="25.5">
      <c r="A3630" s="2">
        <v>3627</v>
      </c>
      <c r="B3630" s="2" t="s">
        <v>3706</v>
      </c>
      <c r="C3630" s="2" t="str">
        <f>"00097004"</f>
        <v>00097004</v>
      </c>
      <c r="D3630" s="2">
        <v>0.1</v>
      </c>
      <c r="E3630" s="2">
        <v>3</v>
      </c>
      <c r="F3630" s="2" t="s">
        <v>6</v>
      </c>
    </row>
    <row r="3631" spans="1:6" ht="25.5">
      <c r="A3631" s="2">
        <v>3628</v>
      </c>
      <c r="B3631" s="2" t="s">
        <v>3707</v>
      </c>
      <c r="C3631" s="2" t="str">
        <f>"00097039"</f>
        <v>00097039</v>
      </c>
      <c r="D3631" s="2">
        <v>0.1</v>
      </c>
      <c r="E3631" s="2">
        <v>1</v>
      </c>
      <c r="F3631" s="2" t="s">
        <v>190</v>
      </c>
    </row>
    <row r="3632" spans="1:6" ht="25.5">
      <c r="A3632" s="2">
        <v>3629</v>
      </c>
      <c r="B3632" s="2" t="s">
        <v>3708</v>
      </c>
      <c r="C3632" s="2" t="str">
        <f>"0278081X"</f>
        <v>0278081X</v>
      </c>
      <c r="D3632" s="2">
        <v>0.55100000000000005</v>
      </c>
      <c r="E3632" s="2">
        <v>25</v>
      </c>
      <c r="F3632" s="2" t="s">
        <v>6</v>
      </c>
    </row>
    <row r="3633" spans="1:6" ht="25.5">
      <c r="A3633" s="2">
        <v>3630</v>
      </c>
      <c r="B3633" s="2" t="s">
        <v>3709</v>
      </c>
      <c r="C3633" s="2" t="str">
        <f>"03056120"</f>
        <v>03056120</v>
      </c>
      <c r="D3633" s="2">
        <v>0.24099999999999999</v>
      </c>
      <c r="E3633" s="2">
        <v>14</v>
      </c>
      <c r="F3633" s="2" t="s">
        <v>16</v>
      </c>
    </row>
    <row r="3634" spans="1:6" ht="25.5">
      <c r="A3634" s="2">
        <v>3631</v>
      </c>
      <c r="B3634" s="2" t="s">
        <v>3710</v>
      </c>
      <c r="C3634" s="2" t="str">
        <f>"00097314"</f>
        <v>00097314</v>
      </c>
      <c r="D3634" s="2">
        <v>0.106</v>
      </c>
      <c r="E3634" s="2">
        <v>2</v>
      </c>
      <c r="F3634" s="2" t="s">
        <v>351</v>
      </c>
    </row>
    <row r="3635" spans="1:6" ht="25.5">
      <c r="A3635" s="2">
        <v>3632</v>
      </c>
      <c r="B3635" s="2" t="s">
        <v>3711</v>
      </c>
      <c r="C3635" s="2" t="str">
        <f>"1067084X"</f>
        <v>1067084X</v>
      </c>
      <c r="D3635" s="2">
        <v>0.13900000000000001</v>
      </c>
      <c r="E3635" s="2">
        <v>11</v>
      </c>
      <c r="F3635" s="2" t="s">
        <v>6</v>
      </c>
    </row>
    <row r="3636" spans="1:6" ht="25.5">
      <c r="A3636" s="2">
        <v>3633</v>
      </c>
      <c r="B3636" s="2" t="s">
        <v>3712</v>
      </c>
      <c r="C3636" s="2" t="str">
        <f>"15244539"</f>
        <v>15244539</v>
      </c>
      <c r="D3636" s="2">
        <v>6.258</v>
      </c>
      <c r="E3636" s="2">
        <v>429</v>
      </c>
      <c r="F3636" s="2" t="s">
        <v>6</v>
      </c>
    </row>
    <row r="3637" spans="1:6" ht="25.5">
      <c r="A3637" s="2">
        <v>3634</v>
      </c>
      <c r="B3637" s="2" t="s">
        <v>3713</v>
      </c>
      <c r="C3637" s="2" t="str">
        <f>"19413149"</f>
        <v>19413149</v>
      </c>
      <c r="D3637" s="2">
        <v>3.0590000000000002</v>
      </c>
      <c r="E3637" s="2">
        <v>31</v>
      </c>
      <c r="F3637" s="2" t="s">
        <v>6</v>
      </c>
    </row>
    <row r="3638" spans="1:6" ht="25.5">
      <c r="A3638" s="2">
        <v>3635</v>
      </c>
      <c r="B3638" s="2" t="s">
        <v>3714</v>
      </c>
      <c r="C3638" s="2" t="str">
        <f>"19423268"</f>
        <v>19423268</v>
      </c>
      <c r="D3638" s="2">
        <v>2.996</v>
      </c>
      <c r="E3638" s="2">
        <v>29</v>
      </c>
      <c r="F3638" s="2" t="s">
        <v>6</v>
      </c>
    </row>
    <row r="3639" spans="1:6" ht="25.5">
      <c r="A3639" s="2">
        <v>3636</v>
      </c>
      <c r="B3639" s="2" t="s">
        <v>3715</v>
      </c>
      <c r="C3639" s="2" t="str">
        <f>"19420080"</f>
        <v>19420080</v>
      </c>
      <c r="D3639" s="2">
        <v>3.407</v>
      </c>
      <c r="E3639" s="2">
        <v>28</v>
      </c>
      <c r="F3639" s="2" t="s">
        <v>6</v>
      </c>
    </row>
    <row r="3640" spans="1:6" ht="25.5">
      <c r="A3640" s="2">
        <v>3637</v>
      </c>
      <c r="B3640" s="2" t="s">
        <v>3716</v>
      </c>
      <c r="C3640" s="2" t="str">
        <f>"19417640"</f>
        <v>19417640</v>
      </c>
      <c r="D3640" s="2">
        <v>3.7109999999999999</v>
      </c>
      <c r="E3640" s="2">
        <v>30</v>
      </c>
      <c r="F3640" s="2" t="s">
        <v>6</v>
      </c>
    </row>
    <row r="3641" spans="1:6" ht="25.5">
      <c r="A3641" s="2">
        <v>3638</v>
      </c>
      <c r="B3641" s="2" t="s">
        <v>3717</v>
      </c>
      <c r="C3641" s="2" t="str">
        <f>"19417713"</f>
        <v>19417713</v>
      </c>
      <c r="D3641" s="2">
        <v>3.7909999999999999</v>
      </c>
      <c r="E3641" s="2">
        <v>29</v>
      </c>
      <c r="F3641" s="2" t="s">
        <v>6</v>
      </c>
    </row>
    <row r="3642" spans="1:6" ht="25.5">
      <c r="A3642" s="2">
        <v>3639</v>
      </c>
      <c r="B3642" s="2" t="s">
        <v>3718</v>
      </c>
      <c r="C3642" s="2" t="str">
        <f>"19413297"</f>
        <v>19413297</v>
      </c>
      <c r="D3642" s="2">
        <v>3.3439999999999999</v>
      </c>
      <c r="E3642" s="2">
        <v>32</v>
      </c>
      <c r="F3642" s="2" t="s">
        <v>6</v>
      </c>
    </row>
    <row r="3643" spans="1:6" ht="25.5">
      <c r="A3643" s="2">
        <v>3640</v>
      </c>
      <c r="B3643" s="2" t="s">
        <v>3719</v>
      </c>
      <c r="C3643" s="2" t="str">
        <f>"13474820"</f>
        <v>13474820</v>
      </c>
      <c r="D3643" s="2">
        <v>1.337</v>
      </c>
      <c r="E3643" s="2">
        <v>57</v>
      </c>
      <c r="F3643" s="2" t="s">
        <v>131</v>
      </c>
    </row>
    <row r="3644" spans="1:6" ht="25.5">
      <c r="A3644" s="2">
        <v>3641</v>
      </c>
      <c r="B3644" s="2" t="s">
        <v>3720</v>
      </c>
      <c r="C3644" s="2" t="str">
        <f>"15244571"</f>
        <v>15244571</v>
      </c>
      <c r="D3644" s="2">
        <v>4.7750000000000004</v>
      </c>
      <c r="E3644" s="2">
        <v>224</v>
      </c>
      <c r="F3644" s="2" t="s">
        <v>6</v>
      </c>
    </row>
    <row r="3645" spans="1:6" ht="25.5">
      <c r="A3645" s="2">
        <v>3642</v>
      </c>
      <c r="B3645" s="2" t="s">
        <v>3721</v>
      </c>
      <c r="C3645" s="2" t="str">
        <f>"00078506"</f>
        <v>00078506</v>
      </c>
      <c r="D3645" s="2">
        <v>2.2440000000000002</v>
      </c>
      <c r="E3645" s="2">
        <v>69</v>
      </c>
      <c r="F3645" s="2" t="s">
        <v>6</v>
      </c>
    </row>
    <row r="3646" spans="1:6" ht="25.5">
      <c r="A3646" s="2">
        <v>3643</v>
      </c>
      <c r="B3646" s="2" t="s">
        <v>3722</v>
      </c>
      <c r="C3646" s="2" t="str">
        <f>"18780016"</f>
        <v>18780016</v>
      </c>
      <c r="D3646" s="2">
        <v>0.86599999999999999</v>
      </c>
      <c r="E3646" s="2">
        <v>12</v>
      </c>
      <c r="F3646" s="2" t="s">
        <v>75</v>
      </c>
    </row>
    <row r="3647" spans="1:6" ht="25.5">
      <c r="A3647" s="2">
        <v>3644</v>
      </c>
      <c r="B3647" s="2" t="s">
        <v>3723</v>
      </c>
      <c r="C3647" s="2" t="str">
        <f>"1578147X"</f>
        <v>1578147X</v>
      </c>
      <c r="D3647" s="2">
        <v>0.28100000000000003</v>
      </c>
      <c r="E3647" s="2">
        <v>13</v>
      </c>
      <c r="F3647" s="2" t="s">
        <v>351</v>
      </c>
    </row>
    <row r="3648" spans="1:6" ht="25.5">
      <c r="A3648" s="2">
        <v>3645</v>
      </c>
      <c r="B3648" s="2" t="s">
        <v>3724</v>
      </c>
      <c r="C3648" s="2" t="str">
        <f>"02141221"</f>
        <v>02141221</v>
      </c>
      <c r="D3648" s="2">
        <v>0.127</v>
      </c>
      <c r="E3648" s="2">
        <v>9</v>
      </c>
      <c r="F3648" s="2" t="s">
        <v>66</v>
      </c>
    </row>
    <row r="3649" spans="1:6" ht="25.5">
      <c r="A3649" s="2">
        <v>3646</v>
      </c>
      <c r="B3649" s="2" t="s">
        <v>3725</v>
      </c>
      <c r="C3649" s="2" t="str">
        <f>"03767892"</f>
        <v>03767892</v>
      </c>
      <c r="D3649" s="2">
        <v>0.17199999999999999</v>
      </c>
      <c r="E3649" s="2">
        <v>6</v>
      </c>
      <c r="F3649" s="2" t="s">
        <v>351</v>
      </c>
    </row>
    <row r="3650" spans="1:6" ht="25.5">
      <c r="A3650" s="2">
        <v>3647</v>
      </c>
      <c r="B3650" s="2" t="s">
        <v>3726</v>
      </c>
      <c r="C3650" s="2" t="str">
        <f>"00097411"</f>
        <v>00097411</v>
      </c>
      <c r="D3650" s="2">
        <v>0.13900000000000001</v>
      </c>
      <c r="E3650" s="2">
        <v>7</v>
      </c>
      <c r="F3650" s="2" t="s">
        <v>200</v>
      </c>
    </row>
    <row r="3651" spans="1:6" ht="25.5">
      <c r="A3651" s="2">
        <v>3648</v>
      </c>
      <c r="B3651" s="2" t="s">
        <v>3727</v>
      </c>
      <c r="C3651" s="2" t="str">
        <f>"00097527"</f>
        <v>00097527</v>
      </c>
      <c r="D3651" s="2">
        <v>0.121</v>
      </c>
      <c r="E3651" s="2">
        <v>1</v>
      </c>
      <c r="F3651" s="2" t="s">
        <v>6</v>
      </c>
    </row>
    <row r="3652" spans="1:6" ht="25.5">
      <c r="A3652" s="2">
        <v>3649</v>
      </c>
      <c r="B3652" s="2" t="s">
        <v>3728</v>
      </c>
      <c r="C3652" s="2" t="str">
        <f>"02642751"</f>
        <v>02642751</v>
      </c>
      <c r="D3652" s="2">
        <v>0.73499999999999999</v>
      </c>
      <c r="E3652" s="2">
        <v>30</v>
      </c>
      <c r="F3652" s="2" t="s">
        <v>16</v>
      </c>
    </row>
    <row r="3653" spans="1:6" ht="25.5">
      <c r="A3653" s="2">
        <v>3650</v>
      </c>
      <c r="B3653" s="2" t="s">
        <v>3729</v>
      </c>
      <c r="C3653" s="2" t="str">
        <f>"13574019"</f>
        <v>13574019</v>
      </c>
      <c r="D3653" s="2">
        <v>0</v>
      </c>
      <c r="E3653" s="2">
        <v>0</v>
      </c>
      <c r="F3653" s="2" t="s">
        <v>16</v>
      </c>
    </row>
    <row r="3654" spans="1:6" ht="25.5">
      <c r="A3654" s="2">
        <v>3651</v>
      </c>
      <c r="B3654" s="2" t="s">
        <v>3730</v>
      </c>
      <c r="C3654" s="2" t="str">
        <f>"14693593"</f>
        <v>14693593</v>
      </c>
      <c r="D3654" s="2">
        <v>0.73699999999999999</v>
      </c>
      <c r="E3654" s="2">
        <v>26</v>
      </c>
      <c r="F3654" s="2" t="s">
        <v>6</v>
      </c>
    </row>
    <row r="3655" spans="1:6" ht="25.5">
      <c r="A3655" s="2">
        <v>3652</v>
      </c>
      <c r="B3655" s="2" t="s">
        <v>3731</v>
      </c>
      <c r="C3655" s="2" t="str">
        <f>"14703629"</f>
        <v>14703629</v>
      </c>
      <c r="D3655" s="2">
        <v>1.216</v>
      </c>
      <c r="E3655" s="2">
        <v>13</v>
      </c>
      <c r="F3655" s="2" t="s">
        <v>16</v>
      </c>
    </row>
    <row r="3656" spans="1:6" ht="25.5">
      <c r="A3656" s="2">
        <v>3653</v>
      </c>
      <c r="B3656" s="2" t="s">
        <v>3732</v>
      </c>
      <c r="C3656" s="2" t="str">
        <f>"15356841"</f>
        <v>15356841</v>
      </c>
      <c r="D3656" s="2">
        <v>1.1499999999999999</v>
      </c>
      <c r="E3656" s="2">
        <v>8</v>
      </c>
      <c r="F3656" s="2" t="s">
        <v>16</v>
      </c>
    </row>
    <row r="3657" spans="1:6" ht="25.5">
      <c r="A3657" s="2">
        <v>3654</v>
      </c>
      <c r="B3657" s="2" t="s">
        <v>3733</v>
      </c>
      <c r="C3657" s="2" t="str">
        <f>"08930465"</f>
        <v>08930465</v>
      </c>
      <c r="D3657" s="2">
        <v>0.26900000000000002</v>
      </c>
      <c r="E3657" s="2">
        <v>8</v>
      </c>
      <c r="F3657" s="2" t="s">
        <v>6</v>
      </c>
    </row>
    <row r="3658" spans="1:6" ht="25.5">
      <c r="A3658" s="2">
        <v>3655</v>
      </c>
      <c r="B3658" s="2" t="s">
        <v>3734</v>
      </c>
      <c r="C3658" s="2" t="str">
        <f>"18779166"</f>
        <v>18779166</v>
      </c>
      <c r="D3658" s="2">
        <v>0.30599999999999999</v>
      </c>
      <c r="E3658" s="2">
        <v>3</v>
      </c>
      <c r="F3658" s="2" t="s">
        <v>16</v>
      </c>
    </row>
    <row r="3659" spans="1:6" ht="25.5">
      <c r="A3659" s="2">
        <v>3656</v>
      </c>
      <c r="B3659" s="2" t="s">
        <v>3735</v>
      </c>
      <c r="C3659" s="2" t="str">
        <f>"10290249"</f>
        <v>10290249</v>
      </c>
      <c r="D3659" s="2">
        <v>0.189</v>
      </c>
      <c r="E3659" s="2">
        <v>14</v>
      </c>
      <c r="F3659" s="2" t="s">
        <v>16</v>
      </c>
    </row>
    <row r="3660" spans="1:6" ht="25.5">
      <c r="A3660" s="2">
        <v>3657</v>
      </c>
      <c r="B3660" s="2" t="s">
        <v>3736</v>
      </c>
      <c r="C3660" s="2" t="str">
        <f>"17863341"</f>
        <v>17863341</v>
      </c>
      <c r="D3660" s="2">
        <v>0.11700000000000001</v>
      </c>
      <c r="E3660" s="2">
        <v>1</v>
      </c>
      <c r="F3660" s="2" t="s">
        <v>135</v>
      </c>
    </row>
    <row r="3661" spans="1:6" ht="25.5">
      <c r="A3661" s="2">
        <v>3658</v>
      </c>
      <c r="B3661" s="2" t="s">
        <v>3737</v>
      </c>
      <c r="C3661" s="2" t="str">
        <f>"15336271"</f>
        <v>15336271</v>
      </c>
      <c r="D3661" s="2">
        <v>0.127</v>
      </c>
      <c r="E3661" s="2">
        <v>3</v>
      </c>
      <c r="F3661" s="2" t="s">
        <v>6</v>
      </c>
    </row>
    <row r="3662" spans="1:6" ht="25.5">
      <c r="A3662" s="2">
        <v>3659</v>
      </c>
      <c r="B3662" s="2" t="s">
        <v>3738</v>
      </c>
      <c r="C3662" s="2" t="str">
        <f>"1743968X"</f>
        <v>1743968X</v>
      </c>
      <c r="D3662" s="2">
        <v>0.38</v>
      </c>
      <c r="E3662" s="2">
        <v>3</v>
      </c>
      <c r="F3662" s="2" t="s">
        <v>6</v>
      </c>
    </row>
    <row r="3663" spans="1:6" ht="25.5">
      <c r="A3663" s="2">
        <v>3660</v>
      </c>
      <c r="B3663" s="2" t="s">
        <v>3739</v>
      </c>
      <c r="C3663" s="2" t="str">
        <f>"19231210"</f>
        <v>19231210</v>
      </c>
      <c r="D3663" s="2">
        <v>0</v>
      </c>
      <c r="E3663" s="2">
        <v>0</v>
      </c>
      <c r="F3663" s="2" t="s">
        <v>64</v>
      </c>
    </row>
    <row r="3664" spans="1:6" ht="25.5">
      <c r="A3664" s="2">
        <v>3661</v>
      </c>
      <c r="B3664" s="2" t="s">
        <v>3740</v>
      </c>
      <c r="C3664" s="2" t="str">
        <f>"20488513"</f>
        <v>20488513</v>
      </c>
      <c r="D3664" s="2">
        <v>0.23</v>
      </c>
      <c r="E3664" s="2">
        <v>11</v>
      </c>
      <c r="F3664" s="2" t="s">
        <v>16</v>
      </c>
    </row>
    <row r="3665" spans="1:6" ht="25.5">
      <c r="A3665" s="2">
        <v>3662</v>
      </c>
      <c r="B3665" s="2" t="s">
        <v>3741</v>
      </c>
      <c r="C3665" s="2" t="str">
        <f>"10960031"</f>
        <v>10960031</v>
      </c>
      <c r="D3665" s="2">
        <v>2.0499999999999998</v>
      </c>
      <c r="E3665" s="2">
        <v>61</v>
      </c>
      <c r="F3665" s="2" t="s">
        <v>16</v>
      </c>
    </row>
    <row r="3666" spans="1:6" ht="25.5">
      <c r="A3666" s="2">
        <v>3663</v>
      </c>
      <c r="B3666" s="2" t="s">
        <v>3742</v>
      </c>
      <c r="C3666" s="2" t="str">
        <f>"00078549"</f>
        <v>00078549</v>
      </c>
      <c r="D3666" s="2">
        <v>0.1</v>
      </c>
      <c r="E3666" s="2">
        <v>2</v>
      </c>
      <c r="F3666" s="2" t="s">
        <v>6</v>
      </c>
    </row>
    <row r="3667" spans="1:6">
      <c r="A3667" s="2">
        <v>3664</v>
      </c>
      <c r="B3667" s="2" t="s">
        <v>3743</v>
      </c>
      <c r="C3667" s="2" t="str">
        <f>"0"</f>
        <v>0</v>
      </c>
      <c r="D3667" s="2">
        <v>0</v>
      </c>
      <c r="E3667" s="2">
        <v>0</v>
      </c>
      <c r="F3667" s="2" t="s">
        <v>6</v>
      </c>
    </row>
    <row r="3668" spans="1:6" ht="25.5">
      <c r="A3668" s="2">
        <v>3665</v>
      </c>
      <c r="B3668" s="2" t="s">
        <v>3744</v>
      </c>
      <c r="C3668" s="2" t="str">
        <f>"02649381"</f>
        <v>02649381</v>
      </c>
      <c r="D3668" s="2">
        <v>1.768</v>
      </c>
      <c r="E3668" s="2">
        <v>97</v>
      </c>
      <c r="F3668" s="2" t="s">
        <v>16</v>
      </c>
    </row>
    <row r="3669" spans="1:6" ht="25.5">
      <c r="A3669" s="2">
        <v>3666</v>
      </c>
      <c r="B3669" s="2" t="s">
        <v>3745</v>
      </c>
      <c r="C3669" s="2" t="str">
        <f>"10678344"</f>
        <v>10678344</v>
      </c>
      <c r="D3669" s="2">
        <v>0.192</v>
      </c>
      <c r="E3669" s="2">
        <v>10</v>
      </c>
      <c r="F3669" s="2" t="s">
        <v>6</v>
      </c>
    </row>
    <row r="3670" spans="1:6" ht="25.5">
      <c r="A3670" s="2">
        <v>3667</v>
      </c>
      <c r="B3670" s="2" t="s">
        <v>3746</v>
      </c>
      <c r="C3670" s="2" t="str">
        <f>"00098353"</f>
        <v>00098353</v>
      </c>
      <c r="D3670" s="2">
        <v>0.1</v>
      </c>
      <c r="E3670" s="2">
        <v>5</v>
      </c>
      <c r="F3670" s="2" t="s">
        <v>6</v>
      </c>
    </row>
    <row r="3671" spans="1:6" ht="25.5">
      <c r="A3671" s="2">
        <v>3668</v>
      </c>
      <c r="B3671" s="2" t="s">
        <v>3747</v>
      </c>
      <c r="C3671" s="2" t="str">
        <f>"0009837X"</f>
        <v>0009837X</v>
      </c>
      <c r="D3671" s="2">
        <v>0.123</v>
      </c>
      <c r="E3671" s="2">
        <v>8</v>
      </c>
      <c r="F3671" s="2" t="s">
        <v>6</v>
      </c>
    </row>
    <row r="3672" spans="1:6" ht="25.5">
      <c r="A3672" s="2">
        <v>3669</v>
      </c>
      <c r="B3672" s="2" t="s">
        <v>3748</v>
      </c>
      <c r="C3672" s="2" t="str">
        <f>"14716844"</f>
        <v>14716844</v>
      </c>
      <c r="D3672" s="2">
        <v>0.14699999999999999</v>
      </c>
      <c r="E3672" s="2">
        <v>11</v>
      </c>
      <c r="F3672" s="2" t="s">
        <v>16</v>
      </c>
    </row>
    <row r="3673" spans="1:6" ht="25.5">
      <c r="A3673" s="2">
        <v>3670</v>
      </c>
      <c r="B3673" s="2" t="s">
        <v>3749</v>
      </c>
      <c r="C3673" s="2" t="str">
        <f>"14643561"</f>
        <v>14643561</v>
      </c>
      <c r="D3673" s="2">
        <v>0.126</v>
      </c>
      <c r="E3673" s="2">
        <v>0</v>
      </c>
      <c r="F3673" s="2" t="s">
        <v>16</v>
      </c>
    </row>
    <row r="3674" spans="1:6" ht="25.5">
      <c r="A3674" s="2">
        <v>3671</v>
      </c>
      <c r="B3674" s="2" t="s">
        <v>3750</v>
      </c>
      <c r="C3674" s="2" t="str">
        <f>"15589234"</f>
        <v>15589234</v>
      </c>
      <c r="D3674" s="2">
        <v>0.14899999999999999</v>
      </c>
      <c r="E3674" s="2">
        <v>3</v>
      </c>
      <c r="F3674" s="2" t="s">
        <v>6</v>
      </c>
    </row>
    <row r="3675" spans="1:6" ht="25.5">
      <c r="A3675" s="2">
        <v>3672</v>
      </c>
      <c r="B3675" s="2" t="s">
        <v>3751</v>
      </c>
      <c r="C3675" s="2" t="str">
        <f>"10860819"</f>
        <v>10860819</v>
      </c>
      <c r="D3675" s="2">
        <v>0.1</v>
      </c>
      <c r="E3675" s="2">
        <v>0</v>
      </c>
      <c r="F3675" s="2" t="s">
        <v>6</v>
      </c>
    </row>
    <row r="3676" spans="1:6" ht="25.5">
      <c r="A3676" s="2">
        <v>3673</v>
      </c>
      <c r="B3676" s="2" t="s">
        <v>3752</v>
      </c>
      <c r="C3676" s="2" t="str">
        <f>"00098604"</f>
        <v>00098604</v>
      </c>
      <c r="D3676" s="2">
        <v>0.58899999999999997</v>
      </c>
      <c r="E3676" s="2">
        <v>53</v>
      </c>
      <c r="F3676" s="2" t="s">
        <v>6</v>
      </c>
    </row>
    <row r="3677" spans="1:6" ht="25.5">
      <c r="A3677" s="2">
        <v>3674</v>
      </c>
      <c r="B3677" s="2" t="s">
        <v>3753</v>
      </c>
      <c r="C3677" s="2" t="str">
        <f>"00098558"</f>
        <v>00098558</v>
      </c>
      <c r="D3677" s="2">
        <v>0.54200000000000004</v>
      </c>
      <c r="E3677" s="2">
        <v>40</v>
      </c>
      <c r="F3677" s="2" t="s">
        <v>16</v>
      </c>
    </row>
    <row r="3678" spans="1:6" ht="25.5">
      <c r="A3678" s="2">
        <v>3675</v>
      </c>
      <c r="B3678" s="2" t="s">
        <v>3754</v>
      </c>
      <c r="C3678" s="2" t="str">
        <f>"09744509"</f>
        <v>09744509</v>
      </c>
      <c r="D3678" s="2">
        <v>0</v>
      </c>
      <c r="E3678" s="2">
        <v>0</v>
      </c>
      <c r="F3678" s="2" t="s">
        <v>488</v>
      </c>
    </row>
    <row r="3679" spans="1:6" ht="25.5">
      <c r="A3679" s="2">
        <v>3676</v>
      </c>
      <c r="B3679" s="2" t="s">
        <v>3755</v>
      </c>
      <c r="C3679" s="2" t="str">
        <f>"09436677"</f>
        <v>09436677</v>
      </c>
      <c r="D3679" s="2">
        <v>0.1</v>
      </c>
      <c r="E3679" s="2">
        <v>3</v>
      </c>
      <c r="F3679" s="2" t="s">
        <v>12</v>
      </c>
    </row>
    <row r="3680" spans="1:6" ht="25.5">
      <c r="A3680" s="2">
        <v>3677</v>
      </c>
      <c r="B3680" s="2" t="s">
        <v>3756</v>
      </c>
      <c r="C3680" s="2" t="str">
        <f>"14814374"</f>
        <v>14814374</v>
      </c>
      <c r="D3680" s="2">
        <v>0.158</v>
      </c>
      <c r="E3680" s="2">
        <v>3</v>
      </c>
      <c r="F3680" s="2" t="s">
        <v>6</v>
      </c>
    </row>
    <row r="3681" spans="1:6" ht="25.5">
      <c r="A3681" s="2">
        <v>3678</v>
      </c>
      <c r="B3681" s="2" t="s">
        <v>3757</v>
      </c>
      <c r="C3681" s="2" t="str">
        <f>"18630650"</f>
        <v>18630650</v>
      </c>
      <c r="D3681" s="2">
        <v>0.69799999999999995</v>
      </c>
      <c r="E3681" s="2">
        <v>30</v>
      </c>
      <c r="F3681" s="2" t="s">
        <v>12</v>
      </c>
    </row>
    <row r="3682" spans="1:6" ht="25.5">
      <c r="A3682" s="2">
        <v>3679</v>
      </c>
      <c r="B3682" s="2" t="s">
        <v>3758</v>
      </c>
      <c r="C3682" s="2" t="str">
        <f>"1618954X"</f>
        <v>1618954X</v>
      </c>
      <c r="D3682" s="2">
        <v>0.7</v>
      </c>
      <c r="E3682" s="2">
        <v>15</v>
      </c>
      <c r="F3682" s="2" t="s">
        <v>12</v>
      </c>
    </row>
    <row r="3683" spans="1:6" ht="25.5">
      <c r="A3683" s="2">
        <v>3680</v>
      </c>
      <c r="B3683" s="2" t="s">
        <v>3759</v>
      </c>
      <c r="C3683" s="2" t="str">
        <f>"15451569"</f>
        <v>15451569</v>
      </c>
      <c r="D3683" s="2">
        <v>0.69699999999999995</v>
      </c>
      <c r="E3683" s="2">
        <v>44</v>
      </c>
      <c r="F3683" s="2" t="s">
        <v>6</v>
      </c>
    </row>
    <row r="3684" spans="1:6">
      <c r="A3684" s="2">
        <v>3681</v>
      </c>
      <c r="B3684" s="2" t="s">
        <v>3760</v>
      </c>
      <c r="C3684" s="2" t="str">
        <f>"0"</f>
        <v>0</v>
      </c>
      <c r="D3684" s="2">
        <v>0</v>
      </c>
      <c r="E3684" s="2">
        <v>0</v>
      </c>
      <c r="F3684" s="2" t="s">
        <v>6</v>
      </c>
    </row>
    <row r="3685" spans="1:6" ht="25.5">
      <c r="A3685" s="2">
        <v>3682</v>
      </c>
      <c r="B3685" s="2" t="s">
        <v>3761</v>
      </c>
      <c r="C3685" s="2" t="str">
        <f>"08911150"</f>
        <v>08911150</v>
      </c>
      <c r="D3685" s="2">
        <v>0.58299999999999996</v>
      </c>
      <c r="E3685" s="2">
        <v>31</v>
      </c>
      <c r="F3685" s="2" t="s">
        <v>6</v>
      </c>
    </row>
    <row r="3686" spans="1:6" ht="25.5">
      <c r="A3686" s="2">
        <v>3683</v>
      </c>
      <c r="B3686" s="2" t="s">
        <v>3762</v>
      </c>
      <c r="C3686" s="2" t="str">
        <f>"14730804"</f>
        <v>14730804</v>
      </c>
      <c r="D3686" s="2">
        <v>0.56999999999999995</v>
      </c>
      <c r="E3686" s="2">
        <v>41</v>
      </c>
      <c r="F3686" s="2" t="s">
        <v>16</v>
      </c>
    </row>
    <row r="3687" spans="1:6" ht="25.5">
      <c r="A3687" s="2">
        <v>3684</v>
      </c>
      <c r="B3687" s="2" t="s">
        <v>3763</v>
      </c>
      <c r="C3687" s="2" t="str">
        <f>"17565537"</f>
        <v>17565537</v>
      </c>
      <c r="D3687" s="2">
        <v>0.28799999999999998</v>
      </c>
      <c r="E3687" s="2">
        <v>6</v>
      </c>
      <c r="F3687" s="2" t="s">
        <v>16</v>
      </c>
    </row>
    <row r="3688" spans="1:6" ht="25.5">
      <c r="A3688" s="2">
        <v>3685</v>
      </c>
      <c r="B3688" s="2" t="s">
        <v>3764</v>
      </c>
      <c r="C3688" s="2" t="str">
        <f>"14320894"</f>
        <v>14320894</v>
      </c>
      <c r="D3688" s="2">
        <v>2.6040000000000001</v>
      </c>
      <c r="E3688" s="2">
        <v>94</v>
      </c>
      <c r="F3688" s="2" t="s">
        <v>12</v>
      </c>
    </row>
    <row r="3689" spans="1:6" ht="25.5">
      <c r="A3689" s="2">
        <v>3686</v>
      </c>
      <c r="B3689" s="2" t="s">
        <v>3765</v>
      </c>
      <c r="C3689" s="2" t="str">
        <f>"18786553"</f>
        <v>18786553</v>
      </c>
      <c r="D3689" s="2">
        <v>0.38600000000000001</v>
      </c>
      <c r="E3689" s="2">
        <v>4</v>
      </c>
      <c r="F3689" s="2" t="s">
        <v>75</v>
      </c>
    </row>
    <row r="3690" spans="1:6" ht="25.5">
      <c r="A3690" s="2">
        <v>3687</v>
      </c>
      <c r="B3690" s="2" t="s">
        <v>3766</v>
      </c>
      <c r="C3690" s="2" t="str">
        <f>"18149332"</f>
        <v>18149332</v>
      </c>
      <c r="D3690" s="2">
        <v>2.149</v>
      </c>
      <c r="E3690" s="2">
        <v>27</v>
      </c>
      <c r="F3690" s="2" t="s">
        <v>12</v>
      </c>
    </row>
    <row r="3691" spans="1:6" ht="25.5">
      <c r="A3691" s="2">
        <v>3688</v>
      </c>
      <c r="B3691" s="2" t="s">
        <v>3767</v>
      </c>
      <c r="C3691" s="2" t="str">
        <f>"14693062"</f>
        <v>14693062</v>
      </c>
      <c r="D3691" s="2">
        <v>0.80500000000000005</v>
      </c>
      <c r="E3691" s="2">
        <v>30</v>
      </c>
      <c r="F3691" s="2" t="s">
        <v>16</v>
      </c>
    </row>
    <row r="3692" spans="1:6" ht="25.5">
      <c r="A3692" s="2">
        <v>3689</v>
      </c>
      <c r="B3692" s="2" t="s">
        <v>3768</v>
      </c>
      <c r="C3692" s="2" t="str">
        <f>"16161572"</f>
        <v>16161572</v>
      </c>
      <c r="D3692" s="2">
        <v>1.2010000000000001</v>
      </c>
      <c r="E3692" s="2">
        <v>55</v>
      </c>
      <c r="F3692" s="2" t="s">
        <v>12</v>
      </c>
    </row>
    <row r="3693" spans="1:6" ht="25.5">
      <c r="A3693" s="2">
        <v>3690</v>
      </c>
      <c r="B3693" s="2" t="s">
        <v>3769</v>
      </c>
      <c r="C3693" s="2" t="str">
        <f>"15731480"</f>
        <v>15731480</v>
      </c>
      <c r="D3693" s="2">
        <v>1.5569999999999999</v>
      </c>
      <c r="E3693" s="2">
        <v>92</v>
      </c>
      <c r="F3693" s="2" t="s">
        <v>75</v>
      </c>
    </row>
    <row r="3694" spans="1:6" ht="25.5">
      <c r="A3694" s="2">
        <v>3691</v>
      </c>
      <c r="B3694" s="2" t="s">
        <v>3770</v>
      </c>
      <c r="C3694" s="2" t="str">
        <f>"00098981"</f>
        <v>00098981</v>
      </c>
      <c r="D3694" s="2">
        <v>0.79500000000000004</v>
      </c>
      <c r="E3694" s="2">
        <v>86</v>
      </c>
      <c r="F3694" s="2" t="s">
        <v>75</v>
      </c>
    </row>
    <row r="3695" spans="1:6" ht="25.5">
      <c r="A3695" s="2">
        <v>3692</v>
      </c>
      <c r="B3695" s="2" t="s">
        <v>3771</v>
      </c>
      <c r="C3695" s="2" t="str">
        <f>"15781879"</f>
        <v>15781879</v>
      </c>
      <c r="D3695" s="2">
        <v>0.11899999999999999</v>
      </c>
      <c r="E3695" s="2">
        <v>3</v>
      </c>
      <c r="F3695" s="2" t="s">
        <v>351</v>
      </c>
    </row>
    <row r="3696" spans="1:6" ht="25.5">
      <c r="A3696" s="2">
        <v>3693</v>
      </c>
      <c r="B3696" s="2" t="s">
        <v>3772</v>
      </c>
      <c r="C3696" s="2" t="str">
        <f>"0210573X"</f>
        <v>0210573X</v>
      </c>
      <c r="D3696" s="2">
        <v>0.10299999999999999</v>
      </c>
      <c r="E3696" s="2">
        <v>3</v>
      </c>
      <c r="F3696" s="2" t="s">
        <v>351</v>
      </c>
    </row>
    <row r="3697" spans="1:6" ht="25.5">
      <c r="A3697" s="2">
        <v>3694</v>
      </c>
      <c r="B3697" s="2" t="s">
        <v>3773</v>
      </c>
      <c r="C3697" s="2" t="str">
        <f>"15430790"</f>
        <v>15430790</v>
      </c>
      <c r="D3697" s="2">
        <v>0.316</v>
      </c>
      <c r="E3697" s="2">
        <v>20</v>
      </c>
      <c r="F3697" s="2" t="s">
        <v>6</v>
      </c>
    </row>
    <row r="3698" spans="1:6" ht="25.5">
      <c r="A3698" s="2">
        <v>3695</v>
      </c>
      <c r="B3698" s="2" t="s">
        <v>3774</v>
      </c>
      <c r="C3698" s="2" t="str">
        <f>"10982353"</f>
        <v>10982353</v>
      </c>
      <c r="D3698" s="2">
        <v>0.46500000000000002</v>
      </c>
      <c r="E3698" s="2">
        <v>37</v>
      </c>
      <c r="F3698" s="2" t="s">
        <v>6</v>
      </c>
    </row>
    <row r="3699" spans="1:6" ht="25.5">
      <c r="A3699" s="2">
        <v>3696</v>
      </c>
      <c r="B3699" s="2" t="s">
        <v>3775</v>
      </c>
      <c r="C3699" s="2" t="str">
        <f>"10760296"</f>
        <v>10760296</v>
      </c>
      <c r="D3699" s="2">
        <v>0.39500000000000002</v>
      </c>
      <c r="E3699" s="2">
        <v>32</v>
      </c>
      <c r="F3699" s="2" t="s">
        <v>6</v>
      </c>
    </row>
    <row r="3700" spans="1:6" ht="25.5">
      <c r="A3700" s="2">
        <v>3697</v>
      </c>
      <c r="B3700" s="2" t="s">
        <v>3776</v>
      </c>
      <c r="C3700" s="2" t="str">
        <f>"17402530"</f>
        <v>17402530</v>
      </c>
      <c r="D3700" s="2">
        <v>0.94099999999999995</v>
      </c>
      <c r="E3700" s="2">
        <v>29</v>
      </c>
      <c r="F3700" s="2" t="s">
        <v>6</v>
      </c>
    </row>
    <row r="3701" spans="1:6" ht="25.5">
      <c r="A3701" s="2">
        <v>3698</v>
      </c>
      <c r="B3701" s="2" t="s">
        <v>3777</v>
      </c>
      <c r="C3701" s="2" t="str">
        <f>"13652222"</f>
        <v>13652222</v>
      </c>
      <c r="D3701" s="2">
        <v>1.611</v>
      </c>
      <c r="E3701" s="2">
        <v>103</v>
      </c>
      <c r="F3701" s="2" t="s">
        <v>16</v>
      </c>
    </row>
    <row r="3702" spans="1:6" ht="25.5">
      <c r="A3702" s="2">
        <v>3699</v>
      </c>
      <c r="B3702" s="2" t="s">
        <v>3778</v>
      </c>
      <c r="C3702" s="2" t="str">
        <f>"14729725"</f>
        <v>14729725</v>
      </c>
      <c r="D3702" s="2">
        <v>0.126</v>
      </c>
      <c r="E3702" s="2">
        <v>41</v>
      </c>
      <c r="F3702" s="2" t="s">
        <v>16</v>
      </c>
    </row>
    <row r="3703" spans="1:6" ht="25.5">
      <c r="A3703" s="2">
        <v>3700</v>
      </c>
      <c r="B3703" s="2" t="s">
        <v>3779</v>
      </c>
      <c r="C3703" s="2" t="str">
        <f>"13652230"</f>
        <v>13652230</v>
      </c>
      <c r="D3703" s="2">
        <v>0.54200000000000004</v>
      </c>
      <c r="E3703" s="2">
        <v>52</v>
      </c>
      <c r="F3703" s="2" t="s">
        <v>16</v>
      </c>
    </row>
    <row r="3704" spans="1:6" ht="25.5">
      <c r="A3704" s="2">
        <v>3701</v>
      </c>
      <c r="B3704" s="2" t="s">
        <v>3780</v>
      </c>
      <c r="C3704" s="2" t="str">
        <f>"11787023"</f>
        <v>11787023</v>
      </c>
      <c r="D3704" s="2">
        <v>0.23300000000000001</v>
      </c>
      <c r="E3704" s="2">
        <v>4</v>
      </c>
      <c r="F3704" s="2" t="s">
        <v>503</v>
      </c>
    </row>
    <row r="3705" spans="1:6" ht="25.5">
      <c r="A3705" s="2">
        <v>3702</v>
      </c>
      <c r="B3705" s="2" t="s">
        <v>3781</v>
      </c>
      <c r="C3705" s="2" t="str">
        <f>"15256006"</f>
        <v>15256006</v>
      </c>
      <c r="D3705" s="2">
        <v>0.41099999999999998</v>
      </c>
      <c r="E3705" s="2">
        <v>34</v>
      </c>
      <c r="F3705" s="2" t="s">
        <v>16</v>
      </c>
    </row>
    <row r="3706" spans="1:6" ht="25.5">
      <c r="A3706" s="2">
        <v>3703</v>
      </c>
      <c r="B3706" s="2" t="s">
        <v>3782</v>
      </c>
      <c r="C3706" s="2" t="str">
        <f>"13652249"</f>
        <v>13652249</v>
      </c>
      <c r="D3706" s="2">
        <v>1.3520000000000001</v>
      </c>
      <c r="E3706" s="2">
        <v>90</v>
      </c>
      <c r="F3706" s="2" t="s">
        <v>16</v>
      </c>
    </row>
    <row r="3707" spans="1:6" ht="25.5">
      <c r="A3707" s="2">
        <v>3704</v>
      </c>
      <c r="B3707" s="2" t="s">
        <v>3783</v>
      </c>
      <c r="C3707" s="2" t="str">
        <f>"18952089"</f>
        <v>18952089</v>
      </c>
      <c r="D3707" s="2">
        <v>0.10100000000000001</v>
      </c>
      <c r="E3707" s="2">
        <v>2</v>
      </c>
      <c r="F3707" s="2" t="s">
        <v>169</v>
      </c>
    </row>
    <row r="3708" spans="1:6" ht="25.5">
      <c r="A3708" s="2">
        <v>3705</v>
      </c>
      <c r="B3708" s="2" t="s">
        <v>3784</v>
      </c>
      <c r="C3708" s="2" t="str">
        <f>"15919528"</f>
        <v>15919528</v>
      </c>
      <c r="D3708" s="2">
        <v>0.56299999999999994</v>
      </c>
      <c r="E3708" s="2">
        <v>27</v>
      </c>
      <c r="F3708" s="2" t="s">
        <v>190</v>
      </c>
    </row>
    <row r="3709" spans="1:6" ht="25.5">
      <c r="A3709" s="2">
        <v>3706</v>
      </c>
      <c r="B3709" s="2" t="s">
        <v>3785</v>
      </c>
      <c r="C3709" s="2" t="str">
        <f>"02620898"</f>
        <v>02620898</v>
      </c>
      <c r="D3709" s="2">
        <v>1.508</v>
      </c>
      <c r="E3709" s="2">
        <v>68</v>
      </c>
      <c r="F3709" s="2" t="s">
        <v>75</v>
      </c>
    </row>
    <row r="3710" spans="1:6" ht="25.5">
      <c r="A3710" s="2">
        <v>3707</v>
      </c>
      <c r="B3710" s="2" t="s">
        <v>3786</v>
      </c>
      <c r="C3710" s="2" t="str">
        <f>"14377799"</f>
        <v>14377799</v>
      </c>
      <c r="D3710" s="2">
        <v>0.48799999999999999</v>
      </c>
      <c r="E3710" s="2">
        <v>26</v>
      </c>
      <c r="F3710" s="2" t="s">
        <v>131</v>
      </c>
    </row>
    <row r="3711" spans="1:6" ht="25.5">
      <c r="A3711" s="2">
        <v>3708</v>
      </c>
      <c r="B3711" s="2" t="s">
        <v>3787</v>
      </c>
      <c r="C3711" s="2" t="str">
        <f>"03906663"</f>
        <v>03906663</v>
      </c>
      <c r="D3711" s="2">
        <v>0.21199999999999999</v>
      </c>
      <c r="E3711" s="2">
        <v>22</v>
      </c>
      <c r="F3711" s="2" t="s">
        <v>64</v>
      </c>
    </row>
    <row r="3712" spans="1:6" ht="25.5">
      <c r="A3712" s="2">
        <v>3709</v>
      </c>
      <c r="B3712" s="2" t="s">
        <v>3788</v>
      </c>
      <c r="C3712" s="2" t="str">
        <f>"14429071"</f>
        <v>14429071</v>
      </c>
      <c r="D3712" s="2">
        <v>1.123</v>
      </c>
      <c r="E3712" s="2">
        <v>42</v>
      </c>
      <c r="F3712" s="2" t="s">
        <v>16</v>
      </c>
    </row>
    <row r="3713" spans="1:6" ht="25.5">
      <c r="A3713" s="2">
        <v>3710</v>
      </c>
      <c r="B3713" s="2" t="s">
        <v>3789</v>
      </c>
      <c r="C3713" s="2" t="str">
        <f>"08164622"</f>
        <v>08164622</v>
      </c>
      <c r="D3713" s="2">
        <v>0.52400000000000002</v>
      </c>
      <c r="E3713" s="2">
        <v>30</v>
      </c>
      <c r="F3713" s="2" t="s">
        <v>16</v>
      </c>
    </row>
    <row r="3714" spans="1:6" ht="25.5">
      <c r="A3714" s="2">
        <v>3711</v>
      </c>
      <c r="B3714" s="2" t="s">
        <v>3790</v>
      </c>
      <c r="C3714" s="2" t="str">
        <f>"20050720"</f>
        <v>20050720</v>
      </c>
      <c r="D3714" s="2">
        <v>0.43099999999999999</v>
      </c>
      <c r="E3714" s="2">
        <v>7</v>
      </c>
      <c r="F3714" s="2" t="s">
        <v>274</v>
      </c>
    </row>
    <row r="3715" spans="1:6" ht="25.5">
      <c r="A3715" s="2">
        <v>3712</v>
      </c>
      <c r="B3715" s="2" t="s">
        <v>3791</v>
      </c>
      <c r="C3715" s="2" t="str">
        <f>"14401681"</f>
        <v>14401681</v>
      </c>
      <c r="D3715" s="2">
        <v>0.65800000000000003</v>
      </c>
      <c r="E3715" s="2">
        <v>69</v>
      </c>
      <c r="F3715" s="2" t="s">
        <v>16</v>
      </c>
    </row>
    <row r="3716" spans="1:6" ht="25.5">
      <c r="A3716" s="2">
        <v>3713</v>
      </c>
      <c r="B3716" s="2" t="s">
        <v>3792</v>
      </c>
      <c r="C3716" s="2" t="str">
        <f>"0392856X"</f>
        <v>0392856X</v>
      </c>
      <c r="D3716" s="2">
        <v>0.91</v>
      </c>
      <c r="E3716" s="2">
        <v>62</v>
      </c>
      <c r="F3716" s="2" t="s">
        <v>190</v>
      </c>
    </row>
    <row r="3717" spans="1:6" ht="25.5">
      <c r="A3717" s="2">
        <v>3714</v>
      </c>
      <c r="B3717" s="2" t="s">
        <v>3793</v>
      </c>
      <c r="C3717" s="2" t="str">
        <f>"14882353"</f>
        <v>14882353</v>
      </c>
      <c r="D3717" s="2">
        <v>0.35799999999999998</v>
      </c>
      <c r="E3717" s="2">
        <v>31</v>
      </c>
      <c r="F3717" s="2" t="s">
        <v>64</v>
      </c>
    </row>
    <row r="3718" spans="1:6" ht="25.5">
      <c r="A3718" s="2">
        <v>3715</v>
      </c>
      <c r="B3718" s="2" t="s">
        <v>3794</v>
      </c>
      <c r="C3718" s="2" t="str">
        <f>"14767961"</f>
        <v>14767961</v>
      </c>
      <c r="D3718" s="2">
        <v>0.627</v>
      </c>
      <c r="E3718" s="2">
        <v>19</v>
      </c>
      <c r="F3718" s="2" t="s">
        <v>16</v>
      </c>
    </row>
    <row r="3719" spans="1:6" ht="25.5">
      <c r="A3719" s="2">
        <v>3716</v>
      </c>
      <c r="B3719" s="2" t="s">
        <v>3795</v>
      </c>
      <c r="C3719" s="2" t="str">
        <f>"2287285X"</f>
        <v>2287285X</v>
      </c>
      <c r="D3719" s="2">
        <v>0</v>
      </c>
      <c r="E3719" s="2">
        <v>1</v>
      </c>
      <c r="F3719" s="2" t="s">
        <v>274</v>
      </c>
    </row>
    <row r="3720" spans="1:6" ht="25.5">
      <c r="A3720" s="2">
        <v>3717</v>
      </c>
      <c r="B3720" s="2" t="s">
        <v>3796</v>
      </c>
      <c r="C3720" s="2" t="str">
        <f>"17054850"</f>
        <v>17054850</v>
      </c>
      <c r="D3720" s="2">
        <v>0.104</v>
      </c>
      <c r="E3720" s="2">
        <v>3</v>
      </c>
      <c r="F3720" s="2" t="s">
        <v>64</v>
      </c>
    </row>
    <row r="3721" spans="1:6" ht="25.5">
      <c r="A3721" s="2">
        <v>3718</v>
      </c>
      <c r="B3721" s="2" t="s">
        <v>3797</v>
      </c>
      <c r="C3721" s="2" t="str">
        <f>"17054842"</f>
        <v>17054842</v>
      </c>
      <c r="D3721" s="2">
        <v>0.111</v>
      </c>
      <c r="E3721" s="2">
        <v>5</v>
      </c>
      <c r="F3721" s="2" t="s">
        <v>64</v>
      </c>
    </row>
    <row r="3722" spans="1:6" ht="25.5">
      <c r="A3722" s="2">
        <v>3719</v>
      </c>
      <c r="B3722" s="2" t="s">
        <v>3798</v>
      </c>
      <c r="C3722" s="2" t="str">
        <f>"08617880"</f>
        <v>08617880</v>
      </c>
      <c r="D3722" s="2">
        <v>0.10100000000000001</v>
      </c>
      <c r="E3722" s="2">
        <v>1</v>
      </c>
      <c r="F3722" s="2" t="s">
        <v>293</v>
      </c>
    </row>
    <row r="3723" spans="1:6" ht="25.5">
      <c r="A3723" s="2">
        <v>3720</v>
      </c>
      <c r="B3723" s="2" t="s">
        <v>3799</v>
      </c>
      <c r="C3723" s="2" t="str">
        <f>"2155384X"</f>
        <v>2155384X</v>
      </c>
      <c r="D3723" s="2">
        <v>0.38700000000000001</v>
      </c>
      <c r="E3723" s="2">
        <v>2</v>
      </c>
      <c r="F3723" s="2" t="s">
        <v>16</v>
      </c>
    </row>
    <row r="3724" spans="1:6" ht="25.5">
      <c r="A3724" s="2">
        <v>3721</v>
      </c>
      <c r="B3724" s="2" t="s">
        <v>3800</v>
      </c>
      <c r="C3724" s="2" t="str">
        <f>"1699048X"</f>
        <v>1699048X</v>
      </c>
      <c r="D3724" s="2">
        <v>0.45700000000000002</v>
      </c>
      <c r="E3724" s="2">
        <v>23</v>
      </c>
      <c r="F3724" s="2" t="s">
        <v>190</v>
      </c>
    </row>
    <row r="3725" spans="1:6" ht="25.5">
      <c r="A3725" s="2">
        <v>3722</v>
      </c>
      <c r="B3725" s="2" t="s">
        <v>3801</v>
      </c>
      <c r="C3725" s="2" t="str">
        <f>"17528062"</f>
        <v>17528062</v>
      </c>
      <c r="D3725" s="2">
        <v>0.89900000000000002</v>
      </c>
      <c r="E3725" s="2">
        <v>14</v>
      </c>
      <c r="F3725" s="2" t="s">
        <v>16</v>
      </c>
    </row>
    <row r="3726" spans="1:6" ht="25.5">
      <c r="A3726" s="2">
        <v>3723</v>
      </c>
      <c r="B3726" s="2" t="s">
        <v>3802</v>
      </c>
      <c r="C3726" s="2" t="str">
        <f>"15566811"</f>
        <v>15566811</v>
      </c>
      <c r="D3726" s="2">
        <v>0.93799999999999994</v>
      </c>
      <c r="E3726" s="2">
        <v>70</v>
      </c>
      <c r="F3726" s="2" t="s">
        <v>6</v>
      </c>
    </row>
    <row r="3727" spans="1:6" ht="25.5">
      <c r="A3727" s="2">
        <v>3724</v>
      </c>
      <c r="B3727" s="2" t="s">
        <v>3803</v>
      </c>
      <c r="C3727" s="2" t="str">
        <f>"16191560"</f>
        <v>16191560</v>
      </c>
      <c r="D3727" s="2">
        <v>0.443</v>
      </c>
      <c r="E3727" s="2">
        <v>37</v>
      </c>
      <c r="F3727" s="2" t="s">
        <v>12</v>
      </c>
    </row>
    <row r="3728" spans="1:6" ht="25.5">
      <c r="A3728" s="2">
        <v>3725</v>
      </c>
      <c r="B3728" s="2" t="s">
        <v>3804</v>
      </c>
      <c r="C3728" s="2" t="str">
        <f>"00099120"</f>
        <v>00099120</v>
      </c>
      <c r="D3728" s="2">
        <v>0.65400000000000003</v>
      </c>
      <c r="E3728" s="2">
        <v>69</v>
      </c>
      <c r="F3728" s="2" t="s">
        <v>6</v>
      </c>
    </row>
    <row r="3729" spans="1:6" ht="25.5">
      <c r="A3729" s="2">
        <v>3726</v>
      </c>
      <c r="B3729" s="2" t="s">
        <v>3805</v>
      </c>
      <c r="C3729" s="2" t="str">
        <f>"02680033"</f>
        <v>02680033</v>
      </c>
      <c r="D3729" s="2">
        <v>1.107</v>
      </c>
      <c r="E3729" s="2">
        <v>73</v>
      </c>
      <c r="F3729" s="2" t="s">
        <v>16</v>
      </c>
    </row>
    <row r="3730" spans="1:6" ht="25.5">
      <c r="A3730" s="2">
        <v>3727</v>
      </c>
      <c r="B3730" s="2" t="s">
        <v>3806</v>
      </c>
      <c r="C3730" s="2" t="str">
        <f>"15268209"</f>
        <v>15268209</v>
      </c>
      <c r="D3730" s="2">
        <v>1.022</v>
      </c>
      <c r="E3730" s="2">
        <v>43</v>
      </c>
      <c r="F3730" s="2" t="s">
        <v>75</v>
      </c>
    </row>
    <row r="3731" spans="1:6" ht="25.5">
      <c r="A3731" s="2">
        <v>3728</v>
      </c>
      <c r="B3731" s="2" t="s">
        <v>3807</v>
      </c>
      <c r="C3731" s="2" t="str">
        <f>"09175857"</f>
        <v>09175857</v>
      </c>
      <c r="D3731" s="2">
        <v>0.129</v>
      </c>
      <c r="E3731" s="2">
        <v>8</v>
      </c>
      <c r="F3731" s="2" t="s">
        <v>131</v>
      </c>
    </row>
    <row r="3732" spans="1:6" ht="25.5">
      <c r="A3732" s="2">
        <v>3729</v>
      </c>
      <c r="B3732" s="2" t="s">
        <v>3808</v>
      </c>
      <c r="C3732" s="2" t="str">
        <f>"10780432"</f>
        <v>10780432</v>
      </c>
      <c r="D3732" s="2">
        <v>3.798</v>
      </c>
      <c r="E3732" s="2">
        <v>200</v>
      </c>
      <c r="F3732" s="2" t="s">
        <v>6</v>
      </c>
    </row>
    <row r="3733" spans="1:6" ht="25.5">
      <c r="A3733" s="2">
        <v>3730</v>
      </c>
      <c r="B3733" s="2" t="s">
        <v>3809</v>
      </c>
      <c r="C3733" s="2" t="str">
        <f>"01609289"</f>
        <v>01609289</v>
      </c>
      <c r="D3733" s="2">
        <v>0.58799999999999997</v>
      </c>
      <c r="E3733" s="2">
        <v>49</v>
      </c>
      <c r="F3733" s="2" t="s">
        <v>6</v>
      </c>
    </row>
    <row r="3734" spans="1:6" ht="25.5">
      <c r="A3734" s="2">
        <v>3731</v>
      </c>
      <c r="B3734" s="2" t="s">
        <v>3810</v>
      </c>
      <c r="C3734" s="2" t="str">
        <f>"17248914"</f>
        <v>17248914</v>
      </c>
      <c r="D3734" s="2">
        <v>0.16200000000000001</v>
      </c>
      <c r="E3734" s="2">
        <v>4</v>
      </c>
      <c r="F3734" s="2" t="s">
        <v>190</v>
      </c>
    </row>
    <row r="3735" spans="1:6" ht="25.5">
      <c r="A3735" s="2">
        <v>3732</v>
      </c>
      <c r="B3735" s="2" t="s">
        <v>3811</v>
      </c>
      <c r="C3735" s="2" t="str">
        <f>"15523802"</f>
        <v>15523802</v>
      </c>
      <c r="D3735" s="2">
        <v>0.247</v>
      </c>
      <c r="E3735" s="2">
        <v>8</v>
      </c>
      <c r="F3735" s="2" t="s">
        <v>6</v>
      </c>
    </row>
    <row r="3736" spans="1:6" ht="25.5">
      <c r="A3736" s="2">
        <v>3733</v>
      </c>
      <c r="B3736" s="2" t="s">
        <v>3812</v>
      </c>
      <c r="C3736" s="2" t="str">
        <f>"15308561"</f>
        <v>15308561</v>
      </c>
      <c r="D3736" s="2">
        <v>2.093</v>
      </c>
      <c r="E3736" s="2">
        <v>142</v>
      </c>
      <c r="F3736" s="2" t="s">
        <v>6</v>
      </c>
    </row>
    <row r="3737" spans="1:6" ht="25.5">
      <c r="A3737" s="2">
        <v>3734</v>
      </c>
      <c r="B3737" s="2" t="s">
        <v>3813</v>
      </c>
      <c r="C3737" s="2" t="str">
        <f>"14374331"</f>
        <v>14374331</v>
      </c>
      <c r="D3737" s="2">
        <v>0.72099999999999997</v>
      </c>
      <c r="E3737" s="2">
        <v>62</v>
      </c>
      <c r="F3737" s="2" t="s">
        <v>12</v>
      </c>
    </row>
    <row r="3738" spans="1:6" ht="25.5">
      <c r="A3738" s="2">
        <v>3735</v>
      </c>
      <c r="B3738" s="2" t="s">
        <v>3814</v>
      </c>
      <c r="C3738" s="2" t="str">
        <f>"10964037"</f>
        <v>10964037</v>
      </c>
      <c r="D3738" s="2">
        <v>1.7529999999999999</v>
      </c>
      <c r="E3738" s="2">
        <v>50</v>
      </c>
      <c r="F3738" s="2" t="s">
        <v>75</v>
      </c>
    </row>
    <row r="3739" spans="1:6" ht="25.5">
      <c r="A3739" s="2">
        <v>3736</v>
      </c>
      <c r="B3739" s="2" t="s">
        <v>3815</v>
      </c>
      <c r="C3739" s="2" t="str">
        <f>"13591045"</f>
        <v>13591045</v>
      </c>
      <c r="D3739" s="2">
        <v>0.41199999999999998</v>
      </c>
      <c r="E3739" s="2">
        <v>28</v>
      </c>
      <c r="F3739" s="2" t="s">
        <v>16</v>
      </c>
    </row>
    <row r="3740" spans="1:6" ht="25.5">
      <c r="A3740" s="2">
        <v>3737</v>
      </c>
      <c r="B3740" s="2" t="s">
        <v>3816</v>
      </c>
      <c r="C3740" s="2" t="str">
        <f>"14792354"</f>
        <v>14792354</v>
      </c>
      <c r="D3740" s="2">
        <v>0.14499999999999999</v>
      </c>
      <c r="E3740" s="2">
        <v>9</v>
      </c>
      <c r="F3740" s="2" t="s">
        <v>75</v>
      </c>
    </row>
    <row r="3741" spans="1:6" ht="25.5">
      <c r="A3741" s="2">
        <v>3738</v>
      </c>
      <c r="B3741" s="2" t="s">
        <v>3817</v>
      </c>
      <c r="C3741" s="2" t="str">
        <f>"15330028"</f>
        <v>15330028</v>
      </c>
      <c r="D3741" s="2">
        <v>0.70499999999999996</v>
      </c>
      <c r="E3741" s="2">
        <v>27</v>
      </c>
      <c r="F3741" s="2" t="s">
        <v>75</v>
      </c>
    </row>
    <row r="3742" spans="1:6" ht="25.5">
      <c r="A3742" s="2">
        <v>3739</v>
      </c>
      <c r="B3742" s="2" t="s">
        <v>3818</v>
      </c>
      <c r="C3742" s="2" t="str">
        <f>"11791357"</f>
        <v>11791357</v>
      </c>
      <c r="D3742" s="2">
        <v>0.121</v>
      </c>
      <c r="E3742" s="2">
        <v>3</v>
      </c>
      <c r="F3742" s="2" t="s">
        <v>503</v>
      </c>
    </row>
    <row r="3743" spans="1:6" ht="25.5">
      <c r="A3743" s="2">
        <v>3740</v>
      </c>
      <c r="B3743" s="2" t="s">
        <v>3819</v>
      </c>
      <c r="C3743" s="2" t="str">
        <f>"11787015"</f>
        <v>11787015</v>
      </c>
      <c r="D3743" s="2">
        <v>0.26200000000000001</v>
      </c>
      <c r="E3743" s="2">
        <v>3</v>
      </c>
      <c r="F3743" s="2" t="s">
        <v>503</v>
      </c>
    </row>
    <row r="3744" spans="1:6" ht="25.5">
      <c r="A3744" s="2">
        <v>3741</v>
      </c>
      <c r="B3744" s="2" t="s">
        <v>3820</v>
      </c>
      <c r="C3744" s="2" t="str">
        <f>"08918929"</f>
        <v>08918929</v>
      </c>
      <c r="D3744" s="2">
        <v>0.30299999999999999</v>
      </c>
      <c r="E3744" s="2">
        <v>16</v>
      </c>
      <c r="F3744" s="2" t="s">
        <v>6</v>
      </c>
    </row>
    <row r="3745" spans="1:6" ht="25.5">
      <c r="A3745" s="2">
        <v>3742</v>
      </c>
      <c r="B3745" s="2" t="s">
        <v>3821</v>
      </c>
      <c r="C3745" s="2" t="str">
        <f>"11732563"</f>
        <v>11732563</v>
      </c>
      <c r="D3745" s="2">
        <v>0.55100000000000005</v>
      </c>
      <c r="E3745" s="2">
        <v>36</v>
      </c>
      <c r="F3745" s="2" t="s">
        <v>16</v>
      </c>
    </row>
    <row r="3746" spans="1:6" ht="25.5">
      <c r="A3746" s="2">
        <v>3743</v>
      </c>
      <c r="B3746" s="2" t="s">
        <v>3822</v>
      </c>
      <c r="C3746" s="2" t="str">
        <f>"15500594"</f>
        <v>15500594</v>
      </c>
      <c r="D3746" s="2">
        <v>0.57499999999999996</v>
      </c>
      <c r="E3746" s="2">
        <v>28</v>
      </c>
      <c r="F3746" s="2" t="s">
        <v>6</v>
      </c>
    </row>
    <row r="3747" spans="1:6" ht="25.5">
      <c r="A3747" s="2">
        <v>3744</v>
      </c>
      <c r="B3747" s="2" t="s">
        <v>3823</v>
      </c>
      <c r="C3747" s="2" t="str">
        <f>"13652265"</f>
        <v>13652265</v>
      </c>
      <c r="D3747" s="2">
        <v>1.175</v>
      </c>
      <c r="E3747" s="2">
        <v>97</v>
      </c>
      <c r="F3747" s="2" t="s">
        <v>16</v>
      </c>
    </row>
    <row r="3748" spans="1:6" ht="25.5">
      <c r="A3748" s="2">
        <v>3745</v>
      </c>
      <c r="B3748" s="2" t="s">
        <v>3824</v>
      </c>
      <c r="C3748" s="2" t="str">
        <f>"11791349"</f>
        <v>11791349</v>
      </c>
      <c r="D3748" s="2">
        <v>0.75900000000000001</v>
      </c>
      <c r="E3748" s="2">
        <v>9</v>
      </c>
      <c r="F3748" s="2" t="s">
        <v>503</v>
      </c>
    </row>
    <row r="3749" spans="1:6" ht="25.5">
      <c r="A3749" s="2">
        <v>3746</v>
      </c>
      <c r="B3749" s="2" t="s">
        <v>3825</v>
      </c>
      <c r="C3749" s="2" t="str">
        <f>"1758101X"</f>
        <v>1758101X</v>
      </c>
      <c r="D3749" s="2">
        <v>0.14799999999999999</v>
      </c>
      <c r="E3749" s="2">
        <v>2</v>
      </c>
      <c r="F3749" s="2" t="s">
        <v>16</v>
      </c>
    </row>
    <row r="3750" spans="1:6" ht="25.5">
      <c r="A3750" s="2">
        <v>3747</v>
      </c>
      <c r="B3750" s="2" t="s">
        <v>3826</v>
      </c>
      <c r="C3750" s="2" t="str">
        <f>"14623846"</f>
        <v>14623846</v>
      </c>
      <c r="D3750" s="2">
        <v>0.15</v>
      </c>
      <c r="E3750" s="2">
        <v>10</v>
      </c>
      <c r="F3750" s="2" t="s">
        <v>16</v>
      </c>
    </row>
    <row r="3751" spans="1:6" ht="25.5">
      <c r="A3751" s="2">
        <v>3748</v>
      </c>
      <c r="B3751" s="2" t="s">
        <v>3827</v>
      </c>
      <c r="C3751" s="2" t="str">
        <f>"15427714"</f>
        <v>15427714</v>
      </c>
      <c r="D3751" s="2">
        <v>1.67</v>
      </c>
      <c r="E3751" s="2">
        <v>87</v>
      </c>
      <c r="F3751" s="2" t="s">
        <v>16</v>
      </c>
    </row>
    <row r="3752" spans="1:6" ht="25.5">
      <c r="A3752" s="2">
        <v>3749</v>
      </c>
      <c r="B3752" s="2" t="s">
        <v>3828</v>
      </c>
      <c r="C3752" s="2" t="str">
        <f>"13990004"</f>
        <v>13990004</v>
      </c>
      <c r="D3752" s="2">
        <v>1.3</v>
      </c>
      <c r="E3752" s="2">
        <v>64</v>
      </c>
      <c r="F3752" s="2" t="s">
        <v>16</v>
      </c>
    </row>
    <row r="3753" spans="1:6" ht="25.5">
      <c r="A3753" s="2">
        <v>3750</v>
      </c>
      <c r="B3753" s="2" t="s">
        <v>3829</v>
      </c>
      <c r="C3753" s="2" t="str">
        <f>"15587673"</f>
        <v>15587673</v>
      </c>
      <c r="D3753" s="2">
        <v>1.284</v>
      </c>
      <c r="E3753" s="2">
        <v>28</v>
      </c>
      <c r="F3753" s="2" t="s">
        <v>75</v>
      </c>
    </row>
    <row r="3754" spans="1:6" ht="25.5">
      <c r="A3754" s="2">
        <v>3751</v>
      </c>
      <c r="B3754" s="2" t="s">
        <v>3830</v>
      </c>
      <c r="C3754" s="2" t="str">
        <f>"10951598"</f>
        <v>10951598</v>
      </c>
      <c r="D3754" s="2">
        <v>0.112</v>
      </c>
      <c r="E3754" s="2">
        <v>5</v>
      </c>
      <c r="F3754" s="2" t="s">
        <v>6</v>
      </c>
    </row>
    <row r="3755" spans="1:6" ht="25.5">
      <c r="A3755" s="2">
        <v>3752</v>
      </c>
      <c r="B3755" s="2" t="s">
        <v>3831</v>
      </c>
      <c r="C3755" s="2" t="str">
        <f>"15452301"</f>
        <v>15452301</v>
      </c>
      <c r="D3755" s="2">
        <v>0.28199999999999997</v>
      </c>
      <c r="E3755" s="2">
        <v>16</v>
      </c>
      <c r="F3755" s="2" t="s">
        <v>6</v>
      </c>
    </row>
    <row r="3756" spans="1:6" ht="25.5">
      <c r="A3756" s="2">
        <v>3753</v>
      </c>
      <c r="B3756" s="2" t="s">
        <v>3832</v>
      </c>
      <c r="C3756" s="2" t="str">
        <f>"14777274"</f>
        <v>14777274</v>
      </c>
      <c r="D3756" s="2">
        <v>0.23200000000000001</v>
      </c>
      <c r="E3756" s="2">
        <v>12</v>
      </c>
      <c r="F3756" s="2" t="s">
        <v>16</v>
      </c>
    </row>
    <row r="3757" spans="1:6" ht="25.5">
      <c r="A3757" s="2">
        <v>3754</v>
      </c>
      <c r="B3757" s="2" t="s">
        <v>3833</v>
      </c>
      <c r="C3757" s="2" t="str">
        <f>"13860291"</f>
        <v>13860291</v>
      </c>
      <c r="D3757" s="2">
        <v>0.47</v>
      </c>
      <c r="E3757" s="2">
        <v>32</v>
      </c>
      <c r="F3757" s="2" t="s">
        <v>75</v>
      </c>
    </row>
    <row r="3758" spans="1:6" ht="25.5">
      <c r="A3758" s="2">
        <v>3755</v>
      </c>
      <c r="B3758" s="2" t="s">
        <v>3834</v>
      </c>
      <c r="C3758" s="2" t="str">
        <f>"08997071"</f>
        <v>08997071</v>
      </c>
      <c r="D3758" s="2">
        <v>0.36299999999999999</v>
      </c>
      <c r="E3758" s="2">
        <v>32</v>
      </c>
      <c r="F3758" s="2" t="s">
        <v>6</v>
      </c>
    </row>
    <row r="3759" spans="1:6" ht="25.5">
      <c r="A3759" s="2">
        <v>3756</v>
      </c>
      <c r="B3759" s="2" t="s">
        <v>3835</v>
      </c>
      <c r="C3759" s="2" t="str">
        <f>"15217035"</f>
        <v>15217035</v>
      </c>
      <c r="D3759" s="2">
        <v>1.419</v>
      </c>
      <c r="E3759" s="2">
        <v>79</v>
      </c>
      <c r="F3759" s="2" t="s">
        <v>6</v>
      </c>
    </row>
    <row r="3760" spans="1:6" ht="25.5">
      <c r="A3760" s="2">
        <v>3757</v>
      </c>
      <c r="B3760" s="2" t="s">
        <v>3836</v>
      </c>
      <c r="C3760" s="2" t="str">
        <f>"15230899"</f>
        <v>15230899</v>
      </c>
      <c r="D3760" s="2">
        <v>0.91700000000000004</v>
      </c>
      <c r="E3760" s="2">
        <v>44</v>
      </c>
      <c r="F3760" s="2" t="s">
        <v>16</v>
      </c>
    </row>
    <row r="3761" spans="1:6" ht="25.5">
      <c r="A3761" s="2">
        <v>3758</v>
      </c>
      <c r="B3761" s="2" t="s">
        <v>3837</v>
      </c>
      <c r="C3761" s="2" t="str">
        <f>"15376591"</f>
        <v>15376591</v>
      </c>
      <c r="D3761" s="2">
        <v>3.7280000000000002</v>
      </c>
      <c r="E3761" s="2">
        <v>213</v>
      </c>
      <c r="F3761" s="2" t="s">
        <v>6</v>
      </c>
    </row>
    <row r="3762" spans="1:6" ht="25.5">
      <c r="A3762" s="2">
        <v>3759</v>
      </c>
      <c r="B3762" s="2" t="s">
        <v>3838</v>
      </c>
      <c r="C3762" s="2" t="str">
        <f>"11781998"</f>
        <v>11781998</v>
      </c>
      <c r="D3762" s="2">
        <v>0.71399999999999997</v>
      </c>
      <c r="E3762" s="2">
        <v>24</v>
      </c>
      <c r="F3762" s="2" t="s">
        <v>503</v>
      </c>
    </row>
    <row r="3763" spans="1:6" ht="25.5">
      <c r="A3763" s="2">
        <v>3760</v>
      </c>
      <c r="B3763" s="2" t="s">
        <v>3839</v>
      </c>
      <c r="C3763" s="2" t="str">
        <f>"18657265"</f>
        <v>18657265</v>
      </c>
      <c r="D3763" s="2">
        <v>0.13300000000000001</v>
      </c>
      <c r="E3763" s="2">
        <v>3</v>
      </c>
      <c r="F3763" s="2" t="s">
        <v>131</v>
      </c>
    </row>
    <row r="3764" spans="1:6" ht="25.5">
      <c r="A3764" s="2">
        <v>3761</v>
      </c>
      <c r="B3764" s="2" t="s">
        <v>3840</v>
      </c>
      <c r="C3764" s="2" t="str">
        <f>"10921095"</f>
        <v>10921095</v>
      </c>
      <c r="D3764" s="2">
        <v>0.35399999999999998</v>
      </c>
      <c r="E3764" s="2">
        <v>23</v>
      </c>
      <c r="F3764" s="2" t="s">
        <v>6</v>
      </c>
    </row>
    <row r="3765" spans="1:6" ht="25.5">
      <c r="A3765" s="2">
        <v>3762</v>
      </c>
      <c r="B3765" s="2" t="s">
        <v>3841</v>
      </c>
      <c r="C3765" s="2" t="str">
        <f>"15365409"</f>
        <v>15365409</v>
      </c>
      <c r="D3765" s="2">
        <v>0.996</v>
      </c>
      <c r="E3765" s="2">
        <v>82</v>
      </c>
      <c r="F3765" s="2" t="s">
        <v>6</v>
      </c>
    </row>
    <row r="3766" spans="1:6" ht="25.5">
      <c r="A3766" s="2">
        <v>3763</v>
      </c>
      <c r="B3766" s="2" t="s">
        <v>3842</v>
      </c>
      <c r="C3766" s="2" t="str">
        <f>"15363724"</f>
        <v>15363724</v>
      </c>
      <c r="D3766" s="2">
        <v>0.89500000000000002</v>
      </c>
      <c r="E3766" s="2">
        <v>61</v>
      </c>
      <c r="F3766" s="2" t="s">
        <v>6</v>
      </c>
    </row>
    <row r="3767" spans="1:6" ht="25.5">
      <c r="A3767" s="2">
        <v>3764</v>
      </c>
      <c r="B3767" s="2" t="s">
        <v>3843</v>
      </c>
      <c r="C3767" s="2" t="str">
        <f>"1555905X"</f>
        <v>1555905X</v>
      </c>
      <c r="D3767" s="2">
        <v>2.5499999999999998</v>
      </c>
      <c r="E3767" s="2">
        <v>60</v>
      </c>
      <c r="F3767" s="2" t="s">
        <v>6</v>
      </c>
    </row>
    <row r="3768" spans="1:6" ht="25.5">
      <c r="A3768" s="2">
        <v>3765</v>
      </c>
      <c r="B3768" s="2" t="s">
        <v>3844</v>
      </c>
      <c r="C3768" s="2" t="str">
        <f>"08969620"</f>
        <v>08969620</v>
      </c>
      <c r="D3768" s="2">
        <v>0.14099999999999999</v>
      </c>
      <c r="E3768" s="2">
        <v>9</v>
      </c>
      <c r="F3768" s="2" t="s">
        <v>6</v>
      </c>
    </row>
    <row r="3769" spans="1:6" ht="25.5">
      <c r="A3769" s="2">
        <v>3766</v>
      </c>
      <c r="B3769" s="2" t="s">
        <v>3845</v>
      </c>
      <c r="C3769" s="2" t="str">
        <f>"14336510"</f>
        <v>14336510</v>
      </c>
      <c r="D3769" s="2">
        <v>0.27200000000000002</v>
      </c>
      <c r="E3769" s="2">
        <v>30</v>
      </c>
      <c r="F3769" s="2" t="s">
        <v>12</v>
      </c>
    </row>
    <row r="3770" spans="1:6" ht="25.5">
      <c r="A3770" s="2">
        <v>3767</v>
      </c>
      <c r="B3770" s="2" t="s">
        <v>3846</v>
      </c>
      <c r="C3770" s="2" t="str">
        <f>"0894959X"</f>
        <v>0894959X</v>
      </c>
      <c r="D3770" s="2">
        <v>0.156</v>
      </c>
      <c r="E3770" s="2">
        <v>16</v>
      </c>
      <c r="F3770" s="2" t="s">
        <v>6</v>
      </c>
    </row>
    <row r="3771" spans="1:6" ht="25.5">
      <c r="A3771" s="2">
        <v>3768</v>
      </c>
      <c r="B3771" s="2" t="s">
        <v>3847</v>
      </c>
      <c r="C3771" s="2" t="str">
        <f>"14645076"</f>
        <v>14645076</v>
      </c>
      <c r="D3771" s="2">
        <v>0.41199999999999998</v>
      </c>
      <c r="E3771" s="2">
        <v>25</v>
      </c>
      <c r="F3771" s="2" t="s">
        <v>16</v>
      </c>
    </row>
    <row r="3772" spans="1:6" ht="25.5">
      <c r="A3772" s="2">
        <v>3769</v>
      </c>
      <c r="B3772" s="2" t="s">
        <v>3848</v>
      </c>
      <c r="C3772" s="2" t="str">
        <f>"15257304"</f>
        <v>15257304</v>
      </c>
      <c r="D3772" s="2">
        <v>1.0149999999999999</v>
      </c>
      <c r="E3772" s="2">
        <v>31</v>
      </c>
      <c r="F3772" s="2" t="s">
        <v>75</v>
      </c>
    </row>
    <row r="3773" spans="1:6" ht="25.5">
      <c r="A3773" s="2">
        <v>3770</v>
      </c>
      <c r="B3773" s="2" t="s">
        <v>3849</v>
      </c>
      <c r="C3773" s="2" t="str">
        <f>"21522669"</f>
        <v>21522669</v>
      </c>
      <c r="D3773" s="2">
        <v>0.68500000000000005</v>
      </c>
      <c r="E3773" s="2">
        <v>30</v>
      </c>
      <c r="F3773" s="2" t="s">
        <v>6</v>
      </c>
    </row>
    <row r="3774" spans="1:6" ht="25.5">
      <c r="A3774" s="2">
        <v>3771</v>
      </c>
      <c r="B3774" s="2" t="s">
        <v>3850</v>
      </c>
      <c r="C3774" s="2" t="str">
        <f>"14702118"</f>
        <v>14702118</v>
      </c>
      <c r="D3774" s="2">
        <v>0.27400000000000002</v>
      </c>
      <c r="E3774" s="2">
        <v>35</v>
      </c>
      <c r="F3774" s="2" t="s">
        <v>16</v>
      </c>
    </row>
    <row r="3775" spans="1:6" ht="25.5">
      <c r="A3775" s="2">
        <v>3772</v>
      </c>
      <c r="B3775" s="2" t="s">
        <v>3851</v>
      </c>
      <c r="C3775" s="2" t="str">
        <f>"15546179"</f>
        <v>15546179</v>
      </c>
      <c r="D3775" s="2">
        <v>0.53700000000000003</v>
      </c>
      <c r="E3775" s="2">
        <v>31</v>
      </c>
      <c r="F3775" s="2" t="s">
        <v>6</v>
      </c>
    </row>
    <row r="3776" spans="1:6" ht="25.5">
      <c r="A3776" s="2">
        <v>3773</v>
      </c>
      <c r="B3776" s="2" t="s">
        <v>3852</v>
      </c>
      <c r="C3776" s="2" t="str">
        <f>"11795484"</f>
        <v>11795484</v>
      </c>
      <c r="D3776" s="2">
        <v>0.158</v>
      </c>
      <c r="E3776" s="2">
        <v>3</v>
      </c>
      <c r="F3776" s="2" t="s">
        <v>503</v>
      </c>
    </row>
    <row r="3777" spans="1:6" ht="25.5">
      <c r="A3777" s="2">
        <v>3774</v>
      </c>
      <c r="B3777" s="2" t="s">
        <v>3853</v>
      </c>
      <c r="C3777" s="2" t="str">
        <f>"11781173"</f>
        <v>11781173</v>
      </c>
      <c r="D3777" s="2">
        <v>0.112</v>
      </c>
      <c r="E3777" s="2">
        <v>2</v>
      </c>
      <c r="F3777" s="2" t="s">
        <v>503</v>
      </c>
    </row>
    <row r="3778" spans="1:6" ht="25.5">
      <c r="A3778" s="2">
        <v>3775</v>
      </c>
      <c r="B3778" s="2" t="s">
        <v>3854</v>
      </c>
      <c r="C3778" s="2" t="str">
        <f>"11795522"</f>
        <v>11795522</v>
      </c>
      <c r="D3778" s="2">
        <v>0.24099999999999999</v>
      </c>
      <c r="E3778" s="2">
        <v>1</v>
      </c>
      <c r="F3778" s="2" t="s">
        <v>503</v>
      </c>
    </row>
    <row r="3779" spans="1:6" ht="25.5">
      <c r="A3779" s="2">
        <v>3776</v>
      </c>
      <c r="B3779" s="2" t="s">
        <v>3855</v>
      </c>
      <c r="C3779" s="2" t="str">
        <f>"11795530"</f>
        <v>11795530</v>
      </c>
      <c r="D3779" s="2">
        <v>0.113</v>
      </c>
      <c r="E3779" s="2">
        <v>0</v>
      </c>
      <c r="F3779" s="2" t="s">
        <v>503</v>
      </c>
    </row>
    <row r="3780" spans="1:6" ht="25.5">
      <c r="A3780" s="2">
        <v>3777</v>
      </c>
      <c r="B3780" s="2" t="s">
        <v>3856</v>
      </c>
      <c r="C3780" s="2" t="str">
        <f>"11795549"</f>
        <v>11795549</v>
      </c>
      <c r="D3780" s="2">
        <v>0.38</v>
      </c>
      <c r="E3780" s="2">
        <v>6</v>
      </c>
      <c r="F3780" s="2" t="s">
        <v>503</v>
      </c>
    </row>
    <row r="3781" spans="1:6" ht="25.5">
      <c r="A3781" s="2">
        <v>3778</v>
      </c>
      <c r="B3781" s="2" t="s">
        <v>3857</v>
      </c>
      <c r="C3781" s="2" t="str">
        <f>"1179559X"</f>
        <v>1179559X</v>
      </c>
      <c r="D3781" s="2">
        <v>0.105</v>
      </c>
      <c r="E3781" s="2">
        <v>2</v>
      </c>
      <c r="F3781" s="2" t="s">
        <v>503</v>
      </c>
    </row>
    <row r="3782" spans="1:6" ht="25.5">
      <c r="A3782" s="2">
        <v>3779</v>
      </c>
      <c r="B3782" s="2" t="s">
        <v>3858</v>
      </c>
      <c r="C3782" s="2" t="str">
        <f>"1198743X"</f>
        <v>1198743X</v>
      </c>
      <c r="D3782" s="2">
        <v>1.55</v>
      </c>
      <c r="E3782" s="2">
        <v>75</v>
      </c>
      <c r="F3782" s="2" t="s">
        <v>16</v>
      </c>
    </row>
    <row r="3783" spans="1:6" ht="25.5">
      <c r="A3783" s="2">
        <v>3780</v>
      </c>
      <c r="B3783" s="2" t="s">
        <v>3859</v>
      </c>
      <c r="C3783" s="2" t="str">
        <f>"01964399"</f>
        <v>01964399</v>
      </c>
      <c r="D3783" s="2">
        <v>0.154</v>
      </c>
      <c r="E3783" s="2">
        <v>12</v>
      </c>
      <c r="F3783" s="2" t="s">
        <v>6</v>
      </c>
    </row>
    <row r="3784" spans="1:6" ht="25.5">
      <c r="A3784" s="2">
        <v>3781</v>
      </c>
      <c r="B3784" s="2" t="s">
        <v>3860</v>
      </c>
      <c r="C3784" s="2" t="str">
        <f>"10986618"</f>
        <v>10986618</v>
      </c>
      <c r="D3784" s="2">
        <v>6.6159999999999997</v>
      </c>
      <c r="E3784" s="2">
        <v>163</v>
      </c>
      <c r="F3784" s="2" t="s">
        <v>6</v>
      </c>
    </row>
    <row r="3785" spans="1:6" ht="25.5">
      <c r="A3785" s="2">
        <v>3782</v>
      </c>
      <c r="B3785" s="2" t="s">
        <v>3861</v>
      </c>
      <c r="C3785" s="2" t="str">
        <f>"03010430"</f>
        <v>03010430</v>
      </c>
      <c r="D3785" s="2">
        <v>0.48699999999999999</v>
      </c>
      <c r="E3785" s="2">
        <v>54</v>
      </c>
      <c r="F3785" s="2" t="s">
        <v>12</v>
      </c>
    </row>
    <row r="3786" spans="1:6" ht="25.5">
      <c r="A3786" s="2">
        <v>3783</v>
      </c>
      <c r="B3786" s="2" t="s">
        <v>3862</v>
      </c>
      <c r="C3786" s="2" t="str">
        <f>"0009918X"</f>
        <v>0009918X</v>
      </c>
      <c r="D3786" s="2">
        <v>0.13400000000000001</v>
      </c>
      <c r="E3786" s="2">
        <v>13</v>
      </c>
      <c r="F3786" s="2" t="s">
        <v>131</v>
      </c>
    </row>
    <row r="3787" spans="1:6" ht="25.5">
      <c r="A3787" s="2">
        <v>3784</v>
      </c>
      <c r="B3787" s="2" t="s">
        <v>3863</v>
      </c>
      <c r="C3787" s="2" t="str">
        <f>"03038467"</f>
        <v>03038467</v>
      </c>
      <c r="D3787" s="2">
        <v>0.50800000000000001</v>
      </c>
      <c r="E3787" s="2">
        <v>41</v>
      </c>
      <c r="F3787" s="2" t="s">
        <v>75</v>
      </c>
    </row>
    <row r="3788" spans="1:6" ht="25.5">
      <c r="A3788" s="2">
        <v>3785</v>
      </c>
      <c r="B3788" s="2" t="s">
        <v>3864</v>
      </c>
      <c r="C3788" s="2" t="str">
        <f>"07225091"</f>
        <v>07225091</v>
      </c>
      <c r="D3788" s="2">
        <v>0.41699999999999998</v>
      </c>
      <c r="E3788" s="2">
        <v>30</v>
      </c>
      <c r="F3788" s="2" t="s">
        <v>12</v>
      </c>
    </row>
    <row r="3789" spans="1:6" ht="25.5">
      <c r="A3789" s="2">
        <v>3786</v>
      </c>
      <c r="B3789" s="2" t="s">
        <v>3865</v>
      </c>
      <c r="C3789" s="2" t="str">
        <f>"03625664"</f>
        <v>03625664</v>
      </c>
      <c r="D3789" s="2">
        <v>0.63200000000000001</v>
      </c>
      <c r="E3789" s="2">
        <v>55</v>
      </c>
      <c r="F3789" s="2" t="s">
        <v>6</v>
      </c>
    </row>
    <row r="3790" spans="1:6" ht="25.5">
      <c r="A3790" s="2">
        <v>3787</v>
      </c>
      <c r="B3790" s="2" t="s">
        <v>3866</v>
      </c>
      <c r="C3790" s="2" t="str">
        <f>"13882457"</f>
        <v>13882457</v>
      </c>
      <c r="D3790" s="2">
        <v>1.29</v>
      </c>
      <c r="E3790" s="2">
        <v>103</v>
      </c>
      <c r="F3790" s="2" t="s">
        <v>732</v>
      </c>
    </row>
    <row r="3791" spans="1:6" ht="25.5">
      <c r="A3791" s="2">
        <v>3788</v>
      </c>
      <c r="B3791" s="2" t="s">
        <v>3867</v>
      </c>
      <c r="C3791" s="2" t="str">
        <f>"17244935"</f>
        <v>17244935</v>
      </c>
      <c r="D3791" s="2">
        <v>0.17899999999999999</v>
      </c>
      <c r="E3791" s="2">
        <v>7</v>
      </c>
      <c r="F3791" s="2" t="s">
        <v>190</v>
      </c>
    </row>
    <row r="3792" spans="1:6" ht="25.5">
      <c r="A3792" s="2">
        <v>3789</v>
      </c>
      <c r="B3792" s="2" t="s">
        <v>3868</v>
      </c>
      <c r="C3792" s="2" t="str">
        <f>"09201637"</f>
        <v>09201637</v>
      </c>
      <c r="D3792" s="2">
        <v>0.79200000000000004</v>
      </c>
      <c r="E3792" s="2">
        <v>45</v>
      </c>
      <c r="F3792" s="2" t="s">
        <v>75</v>
      </c>
    </row>
    <row r="3793" spans="1:6" ht="25.5">
      <c r="A3793" s="2">
        <v>3790</v>
      </c>
      <c r="B3793" s="2" t="s">
        <v>3869</v>
      </c>
      <c r="C3793" s="2" t="str">
        <f>"00694827"</f>
        <v>00694827</v>
      </c>
      <c r="D3793" s="2">
        <v>0.247</v>
      </c>
      <c r="E3793" s="2">
        <v>17</v>
      </c>
      <c r="F3793" s="2" t="s">
        <v>6</v>
      </c>
    </row>
    <row r="3794" spans="1:6" ht="25.5">
      <c r="A3794" s="2">
        <v>3791</v>
      </c>
      <c r="B3794" s="2" t="s">
        <v>3870</v>
      </c>
      <c r="C3794" s="2" t="str">
        <f>"03639762"</f>
        <v>03639762</v>
      </c>
      <c r="D3794" s="2">
        <v>0.39100000000000001</v>
      </c>
      <c r="E3794" s="2">
        <v>39</v>
      </c>
      <c r="F3794" s="2" t="s">
        <v>6</v>
      </c>
    </row>
    <row r="3795" spans="1:6" ht="25.5">
      <c r="A3795" s="2">
        <v>3792</v>
      </c>
      <c r="B3795" s="2" t="s">
        <v>3871</v>
      </c>
      <c r="C3795" s="2" t="str">
        <f>"08876274"</f>
        <v>08876274</v>
      </c>
      <c r="D3795" s="2">
        <v>0.33</v>
      </c>
      <c r="E3795" s="2">
        <v>19</v>
      </c>
      <c r="F3795" s="2" t="s">
        <v>6</v>
      </c>
    </row>
    <row r="3796" spans="1:6" ht="25.5">
      <c r="A3796" s="2">
        <v>3793</v>
      </c>
      <c r="B3796" s="2" t="s">
        <v>3872</v>
      </c>
      <c r="C3796" s="2" t="str">
        <f>"15523799"</f>
        <v>15523799</v>
      </c>
      <c r="D3796" s="2">
        <v>0.29299999999999998</v>
      </c>
      <c r="E3796" s="2">
        <v>26</v>
      </c>
      <c r="F3796" s="2" t="s">
        <v>6</v>
      </c>
    </row>
    <row r="3797" spans="1:6" ht="25.5">
      <c r="A3797" s="2">
        <v>3794</v>
      </c>
      <c r="B3797" s="2" t="s">
        <v>3873</v>
      </c>
      <c r="C3797" s="2" t="str">
        <f>"02615614"</f>
        <v>02615614</v>
      </c>
      <c r="D3797" s="2">
        <v>1.081</v>
      </c>
      <c r="E3797" s="2">
        <v>71</v>
      </c>
      <c r="F3797" s="2" t="s">
        <v>6</v>
      </c>
    </row>
    <row r="3798" spans="1:6" ht="25.5">
      <c r="A3798" s="2">
        <v>3795</v>
      </c>
      <c r="B3798" s="2" t="s">
        <v>3874</v>
      </c>
      <c r="C3798" s="2" t="str">
        <f>"15325520"</f>
        <v>15325520</v>
      </c>
      <c r="D3798" s="2">
        <v>0.76700000000000002</v>
      </c>
      <c r="E3798" s="2">
        <v>47</v>
      </c>
      <c r="F3798" s="2" t="s">
        <v>6</v>
      </c>
    </row>
    <row r="3799" spans="1:6" ht="25.5">
      <c r="A3799" s="2">
        <v>3796</v>
      </c>
      <c r="B3799" s="2" t="s">
        <v>3875</v>
      </c>
      <c r="C3799" s="2" t="str">
        <f>"14332981"</f>
        <v>14332981</v>
      </c>
      <c r="D3799" s="2">
        <v>0.90800000000000003</v>
      </c>
      <c r="E3799" s="2">
        <v>41</v>
      </c>
      <c r="F3799" s="2" t="s">
        <v>16</v>
      </c>
    </row>
    <row r="3800" spans="1:6" ht="25.5">
      <c r="A3800" s="2">
        <v>3797</v>
      </c>
      <c r="B3800" s="2" t="s">
        <v>3876</v>
      </c>
      <c r="C3800" s="2" t="str">
        <f>"11775483"</f>
        <v>11775483</v>
      </c>
      <c r="D3800" s="2">
        <v>0.56100000000000005</v>
      </c>
      <c r="E3800" s="2">
        <v>12</v>
      </c>
      <c r="F3800" s="2" t="s">
        <v>503</v>
      </c>
    </row>
    <row r="3801" spans="1:6" ht="25.5">
      <c r="A3801" s="2">
        <v>3798</v>
      </c>
      <c r="B3801" s="2" t="s">
        <v>3877</v>
      </c>
      <c r="C3801" s="2" t="str">
        <f>"16000501"</f>
        <v>16000501</v>
      </c>
      <c r="D3801" s="2">
        <v>1.1539999999999999</v>
      </c>
      <c r="E3801" s="2">
        <v>83</v>
      </c>
      <c r="F3801" s="2" t="s">
        <v>163</v>
      </c>
    </row>
    <row r="3802" spans="1:6" ht="25.5">
      <c r="A3802" s="2">
        <v>3799</v>
      </c>
      <c r="B3802" s="2" t="s">
        <v>3878</v>
      </c>
      <c r="C3802" s="2" t="str">
        <f>"14363771"</f>
        <v>14363771</v>
      </c>
      <c r="D3802" s="2">
        <v>0.68500000000000005</v>
      </c>
      <c r="E3802" s="2">
        <v>39</v>
      </c>
      <c r="F3802" s="2" t="s">
        <v>12</v>
      </c>
    </row>
    <row r="3803" spans="1:6" ht="25.5">
      <c r="A3803" s="2">
        <v>3800</v>
      </c>
      <c r="B3803" s="2" t="s">
        <v>3879</v>
      </c>
      <c r="C3803" s="2" t="str">
        <f>"15281132"</f>
        <v>15281132</v>
      </c>
      <c r="D3803" s="2">
        <v>1.7150000000000001</v>
      </c>
      <c r="E3803" s="2">
        <v>125</v>
      </c>
      <c r="F3803" s="2" t="s">
        <v>6</v>
      </c>
    </row>
    <row r="3804" spans="1:6" ht="25.5">
      <c r="A3804" s="2">
        <v>3801</v>
      </c>
      <c r="B3804" s="2" t="s">
        <v>3880</v>
      </c>
      <c r="C3804" s="2" t="str">
        <f>"17494486"</f>
        <v>17494486</v>
      </c>
      <c r="D3804" s="2">
        <v>0.90100000000000002</v>
      </c>
      <c r="E3804" s="2">
        <v>41</v>
      </c>
      <c r="F3804" s="2" t="s">
        <v>16</v>
      </c>
    </row>
    <row r="3805" spans="1:6" ht="25.5">
      <c r="A3805" s="2">
        <v>3802</v>
      </c>
      <c r="B3805" s="2" t="s">
        <v>3881</v>
      </c>
      <c r="C3805" s="2" t="str">
        <f>"22129553"</f>
        <v>22129553</v>
      </c>
      <c r="D3805" s="2">
        <v>0.14000000000000001</v>
      </c>
      <c r="E3805" s="2">
        <v>3</v>
      </c>
      <c r="F3805" s="2" t="s">
        <v>75</v>
      </c>
    </row>
    <row r="3806" spans="1:6" ht="25.5">
      <c r="A3806" s="2">
        <v>3803</v>
      </c>
      <c r="B3806" s="2" t="s">
        <v>3882</v>
      </c>
      <c r="C3806" s="2" t="str">
        <f>"15228401"</f>
        <v>15228401</v>
      </c>
      <c r="D3806" s="2">
        <v>0.17100000000000001</v>
      </c>
      <c r="E3806" s="2">
        <v>10</v>
      </c>
      <c r="F3806" s="2" t="s">
        <v>16</v>
      </c>
    </row>
    <row r="3807" spans="1:6" ht="25.5">
      <c r="A3807" s="2">
        <v>3804</v>
      </c>
      <c r="B3807" s="2" t="s">
        <v>3883</v>
      </c>
      <c r="C3807" s="2" t="str">
        <f>"13477358"</f>
        <v>13477358</v>
      </c>
      <c r="D3807" s="2">
        <v>0.11899999999999999</v>
      </c>
      <c r="E3807" s="2">
        <v>7</v>
      </c>
      <c r="F3807" s="2" t="s">
        <v>131</v>
      </c>
    </row>
    <row r="3808" spans="1:6" ht="25.5">
      <c r="A3808" s="2">
        <v>3805</v>
      </c>
      <c r="B3808" s="2" t="s">
        <v>3884</v>
      </c>
      <c r="C3808" s="2" t="str">
        <f>"00099228"</f>
        <v>00099228</v>
      </c>
      <c r="D3808" s="2">
        <v>0.44800000000000001</v>
      </c>
      <c r="E3808" s="2">
        <v>43</v>
      </c>
      <c r="F3808" s="2" t="s">
        <v>6</v>
      </c>
    </row>
    <row r="3809" spans="1:6" ht="25.5">
      <c r="A3809" s="2">
        <v>3806</v>
      </c>
      <c r="B3809" s="2" t="s">
        <v>3885</v>
      </c>
      <c r="C3809" s="2" t="str">
        <f>"17589061"</f>
        <v>17589061</v>
      </c>
      <c r="D3809" s="2">
        <v>0.114</v>
      </c>
      <c r="E3809" s="2">
        <v>9</v>
      </c>
      <c r="F3809" s="2" t="s">
        <v>16</v>
      </c>
    </row>
    <row r="3810" spans="1:6" ht="25.5">
      <c r="A3810" s="2">
        <v>3807</v>
      </c>
      <c r="B3810" s="2" t="s">
        <v>3886</v>
      </c>
      <c r="C3810" s="2" t="str">
        <f>"03125963"</f>
        <v>03125963</v>
      </c>
      <c r="D3810" s="2">
        <v>1.927</v>
      </c>
      <c r="E3810" s="2">
        <v>109</v>
      </c>
      <c r="F3810" s="2" t="s">
        <v>16</v>
      </c>
    </row>
    <row r="3811" spans="1:6" ht="25.5">
      <c r="A3811" s="2">
        <v>3808</v>
      </c>
      <c r="B3811" s="2" t="s">
        <v>3887</v>
      </c>
      <c r="C3811" s="2" t="str">
        <f>"11791438"</f>
        <v>11791438</v>
      </c>
      <c r="D3811" s="2">
        <v>0.22500000000000001</v>
      </c>
      <c r="E3811" s="2">
        <v>4</v>
      </c>
      <c r="F3811" s="2" t="s">
        <v>503</v>
      </c>
    </row>
    <row r="3812" spans="1:6" ht="25.5">
      <c r="A3812" s="2">
        <v>3809</v>
      </c>
      <c r="B3812" s="2" t="s">
        <v>3888</v>
      </c>
      <c r="C3812" s="2" t="str">
        <f>"00099236"</f>
        <v>00099236</v>
      </c>
      <c r="D3812" s="2">
        <v>1.7490000000000001</v>
      </c>
      <c r="E3812" s="2">
        <v>122</v>
      </c>
      <c r="F3812" s="2" t="s">
        <v>16</v>
      </c>
    </row>
    <row r="3813" spans="1:6" ht="25.5">
      <c r="A3813" s="2">
        <v>3810</v>
      </c>
      <c r="B3813" s="2" t="s">
        <v>3889</v>
      </c>
      <c r="C3813" s="2" t="str">
        <f>"1475097X"</f>
        <v>1475097X</v>
      </c>
      <c r="D3813" s="2">
        <v>0.41399999999999998</v>
      </c>
      <c r="E3813" s="2">
        <v>41</v>
      </c>
      <c r="F3813" s="2" t="s">
        <v>16</v>
      </c>
    </row>
    <row r="3814" spans="1:6" ht="25.5">
      <c r="A3814" s="2">
        <v>3811</v>
      </c>
      <c r="B3814" s="2" t="s">
        <v>3890</v>
      </c>
      <c r="C3814" s="2" t="str">
        <f>"20449046"</f>
        <v>20449046</v>
      </c>
      <c r="D3814" s="2">
        <v>0.19500000000000001</v>
      </c>
      <c r="E3814" s="2">
        <v>12</v>
      </c>
      <c r="F3814" s="2" t="s">
        <v>16</v>
      </c>
    </row>
    <row r="3815" spans="1:6" ht="25.5">
      <c r="A3815" s="2">
        <v>3812</v>
      </c>
      <c r="B3815" s="2" t="s">
        <v>3891</v>
      </c>
      <c r="C3815" s="2" t="str">
        <f>"17450179"</f>
        <v>17450179</v>
      </c>
      <c r="D3815" s="2">
        <v>0.54100000000000004</v>
      </c>
      <c r="E3815" s="2">
        <v>22</v>
      </c>
      <c r="F3815" s="2" t="s">
        <v>75</v>
      </c>
    </row>
    <row r="3816" spans="1:6">
      <c r="A3816" s="2">
        <v>3813</v>
      </c>
      <c r="B3816" s="2" t="s">
        <v>3892</v>
      </c>
      <c r="C3816" s="2" t="str">
        <f>"0"</f>
        <v>0</v>
      </c>
      <c r="D3816" s="2">
        <v>0.1</v>
      </c>
      <c r="E3816" s="2">
        <v>1</v>
      </c>
      <c r="F3816" s="2" t="s">
        <v>6</v>
      </c>
    </row>
    <row r="3817" spans="1:6" ht="25.5">
      <c r="A3817" s="2">
        <v>3814</v>
      </c>
      <c r="B3817" s="2" t="s">
        <v>3893</v>
      </c>
      <c r="C3817" s="2" t="str">
        <f>"15426416"</f>
        <v>15426416</v>
      </c>
      <c r="D3817" s="2">
        <v>0.77100000000000002</v>
      </c>
      <c r="E3817" s="2">
        <v>12</v>
      </c>
      <c r="F3817" s="2" t="s">
        <v>16</v>
      </c>
    </row>
    <row r="3818" spans="1:6" ht="25.5">
      <c r="A3818" s="2">
        <v>3815</v>
      </c>
      <c r="B3818" s="2" t="s">
        <v>3894</v>
      </c>
      <c r="C3818" s="2" t="str">
        <f>"17429552"</f>
        <v>17429552</v>
      </c>
      <c r="D3818" s="2">
        <v>0.22</v>
      </c>
      <c r="E3818" s="2">
        <v>5</v>
      </c>
      <c r="F3818" s="2" t="s">
        <v>6</v>
      </c>
    </row>
    <row r="3819" spans="1:6" ht="25.5">
      <c r="A3819" s="2">
        <v>3816</v>
      </c>
      <c r="B3819" s="2" t="s">
        <v>3895</v>
      </c>
      <c r="C3819" s="2" t="str">
        <f>"10990879"</f>
        <v>10990879</v>
      </c>
      <c r="D3819" s="2">
        <v>0.90200000000000002</v>
      </c>
      <c r="E3819" s="2">
        <v>35</v>
      </c>
      <c r="F3819" s="2" t="s">
        <v>16</v>
      </c>
    </row>
    <row r="3820" spans="1:6" ht="25.5">
      <c r="A3820" s="2">
        <v>3817</v>
      </c>
      <c r="B3820" s="2" t="s">
        <v>3896</v>
      </c>
      <c r="C3820" s="2" t="str">
        <f>"17475732"</f>
        <v>17475732</v>
      </c>
      <c r="D3820" s="2">
        <v>0.20100000000000001</v>
      </c>
      <c r="E3820" s="2">
        <v>5</v>
      </c>
      <c r="F3820" s="2" t="s">
        <v>16</v>
      </c>
    </row>
    <row r="3821" spans="1:6" ht="25.5">
      <c r="A3821" s="2">
        <v>3818</v>
      </c>
      <c r="B3821" s="2" t="s">
        <v>3897</v>
      </c>
      <c r="C3821" s="2" t="str">
        <f>"02727358"</f>
        <v>02727358</v>
      </c>
      <c r="D3821" s="2">
        <v>3.3210000000000002</v>
      </c>
      <c r="E3821" s="2">
        <v>98</v>
      </c>
      <c r="F3821" s="2" t="s">
        <v>6</v>
      </c>
    </row>
    <row r="3822" spans="1:6" ht="25.5">
      <c r="A3822" s="2">
        <v>3819</v>
      </c>
      <c r="B3822" s="2" t="s">
        <v>3898</v>
      </c>
      <c r="C3822" s="2" t="str">
        <f>"14682850"</f>
        <v>14682850</v>
      </c>
      <c r="D3822" s="2">
        <v>1.4119999999999999</v>
      </c>
      <c r="E3822" s="2">
        <v>63</v>
      </c>
      <c r="F3822" s="2" t="s">
        <v>16</v>
      </c>
    </row>
    <row r="3823" spans="1:6" ht="25.5">
      <c r="A3823" s="2">
        <v>3820</v>
      </c>
      <c r="B3823" s="2" t="s">
        <v>3899</v>
      </c>
      <c r="C3823" s="2" t="str">
        <f>"17381088"</f>
        <v>17381088</v>
      </c>
      <c r="D3823" s="2">
        <v>0.15</v>
      </c>
      <c r="E3823" s="2">
        <v>4</v>
      </c>
      <c r="F3823" s="2" t="s">
        <v>274</v>
      </c>
    </row>
    <row r="3824" spans="1:6" ht="25.5">
      <c r="A3824" s="2">
        <v>3821</v>
      </c>
      <c r="B3824" s="2" t="s">
        <v>3900</v>
      </c>
      <c r="C3824" s="2" t="str">
        <f>"10680640"</f>
        <v>10680640</v>
      </c>
      <c r="D3824" s="2">
        <v>0.14000000000000001</v>
      </c>
      <c r="E3824" s="2">
        <v>11</v>
      </c>
      <c r="F3824" s="2" t="s">
        <v>6</v>
      </c>
    </row>
    <row r="3825" spans="1:6" ht="25.5">
      <c r="A3825" s="2">
        <v>3822</v>
      </c>
      <c r="B3825" s="2" t="s">
        <v>3901</v>
      </c>
      <c r="C3825" s="2" t="str">
        <f>"1365229X"</f>
        <v>1365229X</v>
      </c>
      <c r="D3825" s="2">
        <v>0.77800000000000002</v>
      </c>
      <c r="E3825" s="2">
        <v>57</v>
      </c>
      <c r="F3825" s="2" t="s">
        <v>16</v>
      </c>
    </row>
    <row r="3826" spans="1:6" ht="25.5">
      <c r="A3826" s="2">
        <v>3823</v>
      </c>
      <c r="B3826" s="2" t="s">
        <v>3902</v>
      </c>
      <c r="C3826" s="2" t="str">
        <f>"14770873"</f>
        <v>14770873</v>
      </c>
      <c r="D3826" s="2">
        <v>1.036</v>
      </c>
      <c r="E3826" s="2">
        <v>61</v>
      </c>
      <c r="F3826" s="2" t="s">
        <v>16</v>
      </c>
    </row>
    <row r="3827" spans="1:6" ht="25.5">
      <c r="A3827" s="2">
        <v>3824</v>
      </c>
      <c r="B3827" s="2" t="s">
        <v>3903</v>
      </c>
      <c r="C3827" s="2" t="str">
        <f>"15322521"</f>
        <v>15322521</v>
      </c>
      <c r="D3827" s="2">
        <v>0.128</v>
      </c>
      <c r="E3827" s="2">
        <v>8</v>
      </c>
      <c r="F3827" s="2" t="s">
        <v>16</v>
      </c>
    </row>
    <row r="3828" spans="1:6" ht="25.5">
      <c r="A3828" s="2">
        <v>3825</v>
      </c>
      <c r="B3828" s="2" t="s">
        <v>3904</v>
      </c>
      <c r="C3828" s="2" t="str">
        <f>"18610692"</f>
        <v>18610692</v>
      </c>
      <c r="D3828" s="2">
        <v>1.484</v>
      </c>
      <c r="E3828" s="2">
        <v>39</v>
      </c>
      <c r="F3828" s="2" t="s">
        <v>12</v>
      </c>
    </row>
    <row r="3829" spans="1:6" ht="25.5">
      <c r="A3829" s="2">
        <v>3826</v>
      </c>
      <c r="B3829" s="2" t="s">
        <v>3905</v>
      </c>
      <c r="C3829" s="2" t="str">
        <f>"18610714"</f>
        <v>18610714</v>
      </c>
      <c r="D3829" s="2">
        <v>0.13900000000000001</v>
      </c>
      <c r="E3829" s="2">
        <v>5</v>
      </c>
      <c r="F3829" s="2" t="s">
        <v>12</v>
      </c>
    </row>
    <row r="3830" spans="1:6" ht="25.5">
      <c r="A3830" s="2">
        <v>3827</v>
      </c>
      <c r="B3830" s="2" t="s">
        <v>3906</v>
      </c>
      <c r="C3830" s="2" t="str">
        <f>"1752699X"</f>
        <v>1752699X</v>
      </c>
      <c r="D3830" s="2">
        <v>0.53300000000000003</v>
      </c>
      <c r="E3830" s="2">
        <v>9</v>
      </c>
      <c r="F3830" s="2" t="s">
        <v>16</v>
      </c>
    </row>
    <row r="3831" spans="1:6" ht="25.5">
      <c r="A3831" s="2">
        <v>3828</v>
      </c>
      <c r="B3831" s="2" t="s">
        <v>3907</v>
      </c>
      <c r="C3831" s="2" t="str">
        <f>"10800549"</f>
        <v>10800549</v>
      </c>
      <c r="D3831" s="2">
        <v>0.73399999999999999</v>
      </c>
      <c r="E3831" s="2">
        <v>40</v>
      </c>
      <c r="F3831" s="2" t="s">
        <v>6</v>
      </c>
    </row>
    <row r="3832" spans="1:6" ht="25.5">
      <c r="A3832" s="2">
        <v>3829</v>
      </c>
      <c r="B3832" s="2" t="s">
        <v>3908</v>
      </c>
      <c r="C3832" s="2" t="str">
        <f>"15348644"</f>
        <v>15348644</v>
      </c>
      <c r="D3832" s="2">
        <v>0.17499999999999999</v>
      </c>
      <c r="E3832" s="2">
        <v>10</v>
      </c>
      <c r="F3832" s="2" t="s">
        <v>6</v>
      </c>
    </row>
    <row r="3833" spans="1:6" ht="25.5">
      <c r="A3833" s="2">
        <v>3830</v>
      </c>
      <c r="B3833" s="2" t="s">
        <v>3909</v>
      </c>
      <c r="C3833" s="2" t="str">
        <f>"07703198"</f>
        <v>07703198</v>
      </c>
      <c r="D3833" s="2">
        <v>0.67400000000000004</v>
      </c>
      <c r="E3833" s="2">
        <v>52</v>
      </c>
      <c r="F3833" s="2" t="s">
        <v>16</v>
      </c>
    </row>
    <row r="3834" spans="1:6" ht="25.5">
      <c r="A3834" s="2">
        <v>3831</v>
      </c>
      <c r="B3834" s="2" t="s">
        <v>3910</v>
      </c>
      <c r="C3834" s="2" t="str">
        <f>"09756965"</f>
        <v>09756965</v>
      </c>
      <c r="D3834" s="2">
        <v>0.112</v>
      </c>
      <c r="E3834" s="2">
        <v>1</v>
      </c>
      <c r="F3834" s="2" t="s">
        <v>488</v>
      </c>
    </row>
    <row r="3835" spans="1:6" ht="25.5">
      <c r="A3835" s="2">
        <v>3832</v>
      </c>
      <c r="B3835" s="2" t="s">
        <v>3911</v>
      </c>
      <c r="C3835" s="2" t="str">
        <f>"17581028"</f>
        <v>17581028</v>
      </c>
      <c r="D3835" s="2">
        <v>0.109</v>
      </c>
      <c r="E3835" s="2">
        <v>7</v>
      </c>
      <c r="F3835" s="2" t="s">
        <v>16</v>
      </c>
    </row>
    <row r="3836" spans="1:6" ht="25.5">
      <c r="A3836" s="2">
        <v>3833</v>
      </c>
      <c r="B3836" s="2" t="s">
        <v>3912</v>
      </c>
      <c r="C3836" s="2" t="str">
        <f>"19351232"</f>
        <v>19351232</v>
      </c>
      <c r="D3836" s="2">
        <v>0.71799999999999997</v>
      </c>
      <c r="E3836" s="2">
        <v>8</v>
      </c>
      <c r="F3836" s="2" t="s">
        <v>6</v>
      </c>
    </row>
    <row r="3837" spans="1:6" ht="25.5">
      <c r="A3837" s="2">
        <v>3834</v>
      </c>
      <c r="B3837" s="2" t="s">
        <v>3913</v>
      </c>
      <c r="C3837" s="2" t="str">
        <f>"14708736"</f>
        <v>14708736</v>
      </c>
      <c r="D3837" s="2">
        <v>1.625</v>
      </c>
      <c r="E3837" s="2">
        <v>91</v>
      </c>
      <c r="F3837" s="2" t="s">
        <v>16</v>
      </c>
    </row>
    <row r="3838" spans="1:6" ht="25.5">
      <c r="A3838" s="2">
        <v>3835</v>
      </c>
      <c r="B3838" s="2" t="s">
        <v>3914</v>
      </c>
      <c r="C3838" s="2" t="str">
        <f>"18761399"</f>
        <v>18761399</v>
      </c>
      <c r="D3838" s="2">
        <v>0.92400000000000004</v>
      </c>
      <c r="E3838" s="2">
        <v>9</v>
      </c>
      <c r="F3838" s="2" t="s">
        <v>6</v>
      </c>
    </row>
    <row r="3839" spans="1:6" ht="25.5">
      <c r="A3839" s="2">
        <v>3836</v>
      </c>
      <c r="B3839" s="2" t="s">
        <v>3915</v>
      </c>
      <c r="C3839" s="2" t="str">
        <f>"15733343"</f>
        <v>15733343</v>
      </c>
      <c r="D3839" s="2">
        <v>0.217</v>
      </c>
      <c r="E3839" s="2">
        <v>17</v>
      </c>
      <c r="F3839" s="2" t="s">
        <v>6</v>
      </c>
    </row>
    <row r="3840" spans="1:6" ht="25.5">
      <c r="A3840" s="2">
        <v>3837</v>
      </c>
      <c r="B3840" s="2" t="s">
        <v>3916</v>
      </c>
      <c r="C3840" s="2" t="str">
        <f>"1545231X"</f>
        <v>1545231X</v>
      </c>
      <c r="D3840" s="2">
        <v>0.58299999999999996</v>
      </c>
      <c r="E3840" s="2">
        <v>6</v>
      </c>
      <c r="F3840" s="2" t="s">
        <v>16</v>
      </c>
    </row>
    <row r="3841" spans="1:6" ht="25.5">
      <c r="A3841" s="2">
        <v>3838</v>
      </c>
      <c r="B3841" s="2" t="s">
        <v>3917</v>
      </c>
      <c r="C3841" s="2" t="str">
        <f>"1743498X"</f>
        <v>1743498X</v>
      </c>
      <c r="D3841" s="2">
        <v>0.376</v>
      </c>
      <c r="E3841" s="2">
        <v>8</v>
      </c>
      <c r="F3841" s="2" t="s">
        <v>16</v>
      </c>
    </row>
    <row r="3842" spans="1:6" ht="25.5">
      <c r="A3842" s="2">
        <v>3839</v>
      </c>
      <c r="B3842" s="2" t="s">
        <v>3918</v>
      </c>
      <c r="C3842" s="2" t="str">
        <f>"01492918"</f>
        <v>01492918</v>
      </c>
      <c r="D3842" s="2">
        <v>0.80100000000000005</v>
      </c>
      <c r="E3842" s="2">
        <v>93</v>
      </c>
      <c r="F3842" s="2" t="s">
        <v>6</v>
      </c>
    </row>
    <row r="3843" spans="1:6" ht="25.5">
      <c r="A3843" s="2">
        <v>3840</v>
      </c>
      <c r="B3843" s="2" t="s">
        <v>3919</v>
      </c>
      <c r="C3843" s="2" t="str">
        <f>"15569519"</f>
        <v>15569519</v>
      </c>
      <c r="D3843" s="2">
        <v>0.64</v>
      </c>
      <c r="E3843" s="2">
        <v>60</v>
      </c>
      <c r="F3843" s="2" t="s">
        <v>16</v>
      </c>
    </row>
    <row r="3844" spans="1:6" ht="25.5">
      <c r="A3844" s="2">
        <v>3841</v>
      </c>
      <c r="B3844" s="2" t="s">
        <v>3920</v>
      </c>
      <c r="C3844" s="2" t="str">
        <f>"13990012"</f>
        <v>13990012</v>
      </c>
      <c r="D3844" s="2">
        <v>0.70199999999999996</v>
      </c>
      <c r="E3844" s="2">
        <v>55</v>
      </c>
      <c r="F3844" s="2" t="s">
        <v>16</v>
      </c>
    </row>
    <row r="3845" spans="1:6" ht="25.5">
      <c r="A3845" s="2">
        <v>3842</v>
      </c>
      <c r="B3845" s="2" t="s">
        <v>3921</v>
      </c>
      <c r="C3845" s="2" t="str">
        <f>"08909016"</f>
        <v>08909016</v>
      </c>
      <c r="D3845" s="2">
        <v>0.29399999999999998</v>
      </c>
      <c r="E3845" s="2">
        <v>33</v>
      </c>
      <c r="F3845" s="2" t="s">
        <v>6</v>
      </c>
    </row>
    <row r="3846" spans="1:6" ht="25.5">
      <c r="A3846" s="2">
        <v>3843</v>
      </c>
      <c r="B3846" s="2" t="s">
        <v>3922</v>
      </c>
      <c r="C3846" s="2" t="str">
        <f>"17407753"</f>
        <v>17407753</v>
      </c>
      <c r="D3846" s="2">
        <v>1.3049999999999999</v>
      </c>
      <c r="E3846" s="2">
        <v>30</v>
      </c>
      <c r="F3846" s="2" t="s">
        <v>16</v>
      </c>
    </row>
    <row r="3847" spans="1:6" ht="25.5">
      <c r="A3847" s="2">
        <v>3844</v>
      </c>
      <c r="B3847" s="2" t="s">
        <v>3923</v>
      </c>
      <c r="C3847" s="2" t="str">
        <f>"00099074"</f>
        <v>00099074</v>
      </c>
      <c r="D3847" s="2">
        <v>0.156</v>
      </c>
      <c r="E3847" s="2">
        <v>14</v>
      </c>
      <c r="F3847" s="2" t="s">
        <v>190</v>
      </c>
    </row>
    <row r="3848" spans="1:6" ht="25.5">
      <c r="A3848" s="2">
        <v>3845</v>
      </c>
      <c r="B3848" s="2" t="s">
        <v>3924</v>
      </c>
      <c r="C3848" s="2" t="str">
        <f>"11786981"</f>
        <v>11786981</v>
      </c>
      <c r="D3848" s="2">
        <v>0.247</v>
      </c>
      <c r="E3848" s="2">
        <v>4</v>
      </c>
      <c r="F3848" s="2" t="s">
        <v>6</v>
      </c>
    </row>
    <row r="3849" spans="1:6" ht="25.5">
      <c r="A3849" s="2">
        <v>3846</v>
      </c>
      <c r="B3849" s="2" t="s">
        <v>3925</v>
      </c>
      <c r="C3849" s="2" t="str">
        <f>"18075932"</f>
        <v>18075932</v>
      </c>
      <c r="D3849" s="2">
        <v>0.30199999999999999</v>
      </c>
      <c r="E3849" s="2">
        <v>25</v>
      </c>
      <c r="F3849" s="2" t="s">
        <v>159</v>
      </c>
    </row>
    <row r="3850" spans="1:6" ht="25.5">
      <c r="A3850" s="2">
        <v>3847</v>
      </c>
      <c r="B3850" s="2" t="s">
        <v>3926</v>
      </c>
      <c r="C3850" s="2" t="str">
        <f>"2210741X"</f>
        <v>2210741X</v>
      </c>
      <c r="D3850" s="2">
        <v>0.34499999999999997</v>
      </c>
      <c r="E3850" s="2">
        <v>37</v>
      </c>
      <c r="F3850" s="2" t="s">
        <v>66</v>
      </c>
    </row>
    <row r="3851" spans="1:6" ht="25.5">
      <c r="A3851" s="2">
        <v>3848</v>
      </c>
      <c r="B3851" s="2" t="s">
        <v>3927</v>
      </c>
      <c r="C3851" s="2" t="str">
        <f>"02725231"</f>
        <v>02725231</v>
      </c>
      <c r="D3851" s="2">
        <v>0.98399999999999999</v>
      </c>
      <c r="E3851" s="2">
        <v>56</v>
      </c>
      <c r="F3851" s="2" t="s">
        <v>16</v>
      </c>
    </row>
    <row r="3852" spans="1:6" ht="25.5">
      <c r="A3852" s="2">
        <v>3849</v>
      </c>
      <c r="B3852" s="2" t="s">
        <v>3928</v>
      </c>
      <c r="C3852" s="2" t="str">
        <f>"15310043"</f>
        <v>15310043</v>
      </c>
      <c r="D3852" s="2">
        <v>0.40400000000000003</v>
      </c>
      <c r="E3852" s="2">
        <v>7</v>
      </c>
      <c r="F3852" s="2" t="s">
        <v>6</v>
      </c>
    </row>
    <row r="3853" spans="1:6" ht="25.5">
      <c r="A3853" s="2">
        <v>3850</v>
      </c>
      <c r="B3853" s="2" t="s">
        <v>3929</v>
      </c>
      <c r="C3853" s="2" t="str">
        <f>"0738081X"</f>
        <v>0738081X</v>
      </c>
      <c r="D3853" s="2">
        <v>0.85499999999999998</v>
      </c>
      <c r="E3853" s="2">
        <v>49</v>
      </c>
      <c r="F3853" s="2" t="s">
        <v>6</v>
      </c>
    </row>
    <row r="3854" spans="1:6" ht="25.5">
      <c r="A3854" s="2">
        <v>3851</v>
      </c>
      <c r="B3854" s="2" t="s">
        <v>3930</v>
      </c>
      <c r="C3854" s="2" t="str">
        <f>"07490690"</f>
        <v>07490690</v>
      </c>
      <c r="D3854" s="2">
        <v>0.996</v>
      </c>
      <c r="E3854" s="2">
        <v>46</v>
      </c>
      <c r="F3854" s="2" t="s">
        <v>16</v>
      </c>
    </row>
    <row r="3855" spans="1:6" ht="25.5">
      <c r="A3855" s="2">
        <v>3852</v>
      </c>
      <c r="B3855" s="2" t="s">
        <v>3931</v>
      </c>
      <c r="C3855" s="2" t="str">
        <f>"02722712"</f>
        <v>02722712</v>
      </c>
      <c r="D3855" s="2">
        <v>0.61199999999999999</v>
      </c>
      <c r="E3855" s="2">
        <v>31</v>
      </c>
      <c r="F3855" s="2" t="s">
        <v>16</v>
      </c>
    </row>
    <row r="3856" spans="1:6" ht="25.5">
      <c r="A3856" s="2">
        <v>3853</v>
      </c>
      <c r="B3856" s="2" t="s">
        <v>3932</v>
      </c>
      <c r="C3856" s="2" t="str">
        <f>"15578224"</f>
        <v>15578224</v>
      </c>
      <c r="D3856" s="2">
        <v>0.97899999999999998</v>
      </c>
      <c r="E3856" s="2">
        <v>47</v>
      </c>
      <c r="F3856" s="2" t="s">
        <v>16</v>
      </c>
    </row>
    <row r="3857" spans="1:6" ht="25.5">
      <c r="A3857" s="2">
        <v>3854</v>
      </c>
      <c r="B3857" s="2" t="s">
        <v>3933</v>
      </c>
      <c r="C3857" s="2" t="str">
        <f>"20054408"</f>
        <v>20054408</v>
      </c>
      <c r="D3857" s="2">
        <v>0.55700000000000005</v>
      </c>
      <c r="E3857" s="2">
        <v>7</v>
      </c>
      <c r="F3857" s="2" t="s">
        <v>274</v>
      </c>
    </row>
    <row r="3858" spans="1:6" ht="25.5">
      <c r="A3858" s="2">
        <v>3855</v>
      </c>
      <c r="B3858" s="2" t="s">
        <v>3934</v>
      </c>
      <c r="C3858" s="2" t="str">
        <f>"00955108"</f>
        <v>00955108</v>
      </c>
      <c r="D3858" s="2">
        <v>1.0960000000000001</v>
      </c>
      <c r="E3858" s="2">
        <v>48</v>
      </c>
      <c r="F3858" s="2" t="s">
        <v>16</v>
      </c>
    </row>
    <row r="3859" spans="1:6" ht="25.5">
      <c r="A3859" s="2">
        <v>3856</v>
      </c>
      <c r="B3859" s="2" t="s">
        <v>3935</v>
      </c>
      <c r="C3859" s="2" t="str">
        <f>"00941298"</f>
        <v>00941298</v>
      </c>
      <c r="D3859" s="2">
        <v>0.82099999999999995</v>
      </c>
      <c r="E3859" s="2">
        <v>41</v>
      </c>
      <c r="F3859" s="2" t="s">
        <v>16</v>
      </c>
    </row>
    <row r="3860" spans="1:6" ht="25.5">
      <c r="A3860" s="2">
        <v>3857</v>
      </c>
      <c r="B3860" s="2" t="s">
        <v>3936</v>
      </c>
      <c r="C3860" s="2" t="str">
        <f>"08918422"</f>
        <v>08918422</v>
      </c>
      <c r="D3860" s="2">
        <v>0.40100000000000002</v>
      </c>
      <c r="E3860" s="2">
        <v>21</v>
      </c>
      <c r="F3860" s="2" t="s">
        <v>16</v>
      </c>
    </row>
    <row r="3861" spans="1:6" ht="25.5">
      <c r="A3861" s="2">
        <v>3858</v>
      </c>
      <c r="B3861" s="2" t="s">
        <v>3937</v>
      </c>
      <c r="C3861" s="2" t="str">
        <f>"02785919"</f>
        <v>02785919</v>
      </c>
      <c r="D3861" s="2">
        <v>0.88300000000000001</v>
      </c>
      <c r="E3861" s="2">
        <v>47</v>
      </c>
      <c r="F3861" s="2" t="s">
        <v>16</v>
      </c>
    </row>
    <row r="3862" spans="1:6" ht="25.5">
      <c r="A3862" s="2">
        <v>3859</v>
      </c>
      <c r="B3862" s="2" t="s">
        <v>3938</v>
      </c>
      <c r="C3862" s="2" t="str">
        <f>"17762790"</f>
        <v>17762790</v>
      </c>
      <c r="D3862" s="2">
        <v>0.11799999999999999</v>
      </c>
      <c r="E3862" s="2">
        <v>4</v>
      </c>
      <c r="F3862" s="2" t="s">
        <v>66</v>
      </c>
    </row>
    <row r="3863" spans="1:6" ht="25.5">
      <c r="A3863" s="2">
        <v>3860</v>
      </c>
      <c r="B3863" s="2" t="s">
        <v>3939</v>
      </c>
      <c r="C3863" s="2" t="str">
        <f>"08842043"</f>
        <v>08842043</v>
      </c>
      <c r="D3863" s="2">
        <v>0.10100000000000001</v>
      </c>
      <c r="E3863" s="2">
        <v>3</v>
      </c>
      <c r="F3863" s="2" t="s">
        <v>6</v>
      </c>
    </row>
    <row r="3864" spans="1:6" ht="25.5">
      <c r="A3864" s="2">
        <v>3861</v>
      </c>
      <c r="B3864" s="2" t="s">
        <v>3940</v>
      </c>
      <c r="C3864" s="2" t="str">
        <f>"17775299"</f>
        <v>17775299</v>
      </c>
      <c r="D3864" s="2">
        <v>0.17799999999999999</v>
      </c>
      <c r="E3864" s="2">
        <v>2</v>
      </c>
      <c r="F3864" s="2" t="s">
        <v>66</v>
      </c>
    </row>
    <row r="3865" spans="1:6" ht="25.5">
      <c r="A3865" s="2">
        <v>3862</v>
      </c>
      <c r="B3865" s="2" t="s">
        <v>3941</v>
      </c>
      <c r="C3865" s="2" t="str">
        <f>"18632513"</f>
        <v>18632513</v>
      </c>
      <c r="D3865" s="2">
        <v>0.96099999999999997</v>
      </c>
      <c r="E3865" s="2">
        <v>6</v>
      </c>
      <c r="F3865" s="2" t="s">
        <v>12</v>
      </c>
    </row>
    <row r="3866" spans="1:6" ht="25.5">
      <c r="A3866" s="2">
        <v>3863</v>
      </c>
      <c r="B3866" s="2" t="s">
        <v>3942</v>
      </c>
      <c r="C3866" s="2" t="str">
        <f>"0887302X"</f>
        <v>0887302X</v>
      </c>
      <c r="D3866" s="2">
        <v>0.44600000000000001</v>
      </c>
      <c r="E3866" s="2">
        <v>16</v>
      </c>
      <c r="F3866" s="2" t="s">
        <v>6</v>
      </c>
    </row>
    <row r="3867" spans="1:6" ht="25.5">
      <c r="A3867" s="2">
        <v>3864</v>
      </c>
      <c r="B3867" s="2" t="s">
        <v>3943</v>
      </c>
      <c r="C3867" s="2" t="str">
        <f>"13867857"</f>
        <v>13867857</v>
      </c>
      <c r="D3867" s="2">
        <v>0.45800000000000002</v>
      </c>
      <c r="E3867" s="2">
        <v>18</v>
      </c>
      <c r="F3867" s="2" t="s">
        <v>75</v>
      </c>
    </row>
    <row r="3868" spans="1:6" ht="25.5">
      <c r="A3868" s="2">
        <v>3865</v>
      </c>
      <c r="B3868" s="2" t="s">
        <v>3944</v>
      </c>
      <c r="C3868" s="2" t="str">
        <f>"10166742"</f>
        <v>10166742</v>
      </c>
      <c r="D3868" s="2">
        <v>0.1</v>
      </c>
      <c r="E3868" s="2">
        <v>1</v>
      </c>
      <c r="F3868" s="2" t="s">
        <v>410</v>
      </c>
    </row>
    <row r="3869" spans="1:6" ht="25.5">
      <c r="A3869" s="2">
        <v>3866</v>
      </c>
      <c r="B3869" s="2" t="s">
        <v>3945</v>
      </c>
      <c r="C3869" s="2" t="str">
        <f>"14751453"</f>
        <v>14751453</v>
      </c>
      <c r="D3869" s="2">
        <v>0.105</v>
      </c>
      <c r="E3869" s="2">
        <v>3</v>
      </c>
      <c r="F3869" s="2" t="s">
        <v>16</v>
      </c>
    </row>
    <row r="3870" spans="1:6" ht="25.5">
      <c r="A3870" s="2">
        <v>3867</v>
      </c>
      <c r="B3870" s="2" t="s">
        <v>3946</v>
      </c>
      <c r="C3870" s="2" t="str">
        <f>"15261506"</f>
        <v>15261506</v>
      </c>
      <c r="D3870" s="2">
        <v>0.67700000000000005</v>
      </c>
      <c r="E3870" s="2">
        <v>42</v>
      </c>
      <c r="F3870" s="2" t="s">
        <v>6</v>
      </c>
    </row>
    <row r="3871" spans="1:6" ht="25.5">
      <c r="A3871" s="2">
        <v>3868</v>
      </c>
      <c r="B3871" s="2" t="s">
        <v>3947</v>
      </c>
      <c r="C3871" s="2" t="str">
        <f>"18715273"</f>
        <v>18715273</v>
      </c>
      <c r="D3871" s="2">
        <v>1.2030000000000001</v>
      </c>
      <c r="E3871" s="2">
        <v>56</v>
      </c>
      <c r="F3871" s="2" t="s">
        <v>75</v>
      </c>
    </row>
    <row r="3872" spans="1:6" ht="25.5">
      <c r="A3872" s="2">
        <v>3869</v>
      </c>
      <c r="B3872" s="2" t="s">
        <v>3948</v>
      </c>
      <c r="C3872" s="2" t="str">
        <f>"11727047"</f>
        <v>11727047</v>
      </c>
      <c r="D3872" s="2">
        <v>1.556</v>
      </c>
      <c r="E3872" s="2">
        <v>68</v>
      </c>
      <c r="F3872" s="2" t="s">
        <v>16</v>
      </c>
    </row>
    <row r="3873" spans="1:6" ht="25.5">
      <c r="A3873" s="2">
        <v>3870</v>
      </c>
      <c r="B3873" s="2" t="s">
        <v>3949</v>
      </c>
      <c r="C3873" s="2" t="str">
        <f>"17555949"</f>
        <v>17555949</v>
      </c>
      <c r="D3873" s="2">
        <v>1.306</v>
      </c>
      <c r="E3873" s="2">
        <v>22</v>
      </c>
      <c r="F3873" s="2" t="s">
        <v>16</v>
      </c>
    </row>
    <row r="3874" spans="1:6" ht="25.5">
      <c r="A3874" s="2">
        <v>3871</v>
      </c>
      <c r="B3874" s="2" t="s">
        <v>3950</v>
      </c>
      <c r="C3874" s="2" t="str">
        <f>"10928529"</f>
        <v>10928529</v>
      </c>
      <c r="D3874" s="2">
        <v>0.77100000000000002</v>
      </c>
      <c r="E3874" s="2">
        <v>44</v>
      </c>
      <c r="F3874" s="2" t="s">
        <v>6</v>
      </c>
    </row>
    <row r="3875" spans="1:6" ht="25.5">
      <c r="A3875" s="2">
        <v>3872</v>
      </c>
      <c r="B3875" s="2" t="s">
        <v>3951</v>
      </c>
      <c r="C3875" s="2" t="str">
        <f>"03783839"</f>
        <v>03783839</v>
      </c>
      <c r="D3875" s="2">
        <v>1.292</v>
      </c>
      <c r="E3875" s="2">
        <v>56</v>
      </c>
      <c r="F3875" s="2" t="s">
        <v>75</v>
      </c>
    </row>
    <row r="3876" spans="1:6" ht="25.5">
      <c r="A3876" s="2">
        <v>3873</v>
      </c>
      <c r="B3876" s="2" t="s">
        <v>3952</v>
      </c>
      <c r="C3876" s="2" t="str">
        <f>"05785634"</f>
        <v>05785634</v>
      </c>
      <c r="D3876" s="2">
        <v>0.48299999999999998</v>
      </c>
      <c r="E3876" s="2">
        <v>19</v>
      </c>
      <c r="F3876" s="2" t="s">
        <v>543</v>
      </c>
    </row>
    <row r="3877" spans="1:6" ht="25.5">
      <c r="A3877" s="2">
        <v>3874</v>
      </c>
      <c r="B3877" s="2" t="s">
        <v>3953</v>
      </c>
      <c r="C3877" s="2" t="str">
        <f>"08920753"</f>
        <v>08920753</v>
      </c>
      <c r="D3877" s="2">
        <v>0.47299999999999998</v>
      </c>
      <c r="E3877" s="2">
        <v>26</v>
      </c>
      <c r="F3877" s="2" t="s">
        <v>16</v>
      </c>
    </row>
    <row r="3878" spans="1:6" ht="25.5">
      <c r="A3878" s="2">
        <v>3875</v>
      </c>
      <c r="B3878" s="2" t="s">
        <v>3954</v>
      </c>
      <c r="C3878" s="2" t="str">
        <f>"17547628"</f>
        <v>17547628</v>
      </c>
      <c r="D3878" s="2">
        <v>0.32800000000000001</v>
      </c>
      <c r="E3878" s="2">
        <v>12</v>
      </c>
      <c r="F3878" s="2" t="s">
        <v>16</v>
      </c>
    </row>
    <row r="3879" spans="1:6" ht="25.5">
      <c r="A3879" s="2">
        <v>3876</v>
      </c>
      <c r="B3879" s="2" t="s">
        <v>3955</v>
      </c>
      <c r="C3879" s="2" t="str">
        <f>"1469493X"</f>
        <v>1469493X</v>
      </c>
      <c r="D3879" s="2">
        <v>0.77500000000000002</v>
      </c>
      <c r="E3879" s="2">
        <v>88</v>
      </c>
      <c r="F3879" s="2" t="s">
        <v>16</v>
      </c>
    </row>
    <row r="3880" spans="1:6" ht="25.5">
      <c r="A3880" s="2">
        <v>3877</v>
      </c>
      <c r="B3880" s="2" t="s">
        <v>3956</v>
      </c>
      <c r="C3880" s="2" t="str">
        <f>"13085271"</f>
        <v>13085271</v>
      </c>
      <c r="D3880" s="2">
        <v>0.154</v>
      </c>
      <c r="E3880" s="2">
        <v>3</v>
      </c>
      <c r="F3880" s="2" t="s">
        <v>345</v>
      </c>
    </row>
    <row r="3881" spans="1:6" ht="25.5">
      <c r="A3881" s="2">
        <v>3878</v>
      </c>
      <c r="B3881" s="2" t="s">
        <v>3957</v>
      </c>
      <c r="C3881" s="2" t="str">
        <f>"00100161"</f>
        <v>00100161</v>
      </c>
      <c r="D3881" s="2">
        <v>0.13200000000000001</v>
      </c>
      <c r="E3881" s="2">
        <v>7</v>
      </c>
      <c r="F3881" s="2" t="s">
        <v>345</v>
      </c>
    </row>
    <row r="3882" spans="1:6" ht="25.5">
      <c r="A3882" s="2">
        <v>3879</v>
      </c>
      <c r="B3882" s="2" t="s">
        <v>3958</v>
      </c>
      <c r="C3882" s="2" t="str">
        <f>"18096875"</f>
        <v>18096875</v>
      </c>
      <c r="D3882" s="2">
        <v>0.40600000000000003</v>
      </c>
      <c r="E3882" s="2">
        <v>3</v>
      </c>
      <c r="F3882" s="2" t="s">
        <v>159</v>
      </c>
    </row>
    <row r="3883" spans="1:6" ht="25.5">
      <c r="A3883" s="2">
        <v>3880</v>
      </c>
      <c r="B3883" s="2" t="s">
        <v>3959</v>
      </c>
      <c r="C3883" s="2" t="str">
        <f>"00100277"</f>
        <v>00100277</v>
      </c>
      <c r="D3883" s="2">
        <v>2.4910000000000001</v>
      </c>
      <c r="E3883" s="2">
        <v>104</v>
      </c>
      <c r="F3883" s="2" t="s">
        <v>75</v>
      </c>
    </row>
    <row r="3884" spans="1:6" ht="25.5">
      <c r="A3884" s="2">
        <v>3881</v>
      </c>
      <c r="B3884" s="2" t="s">
        <v>3960</v>
      </c>
      <c r="C3884" s="2" t="str">
        <f>"14640600"</f>
        <v>14640600</v>
      </c>
      <c r="D3884" s="2">
        <v>1.3480000000000001</v>
      </c>
      <c r="E3884" s="2">
        <v>71</v>
      </c>
      <c r="F3884" s="2" t="s">
        <v>16</v>
      </c>
    </row>
    <row r="3885" spans="1:6" ht="25.5">
      <c r="A3885" s="2">
        <v>3882</v>
      </c>
      <c r="B3885" s="2" t="s">
        <v>3961</v>
      </c>
      <c r="C3885" s="2" t="str">
        <f>"1532690X"</f>
        <v>1532690X</v>
      </c>
      <c r="D3885" s="2">
        <v>1.3149999999999999</v>
      </c>
      <c r="E3885" s="2">
        <v>43</v>
      </c>
      <c r="F3885" s="2" t="s">
        <v>16</v>
      </c>
    </row>
    <row r="3886" spans="1:6" ht="25.5">
      <c r="A3886" s="2">
        <v>3883</v>
      </c>
      <c r="B3886" s="2" t="s">
        <v>3962</v>
      </c>
      <c r="C3886" s="2" t="str">
        <f>"12248398"</f>
        <v>12248398</v>
      </c>
      <c r="D3886" s="2">
        <v>0</v>
      </c>
      <c r="E3886" s="2">
        <v>0</v>
      </c>
      <c r="F3886" s="2" t="s">
        <v>19</v>
      </c>
    </row>
    <row r="3887" spans="1:6" ht="25.5">
      <c r="A3887" s="2">
        <v>3884</v>
      </c>
      <c r="B3887" s="2" t="s">
        <v>3963</v>
      </c>
      <c r="C3887" s="2" t="str">
        <f>"14355566"</f>
        <v>14355566</v>
      </c>
      <c r="D3887" s="2">
        <v>0.38</v>
      </c>
      <c r="E3887" s="2">
        <v>12</v>
      </c>
      <c r="F3887" s="2" t="s">
        <v>16</v>
      </c>
    </row>
    <row r="3888" spans="1:6" ht="25.5">
      <c r="A3888" s="2">
        <v>3885</v>
      </c>
      <c r="B3888" s="2" t="s">
        <v>3964</v>
      </c>
      <c r="C3888" s="2" t="str">
        <f>"1531135X"</f>
        <v>1531135X</v>
      </c>
      <c r="D3888" s="2">
        <v>2.3140000000000001</v>
      </c>
      <c r="E3888" s="2">
        <v>60</v>
      </c>
      <c r="F3888" s="2" t="s">
        <v>6</v>
      </c>
    </row>
    <row r="3889" spans="1:6" ht="25.5">
      <c r="A3889" s="2">
        <v>3886</v>
      </c>
      <c r="B3889" s="2" t="s">
        <v>3965</v>
      </c>
      <c r="C3889" s="2" t="str">
        <f>"15433641"</f>
        <v>15433641</v>
      </c>
      <c r="D3889" s="2">
        <v>0.57999999999999996</v>
      </c>
      <c r="E3889" s="2">
        <v>43</v>
      </c>
      <c r="F3889" s="2" t="s">
        <v>6</v>
      </c>
    </row>
    <row r="3890" spans="1:6" ht="25.5">
      <c r="A3890" s="2">
        <v>3887</v>
      </c>
      <c r="B3890" s="2" t="s">
        <v>3966</v>
      </c>
      <c r="C3890" s="2" t="str">
        <f>"10777229"</f>
        <v>10777229</v>
      </c>
      <c r="D3890" s="2">
        <v>0.71299999999999997</v>
      </c>
      <c r="E3890" s="2">
        <v>29</v>
      </c>
      <c r="F3890" s="2" t="s">
        <v>6</v>
      </c>
    </row>
    <row r="3891" spans="1:6" ht="25.5">
      <c r="A3891" s="2">
        <v>3888</v>
      </c>
      <c r="B3891" s="2" t="s">
        <v>3967</v>
      </c>
      <c r="C3891" s="2" t="str">
        <f>"16512316"</f>
        <v>16512316</v>
      </c>
      <c r="D3891" s="2">
        <v>1.1180000000000001</v>
      </c>
      <c r="E3891" s="2">
        <v>28</v>
      </c>
      <c r="F3891" s="2" t="s">
        <v>151</v>
      </c>
    </row>
    <row r="3892" spans="1:6" ht="25.5">
      <c r="A3892" s="2">
        <v>3889</v>
      </c>
      <c r="B3892" s="2" t="s">
        <v>3968</v>
      </c>
      <c r="C3892" s="2" t="str">
        <f>"18669964"</f>
        <v>18669964</v>
      </c>
      <c r="D3892" s="2">
        <v>0.48499999999999999</v>
      </c>
      <c r="E3892" s="2">
        <v>11</v>
      </c>
      <c r="F3892" s="2" t="s">
        <v>6</v>
      </c>
    </row>
    <row r="3893" spans="1:6" ht="25.5">
      <c r="A3893" s="2">
        <v>3890</v>
      </c>
      <c r="B3893" s="2" t="s">
        <v>3969</v>
      </c>
      <c r="C3893" s="2" t="str">
        <f>"08852014"</f>
        <v>08852014</v>
      </c>
      <c r="D3893" s="2">
        <v>1.06</v>
      </c>
      <c r="E3893" s="2">
        <v>43</v>
      </c>
      <c r="F3893" s="2" t="s">
        <v>16</v>
      </c>
    </row>
    <row r="3894" spans="1:6" ht="25.5">
      <c r="A3894" s="2">
        <v>3891</v>
      </c>
      <c r="B3894" s="2" t="s">
        <v>3970</v>
      </c>
      <c r="C3894" s="2" t="str">
        <f>"09365907"</f>
        <v>09365907</v>
      </c>
      <c r="D3894" s="2">
        <v>0.84599999999999997</v>
      </c>
      <c r="E3894" s="2">
        <v>15</v>
      </c>
      <c r="F3894" s="2" t="s">
        <v>12</v>
      </c>
    </row>
    <row r="3895" spans="1:6" ht="25.5">
      <c r="A3895" s="2">
        <v>3892</v>
      </c>
      <c r="B3895" s="2" t="s">
        <v>3971</v>
      </c>
      <c r="C3895" s="2" t="str">
        <f>"18714099"</f>
        <v>18714099</v>
      </c>
      <c r="D3895" s="2">
        <v>0.57499999999999996</v>
      </c>
      <c r="E3895" s="2">
        <v>15</v>
      </c>
      <c r="F3895" s="2" t="s">
        <v>75</v>
      </c>
    </row>
    <row r="3896" spans="1:6" ht="25.5">
      <c r="A3896" s="2">
        <v>3893</v>
      </c>
      <c r="B3896" s="2" t="s">
        <v>3972</v>
      </c>
      <c r="C3896" s="2" t="str">
        <f>"14640619"</f>
        <v>14640619</v>
      </c>
      <c r="D3896" s="2">
        <v>1.1200000000000001</v>
      </c>
      <c r="E3896" s="2">
        <v>35</v>
      </c>
      <c r="F3896" s="2" t="s">
        <v>16</v>
      </c>
    </row>
    <row r="3897" spans="1:6" ht="25.5">
      <c r="A3897" s="2">
        <v>3894</v>
      </c>
      <c r="B3897" s="2" t="s">
        <v>3973</v>
      </c>
      <c r="C3897" s="2" t="str">
        <f>"14640627"</f>
        <v>14640627</v>
      </c>
      <c r="D3897" s="2">
        <v>0.93200000000000005</v>
      </c>
      <c r="E3897" s="2">
        <v>59</v>
      </c>
      <c r="F3897" s="2" t="s">
        <v>16</v>
      </c>
    </row>
    <row r="3898" spans="1:6" ht="25.5">
      <c r="A3898" s="2">
        <v>3895</v>
      </c>
      <c r="B3898" s="2" t="s">
        <v>3974</v>
      </c>
      <c r="C3898" s="2" t="str">
        <f>"17588936"</f>
        <v>17588936</v>
      </c>
      <c r="D3898" s="2">
        <v>1.1819999999999999</v>
      </c>
      <c r="E3898" s="2">
        <v>8</v>
      </c>
      <c r="F3898" s="2" t="s">
        <v>16</v>
      </c>
    </row>
    <row r="3899" spans="1:6" ht="25.5">
      <c r="A3899" s="2">
        <v>3896</v>
      </c>
      <c r="B3899" s="2" t="s">
        <v>3975</v>
      </c>
      <c r="C3899" s="2" t="str">
        <f>"16124790"</f>
        <v>16124790</v>
      </c>
      <c r="D3899" s="2">
        <v>0.43</v>
      </c>
      <c r="E3899" s="2">
        <v>18</v>
      </c>
      <c r="F3899" s="2" t="s">
        <v>12</v>
      </c>
    </row>
    <row r="3900" spans="1:6" ht="25.5">
      <c r="A3900" s="2">
        <v>3897</v>
      </c>
      <c r="B3900" s="2" t="s">
        <v>3976</v>
      </c>
      <c r="C3900" s="2" t="str">
        <f>"10955623"</f>
        <v>10955623</v>
      </c>
      <c r="D3900" s="2">
        <v>3.64</v>
      </c>
      <c r="E3900" s="2">
        <v>69</v>
      </c>
      <c r="F3900" s="2" t="s">
        <v>6</v>
      </c>
    </row>
    <row r="3901" spans="1:6" ht="25.5">
      <c r="A3901" s="2">
        <v>3898</v>
      </c>
      <c r="B3901" s="2" t="s">
        <v>3977</v>
      </c>
      <c r="C3901" s="2" t="str">
        <f>"03640213"</f>
        <v>03640213</v>
      </c>
      <c r="D3901" s="2">
        <v>1.4179999999999999</v>
      </c>
      <c r="E3901" s="2">
        <v>61</v>
      </c>
      <c r="F3901" s="2" t="s">
        <v>6</v>
      </c>
    </row>
    <row r="3902" spans="1:6" ht="25.5">
      <c r="A3902" s="2">
        <v>3899</v>
      </c>
      <c r="B3902" s="2" t="s">
        <v>3978</v>
      </c>
      <c r="C3902" s="2" t="str">
        <f>"13890417"</f>
        <v>13890417</v>
      </c>
      <c r="D3902" s="2">
        <v>0.78900000000000003</v>
      </c>
      <c r="E3902" s="2">
        <v>25</v>
      </c>
      <c r="F3902" s="2" t="s">
        <v>75</v>
      </c>
    </row>
    <row r="3903" spans="1:6" ht="25.5">
      <c r="A3903" s="2">
        <v>3900</v>
      </c>
      <c r="B3903" s="2" t="s">
        <v>3979</v>
      </c>
      <c r="C3903" s="2" t="str">
        <f>"16112482"</f>
        <v>16112482</v>
      </c>
      <c r="D3903" s="2">
        <v>0.10100000000000001</v>
      </c>
      <c r="E3903" s="2">
        <v>2</v>
      </c>
      <c r="F3903" s="2" t="s">
        <v>12</v>
      </c>
    </row>
    <row r="3904" spans="1:6" ht="25.5">
      <c r="A3904" s="2">
        <v>3901</v>
      </c>
      <c r="B3904" s="2" t="s">
        <v>3980</v>
      </c>
      <c r="C3904" s="2" t="str">
        <f>"15732819"</f>
        <v>15732819</v>
      </c>
      <c r="D3904" s="2">
        <v>1.0049999999999999</v>
      </c>
      <c r="E3904" s="2">
        <v>58</v>
      </c>
      <c r="F3904" s="2" t="s">
        <v>6</v>
      </c>
    </row>
    <row r="3905" spans="1:6" ht="25.5">
      <c r="A3905" s="2">
        <v>3902</v>
      </c>
      <c r="B3905" s="2" t="s">
        <v>3981</v>
      </c>
      <c r="C3905" s="2" t="str">
        <f>"19348398"</f>
        <v>19348398</v>
      </c>
      <c r="D3905" s="2">
        <v>0.112</v>
      </c>
      <c r="E3905" s="2">
        <v>2</v>
      </c>
      <c r="F3905" s="2" t="s">
        <v>12</v>
      </c>
    </row>
    <row r="3906" spans="1:6" ht="25.5">
      <c r="A3906" s="2">
        <v>3903</v>
      </c>
      <c r="B3906" s="2" t="s">
        <v>3982</v>
      </c>
      <c r="C3906" s="2" t="str">
        <f>"0165232X"</f>
        <v>0165232X</v>
      </c>
      <c r="D3906" s="2">
        <v>0.56000000000000005</v>
      </c>
      <c r="E3906" s="2">
        <v>34</v>
      </c>
      <c r="F3906" s="2" t="s">
        <v>75</v>
      </c>
    </row>
    <row r="3907" spans="1:6" ht="25.5">
      <c r="A3907" s="2">
        <v>3904</v>
      </c>
      <c r="B3907" s="2" t="s">
        <v>3983</v>
      </c>
      <c r="C3907" s="2" t="str">
        <f>"19430264"</f>
        <v>19430264</v>
      </c>
      <c r="D3907" s="2">
        <v>4.234</v>
      </c>
      <c r="E3907" s="2">
        <v>38</v>
      </c>
      <c r="F3907" s="2" t="s">
        <v>6</v>
      </c>
    </row>
    <row r="3908" spans="1:6" ht="25.5">
      <c r="A3908" s="2">
        <v>3905</v>
      </c>
      <c r="B3908" s="2" t="s">
        <v>3984</v>
      </c>
      <c r="C3908" s="2" t="str">
        <f>"15596095"</f>
        <v>15596095</v>
      </c>
      <c r="D3908" s="2">
        <v>0.56999999999999995</v>
      </c>
      <c r="E3908" s="2">
        <v>13</v>
      </c>
      <c r="F3908" s="2" t="s">
        <v>6</v>
      </c>
    </row>
    <row r="3909" spans="1:6" ht="25.5">
      <c r="A3909" s="2">
        <v>3906</v>
      </c>
      <c r="B3909" s="2" t="s">
        <v>3985</v>
      </c>
      <c r="C3909" s="2" t="str">
        <f>"00917451"</f>
        <v>00917451</v>
      </c>
      <c r="D3909" s="2">
        <v>1.8280000000000001</v>
      </c>
      <c r="E3909" s="2">
        <v>50</v>
      </c>
      <c r="F3909" s="2" t="s">
        <v>6</v>
      </c>
    </row>
    <row r="3910" spans="1:6" ht="25.5">
      <c r="A3910" s="2">
        <v>3907</v>
      </c>
      <c r="B3910" s="2" t="s">
        <v>3986</v>
      </c>
      <c r="C3910" s="2" t="str">
        <f>"14682745"</f>
        <v>14682745</v>
      </c>
      <c r="D3910" s="2">
        <v>0.16500000000000001</v>
      </c>
      <c r="E3910" s="2">
        <v>5</v>
      </c>
      <c r="F3910" s="2" t="s">
        <v>16</v>
      </c>
    </row>
    <row r="3911" spans="1:6" ht="25.5">
      <c r="A3911" s="2">
        <v>3908</v>
      </c>
      <c r="B3911" s="2" t="s">
        <v>3987</v>
      </c>
      <c r="C3911" s="2" t="str">
        <f>"0010065X"</f>
        <v>0010065X</v>
      </c>
      <c r="D3911" s="2">
        <v>0.34399999999999997</v>
      </c>
      <c r="E3911" s="2">
        <v>14</v>
      </c>
      <c r="F3911" s="2" t="s">
        <v>6</v>
      </c>
    </row>
    <row r="3912" spans="1:6" ht="25.5">
      <c r="A3912" s="2">
        <v>3909</v>
      </c>
      <c r="B3912" s="2" t="s">
        <v>3988</v>
      </c>
      <c r="C3912" s="2" t="str">
        <f>"19891067"</f>
        <v>19891067</v>
      </c>
      <c r="D3912" s="2">
        <v>0</v>
      </c>
      <c r="E3912" s="2">
        <v>0</v>
      </c>
      <c r="F3912" s="2" t="s">
        <v>351</v>
      </c>
    </row>
    <row r="3913" spans="1:6" ht="25.5">
      <c r="A3913" s="2">
        <v>3910</v>
      </c>
      <c r="B3913" s="2" t="s">
        <v>3989</v>
      </c>
      <c r="C3913" s="2" t="str">
        <f>"00100757"</f>
        <v>00100757</v>
      </c>
      <c r="D3913" s="2">
        <v>0.58599999999999997</v>
      </c>
      <c r="E3913" s="2">
        <v>7</v>
      </c>
      <c r="F3913" s="2" t="s">
        <v>190</v>
      </c>
    </row>
    <row r="3914" spans="1:6" ht="25.5">
      <c r="A3914" s="2">
        <v>3911</v>
      </c>
      <c r="B3914" s="2" t="s">
        <v>3990</v>
      </c>
      <c r="C3914" s="2" t="str">
        <f>"01376985"</f>
        <v>01376985</v>
      </c>
      <c r="D3914" s="2">
        <v>0</v>
      </c>
      <c r="E3914" s="2">
        <v>0</v>
      </c>
      <c r="F3914" s="2" t="s">
        <v>169</v>
      </c>
    </row>
    <row r="3915" spans="1:6" ht="25.5">
      <c r="A3915" s="2">
        <v>3912</v>
      </c>
      <c r="B3915" s="2" t="s">
        <v>3991</v>
      </c>
      <c r="C3915" s="2" t="str">
        <f>"01604953"</f>
        <v>01604953</v>
      </c>
      <c r="D3915" s="2">
        <v>0.433</v>
      </c>
      <c r="E3915" s="2">
        <v>8</v>
      </c>
      <c r="F3915" s="2" t="s">
        <v>16</v>
      </c>
    </row>
    <row r="3916" spans="1:6" ht="25.5">
      <c r="A3916" s="2">
        <v>3913</v>
      </c>
      <c r="B3916" s="2" t="s">
        <v>3992</v>
      </c>
      <c r="C3916" s="2" t="str">
        <f>"15452549"</f>
        <v>15452549</v>
      </c>
      <c r="D3916" s="2">
        <v>1.262</v>
      </c>
      <c r="E3916" s="2">
        <v>8</v>
      </c>
      <c r="F3916" s="2" t="s">
        <v>16</v>
      </c>
    </row>
    <row r="3917" spans="1:6" ht="25.5">
      <c r="A3917" s="2">
        <v>3914</v>
      </c>
      <c r="B3917" s="2" t="s">
        <v>3993</v>
      </c>
      <c r="C3917" s="2" t="str">
        <f>"02734508"</f>
        <v>02734508</v>
      </c>
      <c r="D3917" s="2">
        <v>0.1</v>
      </c>
      <c r="E3917" s="2">
        <v>14</v>
      </c>
      <c r="F3917" s="2" t="s">
        <v>6</v>
      </c>
    </row>
    <row r="3918" spans="1:6" ht="25.5">
      <c r="A3918" s="2">
        <v>3915</v>
      </c>
      <c r="B3918" s="2" t="s">
        <v>3994</v>
      </c>
      <c r="C3918" s="2" t="str">
        <f>"00100870"</f>
        <v>00100870</v>
      </c>
      <c r="D3918" s="2">
        <v>2.2330000000000001</v>
      </c>
      <c r="E3918" s="2">
        <v>28</v>
      </c>
      <c r="F3918" s="2" t="s">
        <v>6</v>
      </c>
    </row>
    <row r="3919" spans="1:6" ht="25.5">
      <c r="A3919" s="2">
        <v>3916</v>
      </c>
      <c r="B3919" s="2" t="s">
        <v>3995</v>
      </c>
      <c r="C3919" s="2" t="str">
        <f>"00990086"</f>
        <v>00990086</v>
      </c>
      <c r="D3919" s="2">
        <v>0.67500000000000004</v>
      </c>
      <c r="E3919" s="2">
        <v>11</v>
      </c>
      <c r="F3919" s="2" t="s">
        <v>6</v>
      </c>
    </row>
    <row r="3920" spans="1:6" ht="25.5">
      <c r="A3920" s="2">
        <v>3917</v>
      </c>
      <c r="B3920" s="2" t="s">
        <v>3996</v>
      </c>
      <c r="C3920" s="2" t="str">
        <f>"15452530"</f>
        <v>15452530</v>
      </c>
      <c r="D3920" s="2">
        <v>0.33500000000000002</v>
      </c>
      <c r="E3920" s="2">
        <v>7</v>
      </c>
      <c r="F3920" s="2" t="s">
        <v>16</v>
      </c>
    </row>
    <row r="3921" spans="1:6" ht="25.5">
      <c r="A3921" s="2">
        <v>3918</v>
      </c>
      <c r="B3921" s="2" t="s">
        <v>3997</v>
      </c>
      <c r="C3921" s="2" t="str">
        <f>"0010096X"</f>
        <v>0010096X</v>
      </c>
      <c r="D3921" s="2">
        <v>0.35299999999999998</v>
      </c>
      <c r="E3921" s="2">
        <v>12</v>
      </c>
      <c r="F3921" s="2" t="s">
        <v>6</v>
      </c>
    </row>
    <row r="3922" spans="1:6" ht="25.5">
      <c r="A3922" s="2">
        <v>3919</v>
      </c>
      <c r="B3922" s="2" t="s">
        <v>3998</v>
      </c>
      <c r="C3922" s="2" t="str">
        <f>"00100994"</f>
        <v>00100994</v>
      </c>
      <c r="D3922" s="2">
        <v>0.28599999999999998</v>
      </c>
      <c r="E3922" s="2">
        <v>8</v>
      </c>
      <c r="F3922" s="2" t="s">
        <v>6</v>
      </c>
    </row>
    <row r="3923" spans="1:6" ht="25.5">
      <c r="A3923" s="2">
        <v>3920</v>
      </c>
      <c r="B3923" s="2" t="s">
        <v>3999</v>
      </c>
      <c r="C3923" s="2" t="str">
        <f>"15424286"</f>
        <v>15424286</v>
      </c>
      <c r="D3923" s="2">
        <v>0.10299999999999999</v>
      </c>
      <c r="E3923" s="2">
        <v>5</v>
      </c>
      <c r="F3923" s="2" t="s">
        <v>6</v>
      </c>
    </row>
    <row r="3924" spans="1:6" ht="25.5">
      <c r="A3924" s="2">
        <v>3921</v>
      </c>
      <c r="B3924" s="2" t="s">
        <v>4000</v>
      </c>
      <c r="C3924" s="2" t="str">
        <f>"07468342"</f>
        <v>07468342</v>
      </c>
      <c r="D3924" s="2">
        <v>0.20100000000000001</v>
      </c>
      <c r="E3924" s="2">
        <v>2</v>
      </c>
      <c r="F3924" s="2" t="s">
        <v>6</v>
      </c>
    </row>
    <row r="3925" spans="1:6" ht="25.5">
      <c r="A3925" s="2">
        <v>3922</v>
      </c>
      <c r="B3925" s="2" t="s">
        <v>4001</v>
      </c>
      <c r="C3925" s="2" t="str">
        <f>"13227696"</f>
        <v>13227696</v>
      </c>
      <c r="D3925" s="2">
        <v>0.53900000000000003</v>
      </c>
      <c r="E3925" s="2">
        <v>14</v>
      </c>
      <c r="F3925" s="2" t="s">
        <v>75</v>
      </c>
    </row>
    <row r="3926" spans="1:6" ht="25.5">
      <c r="A3926" s="2">
        <v>3923</v>
      </c>
      <c r="B3926" s="2" t="s">
        <v>4002</v>
      </c>
      <c r="C3926" s="2" t="str">
        <f>"15235955"</f>
        <v>15235955</v>
      </c>
      <c r="D3926" s="2">
        <v>0.112</v>
      </c>
      <c r="E3926" s="2">
        <v>1</v>
      </c>
      <c r="F3926" s="2" t="s">
        <v>6</v>
      </c>
    </row>
    <row r="3927" spans="1:6" ht="25.5">
      <c r="A3927" s="2">
        <v>3924</v>
      </c>
      <c r="B3927" s="2" t="s">
        <v>4003</v>
      </c>
      <c r="C3927" s="2" t="str">
        <f>"03506134"</f>
        <v>03506134</v>
      </c>
      <c r="D3927" s="2">
        <v>0.313</v>
      </c>
      <c r="E3927" s="2">
        <v>21</v>
      </c>
      <c r="F3927" s="2" t="s">
        <v>149</v>
      </c>
    </row>
    <row r="3928" spans="1:6" ht="25.5">
      <c r="A3928" s="2">
        <v>3925</v>
      </c>
      <c r="B3928" s="2" t="s">
        <v>4004</v>
      </c>
      <c r="C3928" s="2" t="str">
        <f>"14351536"</f>
        <v>14351536</v>
      </c>
      <c r="D3928" s="2">
        <v>0.77800000000000002</v>
      </c>
      <c r="E3928" s="2">
        <v>56</v>
      </c>
      <c r="F3928" s="2" t="s">
        <v>12</v>
      </c>
    </row>
    <row r="3929" spans="1:6" ht="25.5">
      <c r="A3929" s="2">
        <v>3926</v>
      </c>
      <c r="B3929" s="2" t="s">
        <v>4005</v>
      </c>
      <c r="C3929" s="2" t="str">
        <f>"16083067"</f>
        <v>16083067</v>
      </c>
      <c r="D3929" s="2">
        <v>0.20699999999999999</v>
      </c>
      <c r="E3929" s="2">
        <v>18</v>
      </c>
      <c r="F3929" s="2" t="s">
        <v>129</v>
      </c>
    </row>
    <row r="3930" spans="1:6" ht="25.5">
      <c r="A3930" s="2">
        <v>3927</v>
      </c>
      <c r="B3930" s="2" t="s">
        <v>4006</v>
      </c>
      <c r="C3930" s="2" t="str">
        <f>"09277757"</f>
        <v>09277757</v>
      </c>
      <c r="D3930" s="2">
        <v>0.752</v>
      </c>
      <c r="E3930" s="2">
        <v>89</v>
      </c>
      <c r="F3930" s="2" t="s">
        <v>75</v>
      </c>
    </row>
    <row r="3931" spans="1:6" ht="25.5">
      <c r="A3931" s="2">
        <v>3928</v>
      </c>
      <c r="B3931" s="2" t="s">
        <v>4007</v>
      </c>
      <c r="C3931" s="2" t="str">
        <f>"09277765"</f>
        <v>09277765</v>
      </c>
      <c r="D3931" s="2">
        <v>1.0680000000000001</v>
      </c>
      <c r="E3931" s="2">
        <v>65</v>
      </c>
      <c r="F3931" s="2" t="s">
        <v>75</v>
      </c>
    </row>
    <row r="3932" spans="1:6" ht="25.5">
      <c r="A3932" s="2">
        <v>3929</v>
      </c>
      <c r="B3932" s="2" t="s">
        <v>4008</v>
      </c>
      <c r="C3932" s="2" t="str">
        <f>"17306302"</f>
        <v>17306302</v>
      </c>
      <c r="D3932" s="2">
        <v>0.26200000000000001</v>
      </c>
      <c r="E3932" s="2">
        <v>2</v>
      </c>
      <c r="F3932" s="2" t="s">
        <v>169</v>
      </c>
    </row>
    <row r="3933" spans="1:6" ht="25.5">
      <c r="A3933" s="2">
        <v>3930</v>
      </c>
      <c r="B3933" s="2" t="s">
        <v>4009</v>
      </c>
      <c r="C3933" s="2" t="str">
        <f>"01215612"</f>
        <v>01215612</v>
      </c>
      <c r="D3933" s="2">
        <v>0.10199999999999999</v>
      </c>
      <c r="E3933" s="2">
        <v>1</v>
      </c>
      <c r="F3933" s="2" t="s">
        <v>184</v>
      </c>
    </row>
    <row r="3934" spans="1:6" ht="25.5">
      <c r="A3934" s="2">
        <v>3931</v>
      </c>
      <c r="B3934" s="2" t="s">
        <v>4010</v>
      </c>
      <c r="C3934" s="2" t="str">
        <f>"16579534"</f>
        <v>16579534</v>
      </c>
      <c r="D3934" s="2">
        <v>0.128</v>
      </c>
      <c r="E3934" s="2">
        <v>7</v>
      </c>
      <c r="F3934" s="2" t="s">
        <v>184</v>
      </c>
    </row>
    <row r="3935" spans="1:6" ht="25.5">
      <c r="A3935" s="2">
        <v>3932</v>
      </c>
      <c r="B3935" s="2" t="s">
        <v>4011</v>
      </c>
      <c r="C3935" s="2" t="str">
        <f>"1951638X"</f>
        <v>1951638X</v>
      </c>
      <c r="D3935" s="2">
        <v>0.1</v>
      </c>
      <c r="E3935" s="2">
        <v>2</v>
      </c>
      <c r="F3935" s="2" t="s">
        <v>66</v>
      </c>
    </row>
    <row r="3936" spans="1:6" ht="25.5">
      <c r="A3936" s="2">
        <v>3933</v>
      </c>
      <c r="B3936" s="2" t="s">
        <v>4012</v>
      </c>
      <c r="C3936" s="2" t="str">
        <f>"10635769"</f>
        <v>10635769</v>
      </c>
      <c r="D3936" s="2">
        <v>0</v>
      </c>
      <c r="E3936" s="2">
        <v>2</v>
      </c>
      <c r="F3936" s="2" t="s">
        <v>6</v>
      </c>
    </row>
    <row r="3937" spans="1:6" ht="25.5">
      <c r="A3937" s="2">
        <v>3934</v>
      </c>
      <c r="B3937" s="2" t="s">
        <v>4013</v>
      </c>
      <c r="C3937" s="2" t="str">
        <f>"10609164"</f>
        <v>10609164</v>
      </c>
      <c r="D3937" s="2">
        <v>0.16800000000000001</v>
      </c>
      <c r="E3937" s="2">
        <v>5</v>
      </c>
      <c r="F3937" s="2" t="s">
        <v>16</v>
      </c>
    </row>
    <row r="3938" spans="1:6" ht="25.5">
      <c r="A3938" s="2">
        <v>3935</v>
      </c>
      <c r="B3938" s="2" t="s">
        <v>4014</v>
      </c>
      <c r="C3938" s="2" t="str">
        <f>"16156730"</f>
        <v>16156730</v>
      </c>
      <c r="D3938" s="2">
        <v>0.11799999999999999</v>
      </c>
      <c r="E3938" s="2">
        <v>7</v>
      </c>
      <c r="F3938" s="2" t="s">
        <v>12</v>
      </c>
    </row>
    <row r="3939" spans="1:6" ht="25.5">
      <c r="A3939" s="2">
        <v>3936</v>
      </c>
      <c r="B3939" s="2" t="s">
        <v>4015</v>
      </c>
      <c r="C3939" s="2" t="str">
        <f>"00101451"</f>
        <v>00101451</v>
      </c>
      <c r="D3939" s="2">
        <v>0.1</v>
      </c>
      <c r="E3939" s="2">
        <v>1</v>
      </c>
      <c r="F3939" s="2" t="s">
        <v>306</v>
      </c>
    </row>
    <row r="3940" spans="1:6" ht="25.5">
      <c r="A3940" s="2">
        <v>3937</v>
      </c>
      <c r="B3940" s="2" t="s">
        <v>4016</v>
      </c>
      <c r="C3940" s="2" t="str">
        <f>"8750846X"</f>
        <v>8750846X</v>
      </c>
      <c r="D3940" s="2">
        <v>0.10100000000000001</v>
      </c>
      <c r="E3940" s="2">
        <v>1</v>
      </c>
      <c r="F3940" s="2" t="s">
        <v>6</v>
      </c>
    </row>
    <row r="3941" spans="1:6">
      <c r="A3941" s="2">
        <v>3938</v>
      </c>
      <c r="B3941" s="2" t="s">
        <v>4017</v>
      </c>
      <c r="C3941" s="2" t="str">
        <f>"0"</f>
        <v>0</v>
      </c>
      <c r="D3941" s="2">
        <v>0</v>
      </c>
      <c r="E3941" s="2">
        <v>0</v>
      </c>
      <c r="F3941" s="2" t="s">
        <v>6</v>
      </c>
    </row>
    <row r="3942" spans="1:6" ht="25.5">
      <c r="A3942" s="2">
        <v>3939</v>
      </c>
      <c r="B3942" s="2" t="s">
        <v>4018</v>
      </c>
      <c r="C3942" s="2" t="str">
        <f>"14784408"</f>
        <v>14784408</v>
      </c>
      <c r="D3942" s="2">
        <v>0.248</v>
      </c>
      <c r="E3942" s="2">
        <v>30</v>
      </c>
      <c r="F3942" s="2" t="s">
        <v>16</v>
      </c>
    </row>
    <row r="3943" spans="1:6" ht="25.5">
      <c r="A3943" s="2">
        <v>3940</v>
      </c>
      <c r="B3943" s="2" t="s">
        <v>4019</v>
      </c>
      <c r="C3943" s="2" t="str">
        <f>"14631318"</f>
        <v>14631318</v>
      </c>
      <c r="D3943" s="2">
        <v>0.93</v>
      </c>
      <c r="E3943" s="2">
        <v>46</v>
      </c>
      <c r="F3943" s="2" t="s">
        <v>16</v>
      </c>
    </row>
    <row r="3944" spans="1:6" ht="25.5">
      <c r="A3944" s="2">
        <v>3941</v>
      </c>
      <c r="B3944" s="2" t="s">
        <v>4020</v>
      </c>
      <c r="C3944" s="2" t="str">
        <f>"15206378"</f>
        <v>15206378</v>
      </c>
      <c r="D3944" s="2">
        <v>0.48299999999999998</v>
      </c>
      <c r="E3944" s="2">
        <v>39</v>
      </c>
      <c r="F3944" s="2" t="s">
        <v>6</v>
      </c>
    </row>
    <row r="3945" spans="1:6" ht="25.5">
      <c r="A3945" s="2">
        <v>3942</v>
      </c>
      <c r="B3945" s="2" t="s">
        <v>4021</v>
      </c>
      <c r="C3945" s="2" t="str">
        <f>"00101923"</f>
        <v>00101923</v>
      </c>
      <c r="D3945" s="2">
        <v>0.155</v>
      </c>
      <c r="E3945" s="2">
        <v>3</v>
      </c>
      <c r="F3945" s="2" t="s">
        <v>6</v>
      </c>
    </row>
    <row r="3946" spans="1:6" ht="25.5">
      <c r="A3946" s="2">
        <v>3943</v>
      </c>
      <c r="B3946" s="2" t="s">
        <v>4022</v>
      </c>
      <c r="C3946" s="2" t="str">
        <f>"00101958"</f>
        <v>00101958</v>
      </c>
      <c r="D3946" s="2">
        <v>1.9770000000000001</v>
      </c>
      <c r="E3946" s="2">
        <v>29</v>
      </c>
      <c r="F3946" s="2" t="s">
        <v>6</v>
      </c>
    </row>
    <row r="3947" spans="1:6" ht="25.5">
      <c r="A3947" s="2">
        <v>3944</v>
      </c>
      <c r="B3947" s="2" t="s">
        <v>4023</v>
      </c>
      <c r="C3947" s="2" t="str">
        <f>"18081851"</f>
        <v>18081851</v>
      </c>
      <c r="D3947" s="2">
        <v>0.128</v>
      </c>
      <c r="E3947" s="2">
        <v>3</v>
      </c>
      <c r="F3947" s="2" t="s">
        <v>159</v>
      </c>
    </row>
    <row r="3948" spans="1:6" ht="25.5">
      <c r="A3948" s="2">
        <v>3945</v>
      </c>
      <c r="B3948" s="2" t="s">
        <v>4024</v>
      </c>
      <c r="C3948" s="2" t="str">
        <f>"13862073"</f>
        <v>13862073</v>
      </c>
      <c r="D3948" s="2">
        <v>0.53200000000000003</v>
      </c>
      <c r="E3948" s="2">
        <v>42</v>
      </c>
      <c r="F3948" s="2" t="s">
        <v>75</v>
      </c>
    </row>
    <row r="3949" spans="1:6" ht="25.5">
      <c r="A3949" s="2">
        <v>3946</v>
      </c>
      <c r="B3949" s="2" t="s">
        <v>4025</v>
      </c>
      <c r="C3949" s="2" t="str">
        <f>"14396912"</f>
        <v>14396912</v>
      </c>
      <c r="D3949" s="2">
        <v>1.6259999999999999</v>
      </c>
      <c r="E3949" s="2">
        <v>30</v>
      </c>
      <c r="F3949" s="2" t="s">
        <v>135</v>
      </c>
    </row>
    <row r="3950" spans="1:6" ht="25.5">
      <c r="A3950" s="2">
        <v>3947</v>
      </c>
      <c r="B3950" s="2" t="s">
        <v>4026</v>
      </c>
      <c r="C3950" s="2" t="str">
        <f>"14692163"</f>
        <v>14692163</v>
      </c>
      <c r="D3950" s="2">
        <v>1.496</v>
      </c>
      <c r="E3950" s="2">
        <v>26</v>
      </c>
      <c r="F3950" s="2" t="s">
        <v>16</v>
      </c>
    </row>
    <row r="3951" spans="1:6" ht="25.5">
      <c r="A3951" s="2">
        <v>3948</v>
      </c>
      <c r="B3951" s="2" t="s">
        <v>4027</v>
      </c>
      <c r="C3951" s="2" t="str">
        <f>"00102180"</f>
        <v>00102180</v>
      </c>
      <c r="D3951" s="2">
        <v>1.1279999999999999</v>
      </c>
      <c r="E3951" s="2">
        <v>89</v>
      </c>
      <c r="F3951" s="2" t="s">
        <v>6</v>
      </c>
    </row>
    <row r="3952" spans="1:6" ht="25.5">
      <c r="A3952" s="2">
        <v>3949</v>
      </c>
      <c r="B3952" s="2" t="s">
        <v>4028</v>
      </c>
      <c r="C3952" s="2" t="str">
        <f>"15738345"</f>
        <v>15738345</v>
      </c>
      <c r="D3952" s="2">
        <v>0.24399999999999999</v>
      </c>
      <c r="E3952" s="2">
        <v>18</v>
      </c>
      <c r="F3952" s="2" t="s">
        <v>6</v>
      </c>
    </row>
    <row r="3953" spans="1:6" ht="25.5">
      <c r="A3953" s="2">
        <v>3950</v>
      </c>
      <c r="B3953" s="2" t="s">
        <v>4029</v>
      </c>
      <c r="C3953" s="2" t="str">
        <f>"1563521X"</f>
        <v>1563521X</v>
      </c>
      <c r="D3953" s="2">
        <v>0.36599999999999999</v>
      </c>
      <c r="E3953" s="2">
        <v>42</v>
      </c>
      <c r="F3953" s="2" t="s">
        <v>16</v>
      </c>
    </row>
    <row r="3954" spans="1:6" ht="25.5">
      <c r="A3954" s="2">
        <v>3951</v>
      </c>
      <c r="B3954" s="2" t="s">
        <v>4030</v>
      </c>
      <c r="C3954" s="2" t="str">
        <f>"13647830"</f>
        <v>13647830</v>
      </c>
      <c r="D3954" s="2">
        <v>0.55200000000000005</v>
      </c>
      <c r="E3954" s="2">
        <v>34</v>
      </c>
      <c r="F3954" s="2" t="s">
        <v>16</v>
      </c>
    </row>
    <row r="3955" spans="1:6" ht="25.5">
      <c r="A3955" s="2">
        <v>3952</v>
      </c>
      <c r="B3955" s="2" t="s">
        <v>4031</v>
      </c>
      <c r="C3955" s="2" t="str">
        <f>"14208946"</f>
        <v>14208946</v>
      </c>
      <c r="D3955" s="2">
        <v>2.02</v>
      </c>
      <c r="E3955" s="2">
        <v>26</v>
      </c>
      <c r="F3955" s="2" t="s">
        <v>31</v>
      </c>
    </row>
    <row r="3956" spans="1:6" ht="25.5">
      <c r="A3956" s="2">
        <v>3953</v>
      </c>
      <c r="B3956" s="2" t="s">
        <v>4032</v>
      </c>
      <c r="C3956" s="2" t="str">
        <f>"00102601"</f>
        <v>00102601</v>
      </c>
      <c r="D3956" s="2">
        <v>0.10199999999999999</v>
      </c>
      <c r="E3956" s="2">
        <v>4</v>
      </c>
      <c r="F3956" s="2" t="s">
        <v>6</v>
      </c>
    </row>
    <row r="3957" spans="1:6" ht="25.5">
      <c r="A3957" s="2">
        <v>3954</v>
      </c>
      <c r="B3957" s="2" t="s">
        <v>4033</v>
      </c>
      <c r="C3957" s="2" t="str">
        <f>"12137243"</f>
        <v>12137243</v>
      </c>
      <c r="D3957" s="2">
        <v>0.1</v>
      </c>
      <c r="E3957" s="2">
        <v>1</v>
      </c>
      <c r="F3957" s="2" t="s">
        <v>208</v>
      </c>
    </row>
    <row r="3958" spans="1:6" ht="25.5">
      <c r="A3958" s="2">
        <v>3955</v>
      </c>
      <c r="B3958" s="2" t="s">
        <v>4034</v>
      </c>
      <c r="C3958" s="2" t="str">
        <f>"15489574"</f>
        <v>15489574</v>
      </c>
      <c r="D3958" s="2">
        <v>1.103</v>
      </c>
      <c r="E3958" s="2">
        <v>32</v>
      </c>
      <c r="F3958" s="2" t="s">
        <v>16</v>
      </c>
    </row>
    <row r="3959" spans="1:6" ht="25.5">
      <c r="A3959" s="2">
        <v>3956</v>
      </c>
      <c r="B3959" s="2" t="s">
        <v>4035</v>
      </c>
      <c r="C3959" s="2" t="str">
        <f>"01650750"</f>
        <v>01650750</v>
      </c>
      <c r="D3959" s="2">
        <v>0.89</v>
      </c>
      <c r="E3959" s="2">
        <v>14</v>
      </c>
      <c r="F3959" s="2" t="s">
        <v>75</v>
      </c>
    </row>
    <row r="3960" spans="1:6" ht="25.5">
      <c r="A3960" s="2">
        <v>3957</v>
      </c>
      <c r="B3960" s="2" t="s">
        <v>4036</v>
      </c>
      <c r="C3960" s="2" t="str">
        <f>"14662043"</f>
        <v>14662043</v>
      </c>
      <c r="D3960" s="2">
        <v>0.26700000000000002</v>
      </c>
      <c r="E3960" s="2">
        <v>9</v>
      </c>
      <c r="F3960" s="2" t="s">
        <v>16</v>
      </c>
    </row>
    <row r="3961" spans="1:6" ht="25.5">
      <c r="A3961" s="2">
        <v>3958</v>
      </c>
      <c r="B3961" s="2" t="s">
        <v>4037</v>
      </c>
      <c r="C3961" s="2" t="str">
        <f>"17505976"</f>
        <v>17505976</v>
      </c>
      <c r="D3961" s="2">
        <v>0.11</v>
      </c>
      <c r="E3961" s="2">
        <v>1</v>
      </c>
      <c r="F3961" s="2" t="s">
        <v>16</v>
      </c>
    </row>
    <row r="3962" spans="1:6" ht="25.5">
      <c r="A3962" s="2">
        <v>3959</v>
      </c>
      <c r="B3962" s="2" t="s">
        <v>4038</v>
      </c>
      <c r="C3962" s="2" t="str">
        <f>"14454866"</f>
        <v>14454866</v>
      </c>
      <c r="D3962" s="2">
        <v>0.61099999999999999</v>
      </c>
      <c r="E3962" s="2">
        <v>22</v>
      </c>
      <c r="F3962" s="2" t="s">
        <v>127</v>
      </c>
    </row>
    <row r="3963" spans="1:6" ht="25.5">
      <c r="A3963" s="2">
        <v>3960</v>
      </c>
      <c r="B3963" s="2" t="s">
        <v>4039</v>
      </c>
      <c r="C3963" s="2" t="str">
        <f>"17535379"</f>
        <v>17535379</v>
      </c>
      <c r="D3963" s="2">
        <v>0.22900000000000001</v>
      </c>
      <c r="E3963" s="2">
        <v>3</v>
      </c>
      <c r="F3963" s="2" t="s">
        <v>6</v>
      </c>
    </row>
    <row r="3964" spans="1:6" ht="25.5">
      <c r="A3964" s="2">
        <v>3961</v>
      </c>
      <c r="B3964" s="2" t="s">
        <v>4040</v>
      </c>
      <c r="C3964" s="2" t="str">
        <f>"16133625"</f>
        <v>16133625</v>
      </c>
      <c r="D3964" s="2">
        <v>0.13900000000000001</v>
      </c>
      <c r="E3964" s="2">
        <v>10</v>
      </c>
      <c r="F3964" s="2" t="s">
        <v>16</v>
      </c>
    </row>
    <row r="3965" spans="1:6" ht="25.5">
      <c r="A3965" s="2">
        <v>3962</v>
      </c>
      <c r="B3965" s="2" t="s">
        <v>4041</v>
      </c>
      <c r="C3965" s="2" t="str">
        <f>"15257401"</f>
        <v>15257401</v>
      </c>
      <c r="D3965" s="2">
        <v>0.26700000000000002</v>
      </c>
      <c r="E3965" s="2">
        <v>7</v>
      </c>
      <c r="F3965" s="2" t="s">
        <v>6</v>
      </c>
    </row>
    <row r="3966" spans="1:6" ht="25.5">
      <c r="A3966" s="2">
        <v>3963</v>
      </c>
      <c r="B3966" s="2" t="s">
        <v>4042</v>
      </c>
      <c r="C3966" s="2" t="str">
        <f>"03634523"</f>
        <v>03634523</v>
      </c>
      <c r="D3966" s="2">
        <v>0.63300000000000001</v>
      </c>
      <c r="E3966" s="2">
        <v>28</v>
      </c>
      <c r="F3966" s="2" t="s">
        <v>6</v>
      </c>
    </row>
    <row r="3967" spans="1:6" ht="25.5">
      <c r="A3967" s="2">
        <v>3964</v>
      </c>
      <c r="B3967" s="2" t="s">
        <v>4043</v>
      </c>
      <c r="C3967" s="2" t="str">
        <f>"10811680"</f>
        <v>10811680</v>
      </c>
      <c r="D3967" s="2">
        <v>0.192</v>
      </c>
      <c r="E3967" s="2">
        <v>4</v>
      </c>
      <c r="F3967" s="2" t="s">
        <v>16</v>
      </c>
    </row>
    <row r="3968" spans="1:6" ht="25.5">
      <c r="A3968" s="2">
        <v>3965</v>
      </c>
      <c r="B3968" s="2" t="s">
        <v>4044</v>
      </c>
      <c r="C3968" s="2" t="str">
        <f>"03637751"</f>
        <v>03637751</v>
      </c>
      <c r="D3968" s="2">
        <v>1.5429999999999999</v>
      </c>
      <c r="E3968" s="2">
        <v>33</v>
      </c>
      <c r="F3968" s="2" t="s">
        <v>6</v>
      </c>
    </row>
    <row r="3969" spans="1:6" ht="25.5">
      <c r="A3969" s="2">
        <v>3966</v>
      </c>
      <c r="B3969" s="2" t="s">
        <v>4045</v>
      </c>
      <c r="C3969" s="2" t="str">
        <f>"01463373"</f>
        <v>01463373</v>
      </c>
      <c r="D3969" s="2">
        <v>0.34399999999999997</v>
      </c>
      <c r="E3969" s="2">
        <v>4</v>
      </c>
      <c r="F3969" s="2" t="s">
        <v>16</v>
      </c>
    </row>
    <row r="3970" spans="1:6" ht="25.5">
      <c r="A3970" s="2">
        <v>3967</v>
      </c>
      <c r="B3970" s="2" t="s">
        <v>4046</v>
      </c>
      <c r="C3970" s="2" t="str">
        <f>"08934215"</f>
        <v>08934215</v>
      </c>
      <c r="D3970" s="2">
        <v>0.57399999999999995</v>
      </c>
      <c r="E3970" s="2">
        <v>7</v>
      </c>
      <c r="F3970" s="2" t="s">
        <v>16</v>
      </c>
    </row>
    <row r="3971" spans="1:6" ht="25.5">
      <c r="A3971" s="2">
        <v>3968</v>
      </c>
      <c r="B3971" s="2" t="s">
        <v>4047</v>
      </c>
      <c r="C3971" s="2" t="str">
        <f>"15523810"</f>
        <v>15523810</v>
      </c>
      <c r="D3971" s="2">
        <v>2.3180000000000001</v>
      </c>
      <c r="E3971" s="2">
        <v>52</v>
      </c>
      <c r="F3971" s="2" t="s">
        <v>6</v>
      </c>
    </row>
    <row r="3972" spans="1:6" ht="25.5">
      <c r="A3972" s="2">
        <v>3969</v>
      </c>
      <c r="B3972" s="2" t="s">
        <v>4048</v>
      </c>
      <c r="C3972" s="2" t="str">
        <f>"08824096"</f>
        <v>08824096</v>
      </c>
      <c r="D3972" s="2">
        <v>0.30599999999999999</v>
      </c>
      <c r="E3972" s="2">
        <v>3</v>
      </c>
      <c r="F3972" s="2" t="s">
        <v>16</v>
      </c>
    </row>
    <row r="3973" spans="1:6" ht="25.5">
      <c r="A3973" s="2">
        <v>3970</v>
      </c>
      <c r="B3973" s="2" t="s">
        <v>4049</v>
      </c>
      <c r="C3973" s="2" t="str">
        <f>"10714421"</f>
        <v>10714421</v>
      </c>
      <c r="D3973" s="2">
        <v>0.27600000000000002</v>
      </c>
      <c r="E3973" s="2">
        <v>2</v>
      </c>
      <c r="F3973" s="2" t="s">
        <v>16</v>
      </c>
    </row>
    <row r="3974" spans="1:6" ht="25.5">
      <c r="A3974" s="2">
        <v>3971</v>
      </c>
      <c r="B3974" s="2" t="s">
        <v>4050</v>
      </c>
      <c r="C3974" s="2" t="str">
        <f>"16134087"</f>
        <v>16134087</v>
      </c>
      <c r="D3974" s="2">
        <v>0.41499999999999998</v>
      </c>
      <c r="E3974" s="2">
        <v>13</v>
      </c>
      <c r="F3974" s="2" t="s">
        <v>12</v>
      </c>
    </row>
    <row r="3975" spans="1:6" ht="25.5">
      <c r="A3975" s="2">
        <v>3972</v>
      </c>
      <c r="B3975" s="2" t="s">
        <v>4051</v>
      </c>
      <c r="C3975" s="2" t="str">
        <f>"13791176"</f>
        <v>13791176</v>
      </c>
      <c r="D3975" s="2">
        <v>0.11600000000000001</v>
      </c>
      <c r="E3975" s="2">
        <v>10</v>
      </c>
      <c r="F3975" s="2" t="s">
        <v>161</v>
      </c>
    </row>
    <row r="3976" spans="1:6" ht="25.5">
      <c r="A3976" s="2">
        <v>3973</v>
      </c>
      <c r="B3976" s="2" t="s">
        <v>4052</v>
      </c>
      <c r="C3976" s="2" t="str">
        <f>"15324125"</f>
        <v>15324125</v>
      </c>
      <c r="D3976" s="2">
        <v>0.54800000000000004</v>
      </c>
      <c r="E3976" s="2">
        <v>35</v>
      </c>
      <c r="F3976" s="2" t="s">
        <v>16</v>
      </c>
    </row>
    <row r="3977" spans="1:6" ht="25.5">
      <c r="A3977" s="2">
        <v>3974</v>
      </c>
      <c r="B3977" s="2" t="s">
        <v>4053</v>
      </c>
      <c r="C3977" s="2" t="str">
        <f>"10198385"</f>
        <v>10198385</v>
      </c>
      <c r="D3977" s="2">
        <v>1.145</v>
      </c>
      <c r="E3977" s="2">
        <v>25</v>
      </c>
      <c r="F3977" s="2" t="s">
        <v>6</v>
      </c>
    </row>
    <row r="3978" spans="1:6" ht="25.5">
      <c r="A3978" s="2">
        <v>3975</v>
      </c>
      <c r="B3978" s="2" t="s">
        <v>4054</v>
      </c>
      <c r="C3978" s="2" t="str">
        <f>"10832564"</f>
        <v>10832564</v>
      </c>
      <c r="D3978" s="2">
        <v>0.39500000000000002</v>
      </c>
      <c r="E3978" s="2">
        <v>8</v>
      </c>
      <c r="F3978" s="2" t="s">
        <v>6</v>
      </c>
    </row>
    <row r="3979" spans="1:6" ht="25.5">
      <c r="A3979" s="2">
        <v>3976</v>
      </c>
      <c r="B3979" s="2" t="s">
        <v>4055</v>
      </c>
      <c r="C3979" s="2" t="str">
        <f>"18960782"</f>
        <v>18960782</v>
      </c>
      <c r="D3979" s="2">
        <v>0.22800000000000001</v>
      </c>
      <c r="E3979" s="2">
        <v>4</v>
      </c>
      <c r="F3979" s="2" t="s">
        <v>169</v>
      </c>
    </row>
    <row r="3980" spans="1:6" ht="25.5">
      <c r="A3980" s="2">
        <v>3977</v>
      </c>
      <c r="B3980" s="2" t="s">
        <v>4056</v>
      </c>
      <c r="C3980" s="2" t="str">
        <f>"19917120"</f>
        <v>19917120</v>
      </c>
      <c r="D3980" s="2">
        <v>1.111</v>
      </c>
      <c r="E3980" s="2">
        <v>21</v>
      </c>
      <c r="F3980" s="2" t="s">
        <v>46</v>
      </c>
    </row>
    <row r="3981" spans="1:6" ht="25.5">
      <c r="A3981" s="2">
        <v>3978</v>
      </c>
      <c r="B3981" s="2" t="s">
        <v>4057</v>
      </c>
      <c r="C3981" s="2" t="str">
        <f>"18650929"</f>
        <v>18650929</v>
      </c>
      <c r="D3981" s="2">
        <v>0.14000000000000001</v>
      </c>
      <c r="E3981" s="2">
        <v>9</v>
      </c>
      <c r="F3981" s="2" t="s">
        <v>12</v>
      </c>
    </row>
    <row r="3982" spans="1:6" ht="25.5">
      <c r="A3982" s="2">
        <v>3979</v>
      </c>
      <c r="B3982" s="2" t="s">
        <v>4058</v>
      </c>
      <c r="C3982" s="2" t="str">
        <f>"02191997"</f>
        <v>02191997</v>
      </c>
      <c r="D3982" s="2">
        <v>1.117</v>
      </c>
      <c r="E3982" s="2">
        <v>22</v>
      </c>
      <c r="F3982" s="2" t="s">
        <v>543</v>
      </c>
    </row>
    <row r="3983" spans="1:6" ht="25.5">
      <c r="A3983" s="2">
        <v>3980</v>
      </c>
      <c r="B3983" s="2" t="s">
        <v>4059</v>
      </c>
      <c r="C3983" s="2" t="str">
        <f>"19335954"</f>
        <v>19335954</v>
      </c>
      <c r="D3983" s="2">
        <v>0.30599999999999999</v>
      </c>
      <c r="E3983" s="2">
        <v>3</v>
      </c>
      <c r="F3983" s="2" t="s">
        <v>6</v>
      </c>
    </row>
    <row r="3984" spans="1:6" ht="25.5">
      <c r="A3984" s="2">
        <v>3981</v>
      </c>
      <c r="B3984" s="2" t="s">
        <v>4060</v>
      </c>
      <c r="C3984" s="2" t="str">
        <f>"19389787"</f>
        <v>19389787</v>
      </c>
      <c r="D3984" s="2">
        <v>0.16800000000000001</v>
      </c>
      <c r="E3984" s="2">
        <v>2</v>
      </c>
      <c r="F3984" s="2" t="s">
        <v>6</v>
      </c>
    </row>
    <row r="3985" spans="1:6" ht="25.5">
      <c r="A3985" s="2">
        <v>3982</v>
      </c>
      <c r="B3985" s="2" t="s">
        <v>4061</v>
      </c>
      <c r="C3985" s="2" t="str">
        <f>"14320916"</f>
        <v>14320916</v>
      </c>
      <c r="D3985" s="2">
        <v>1.698</v>
      </c>
      <c r="E3985" s="2">
        <v>80</v>
      </c>
      <c r="F3985" s="2" t="s">
        <v>6</v>
      </c>
    </row>
    <row r="3986" spans="1:6" ht="25.5">
      <c r="A3986" s="2">
        <v>3983</v>
      </c>
      <c r="B3986" s="2" t="s">
        <v>4062</v>
      </c>
      <c r="C3986" s="2" t="str">
        <f>"15396746"</f>
        <v>15396746</v>
      </c>
      <c r="D3986" s="2">
        <v>1.383</v>
      </c>
      <c r="E3986" s="2">
        <v>15</v>
      </c>
      <c r="F3986" s="2" t="s">
        <v>6</v>
      </c>
    </row>
    <row r="3987" spans="1:6" ht="25.5">
      <c r="A3987" s="2">
        <v>3984</v>
      </c>
      <c r="B3987" s="2" t="s">
        <v>4063</v>
      </c>
      <c r="C3987" s="2" t="str">
        <f>"10075704"</f>
        <v>10075704</v>
      </c>
      <c r="D3987" s="2">
        <v>1.2929999999999999</v>
      </c>
      <c r="E3987" s="2">
        <v>40</v>
      </c>
      <c r="F3987" s="2" t="s">
        <v>75</v>
      </c>
    </row>
    <row r="3988" spans="1:6" ht="25.5">
      <c r="A3988" s="2">
        <v>3985</v>
      </c>
      <c r="B3988" s="2" t="s">
        <v>4064</v>
      </c>
      <c r="C3988" s="2" t="str">
        <f>"19314531"</f>
        <v>19314531</v>
      </c>
      <c r="D3988" s="2">
        <v>0.84399999999999997</v>
      </c>
      <c r="E3988" s="2">
        <v>9</v>
      </c>
      <c r="F3988" s="2" t="s">
        <v>6</v>
      </c>
    </row>
    <row r="3989" spans="1:6" ht="25.5">
      <c r="A3989" s="2">
        <v>3986</v>
      </c>
      <c r="B3989" s="2" t="s">
        <v>4065</v>
      </c>
      <c r="C3989" s="2" t="str">
        <f>"15324133"</f>
        <v>15324133</v>
      </c>
      <c r="D3989" s="2">
        <v>1.7470000000000001</v>
      </c>
      <c r="E3989" s="2">
        <v>46</v>
      </c>
      <c r="F3989" s="2" t="s">
        <v>16</v>
      </c>
    </row>
    <row r="3990" spans="1:6" ht="25.5">
      <c r="A3990" s="2">
        <v>3987</v>
      </c>
      <c r="B3990" s="2" t="s">
        <v>4066</v>
      </c>
      <c r="C3990" s="2" t="str">
        <f>"15322416"</f>
        <v>15322416</v>
      </c>
      <c r="D3990" s="2">
        <v>0.35699999999999998</v>
      </c>
      <c r="E3990" s="2">
        <v>37</v>
      </c>
      <c r="F3990" s="2" t="s">
        <v>16</v>
      </c>
    </row>
    <row r="3991" spans="1:6" ht="25.5">
      <c r="A3991" s="2">
        <v>3988</v>
      </c>
      <c r="B3991" s="2" t="s">
        <v>4067</v>
      </c>
      <c r="C3991" s="2" t="str">
        <f>"15324141"</f>
        <v>15324141</v>
      </c>
      <c r="D3991" s="2">
        <v>0.40200000000000002</v>
      </c>
      <c r="E3991" s="2">
        <v>22</v>
      </c>
      <c r="F3991" s="2" t="s">
        <v>16</v>
      </c>
    </row>
    <row r="3992" spans="1:6" ht="25.5">
      <c r="A3992" s="2">
        <v>3989</v>
      </c>
      <c r="B3992" s="2" t="s">
        <v>4068</v>
      </c>
      <c r="C3992" s="2" t="str">
        <f>"1532415X"</f>
        <v>1532415X</v>
      </c>
      <c r="D3992" s="2">
        <v>0.433</v>
      </c>
      <c r="E3992" s="2">
        <v>28</v>
      </c>
      <c r="F3992" s="2" t="s">
        <v>16</v>
      </c>
    </row>
    <row r="3993" spans="1:6" ht="25.5">
      <c r="A3993" s="2">
        <v>3990</v>
      </c>
      <c r="B3993" s="2" t="s">
        <v>4069</v>
      </c>
      <c r="C3993" s="2" t="str">
        <f>"02536102"</f>
        <v>02536102</v>
      </c>
      <c r="D3993" s="2">
        <v>0.38400000000000001</v>
      </c>
      <c r="E3993" s="2">
        <v>31</v>
      </c>
      <c r="F3993" s="2" t="s">
        <v>16</v>
      </c>
    </row>
    <row r="3994" spans="1:6" ht="25.5">
      <c r="A3994" s="2">
        <v>3991</v>
      </c>
      <c r="B3994" s="2" t="s">
        <v>4070</v>
      </c>
      <c r="C3994" s="2" t="str">
        <f>"17467616"</f>
        <v>17467616</v>
      </c>
      <c r="D3994" s="2">
        <v>0.14000000000000001</v>
      </c>
      <c r="E3994" s="2">
        <v>3</v>
      </c>
      <c r="F3994" s="2" t="s">
        <v>16</v>
      </c>
    </row>
    <row r="3995" spans="1:6" ht="25.5">
      <c r="A3995" s="2">
        <v>3992</v>
      </c>
      <c r="B3995" s="2" t="s">
        <v>4071</v>
      </c>
      <c r="C3995" s="2" t="str">
        <f>"00010782"</f>
        <v>00010782</v>
      </c>
      <c r="D3995" s="2">
        <v>1.877</v>
      </c>
      <c r="E3995" s="2">
        <v>118</v>
      </c>
      <c r="F3995" s="2" t="s">
        <v>6</v>
      </c>
    </row>
    <row r="3996" spans="1:6" ht="25.5">
      <c r="A3996" s="2">
        <v>3993</v>
      </c>
      <c r="B3996" s="2" t="s">
        <v>4072</v>
      </c>
      <c r="C3996" s="2" t="str">
        <f>"15293181"</f>
        <v>15293181</v>
      </c>
      <c r="D3996" s="2">
        <v>0.49399999999999999</v>
      </c>
      <c r="E3996" s="2">
        <v>11</v>
      </c>
      <c r="F3996" s="2" t="s">
        <v>6</v>
      </c>
    </row>
    <row r="3997" spans="1:6" ht="25.5">
      <c r="A3997" s="2">
        <v>3994</v>
      </c>
      <c r="B3997" s="2" t="s">
        <v>4073</v>
      </c>
      <c r="C3997" s="2" t="str">
        <f>"12251763"</f>
        <v>12251763</v>
      </c>
      <c r="D3997" s="2">
        <v>0.23499999999999999</v>
      </c>
      <c r="E3997" s="2">
        <v>6</v>
      </c>
      <c r="F3997" s="2" t="s">
        <v>274</v>
      </c>
    </row>
    <row r="3998" spans="1:6" ht="25.5">
      <c r="A3998" s="2">
        <v>3995</v>
      </c>
      <c r="B3998" s="2" t="s">
        <v>4074</v>
      </c>
      <c r="C3998" s="2" t="str">
        <f>"1074133X"</f>
        <v>1074133X</v>
      </c>
      <c r="D3998" s="2">
        <v>0.34599999999999997</v>
      </c>
      <c r="E3998" s="2">
        <v>6</v>
      </c>
      <c r="F3998" s="2" t="s">
        <v>6</v>
      </c>
    </row>
    <row r="3999" spans="1:6" ht="25.5">
      <c r="A3999" s="2">
        <v>3996</v>
      </c>
      <c r="B3999" s="2" t="s">
        <v>4075</v>
      </c>
      <c r="C3999" s="2" t="str">
        <f>"15340392"</f>
        <v>15340392</v>
      </c>
      <c r="D3999" s="2">
        <v>0.93799999999999994</v>
      </c>
      <c r="E3999" s="2">
        <v>20</v>
      </c>
      <c r="F3999" s="2" t="s">
        <v>6</v>
      </c>
    </row>
    <row r="4000" spans="1:6" ht="25.5">
      <c r="A4000" s="2">
        <v>3997</v>
      </c>
      <c r="B4000" s="2" t="s">
        <v>4076</v>
      </c>
      <c r="C4000" s="2" t="str">
        <f>"10970312"</f>
        <v>10970312</v>
      </c>
      <c r="D4000" s="2">
        <v>3.996</v>
      </c>
      <c r="E4000" s="2">
        <v>58</v>
      </c>
      <c r="F4000" s="2" t="s">
        <v>6</v>
      </c>
    </row>
    <row r="4001" spans="1:6" ht="25.5">
      <c r="A4001" s="2">
        <v>3998</v>
      </c>
      <c r="B4001" s="2" t="s">
        <v>4077</v>
      </c>
      <c r="C4001" s="2" t="str">
        <f>"00089575"</f>
        <v>00089575</v>
      </c>
      <c r="D4001" s="2">
        <v>0.375</v>
      </c>
      <c r="E4001" s="2">
        <v>3</v>
      </c>
      <c r="F4001" s="2" t="s">
        <v>6</v>
      </c>
    </row>
    <row r="4002" spans="1:6" ht="25.5">
      <c r="A4002" s="2">
        <v>3999</v>
      </c>
      <c r="B4002" s="2" t="s">
        <v>4078</v>
      </c>
      <c r="C4002" s="2" t="str">
        <f>"17404630"</f>
        <v>17404630</v>
      </c>
      <c r="D4002" s="2">
        <v>0.157</v>
      </c>
      <c r="E4002" s="2">
        <v>2</v>
      </c>
      <c r="F4002" s="2" t="s">
        <v>16</v>
      </c>
    </row>
    <row r="4003" spans="1:6" ht="25.5">
      <c r="A4003" s="2">
        <v>4000</v>
      </c>
      <c r="B4003" s="2" t="s">
        <v>4079</v>
      </c>
      <c r="C4003" s="2" t="str">
        <f>"14682885"</f>
        <v>14682885</v>
      </c>
      <c r="D4003" s="2">
        <v>1.357</v>
      </c>
      <c r="E4003" s="2">
        <v>37</v>
      </c>
      <c r="F4003" s="2" t="s">
        <v>16</v>
      </c>
    </row>
    <row r="4004" spans="1:6" ht="25.5">
      <c r="A4004" s="2">
        <v>4001</v>
      </c>
      <c r="B4004" s="2" t="s">
        <v>4080</v>
      </c>
      <c r="C4004" s="2" t="str">
        <f>"19420889"</f>
        <v>19420889</v>
      </c>
      <c r="D4004" s="2">
        <v>0.63200000000000001</v>
      </c>
      <c r="E4004" s="2">
        <v>12</v>
      </c>
      <c r="F4004" s="2" t="s">
        <v>6</v>
      </c>
    </row>
    <row r="4005" spans="1:6" ht="25.5">
      <c r="A4005" s="2">
        <v>4002</v>
      </c>
      <c r="B4005" s="2" t="s">
        <v>4081</v>
      </c>
      <c r="C4005" s="2" t="str">
        <f>"0967067X"</f>
        <v>0967067X</v>
      </c>
      <c r="D4005" s="2">
        <v>0.40500000000000003</v>
      </c>
      <c r="E4005" s="2">
        <v>19</v>
      </c>
      <c r="F4005" s="2" t="s">
        <v>16</v>
      </c>
    </row>
    <row r="4006" spans="1:6" ht="25.5">
      <c r="A4006" s="2">
        <v>4003</v>
      </c>
      <c r="B4006" s="2" t="s">
        <v>4082</v>
      </c>
      <c r="C4006" s="2" t="str">
        <f>"15452522"</f>
        <v>15452522</v>
      </c>
      <c r="D4006" s="2">
        <v>0.20699999999999999</v>
      </c>
      <c r="E4006" s="2">
        <v>2</v>
      </c>
      <c r="F4006" s="2" t="s">
        <v>16</v>
      </c>
    </row>
    <row r="4007" spans="1:6" ht="25.5">
      <c r="A4007" s="2">
        <v>4004</v>
      </c>
      <c r="B4007" s="2" t="s">
        <v>4083</v>
      </c>
      <c r="C4007" s="2" t="str">
        <f>"03075508"</f>
        <v>03075508</v>
      </c>
      <c r="D4007" s="2">
        <v>0.1</v>
      </c>
      <c r="E4007" s="2">
        <v>2</v>
      </c>
      <c r="F4007" s="2" t="s">
        <v>16</v>
      </c>
    </row>
    <row r="4008" spans="1:6" ht="25.5">
      <c r="A4008" s="2">
        <v>4005</v>
      </c>
      <c r="B4008" s="2" t="s">
        <v>4084</v>
      </c>
      <c r="C4008" s="2" t="str">
        <f>"10668926"</f>
        <v>10668926</v>
      </c>
      <c r="D4008" s="2">
        <v>0.24299999999999999</v>
      </c>
      <c r="E4008" s="2">
        <v>2</v>
      </c>
      <c r="F4008" s="2" t="s">
        <v>6</v>
      </c>
    </row>
    <row r="4009" spans="1:6" ht="25.5">
      <c r="A4009" s="2">
        <v>4006</v>
      </c>
      <c r="B4009" s="2" t="s">
        <v>4085</v>
      </c>
      <c r="C4009" s="2" t="str">
        <f>"00915521"</f>
        <v>00915521</v>
      </c>
      <c r="D4009" s="2">
        <v>0.255</v>
      </c>
      <c r="E4009" s="2">
        <v>9</v>
      </c>
      <c r="F4009" s="2" t="s">
        <v>6</v>
      </c>
    </row>
    <row r="4010" spans="1:6" ht="25.5">
      <c r="A4010" s="2">
        <v>4007</v>
      </c>
      <c r="B4010" s="2" t="s">
        <v>4086</v>
      </c>
      <c r="C4010" s="2" t="str">
        <f>"0265539X"</f>
        <v>0265539X</v>
      </c>
      <c r="D4010" s="2">
        <v>0.41099999999999998</v>
      </c>
      <c r="E4010" s="2">
        <v>34</v>
      </c>
      <c r="F4010" s="2" t="s">
        <v>16</v>
      </c>
    </row>
    <row r="4011" spans="1:6" ht="25.5">
      <c r="A4011" s="2">
        <v>4008</v>
      </c>
      <c r="B4011" s="2" t="s">
        <v>4087</v>
      </c>
      <c r="C4011" s="2" t="str">
        <f>"16000528"</f>
        <v>16000528</v>
      </c>
      <c r="D4011" s="2">
        <v>0.86899999999999999</v>
      </c>
      <c r="E4011" s="2">
        <v>59</v>
      </c>
      <c r="F4011" s="2" t="s">
        <v>163</v>
      </c>
    </row>
    <row r="4012" spans="1:6" ht="25.5">
      <c r="A4012" s="2">
        <v>4009</v>
      </c>
      <c r="B4012" s="2" t="s">
        <v>4088</v>
      </c>
      <c r="C4012" s="2" t="str">
        <f>"14682656"</f>
        <v>14682656</v>
      </c>
      <c r="D4012" s="2">
        <v>0.38600000000000001</v>
      </c>
      <c r="E4012" s="2">
        <v>18</v>
      </c>
      <c r="F4012" s="2" t="s">
        <v>16</v>
      </c>
    </row>
    <row r="4013" spans="1:6" ht="25.5">
      <c r="A4013" s="2">
        <v>4010</v>
      </c>
      <c r="B4013" s="2" t="s">
        <v>4089</v>
      </c>
      <c r="C4013" s="2" t="str">
        <f>"15575330"</f>
        <v>15575330</v>
      </c>
      <c r="D4013" s="2">
        <v>0.21099999999999999</v>
      </c>
      <c r="E4013" s="2">
        <v>3</v>
      </c>
      <c r="F4013" s="2" t="s">
        <v>16</v>
      </c>
    </row>
    <row r="4014" spans="1:6" ht="25.5">
      <c r="A4014" s="2">
        <v>4011</v>
      </c>
      <c r="B4014" s="2" t="s">
        <v>4090</v>
      </c>
      <c r="C4014" s="2" t="str">
        <f>"15882756"</f>
        <v>15882756</v>
      </c>
      <c r="D4014" s="2">
        <v>0.59299999999999997</v>
      </c>
      <c r="E4014" s="2">
        <v>17</v>
      </c>
      <c r="F4014" s="2" t="s">
        <v>135</v>
      </c>
    </row>
    <row r="4015" spans="1:6" ht="25.5">
      <c r="A4015" s="2">
        <v>4012</v>
      </c>
      <c r="B4015" s="2" t="s">
        <v>4091</v>
      </c>
      <c r="C4015" s="2" t="str">
        <f>"15732789"</f>
        <v>15732789</v>
      </c>
      <c r="D4015" s="2">
        <v>0.66400000000000003</v>
      </c>
      <c r="E4015" s="2">
        <v>43</v>
      </c>
      <c r="F4015" s="2" t="s">
        <v>75</v>
      </c>
    </row>
    <row r="4016" spans="1:6" ht="25.5">
      <c r="A4016" s="2">
        <v>4013</v>
      </c>
      <c r="B4016" s="2" t="s">
        <v>4092</v>
      </c>
      <c r="C4016" s="2" t="str">
        <f>"15485315"</f>
        <v>15485315</v>
      </c>
      <c r="D4016" s="2">
        <v>0.186</v>
      </c>
      <c r="E4016" s="2">
        <v>9</v>
      </c>
      <c r="F4016" s="2" t="s">
        <v>6</v>
      </c>
    </row>
    <row r="4017" spans="1:6" ht="25.5">
      <c r="A4017" s="2">
        <v>4014</v>
      </c>
      <c r="B4017" s="2" t="s">
        <v>4093</v>
      </c>
      <c r="C4017" s="2" t="str">
        <f>"14622815"</f>
        <v>14622815</v>
      </c>
      <c r="D4017" s="2">
        <v>0.186</v>
      </c>
      <c r="E4017" s="2">
        <v>6</v>
      </c>
      <c r="F4017" s="2" t="s">
        <v>16</v>
      </c>
    </row>
    <row r="4018" spans="1:6" ht="25.5">
      <c r="A4018" s="2">
        <v>4015</v>
      </c>
      <c r="B4018" s="2" t="s">
        <v>4094</v>
      </c>
      <c r="C4018" s="2" t="str">
        <f>"14693615"</f>
        <v>14693615</v>
      </c>
      <c r="D4018" s="2">
        <v>0.36099999999999999</v>
      </c>
      <c r="E4018" s="2">
        <v>13</v>
      </c>
      <c r="F4018" s="2" t="s">
        <v>16</v>
      </c>
    </row>
    <row r="4019" spans="1:6" ht="25.5">
      <c r="A4019" s="2">
        <v>4016</v>
      </c>
      <c r="B4019" s="2" t="s">
        <v>4095</v>
      </c>
      <c r="C4019" s="2" t="str">
        <f>"17412676"</f>
        <v>17412676</v>
      </c>
      <c r="D4019" s="2">
        <v>0.115</v>
      </c>
      <c r="E4019" s="2">
        <v>1</v>
      </c>
      <c r="F4019" s="2" t="s">
        <v>16</v>
      </c>
    </row>
    <row r="4020" spans="1:6" ht="25.5">
      <c r="A4020" s="2">
        <v>4017</v>
      </c>
      <c r="B4020" s="2" t="s">
        <v>4096</v>
      </c>
      <c r="C4020" s="2" t="str">
        <f>"15326268"</f>
        <v>15326268</v>
      </c>
      <c r="D4020" s="2">
        <v>0.311</v>
      </c>
      <c r="E4020" s="2">
        <v>27</v>
      </c>
      <c r="F4020" s="2" t="s">
        <v>6</v>
      </c>
    </row>
    <row r="4021" spans="1:6" ht="25.5">
      <c r="A4021" s="2">
        <v>4018</v>
      </c>
      <c r="B4021" s="2" t="s">
        <v>4097</v>
      </c>
      <c r="C4021" s="2" t="str">
        <f>"10964959"</f>
        <v>10964959</v>
      </c>
      <c r="D4021" s="2">
        <v>0.58799999999999997</v>
      </c>
      <c r="E4021" s="2">
        <v>61</v>
      </c>
      <c r="F4021" s="2" t="s">
        <v>6</v>
      </c>
    </row>
    <row r="4022" spans="1:6" ht="25.5">
      <c r="A4022" s="2">
        <v>4019</v>
      </c>
      <c r="B4022" s="2" t="s">
        <v>4098</v>
      </c>
      <c r="C4022" s="2" t="str">
        <f>"15314332"</f>
        <v>15314332</v>
      </c>
      <c r="D4022" s="2">
        <v>0.67500000000000004</v>
      </c>
      <c r="E4022" s="2">
        <v>69</v>
      </c>
      <c r="F4022" s="2" t="s">
        <v>6</v>
      </c>
    </row>
    <row r="4023" spans="1:6" ht="25.5">
      <c r="A4023" s="2">
        <v>4020</v>
      </c>
      <c r="B4023" s="2" t="s">
        <v>4099</v>
      </c>
      <c r="C4023" s="2" t="str">
        <f>"15320456"</f>
        <v>15320456</v>
      </c>
      <c r="D4023" s="2">
        <v>0.88300000000000001</v>
      </c>
      <c r="E4023" s="2">
        <v>55</v>
      </c>
      <c r="F4023" s="2" t="s">
        <v>6</v>
      </c>
    </row>
    <row r="4024" spans="1:6" ht="25.5">
      <c r="A4024" s="2">
        <v>4021</v>
      </c>
      <c r="B4024" s="2" t="s">
        <v>4100</v>
      </c>
      <c r="C4024" s="2" t="str">
        <f>"1744117X"</f>
        <v>1744117X</v>
      </c>
      <c r="D4024" s="2">
        <v>0.66</v>
      </c>
      <c r="E4024" s="2">
        <v>18</v>
      </c>
      <c r="F4024" s="2" t="s">
        <v>6</v>
      </c>
    </row>
    <row r="4025" spans="1:6" ht="25.5">
      <c r="A4025" s="2">
        <v>4022</v>
      </c>
      <c r="B4025" s="2" t="s">
        <v>4101</v>
      </c>
      <c r="C4025" s="2" t="str">
        <f>"1618565X"</f>
        <v>1618565X</v>
      </c>
      <c r="D4025" s="2">
        <v>0.20799999999999999</v>
      </c>
      <c r="E4025" s="2">
        <v>15</v>
      </c>
      <c r="F4025" s="2" t="s">
        <v>16</v>
      </c>
    </row>
    <row r="4026" spans="1:6" ht="25.5">
      <c r="A4026" s="2">
        <v>4023</v>
      </c>
      <c r="B4026" s="2" t="s">
        <v>4102</v>
      </c>
      <c r="C4026" s="2" t="str">
        <f>"17500109"</f>
        <v>17500109</v>
      </c>
      <c r="D4026" s="2">
        <v>0.10299999999999999</v>
      </c>
      <c r="E4026" s="2">
        <v>1</v>
      </c>
      <c r="F4026" s="2" t="s">
        <v>16</v>
      </c>
    </row>
    <row r="4027" spans="1:6" ht="25.5">
      <c r="A4027" s="2">
        <v>4024</v>
      </c>
      <c r="B4027" s="2" t="s">
        <v>4103</v>
      </c>
      <c r="C4027" s="2" t="str">
        <f>"00104078"</f>
        <v>00104078</v>
      </c>
      <c r="D4027" s="2">
        <v>0.11600000000000001</v>
      </c>
      <c r="E4027" s="2">
        <v>4</v>
      </c>
      <c r="F4027" s="2" t="s">
        <v>6</v>
      </c>
    </row>
    <row r="4028" spans="1:6" ht="25.5">
      <c r="A4028" s="2">
        <v>4025</v>
      </c>
      <c r="B4028" s="2" t="s">
        <v>4104</v>
      </c>
      <c r="C4028" s="2" t="str">
        <f>"08887233"</f>
        <v>08887233</v>
      </c>
      <c r="D4028" s="2">
        <v>0.23599999999999999</v>
      </c>
      <c r="E4028" s="2">
        <v>7</v>
      </c>
      <c r="F4028" s="2" t="s">
        <v>16</v>
      </c>
    </row>
    <row r="4029" spans="1:6" ht="25.5">
      <c r="A4029" s="2">
        <v>4026</v>
      </c>
      <c r="B4029" s="2" t="s">
        <v>4105</v>
      </c>
      <c r="C4029" s="2" t="str">
        <f>"13600486"</f>
        <v>13600486</v>
      </c>
      <c r="D4029" s="2">
        <v>0.94499999999999995</v>
      </c>
      <c r="E4029" s="2">
        <v>25</v>
      </c>
      <c r="F4029" s="2" t="s">
        <v>16</v>
      </c>
    </row>
    <row r="4030" spans="1:6" ht="25.5">
      <c r="A4030" s="2">
        <v>4027</v>
      </c>
      <c r="B4030" s="2" t="s">
        <v>4106</v>
      </c>
      <c r="C4030" s="2" t="str">
        <f>"1545701X"</f>
        <v>1545701X</v>
      </c>
      <c r="D4030" s="2">
        <v>1.653</v>
      </c>
      <c r="E4030" s="2">
        <v>22</v>
      </c>
      <c r="F4030" s="2" t="s">
        <v>6</v>
      </c>
    </row>
    <row r="4031" spans="1:6" ht="25.5">
      <c r="A4031" s="2">
        <v>4028</v>
      </c>
      <c r="B4031" s="2" t="s">
        <v>4107</v>
      </c>
      <c r="C4031" s="2" t="str">
        <f>"1740388X"</f>
        <v>1740388X</v>
      </c>
      <c r="D4031" s="2">
        <v>0.53800000000000003</v>
      </c>
      <c r="E4031" s="2">
        <v>5</v>
      </c>
      <c r="F4031" s="2" t="s">
        <v>16</v>
      </c>
    </row>
    <row r="4032" spans="1:6" ht="25.5">
      <c r="A4032" s="2">
        <v>4029</v>
      </c>
      <c r="B4032" s="2" t="s">
        <v>4108</v>
      </c>
      <c r="C4032" s="2" t="str">
        <f>"14765926"</f>
        <v>14765926</v>
      </c>
      <c r="D4032" s="2">
        <v>0.316</v>
      </c>
      <c r="E4032" s="2">
        <v>20</v>
      </c>
      <c r="F4032" s="2" t="s">
        <v>16</v>
      </c>
    </row>
    <row r="4033" spans="1:6" ht="25.5">
      <c r="A4033" s="2">
        <v>4030</v>
      </c>
      <c r="B4033" s="2" t="s">
        <v>4109</v>
      </c>
      <c r="C4033" s="2" t="str">
        <f>"18781667"</f>
        <v>18781667</v>
      </c>
      <c r="D4033" s="2">
        <v>0.63900000000000001</v>
      </c>
      <c r="E4033" s="2">
        <v>32</v>
      </c>
      <c r="F4033" s="2" t="s">
        <v>16</v>
      </c>
    </row>
    <row r="4034" spans="1:6" ht="25.5">
      <c r="A4034" s="2">
        <v>4031</v>
      </c>
      <c r="B4034" s="2" t="s">
        <v>4110</v>
      </c>
      <c r="C4034" s="2" t="str">
        <f>"00104124"</f>
        <v>00104124</v>
      </c>
      <c r="D4034" s="2">
        <v>0.1</v>
      </c>
      <c r="E4034" s="2">
        <v>5</v>
      </c>
      <c r="F4034" s="2" t="s">
        <v>6</v>
      </c>
    </row>
    <row r="4035" spans="1:6" ht="25.5">
      <c r="A4035" s="2">
        <v>4032</v>
      </c>
      <c r="B4035" s="2" t="s">
        <v>4111</v>
      </c>
      <c r="C4035" s="2" t="str">
        <f>"15284212"</f>
        <v>15284212</v>
      </c>
      <c r="D4035" s="2">
        <v>0.14299999999999999</v>
      </c>
      <c r="E4035" s="2">
        <v>6</v>
      </c>
      <c r="F4035" s="2" t="s">
        <v>6</v>
      </c>
    </row>
    <row r="4036" spans="1:6" ht="25.5">
      <c r="A4036" s="2">
        <v>4033</v>
      </c>
      <c r="B4036" s="2" t="s">
        <v>4112</v>
      </c>
      <c r="C4036" s="2" t="str">
        <f>"15320820"</f>
        <v>15320820</v>
      </c>
      <c r="D4036" s="2">
        <v>0.47799999999999998</v>
      </c>
      <c r="E4036" s="2">
        <v>40</v>
      </c>
      <c r="F4036" s="2" t="s">
        <v>6</v>
      </c>
    </row>
    <row r="4037" spans="1:6" ht="25.5">
      <c r="A4037" s="2">
        <v>4034</v>
      </c>
      <c r="B4037" s="2" t="s">
        <v>4113</v>
      </c>
      <c r="C4037" s="2" t="str">
        <f>"15252647"</f>
        <v>15252647</v>
      </c>
      <c r="D4037" s="2">
        <v>0.40799999999999997</v>
      </c>
      <c r="E4037" s="2">
        <v>20</v>
      </c>
      <c r="F4037" s="2" t="s">
        <v>6</v>
      </c>
    </row>
    <row r="4038" spans="1:6" ht="25.5">
      <c r="A4038" s="2">
        <v>4035</v>
      </c>
      <c r="B4038" s="2" t="s">
        <v>4114</v>
      </c>
      <c r="C4038" s="2" t="str">
        <f>"15523829"</f>
        <v>15523829</v>
      </c>
      <c r="D4038" s="2">
        <v>2.468</v>
      </c>
      <c r="E4038" s="2">
        <v>43</v>
      </c>
      <c r="F4038" s="2" t="s">
        <v>6</v>
      </c>
    </row>
    <row r="4039" spans="1:6" ht="25.5">
      <c r="A4039" s="2">
        <v>4036</v>
      </c>
      <c r="B4039" s="2" t="s">
        <v>4115</v>
      </c>
      <c r="C4039" s="2" t="str">
        <f>"00104159"</f>
        <v>00104159</v>
      </c>
      <c r="D4039" s="2">
        <v>0.85499999999999998</v>
      </c>
      <c r="E4039" s="2">
        <v>29</v>
      </c>
      <c r="F4039" s="2" t="s">
        <v>6</v>
      </c>
    </row>
    <row r="4040" spans="1:6" ht="25.5">
      <c r="A4040" s="2">
        <v>4037</v>
      </c>
      <c r="B4040" s="2" t="s">
        <v>4116</v>
      </c>
      <c r="C4040" s="2" t="str">
        <f>"15691330"</f>
        <v>15691330</v>
      </c>
      <c r="D4040" s="2">
        <v>0.21099999999999999</v>
      </c>
      <c r="E4040" s="2">
        <v>10</v>
      </c>
      <c r="F4040" s="2" t="s">
        <v>75</v>
      </c>
    </row>
    <row r="4041" spans="1:6" ht="25.5">
      <c r="A4041" s="2">
        <v>4038</v>
      </c>
      <c r="B4041" s="2" t="s">
        <v>4117</v>
      </c>
      <c r="C4041" s="2" t="str">
        <f>"15210448"</f>
        <v>15210448</v>
      </c>
      <c r="D4041" s="2">
        <v>0.182</v>
      </c>
      <c r="E4041" s="2">
        <v>2</v>
      </c>
      <c r="F4041" s="2" t="s">
        <v>16</v>
      </c>
    </row>
    <row r="4042" spans="1:6" ht="25.5">
      <c r="A4042" s="2">
        <v>4039</v>
      </c>
      <c r="B4042" s="2" t="s">
        <v>4118</v>
      </c>
      <c r="C4042" s="2" t="str">
        <f>"14752999"</f>
        <v>14752999</v>
      </c>
      <c r="D4042" s="2">
        <v>1.5189999999999999</v>
      </c>
      <c r="E4042" s="2">
        <v>22</v>
      </c>
      <c r="F4042" s="2" t="s">
        <v>16</v>
      </c>
    </row>
    <row r="4043" spans="1:6" ht="25.5">
      <c r="A4043" s="2">
        <v>4040</v>
      </c>
      <c r="B4043" s="2" t="s">
        <v>4119</v>
      </c>
      <c r="C4043" s="2" t="str">
        <f>"1548226X"</f>
        <v>1548226X</v>
      </c>
      <c r="D4043" s="2">
        <v>0.26700000000000002</v>
      </c>
      <c r="E4043" s="2">
        <v>9</v>
      </c>
      <c r="F4043" s="2" t="s">
        <v>6</v>
      </c>
    </row>
    <row r="4044" spans="1:6" ht="25.5">
      <c r="A4044" s="2">
        <v>4041</v>
      </c>
      <c r="B4044" s="2" t="s">
        <v>4120</v>
      </c>
      <c r="C4044" s="2" t="str">
        <f>"03057925"</f>
        <v>03057925</v>
      </c>
      <c r="D4044" s="2">
        <v>0.57499999999999996</v>
      </c>
      <c r="E4044" s="2">
        <v>11</v>
      </c>
      <c r="F4044" s="2" t="s">
        <v>16</v>
      </c>
    </row>
    <row r="4045" spans="1:6" ht="25.5">
      <c r="A4045" s="2">
        <v>4042</v>
      </c>
      <c r="B4045" s="2" t="s">
        <v>4121</v>
      </c>
      <c r="C4045" s="2" t="str">
        <f>"03321649"</f>
        <v>03321649</v>
      </c>
      <c r="D4045" s="2">
        <v>0.24399999999999999</v>
      </c>
      <c r="E4045" s="2">
        <v>16</v>
      </c>
      <c r="F4045" s="2" t="s">
        <v>16</v>
      </c>
    </row>
    <row r="4046" spans="1:6" ht="25.5">
      <c r="A4046" s="2">
        <v>4043</v>
      </c>
      <c r="B4046" s="2" t="s">
        <v>4122</v>
      </c>
      <c r="C4046" s="2" t="str">
        <f>"19408307"</f>
        <v>19408307</v>
      </c>
      <c r="D4046" s="2">
        <v>0.156</v>
      </c>
      <c r="E4046" s="2">
        <v>23</v>
      </c>
      <c r="F4046" s="2" t="s">
        <v>6</v>
      </c>
    </row>
    <row r="4047" spans="1:6" ht="25.5">
      <c r="A4047" s="2">
        <v>4044</v>
      </c>
      <c r="B4047" s="2" t="s">
        <v>4123</v>
      </c>
      <c r="C4047" s="2" t="str">
        <f>"15488578"</f>
        <v>15488578</v>
      </c>
      <c r="D4047" s="2">
        <v>0.23599999999999999</v>
      </c>
      <c r="E4047" s="2">
        <v>31</v>
      </c>
      <c r="F4047" s="2" t="s">
        <v>6</v>
      </c>
    </row>
    <row r="4048" spans="1:6" ht="25.5">
      <c r="A4048" s="2">
        <v>4045</v>
      </c>
      <c r="B4048" s="2" t="s">
        <v>4124</v>
      </c>
      <c r="C4048" s="2" t="str">
        <f>"15546853"</f>
        <v>15546853</v>
      </c>
      <c r="D4048" s="2">
        <v>0.36299999999999999</v>
      </c>
      <c r="E4048" s="2">
        <v>5</v>
      </c>
      <c r="F4048" s="2" t="s">
        <v>6</v>
      </c>
    </row>
    <row r="4049" spans="1:6" ht="25.5">
      <c r="A4049" s="2">
        <v>4046</v>
      </c>
      <c r="B4049" s="2" t="s">
        <v>4125</v>
      </c>
      <c r="C4049" s="2" t="str">
        <f>"17443881"</f>
        <v>17443881</v>
      </c>
      <c r="D4049" s="2">
        <v>0.56399999999999995</v>
      </c>
      <c r="E4049" s="2">
        <v>21</v>
      </c>
      <c r="F4049" s="2" t="s">
        <v>16</v>
      </c>
    </row>
    <row r="4050" spans="1:6" ht="25.5">
      <c r="A4050" s="2">
        <v>4047</v>
      </c>
      <c r="B4050" s="2" t="s">
        <v>4126</v>
      </c>
      <c r="C4050" s="2" t="str">
        <f>"09652299"</f>
        <v>09652299</v>
      </c>
      <c r="D4050" s="2">
        <v>0.52800000000000002</v>
      </c>
      <c r="E4050" s="2">
        <v>37</v>
      </c>
      <c r="F4050" s="2" t="s">
        <v>6</v>
      </c>
    </row>
    <row r="4051" spans="1:6" ht="25.5">
      <c r="A4051" s="2">
        <v>4048</v>
      </c>
      <c r="B4051" s="2" t="s">
        <v>4127</v>
      </c>
      <c r="C4051" s="2" t="str">
        <f>"16618262"</f>
        <v>16618262</v>
      </c>
      <c r="D4051" s="2">
        <v>0.46400000000000002</v>
      </c>
      <c r="E4051" s="2">
        <v>7</v>
      </c>
      <c r="F4051" s="2" t="s">
        <v>31</v>
      </c>
    </row>
    <row r="4052" spans="1:6" ht="25.5">
      <c r="A4052" s="2">
        <v>4049</v>
      </c>
      <c r="B4052" s="2" t="s">
        <v>4128</v>
      </c>
      <c r="C4052" s="2" t="str">
        <f>"10990526"</f>
        <v>10990526</v>
      </c>
      <c r="D4052" s="2">
        <v>0.36899999999999999</v>
      </c>
      <c r="E4052" s="2">
        <v>18</v>
      </c>
      <c r="F4052" s="2" t="s">
        <v>6</v>
      </c>
    </row>
    <row r="4053" spans="1:6" ht="25.5">
      <c r="A4053" s="2">
        <v>4050</v>
      </c>
      <c r="B4053" s="2" t="s">
        <v>4129</v>
      </c>
      <c r="C4053" s="2" t="str">
        <f>"08912513"</f>
        <v>08912513</v>
      </c>
      <c r="D4053" s="2">
        <v>0</v>
      </c>
      <c r="E4053" s="2">
        <v>1</v>
      </c>
      <c r="F4053" s="2" t="s">
        <v>6</v>
      </c>
    </row>
    <row r="4054" spans="1:6" ht="25.5">
      <c r="A4054" s="2">
        <v>4051</v>
      </c>
      <c r="B4054" s="2" t="s">
        <v>4130</v>
      </c>
      <c r="C4054" s="2" t="str">
        <f>"17476941"</f>
        <v>17476941</v>
      </c>
      <c r="D4054" s="2">
        <v>0.52900000000000003</v>
      </c>
      <c r="E4054" s="2">
        <v>6</v>
      </c>
      <c r="F4054" s="2" t="s">
        <v>16</v>
      </c>
    </row>
    <row r="4055" spans="1:6" ht="25.5">
      <c r="A4055" s="2">
        <v>4052</v>
      </c>
      <c r="B4055" s="2" t="s">
        <v>4131</v>
      </c>
      <c r="C4055" s="2" t="str">
        <f>"11316993"</f>
        <v>11316993</v>
      </c>
      <c r="D4055" s="2">
        <v>0.14199999999999999</v>
      </c>
      <c r="E4055" s="2">
        <v>1</v>
      </c>
      <c r="F4055" s="2" t="s">
        <v>351</v>
      </c>
    </row>
    <row r="4056" spans="1:6" ht="25.5">
      <c r="A4056" s="2">
        <v>4053</v>
      </c>
      <c r="B4056" s="2" t="s">
        <v>4132</v>
      </c>
      <c r="C4056" s="2" t="str">
        <f>"15685543"</f>
        <v>15685543</v>
      </c>
      <c r="D4056" s="2">
        <v>0.28100000000000003</v>
      </c>
      <c r="E4056" s="2">
        <v>24</v>
      </c>
      <c r="F4056" s="2" t="s">
        <v>16</v>
      </c>
    </row>
    <row r="4057" spans="1:6" ht="25.5">
      <c r="A4057" s="2">
        <v>4054</v>
      </c>
      <c r="B4057" s="2" t="s">
        <v>4133</v>
      </c>
      <c r="C4057" s="2" t="str">
        <f>"21522073"</f>
        <v>21522073</v>
      </c>
      <c r="D4057" s="2">
        <v>0.159</v>
      </c>
      <c r="E4057" s="2">
        <v>1</v>
      </c>
      <c r="F4057" s="2" t="s">
        <v>6</v>
      </c>
    </row>
    <row r="4058" spans="1:6" ht="25.5">
      <c r="A4058" s="2">
        <v>4055</v>
      </c>
      <c r="B4058" s="2" t="s">
        <v>4134</v>
      </c>
      <c r="C4058" s="2" t="str">
        <f>"1359835X"</f>
        <v>1359835X</v>
      </c>
      <c r="D4058" s="2">
        <v>1.423</v>
      </c>
      <c r="E4058" s="2">
        <v>77</v>
      </c>
      <c r="F4058" s="2" t="s">
        <v>16</v>
      </c>
    </row>
    <row r="4059" spans="1:6" ht="25.5">
      <c r="A4059" s="2">
        <v>4056</v>
      </c>
      <c r="B4059" s="2" t="s">
        <v>4135</v>
      </c>
      <c r="C4059" s="2" t="str">
        <f>"13598368"</f>
        <v>13598368</v>
      </c>
      <c r="D4059" s="2">
        <v>1.101</v>
      </c>
      <c r="E4059" s="2">
        <v>54</v>
      </c>
      <c r="F4059" s="2" t="s">
        <v>16</v>
      </c>
    </row>
    <row r="4060" spans="1:6" ht="25.5">
      <c r="A4060" s="2">
        <v>4057</v>
      </c>
      <c r="B4060" s="2" t="s">
        <v>4136</v>
      </c>
      <c r="C4060" s="2" t="str">
        <f>"02663538"</f>
        <v>02663538</v>
      </c>
      <c r="D4060" s="2">
        <v>1.7190000000000001</v>
      </c>
      <c r="E4060" s="2">
        <v>105</v>
      </c>
      <c r="F4060" s="2" t="s">
        <v>75</v>
      </c>
    </row>
    <row r="4061" spans="1:6" ht="25.5">
      <c r="A4061" s="2">
        <v>4058</v>
      </c>
      <c r="B4061" s="2" t="s">
        <v>4137</v>
      </c>
      <c r="C4061" s="2" t="str">
        <f>"02638223"</f>
        <v>02638223</v>
      </c>
      <c r="D4061" s="2">
        <v>1.681</v>
      </c>
      <c r="E4061" s="2">
        <v>61</v>
      </c>
      <c r="F4061" s="2" t="s">
        <v>75</v>
      </c>
    </row>
    <row r="4062" spans="1:6" ht="25.5">
      <c r="A4062" s="2">
        <v>4059</v>
      </c>
      <c r="B4062" s="2" t="s">
        <v>4138</v>
      </c>
      <c r="C4062" s="2" t="str">
        <f>"15705846"</f>
        <v>15705846</v>
      </c>
      <c r="D4062" s="2">
        <v>2.4430000000000001</v>
      </c>
      <c r="E4062" s="2">
        <v>29</v>
      </c>
      <c r="F4062" s="2" t="s">
        <v>16</v>
      </c>
    </row>
    <row r="4063" spans="1:6" ht="25.5">
      <c r="A4063" s="2">
        <v>4060</v>
      </c>
      <c r="B4063" s="2" t="s">
        <v>4139</v>
      </c>
      <c r="C4063" s="2" t="str">
        <f>"1065657X"</f>
        <v>1065657X</v>
      </c>
      <c r="D4063" s="2">
        <v>0.316</v>
      </c>
      <c r="E4063" s="2">
        <v>36</v>
      </c>
      <c r="F4063" s="2" t="s">
        <v>6</v>
      </c>
    </row>
    <row r="4064" spans="1:6" ht="25.5">
      <c r="A4064" s="2">
        <v>4061</v>
      </c>
      <c r="B4064" s="2" t="s">
        <v>4140</v>
      </c>
      <c r="C4064" s="2" t="str">
        <f>"0166526X"</f>
        <v>0166526X</v>
      </c>
      <c r="D4064" s="2">
        <v>0.11600000000000001</v>
      </c>
      <c r="E4064" s="2">
        <v>7</v>
      </c>
      <c r="F4064" s="2" t="s">
        <v>75</v>
      </c>
    </row>
    <row r="4065" spans="1:6" ht="25.5">
      <c r="A4065" s="2">
        <v>4062</v>
      </c>
      <c r="B4065" s="2" t="s">
        <v>4141</v>
      </c>
      <c r="C4065" s="2" t="str">
        <f>"20404603"</f>
        <v>20404603</v>
      </c>
      <c r="D4065" s="2">
        <v>0.27400000000000002</v>
      </c>
      <c r="E4065" s="2">
        <v>4</v>
      </c>
      <c r="F4065" s="2" t="s">
        <v>6</v>
      </c>
    </row>
    <row r="4066" spans="1:6" ht="25.5">
      <c r="A4066" s="2">
        <v>4063</v>
      </c>
      <c r="B4066" s="2" t="s">
        <v>4142</v>
      </c>
      <c r="C4066" s="2" t="str">
        <f>"15328384"</f>
        <v>15328384</v>
      </c>
      <c r="D4066" s="2">
        <v>1.016</v>
      </c>
      <c r="E4066" s="2">
        <v>65</v>
      </c>
      <c r="F4066" s="2" t="s">
        <v>16</v>
      </c>
    </row>
    <row r="4067" spans="1:6" ht="25.5">
      <c r="A4067" s="2">
        <v>4064</v>
      </c>
      <c r="B4067" s="2" t="s">
        <v>4143</v>
      </c>
      <c r="C4067" s="2" t="str">
        <f>"15414337"</f>
        <v>15414337</v>
      </c>
      <c r="D4067" s="2">
        <v>2.302</v>
      </c>
      <c r="E4067" s="2">
        <v>30</v>
      </c>
      <c r="F4067" s="2" t="s">
        <v>6</v>
      </c>
    </row>
    <row r="4068" spans="1:6" ht="25.5">
      <c r="A4068" s="2">
        <v>4065</v>
      </c>
      <c r="B4068" s="2" t="s">
        <v>4144</v>
      </c>
      <c r="C4068" s="2" t="str">
        <f>"16310691"</f>
        <v>16310691</v>
      </c>
      <c r="D4068" s="2">
        <v>0.65400000000000003</v>
      </c>
      <c r="E4068" s="2">
        <v>52</v>
      </c>
      <c r="F4068" s="2" t="s">
        <v>66</v>
      </c>
    </row>
    <row r="4069" spans="1:6" ht="25.5">
      <c r="A4069" s="2">
        <v>4066</v>
      </c>
      <c r="B4069" s="2" t="s">
        <v>4145</v>
      </c>
      <c r="C4069" s="2" t="str">
        <f>"16310748"</f>
        <v>16310748</v>
      </c>
      <c r="D4069" s="2">
        <v>0.63300000000000001</v>
      </c>
      <c r="E4069" s="2">
        <v>45</v>
      </c>
      <c r="F4069" s="2" t="s">
        <v>66</v>
      </c>
    </row>
    <row r="4070" spans="1:6">
      <c r="A4070" s="2">
        <v>4067</v>
      </c>
      <c r="B4070" s="2" t="s">
        <v>4146</v>
      </c>
      <c r="C4070" s="2" t="str">
        <f>"0"</f>
        <v>0</v>
      </c>
      <c r="D4070" s="2">
        <v>0.20100000000000001</v>
      </c>
      <c r="E4070" s="2">
        <v>6</v>
      </c>
      <c r="F4070" s="2" t="s">
        <v>293</v>
      </c>
    </row>
    <row r="4071" spans="1:6" ht="25.5">
      <c r="A4071" s="2">
        <v>4068</v>
      </c>
      <c r="B4071" s="2" t="s">
        <v>4147</v>
      </c>
      <c r="C4071" s="2" t="str">
        <f>"16310713"</f>
        <v>16310713</v>
      </c>
      <c r="D4071" s="2">
        <v>0.81599999999999995</v>
      </c>
      <c r="E4071" s="2">
        <v>39</v>
      </c>
      <c r="F4071" s="2" t="s">
        <v>66</v>
      </c>
    </row>
    <row r="4072" spans="1:6" ht="25.5">
      <c r="A4072" s="2">
        <v>4069</v>
      </c>
      <c r="B4072" s="2" t="s">
        <v>4148</v>
      </c>
      <c r="C4072" s="2" t="str">
        <f>"1631073X"</f>
        <v>1631073X</v>
      </c>
      <c r="D4072" s="2">
        <v>0.89700000000000002</v>
      </c>
      <c r="E4072" s="2">
        <v>37</v>
      </c>
      <c r="F4072" s="2" t="s">
        <v>66</v>
      </c>
    </row>
    <row r="4073" spans="1:6" ht="25.5">
      <c r="A4073" s="2">
        <v>4070</v>
      </c>
      <c r="B4073" s="2" t="s">
        <v>4149</v>
      </c>
      <c r="C4073" s="2" t="str">
        <f>"16310721"</f>
        <v>16310721</v>
      </c>
      <c r="D4073" s="2">
        <v>0.32200000000000001</v>
      </c>
      <c r="E4073" s="2">
        <v>22</v>
      </c>
      <c r="F4073" s="2" t="s">
        <v>66</v>
      </c>
    </row>
    <row r="4074" spans="1:6" ht="25.5">
      <c r="A4074" s="2">
        <v>4071</v>
      </c>
      <c r="B4074" s="2" t="s">
        <v>4150</v>
      </c>
      <c r="C4074" s="2" t="str">
        <f>"16310683"</f>
        <v>16310683</v>
      </c>
      <c r="D4074" s="2">
        <v>0.47</v>
      </c>
      <c r="E4074" s="2">
        <v>27</v>
      </c>
      <c r="F4074" s="2" t="s">
        <v>66</v>
      </c>
    </row>
    <row r="4075" spans="1:6" ht="25.5">
      <c r="A4075" s="2">
        <v>4072</v>
      </c>
      <c r="B4075" s="2" t="s">
        <v>4151</v>
      </c>
      <c r="C4075" s="2" t="str">
        <f>"16310705"</f>
        <v>16310705</v>
      </c>
      <c r="D4075" s="2">
        <v>1.01</v>
      </c>
      <c r="E4075" s="2">
        <v>37</v>
      </c>
      <c r="F4075" s="2" t="s">
        <v>66</v>
      </c>
    </row>
    <row r="4076" spans="1:6" ht="25.5">
      <c r="A4076" s="2">
        <v>4073</v>
      </c>
      <c r="B4076" s="2" t="s">
        <v>4152</v>
      </c>
      <c r="C4076" s="2" t="str">
        <f>"14055546"</f>
        <v>14055546</v>
      </c>
      <c r="D4076" s="2">
        <v>0</v>
      </c>
      <c r="E4076" s="2">
        <v>1</v>
      </c>
      <c r="F4076" s="2" t="s">
        <v>200</v>
      </c>
    </row>
    <row r="4077" spans="1:6" ht="25.5">
      <c r="A4077" s="2">
        <v>4074</v>
      </c>
      <c r="B4077" s="2" t="s">
        <v>4153</v>
      </c>
      <c r="C4077" s="2" t="str">
        <f>"01018205"</f>
        <v>01018205</v>
      </c>
      <c r="D4077" s="2">
        <v>0.59</v>
      </c>
      <c r="E4077" s="2">
        <v>9</v>
      </c>
      <c r="F4077" s="2" t="s">
        <v>6</v>
      </c>
    </row>
    <row r="4078" spans="1:6" ht="25.5">
      <c r="A4078" s="2">
        <v>4075</v>
      </c>
      <c r="B4078" s="2" t="s">
        <v>4154</v>
      </c>
      <c r="C4078" s="2" t="str">
        <f>"17486718"</f>
        <v>17486718</v>
      </c>
      <c r="D4078" s="2">
        <v>0.217</v>
      </c>
      <c r="E4078" s="2">
        <v>14</v>
      </c>
      <c r="F4078" s="2" t="s">
        <v>6</v>
      </c>
    </row>
    <row r="4079" spans="1:6" ht="25.5">
      <c r="A4079" s="2">
        <v>4076</v>
      </c>
      <c r="B4079" s="2" t="s">
        <v>4155</v>
      </c>
      <c r="C4079" s="2" t="str">
        <f>"1381298X"</f>
        <v>1381298X</v>
      </c>
      <c r="D4079" s="2">
        <v>0.36499999999999999</v>
      </c>
      <c r="E4079" s="2">
        <v>12</v>
      </c>
      <c r="F4079" s="2" t="s">
        <v>75</v>
      </c>
    </row>
    <row r="4080" spans="1:6" ht="25.5">
      <c r="A4080" s="2">
        <v>4077</v>
      </c>
      <c r="B4080" s="2" t="s">
        <v>4156</v>
      </c>
      <c r="C4080" s="2" t="str">
        <f>"2210271X"</f>
        <v>2210271X</v>
      </c>
      <c r="D4080" s="2">
        <v>0.48599999999999999</v>
      </c>
      <c r="E4080" s="2">
        <v>57</v>
      </c>
      <c r="F4080" s="2" t="s">
        <v>75</v>
      </c>
    </row>
    <row r="4081" spans="1:6" ht="25.5">
      <c r="A4081" s="2">
        <v>4078</v>
      </c>
      <c r="B4081" s="2" t="s">
        <v>4157</v>
      </c>
      <c r="C4081" s="2" t="str">
        <f>"14769271"</f>
        <v>14769271</v>
      </c>
      <c r="D4081" s="2">
        <v>0.55800000000000005</v>
      </c>
      <c r="E4081" s="2">
        <v>39</v>
      </c>
      <c r="F4081" s="2" t="s">
        <v>16</v>
      </c>
    </row>
    <row r="4082" spans="1:6" ht="25.5">
      <c r="A4082" s="2">
        <v>4079</v>
      </c>
      <c r="B4082" s="2" t="s">
        <v>4158</v>
      </c>
      <c r="C4082" s="2" t="str">
        <f>"14208954"</f>
        <v>14208954</v>
      </c>
      <c r="D4082" s="2">
        <v>1.2669999999999999</v>
      </c>
      <c r="E4082" s="2">
        <v>21</v>
      </c>
      <c r="F4082" s="2" t="s">
        <v>31</v>
      </c>
    </row>
    <row r="4083" spans="1:6" ht="25.5">
      <c r="A4083" s="2">
        <v>4080</v>
      </c>
      <c r="B4083" s="2" t="s">
        <v>4159</v>
      </c>
      <c r="C4083" s="2" t="str">
        <f>"15729974"</f>
        <v>15729974</v>
      </c>
      <c r="D4083" s="2">
        <v>0.308</v>
      </c>
      <c r="E4083" s="2">
        <v>23</v>
      </c>
      <c r="F4083" s="2" t="s">
        <v>75</v>
      </c>
    </row>
    <row r="4084" spans="1:6" ht="25.5">
      <c r="A4084" s="2">
        <v>4081</v>
      </c>
      <c r="B4084" s="2" t="s">
        <v>4160</v>
      </c>
      <c r="C4084" s="2" t="str">
        <f>"09257721"</f>
        <v>09257721</v>
      </c>
      <c r="D4084" s="2">
        <v>0.99299999999999999</v>
      </c>
      <c r="E4084" s="2">
        <v>31</v>
      </c>
      <c r="F4084" s="2" t="s">
        <v>75</v>
      </c>
    </row>
    <row r="4085" spans="1:6" ht="25.5">
      <c r="A4085" s="2">
        <v>4082</v>
      </c>
      <c r="B4085" s="2" t="s">
        <v>4161</v>
      </c>
      <c r="C4085" s="2" t="str">
        <f>"14200597"</f>
        <v>14200597</v>
      </c>
      <c r="D4085" s="2">
        <v>0.93400000000000005</v>
      </c>
      <c r="E4085" s="2">
        <v>28</v>
      </c>
      <c r="F4085" s="2" t="s">
        <v>75</v>
      </c>
    </row>
    <row r="4086" spans="1:6" ht="25.5">
      <c r="A4086" s="2">
        <v>4083</v>
      </c>
      <c r="B4086" s="2" t="s">
        <v>4162</v>
      </c>
      <c r="C4086" s="2" t="str">
        <f>"14678640"</f>
        <v>14678640</v>
      </c>
      <c r="D4086" s="2">
        <v>0.78900000000000003</v>
      </c>
      <c r="E4086" s="2">
        <v>29</v>
      </c>
      <c r="F4086" s="2" t="s">
        <v>16</v>
      </c>
    </row>
    <row r="4087" spans="1:6" ht="25.5">
      <c r="A4087" s="2">
        <v>4084</v>
      </c>
      <c r="B4087" s="2" t="s">
        <v>4163</v>
      </c>
      <c r="C4087" s="2" t="str">
        <f>"16875273"</f>
        <v>16875273</v>
      </c>
      <c r="D4087" s="2">
        <v>1.2749999999999999</v>
      </c>
      <c r="E4087" s="2">
        <v>18</v>
      </c>
      <c r="F4087" s="2" t="s">
        <v>6</v>
      </c>
    </row>
    <row r="4088" spans="1:6" ht="25.5">
      <c r="A4088" s="2">
        <v>4085</v>
      </c>
      <c r="B4088" s="2" t="s">
        <v>4164</v>
      </c>
      <c r="C4088" s="2" t="str">
        <f>"15309312"</f>
        <v>15309312</v>
      </c>
      <c r="D4088" s="2">
        <v>1.2390000000000001</v>
      </c>
      <c r="E4088" s="2">
        <v>53</v>
      </c>
      <c r="F4088" s="2" t="s">
        <v>6</v>
      </c>
    </row>
    <row r="4089" spans="1:6" ht="25.5">
      <c r="A4089" s="2">
        <v>4086</v>
      </c>
      <c r="B4089" s="2" t="s">
        <v>4165</v>
      </c>
      <c r="C4089" s="2" t="str">
        <f>"16196988"</f>
        <v>16196988</v>
      </c>
      <c r="D4089" s="2">
        <v>0.69199999999999995</v>
      </c>
      <c r="E4089" s="2">
        <v>11</v>
      </c>
      <c r="F4089" s="2" t="s">
        <v>12</v>
      </c>
    </row>
    <row r="4090" spans="1:6" ht="25.5">
      <c r="A4090" s="2">
        <v>4087</v>
      </c>
      <c r="B4090" s="2" t="s">
        <v>4166</v>
      </c>
      <c r="C4090" s="2" t="str">
        <f>"09270256"</f>
        <v>09270256</v>
      </c>
      <c r="D4090" s="2">
        <v>0.97699999999999998</v>
      </c>
      <c r="E4090" s="2">
        <v>52</v>
      </c>
      <c r="F4090" s="2" t="s">
        <v>75</v>
      </c>
    </row>
    <row r="4091" spans="1:6" ht="25.5">
      <c r="A4091" s="2">
        <v>4088</v>
      </c>
      <c r="B4091" s="2" t="s">
        <v>4167</v>
      </c>
      <c r="C4091" s="2" t="str">
        <f>"09655425"</f>
        <v>09655425</v>
      </c>
      <c r="D4091" s="2">
        <v>0.32500000000000001</v>
      </c>
      <c r="E4091" s="2">
        <v>13</v>
      </c>
      <c r="F4091" s="2" t="s">
        <v>129</v>
      </c>
    </row>
    <row r="4092" spans="1:6" ht="25.5">
      <c r="A4092" s="2">
        <v>4089</v>
      </c>
      <c r="B4092" s="2" t="s">
        <v>4168</v>
      </c>
      <c r="C4092" s="2" t="str">
        <f>"1046283X"</f>
        <v>1046283X</v>
      </c>
      <c r="D4092" s="2">
        <v>0.13200000000000001</v>
      </c>
      <c r="E4092" s="2">
        <v>5</v>
      </c>
      <c r="F4092" s="2" t="s">
        <v>6</v>
      </c>
    </row>
    <row r="4093" spans="1:6" ht="25.5">
      <c r="A4093" s="2">
        <v>4090</v>
      </c>
      <c r="B4093" s="2" t="s">
        <v>4169</v>
      </c>
      <c r="C4093" s="2" t="str">
        <f>"14320924"</f>
        <v>14320924</v>
      </c>
      <c r="D4093" s="2">
        <v>1.4039999999999999</v>
      </c>
      <c r="E4093" s="2">
        <v>55</v>
      </c>
      <c r="F4093" s="2" t="s">
        <v>12</v>
      </c>
    </row>
    <row r="4094" spans="1:6" ht="25.5">
      <c r="A4094" s="2">
        <v>4091</v>
      </c>
      <c r="B4094" s="2" t="s">
        <v>4170</v>
      </c>
      <c r="C4094" s="2" t="str">
        <f>"16179447"</f>
        <v>16179447</v>
      </c>
      <c r="D4094" s="2">
        <v>0.25900000000000001</v>
      </c>
      <c r="E4094" s="2">
        <v>2</v>
      </c>
      <c r="F4094" s="2" t="s">
        <v>12</v>
      </c>
    </row>
    <row r="4095" spans="1:6" ht="25.5">
      <c r="A4095" s="2">
        <v>4092</v>
      </c>
      <c r="B4095" s="2" t="s">
        <v>4171</v>
      </c>
      <c r="C4095" s="2" t="str">
        <f>"15732894"</f>
        <v>15732894</v>
      </c>
      <c r="D4095" s="2">
        <v>1.28</v>
      </c>
      <c r="E4095" s="2">
        <v>42</v>
      </c>
      <c r="F4095" s="2" t="s">
        <v>75</v>
      </c>
    </row>
    <row r="4096" spans="1:6" ht="25.5">
      <c r="A4096" s="2">
        <v>4093</v>
      </c>
      <c r="B4096" s="2" t="s">
        <v>4172</v>
      </c>
      <c r="C4096" s="2" t="str">
        <f>"17494680"</f>
        <v>17494680</v>
      </c>
      <c r="D4096" s="2">
        <v>0.82899999999999996</v>
      </c>
      <c r="E4096" s="2">
        <v>7</v>
      </c>
      <c r="F4096" s="2" t="s">
        <v>16</v>
      </c>
    </row>
    <row r="4097" spans="1:6" ht="25.5">
      <c r="A4097" s="2">
        <v>4094</v>
      </c>
      <c r="B4097" s="2" t="s">
        <v>4173</v>
      </c>
      <c r="C4097" s="2" t="str">
        <f>"09434062"</f>
        <v>09434062</v>
      </c>
      <c r="D4097" s="2">
        <v>0.27400000000000002</v>
      </c>
      <c r="E4097" s="2">
        <v>21</v>
      </c>
      <c r="F4097" s="2" t="s">
        <v>12</v>
      </c>
    </row>
    <row r="4098" spans="1:6" ht="25.5">
      <c r="A4098" s="2">
        <v>4095</v>
      </c>
      <c r="B4098" s="2" t="s">
        <v>4174</v>
      </c>
      <c r="C4098" s="2" t="str">
        <f>"01679473"</f>
        <v>01679473</v>
      </c>
      <c r="D4098" s="2">
        <v>1.244</v>
      </c>
      <c r="E4098" s="2">
        <v>51</v>
      </c>
      <c r="F4098" s="2" t="s">
        <v>75</v>
      </c>
    </row>
    <row r="4099" spans="1:6" ht="25.5">
      <c r="A4099" s="2">
        <v>4096</v>
      </c>
      <c r="B4099" s="2" t="s">
        <v>4175</v>
      </c>
      <c r="C4099" s="2" t="str">
        <f>"19402554"</f>
        <v>19402554</v>
      </c>
      <c r="D4099" s="2">
        <v>0.28699999999999998</v>
      </c>
      <c r="E4099" s="2">
        <v>5</v>
      </c>
      <c r="F4099" s="2" t="s">
        <v>6</v>
      </c>
    </row>
    <row r="4100" spans="1:6" ht="25.5">
      <c r="A4100" s="2">
        <v>4097</v>
      </c>
      <c r="B4100" s="2" t="s">
        <v>4176</v>
      </c>
      <c r="C4100" s="2" t="str">
        <f>"15707946"</f>
        <v>15707946</v>
      </c>
      <c r="D4100" s="2">
        <v>0.17899999999999999</v>
      </c>
      <c r="E4100" s="2">
        <v>11</v>
      </c>
      <c r="F4100" s="2" t="s">
        <v>75</v>
      </c>
    </row>
    <row r="4101" spans="1:6" ht="25.5">
      <c r="A4101" s="2">
        <v>4098</v>
      </c>
      <c r="B4101" s="2" t="s">
        <v>4177</v>
      </c>
      <c r="C4101" s="2" t="str">
        <f>"14678667"</f>
        <v>14678667</v>
      </c>
      <c r="D4101" s="2">
        <v>0.749</v>
      </c>
      <c r="E4101" s="2">
        <v>34</v>
      </c>
      <c r="F4101" s="2" t="s">
        <v>16</v>
      </c>
    </row>
    <row r="4102" spans="1:6" ht="25.5">
      <c r="A4102" s="2">
        <v>4099</v>
      </c>
      <c r="B4102" s="2" t="s">
        <v>4178</v>
      </c>
      <c r="C4102" s="2" t="str">
        <f>"16864360"</f>
        <v>16864360</v>
      </c>
      <c r="D4102" s="2">
        <v>0.35899999999999999</v>
      </c>
      <c r="E4102" s="2">
        <v>15</v>
      </c>
      <c r="F4102" s="2" t="s">
        <v>6</v>
      </c>
    </row>
    <row r="4103" spans="1:6" ht="25.5">
      <c r="A4103" s="2">
        <v>4100</v>
      </c>
      <c r="B4103" s="2" t="s">
        <v>4179</v>
      </c>
      <c r="C4103" s="2" t="str">
        <f>"01678396"</f>
        <v>01678396</v>
      </c>
      <c r="D4103" s="2">
        <v>0.76800000000000002</v>
      </c>
      <c r="E4103" s="2">
        <v>46</v>
      </c>
      <c r="F4103" s="2" t="s">
        <v>75</v>
      </c>
    </row>
    <row r="4104" spans="1:6" ht="25.5">
      <c r="A4104" s="2">
        <v>4101</v>
      </c>
      <c r="B4104" s="2" t="s">
        <v>4180</v>
      </c>
      <c r="C4104" s="2" t="str">
        <f>"10970150"</f>
        <v>10970150</v>
      </c>
      <c r="D4104" s="2">
        <v>0.23400000000000001</v>
      </c>
      <c r="E4104" s="2">
        <v>45</v>
      </c>
      <c r="F4104" s="2" t="s">
        <v>16</v>
      </c>
    </row>
    <row r="4105" spans="1:6" ht="25.5">
      <c r="A4105" s="2">
        <v>4102</v>
      </c>
      <c r="B4105" s="2" t="s">
        <v>4181</v>
      </c>
      <c r="C4105" s="2" t="str">
        <f>"15464261"</f>
        <v>15464261</v>
      </c>
      <c r="D4105" s="2">
        <v>0.54300000000000004</v>
      </c>
      <c r="E4105" s="2">
        <v>28</v>
      </c>
      <c r="F4105" s="2" t="s">
        <v>16</v>
      </c>
    </row>
    <row r="4106" spans="1:6" ht="25.5">
      <c r="A4106" s="2">
        <v>4103</v>
      </c>
      <c r="B4106" s="2" t="s">
        <v>4182</v>
      </c>
      <c r="C4106" s="2" t="str">
        <f>"10990542"</f>
        <v>10990542</v>
      </c>
      <c r="D4106" s="2">
        <v>0.34200000000000003</v>
      </c>
      <c r="E4106" s="2">
        <v>15</v>
      </c>
      <c r="F4106" s="2" t="s">
        <v>6</v>
      </c>
    </row>
    <row r="4107" spans="1:6" ht="25.5">
      <c r="A4107" s="2">
        <v>4104</v>
      </c>
      <c r="B4107" s="2" t="s">
        <v>4183</v>
      </c>
      <c r="C4107" s="2" t="str">
        <f>"09588221"</f>
        <v>09588221</v>
      </c>
      <c r="D4107" s="2">
        <v>1.133</v>
      </c>
      <c r="E4107" s="2">
        <v>14</v>
      </c>
      <c r="F4107" s="2" t="s">
        <v>16</v>
      </c>
    </row>
    <row r="4108" spans="1:6" ht="25.5">
      <c r="A4108" s="2">
        <v>4105</v>
      </c>
      <c r="B4108" s="2" t="s">
        <v>4184</v>
      </c>
      <c r="C4108" s="2" t="str">
        <f>"1232308X"</f>
        <v>1232308X</v>
      </c>
      <c r="D4108" s="2">
        <v>0.10100000000000001</v>
      </c>
      <c r="E4108" s="2">
        <v>13</v>
      </c>
      <c r="F4108" s="2" t="s">
        <v>169</v>
      </c>
    </row>
    <row r="4109" spans="1:6" ht="25.5">
      <c r="A4109" s="2">
        <v>4106</v>
      </c>
      <c r="B4109" s="2" t="s">
        <v>4185</v>
      </c>
      <c r="C4109" s="2" t="str">
        <f>"18616429"</f>
        <v>18616429</v>
      </c>
      <c r="D4109" s="2">
        <v>0.443</v>
      </c>
      <c r="E4109" s="2">
        <v>17</v>
      </c>
      <c r="F4109" s="2" t="s">
        <v>12</v>
      </c>
    </row>
    <row r="4110" spans="1:6" ht="25.5">
      <c r="A4110" s="2">
        <v>4107</v>
      </c>
      <c r="B4110" s="2" t="s">
        <v>4186</v>
      </c>
      <c r="C4110" s="2" t="str">
        <f>"01464833"</f>
        <v>01464833</v>
      </c>
      <c r="D4110" s="2">
        <v>1.369</v>
      </c>
      <c r="E4110" s="2">
        <v>86</v>
      </c>
      <c r="F4110" s="2" t="s">
        <v>6</v>
      </c>
    </row>
    <row r="4111" spans="1:6" ht="25.5">
      <c r="A4111" s="2">
        <v>4108</v>
      </c>
      <c r="B4111" s="2" t="s">
        <v>4187</v>
      </c>
      <c r="C4111" s="2" t="str">
        <f>"01403664"</f>
        <v>01403664</v>
      </c>
      <c r="D4111" s="2">
        <v>0.85899999999999999</v>
      </c>
      <c r="E4111" s="2">
        <v>53</v>
      </c>
      <c r="F4111" s="2" t="s">
        <v>75</v>
      </c>
    </row>
    <row r="4112" spans="1:6" ht="25.5">
      <c r="A4112" s="2">
        <v>4109</v>
      </c>
      <c r="B4112" s="2" t="s">
        <v>4188</v>
      </c>
      <c r="C4112" s="2" t="str">
        <f>"13613723"</f>
        <v>13613723</v>
      </c>
      <c r="D4112" s="2">
        <v>0.187</v>
      </c>
      <c r="E4112" s="2">
        <v>9</v>
      </c>
      <c r="F4112" s="2" t="s">
        <v>75</v>
      </c>
    </row>
    <row r="4113" spans="1:6" ht="25.5">
      <c r="A4113" s="2">
        <v>4110</v>
      </c>
      <c r="B4113" s="2" t="s">
        <v>4189</v>
      </c>
      <c r="C4113" s="2" t="str">
        <f>"14678659"</f>
        <v>14678659</v>
      </c>
      <c r="D4113" s="2">
        <v>2.0219999999999998</v>
      </c>
      <c r="E4113" s="2">
        <v>58</v>
      </c>
      <c r="F4113" s="2" t="s">
        <v>16</v>
      </c>
    </row>
    <row r="4114" spans="1:6" ht="25.5">
      <c r="A4114" s="2">
        <v>4111</v>
      </c>
      <c r="B4114" s="2" t="s">
        <v>4190</v>
      </c>
      <c r="C4114" s="2" t="str">
        <f>"08956111"</f>
        <v>08956111</v>
      </c>
      <c r="D4114" s="2">
        <v>0.60699999999999998</v>
      </c>
      <c r="E4114" s="2">
        <v>40</v>
      </c>
      <c r="F4114" s="2" t="s">
        <v>16</v>
      </c>
    </row>
    <row r="4115" spans="1:6" ht="25.5">
      <c r="A4115" s="2">
        <v>4112</v>
      </c>
      <c r="B4115" s="2" t="s">
        <v>4191</v>
      </c>
      <c r="C4115" s="2" t="str">
        <f>"14602067"</f>
        <v>14602067</v>
      </c>
      <c r="D4115" s="2">
        <v>0.63300000000000001</v>
      </c>
      <c r="E4115" s="2">
        <v>35</v>
      </c>
      <c r="F4115" s="2" t="s">
        <v>16</v>
      </c>
    </row>
    <row r="4116" spans="1:6" ht="25.5">
      <c r="A4116" s="2">
        <v>4113</v>
      </c>
      <c r="B4116" s="2" t="s">
        <v>4192</v>
      </c>
      <c r="C4116" s="2" t="str">
        <f>"14778424"</f>
        <v>14778424</v>
      </c>
      <c r="D4116" s="2">
        <v>0.27800000000000002</v>
      </c>
      <c r="E4116" s="2">
        <v>13</v>
      </c>
      <c r="F4116" s="2" t="s">
        <v>16</v>
      </c>
    </row>
    <row r="4117" spans="1:6" ht="25.5">
      <c r="A4117" s="2">
        <v>4114</v>
      </c>
      <c r="B4117" s="2" t="s">
        <v>4193</v>
      </c>
      <c r="C4117" s="2" t="str">
        <f>"02673649"</f>
        <v>02673649</v>
      </c>
      <c r="D4117" s="2">
        <v>0.32400000000000001</v>
      </c>
      <c r="E4117" s="2">
        <v>9</v>
      </c>
      <c r="F4117" s="2" t="s">
        <v>16</v>
      </c>
    </row>
    <row r="4118" spans="1:6" ht="25.5">
      <c r="A4118" s="2">
        <v>4115</v>
      </c>
      <c r="B4118" s="2" t="s">
        <v>4194</v>
      </c>
      <c r="C4118" s="2" t="str">
        <f>"01692607"</f>
        <v>01692607</v>
      </c>
      <c r="D4118" s="2">
        <v>0.47599999999999998</v>
      </c>
      <c r="E4118" s="2">
        <v>48</v>
      </c>
      <c r="F4118" s="2" t="s">
        <v>732</v>
      </c>
    </row>
    <row r="4119" spans="1:6" ht="25.5">
      <c r="A4119" s="2">
        <v>4116</v>
      </c>
      <c r="B4119" s="2" t="s">
        <v>4195</v>
      </c>
      <c r="C4119" s="2" t="str">
        <f>"00457825"</f>
        <v>00457825</v>
      </c>
      <c r="D4119" s="2">
        <v>2.3769999999999998</v>
      </c>
      <c r="E4119" s="2">
        <v>107</v>
      </c>
      <c r="F4119" s="2" t="s">
        <v>75</v>
      </c>
    </row>
    <row r="4120" spans="1:6" ht="25.5">
      <c r="A4120" s="2">
        <v>4117</v>
      </c>
      <c r="B4120" s="2" t="s">
        <v>4196</v>
      </c>
      <c r="C4120" s="2" t="str">
        <f>"10255842"</f>
        <v>10255842</v>
      </c>
      <c r="D4120" s="2">
        <v>0.375</v>
      </c>
      <c r="E4120" s="2">
        <v>29</v>
      </c>
      <c r="F4120" s="2" t="s">
        <v>16</v>
      </c>
    </row>
    <row r="4121" spans="1:6" ht="25.5">
      <c r="A4121" s="2">
        <v>4118</v>
      </c>
      <c r="B4121" s="2" t="s">
        <v>4197</v>
      </c>
      <c r="C4121" s="2" t="str">
        <f>"15315169"</f>
        <v>15315169</v>
      </c>
      <c r="D4121" s="2">
        <v>0.47299999999999998</v>
      </c>
      <c r="E4121" s="2">
        <v>24</v>
      </c>
      <c r="F4121" s="2" t="s">
        <v>6</v>
      </c>
    </row>
    <row r="4122" spans="1:6" ht="25.5">
      <c r="A4122" s="2">
        <v>4119</v>
      </c>
      <c r="B4122" s="2" t="s">
        <v>4198</v>
      </c>
      <c r="C4122" s="2" t="str">
        <f>"13891286"</f>
        <v>13891286</v>
      </c>
      <c r="D4122" s="2">
        <v>1.252</v>
      </c>
      <c r="E4122" s="2">
        <v>70</v>
      </c>
      <c r="F4122" s="2" t="s">
        <v>75</v>
      </c>
    </row>
    <row r="4123" spans="1:6" ht="25.5">
      <c r="A4123" s="2">
        <v>4120</v>
      </c>
      <c r="B4123" s="2" t="s">
        <v>4199</v>
      </c>
      <c r="C4123" s="2" t="str">
        <f>"01342452"</f>
        <v>01342452</v>
      </c>
      <c r="D4123" s="2">
        <v>0</v>
      </c>
      <c r="E4123" s="2">
        <v>2</v>
      </c>
      <c r="F4123" s="2" t="s">
        <v>129</v>
      </c>
    </row>
    <row r="4124" spans="1:6" ht="25.5">
      <c r="A4124" s="2">
        <v>4121</v>
      </c>
      <c r="B4124" s="2" t="s">
        <v>4200</v>
      </c>
      <c r="C4124" s="2" t="str">
        <f>"00104655"</f>
        <v>00104655</v>
      </c>
      <c r="D4124" s="2">
        <v>1.875</v>
      </c>
      <c r="E4124" s="2">
        <v>91</v>
      </c>
      <c r="F4124" s="2" t="s">
        <v>75</v>
      </c>
    </row>
    <row r="4125" spans="1:6" ht="25.5">
      <c r="A4125" s="2">
        <v>4122</v>
      </c>
      <c r="B4125" s="2" t="s">
        <v>4201</v>
      </c>
      <c r="C4125" s="2" t="str">
        <f>"00981354"</f>
        <v>00981354</v>
      </c>
      <c r="D4125" s="2">
        <v>1.071</v>
      </c>
      <c r="E4125" s="2">
        <v>79</v>
      </c>
      <c r="F4125" s="2" t="s">
        <v>75</v>
      </c>
    </row>
    <row r="4126" spans="1:6" ht="25.5">
      <c r="A4126" s="2">
        <v>4123</v>
      </c>
      <c r="B4126" s="2" t="s">
        <v>4202</v>
      </c>
      <c r="C4126" s="2" t="str">
        <f>"87554615"</f>
        <v>87554615</v>
      </c>
      <c r="D4126" s="2">
        <v>0.32600000000000001</v>
      </c>
      <c r="E4126" s="2">
        <v>17</v>
      </c>
      <c r="F4126" s="2" t="s">
        <v>16</v>
      </c>
    </row>
    <row r="4127" spans="1:6" ht="25.5">
      <c r="A4127" s="2">
        <v>4124</v>
      </c>
      <c r="B4127" s="2" t="s">
        <v>4203</v>
      </c>
      <c r="C4127" s="2" t="str">
        <f>"15988198"</f>
        <v>15988198</v>
      </c>
      <c r="D4127" s="2">
        <v>0.47099999999999997</v>
      </c>
      <c r="E4127" s="2">
        <v>9</v>
      </c>
      <c r="F4127" s="2" t="s">
        <v>274</v>
      </c>
    </row>
    <row r="4128" spans="1:6" ht="25.5">
      <c r="A4128" s="2">
        <v>4125</v>
      </c>
      <c r="B4128" s="2" t="s">
        <v>4204</v>
      </c>
      <c r="C4128" s="2" t="str">
        <f>"03601315"</f>
        <v>03601315</v>
      </c>
      <c r="D4128" s="2">
        <v>2.6080000000000001</v>
      </c>
      <c r="E4128" s="2">
        <v>62</v>
      </c>
      <c r="F4128" s="2" t="s">
        <v>16</v>
      </c>
    </row>
    <row r="4129" spans="1:6" ht="25.5">
      <c r="A4129" s="2">
        <v>4126</v>
      </c>
      <c r="B4129" s="2" t="s">
        <v>4205</v>
      </c>
      <c r="C4129" s="2" t="str">
        <f>"00457906"</f>
        <v>00457906</v>
      </c>
      <c r="D4129" s="2">
        <v>0.7</v>
      </c>
      <c r="E4129" s="2">
        <v>23</v>
      </c>
      <c r="F4129" s="2" t="s">
        <v>16</v>
      </c>
    </row>
    <row r="4130" spans="1:6" ht="25.5">
      <c r="A4130" s="2">
        <v>4127</v>
      </c>
      <c r="B4130" s="2" t="s">
        <v>4206</v>
      </c>
      <c r="C4130" s="2" t="str">
        <f>"01681699"</f>
        <v>01681699</v>
      </c>
      <c r="D4130" s="2">
        <v>0.93100000000000005</v>
      </c>
      <c r="E4130" s="2">
        <v>51</v>
      </c>
      <c r="F4130" s="2" t="s">
        <v>75</v>
      </c>
    </row>
    <row r="4131" spans="1:6" ht="25.5">
      <c r="A4131" s="2">
        <v>4128</v>
      </c>
      <c r="B4131" s="2" t="s">
        <v>4207</v>
      </c>
      <c r="C4131" s="2" t="str">
        <f>"00457930"</f>
        <v>00457930</v>
      </c>
      <c r="D4131" s="2">
        <v>1.0289999999999999</v>
      </c>
      <c r="E4131" s="2">
        <v>48</v>
      </c>
      <c r="F4131" s="2" t="s">
        <v>16</v>
      </c>
    </row>
    <row r="4132" spans="1:6" ht="25.5">
      <c r="A4132" s="2">
        <v>4129</v>
      </c>
      <c r="B4132" s="2" t="s">
        <v>4208</v>
      </c>
      <c r="C4132" s="2" t="str">
        <f>"00983004"</f>
        <v>00983004</v>
      </c>
      <c r="D4132" s="2">
        <v>0.77500000000000002</v>
      </c>
      <c r="E4132" s="2">
        <v>59</v>
      </c>
      <c r="F4132" s="2" t="s">
        <v>16</v>
      </c>
    </row>
    <row r="4133" spans="1:6" ht="25.5">
      <c r="A4133" s="2">
        <v>4130</v>
      </c>
      <c r="B4133" s="2" t="s">
        <v>4209</v>
      </c>
      <c r="C4133" s="2" t="str">
        <f>"0266352X"</f>
        <v>0266352X</v>
      </c>
      <c r="D4133" s="2">
        <v>1.917</v>
      </c>
      <c r="E4133" s="2">
        <v>41</v>
      </c>
      <c r="F4133" s="2" t="s">
        <v>75</v>
      </c>
    </row>
    <row r="4134" spans="1:6" ht="25.5">
      <c r="A4134" s="2">
        <v>4131</v>
      </c>
      <c r="B4134" s="2" t="s">
        <v>4210</v>
      </c>
      <c r="C4134" s="2" t="str">
        <f>"00978493"</f>
        <v>00978493</v>
      </c>
      <c r="D4134" s="2">
        <v>0.86699999999999999</v>
      </c>
      <c r="E4134" s="2">
        <v>40</v>
      </c>
      <c r="F4134" s="2" t="s">
        <v>16</v>
      </c>
    </row>
    <row r="4135" spans="1:6" ht="25.5">
      <c r="A4135" s="2">
        <v>4132</v>
      </c>
      <c r="B4135" s="2" t="s">
        <v>4211</v>
      </c>
      <c r="C4135" s="2" t="str">
        <f>"03608352"</f>
        <v>03608352</v>
      </c>
      <c r="D4135" s="2">
        <v>1.712</v>
      </c>
      <c r="E4135" s="2">
        <v>62</v>
      </c>
      <c r="F4135" s="2" t="s">
        <v>16</v>
      </c>
    </row>
    <row r="4136" spans="1:6" ht="25.5">
      <c r="A4136" s="2">
        <v>4133</v>
      </c>
      <c r="B4136" s="2" t="s">
        <v>4212</v>
      </c>
      <c r="C4136" s="2" t="str">
        <f>"08981221"</f>
        <v>08981221</v>
      </c>
      <c r="D4136" s="2">
        <v>1.379</v>
      </c>
      <c r="E4136" s="2">
        <v>59</v>
      </c>
      <c r="F4136" s="2" t="s">
        <v>16</v>
      </c>
    </row>
    <row r="4137" spans="1:6" ht="25.5">
      <c r="A4137" s="2">
        <v>4134</v>
      </c>
      <c r="B4137" s="2" t="s">
        <v>4213</v>
      </c>
      <c r="C4137" s="2" t="str">
        <f>"03050548"</f>
        <v>03050548</v>
      </c>
      <c r="D4137" s="2">
        <v>3.1360000000000001</v>
      </c>
      <c r="E4137" s="2">
        <v>74</v>
      </c>
      <c r="F4137" s="2" t="s">
        <v>16</v>
      </c>
    </row>
    <row r="4138" spans="1:6" ht="25.5">
      <c r="A4138" s="2">
        <v>4135</v>
      </c>
      <c r="B4138" s="2" t="s">
        <v>4214</v>
      </c>
      <c r="C4138" s="2" t="str">
        <f>"01674048"</f>
        <v>01674048</v>
      </c>
      <c r="D4138" s="2">
        <v>1.131</v>
      </c>
      <c r="E4138" s="2">
        <v>43</v>
      </c>
      <c r="F4138" s="2" t="s">
        <v>16</v>
      </c>
    </row>
    <row r="4139" spans="1:6" ht="25.5">
      <c r="A4139" s="2">
        <v>4136</v>
      </c>
      <c r="B4139" s="2" t="s">
        <v>4215</v>
      </c>
      <c r="C4139" s="2" t="str">
        <f>"00457949"</f>
        <v>00457949</v>
      </c>
      <c r="D4139" s="2">
        <v>1.3049999999999999</v>
      </c>
      <c r="E4139" s="2">
        <v>67</v>
      </c>
      <c r="F4139" s="2" t="s">
        <v>16</v>
      </c>
    </row>
    <row r="4140" spans="1:6" ht="25.5">
      <c r="A4140" s="2">
        <v>4137</v>
      </c>
      <c r="B4140" s="2" t="s">
        <v>4216</v>
      </c>
      <c r="C4140" s="2" t="str">
        <f>"18200214"</f>
        <v>18200214</v>
      </c>
      <c r="D4140" s="2">
        <v>0.371</v>
      </c>
      <c r="E4140" s="2">
        <v>8</v>
      </c>
      <c r="F4140" s="2" t="s">
        <v>212</v>
      </c>
    </row>
    <row r="4141" spans="1:6" ht="25.5">
      <c r="A4141" s="2">
        <v>4138</v>
      </c>
      <c r="B4141" s="2" t="s">
        <v>4217</v>
      </c>
      <c r="C4141" s="2" t="str">
        <f>"18652034"</f>
        <v>18652034</v>
      </c>
      <c r="D4141" s="2">
        <v>1.1539999999999999</v>
      </c>
      <c r="E4141" s="2">
        <v>9</v>
      </c>
      <c r="F4141" s="2" t="s">
        <v>12</v>
      </c>
    </row>
    <row r="4142" spans="1:6" ht="25.5">
      <c r="A4142" s="2">
        <v>4139</v>
      </c>
      <c r="B4142" s="2" t="s">
        <v>4218</v>
      </c>
      <c r="C4142" s="2" t="str">
        <f>"15740137"</f>
        <v>15740137</v>
      </c>
      <c r="D4142" s="2">
        <v>1.8680000000000001</v>
      </c>
      <c r="E4142" s="2">
        <v>11</v>
      </c>
      <c r="F4142" s="2" t="s">
        <v>732</v>
      </c>
    </row>
    <row r="4143" spans="1:6" ht="25.5">
      <c r="A4143" s="2">
        <v>4140</v>
      </c>
      <c r="B4143" s="2" t="s">
        <v>4219</v>
      </c>
      <c r="C4143" s="2" t="str">
        <f>"01989715"</f>
        <v>01989715</v>
      </c>
      <c r="D4143" s="2">
        <v>0.89500000000000002</v>
      </c>
      <c r="E4143" s="2">
        <v>40</v>
      </c>
      <c r="F4143" s="2" t="s">
        <v>16</v>
      </c>
    </row>
    <row r="4144" spans="1:6" ht="25.5">
      <c r="A4144" s="2">
        <v>4141</v>
      </c>
      <c r="B4144" s="2" t="s">
        <v>4220</v>
      </c>
      <c r="C4144" s="2" t="str">
        <f>"00104825"</f>
        <v>00104825</v>
      </c>
      <c r="D4144" s="2">
        <v>0.434</v>
      </c>
      <c r="E4144" s="2">
        <v>41</v>
      </c>
      <c r="F4144" s="2" t="s">
        <v>16</v>
      </c>
    </row>
    <row r="4145" spans="1:6" ht="25.5">
      <c r="A4145" s="2">
        <v>4142</v>
      </c>
      <c r="B4145" s="2" t="s">
        <v>4221</v>
      </c>
      <c r="C4145" s="2" t="str">
        <f>"02766574"</f>
        <v>02766574</v>
      </c>
      <c r="D4145" s="2">
        <v>0.14599999999999999</v>
      </c>
      <c r="E4145" s="2">
        <v>27</v>
      </c>
      <c r="F4145" s="2" t="s">
        <v>6</v>
      </c>
    </row>
    <row r="4146" spans="1:6" ht="25.5">
      <c r="A4146" s="2">
        <v>4143</v>
      </c>
      <c r="B4146" s="2" t="s">
        <v>4222</v>
      </c>
      <c r="C4146" s="2" t="str">
        <f>"10693769"</f>
        <v>10693769</v>
      </c>
      <c r="D4146" s="2">
        <v>0.19400000000000001</v>
      </c>
      <c r="E4146" s="2">
        <v>10</v>
      </c>
      <c r="F4146" s="2" t="s">
        <v>6</v>
      </c>
    </row>
    <row r="4147" spans="1:6" ht="25.5">
      <c r="A4147" s="2">
        <v>4144</v>
      </c>
      <c r="B4147" s="2" t="s">
        <v>4223</v>
      </c>
      <c r="C4147" s="2" t="str">
        <f>"15443574"</f>
        <v>15443574</v>
      </c>
      <c r="D4147" s="2">
        <v>0.20799999999999999</v>
      </c>
      <c r="E4147" s="2">
        <v>16</v>
      </c>
      <c r="F4147" s="2" t="s">
        <v>6</v>
      </c>
    </row>
    <row r="4148" spans="1:6" ht="25.5">
      <c r="A4148" s="2">
        <v>4145</v>
      </c>
      <c r="B4148" s="2" t="s">
        <v>4224</v>
      </c>
      <c r="C4148" s="2" t="str">
        <f>"07475632"</f>
        <v>07475632</v>
      </c>
      <c r="D4148" s="2">
        <v>1.5149999999999999</v>
      </c>
      <c r="E4148" s="2">
        <v>60</v>
      </c>
      <c r="F4148" s="2" t="s">
        <v>16</v>
      </c>
    </row>
    <row r="4149" spans="1:6" ht="25.5">
      <c r="A4149" s="2">
        <v>4146</v>
      </c>
      <c r="B4149" s="2" t="s">
        <v>4225</v>
      </c>
      <c r="C4149" s="2" t="str">
        <f>"01663615"</f>
        <v>01663615</v>
      </c>
      <c r="D4149" s="2">
        <v>1.345</v>
      </c>
      <c r="E4149" s="2">
        <v>55</v>
      </c>
      <c r="F4149" s="2" t="s">
        <v>75</v>
      </c>
    </row>
    <row r="4150" spans="1:6" ht="25.5">
      <c r="A4150" s="2">
        <v>4147</v>
      </c>
      <c r="B4150" s="2" t="s">
        <v>4226</v>
      </c>
      <c r="C4150" s="2" t="str">
        <f>"15287033"</f>
        <v>15287033</v>
      </c>
      <c r="D4150" s="2">
        <v>0.314</v>
      </c>
      <c r="E4150" s="2">
        <v>7</v>
      </c>
      <c r="F4150" s="2" t="s">
        <v>16</v>
      </c>
    </row>
    <row r="4151" spans="1:6" ht="25.5">
      <c r="A4151" s="2">
        <v>4148</v>
      </c>
      <c r="B4151" s="2" t="s">
        <v>4227</v>
      </c>
      <c r="C4151" s="2" t="str">
        <f>"15462226"</f>
        <v>15462226</v>
      </c>
      <c r="D4151" s="2">
        <v>0.41399999999999998</v>
      </c>
      <c r="E4151" s="2">
        <v>17</v>
      </c>
      <c r="F4151" s="2" t="s">
        <v>6</v>
      </c>
    </row>
    <row r="4152" spans="1:6" ht="25.5">
      <c r="A4152" s="2">
        <v>4149</v>
      </c>
      <c r="B4152" s="2" t="s">
        <v>4228</v>
      </c>
      <c r="C4152" s="2" t="str">
        <f>"02896540"</f>
        <v>02896540</v>
      </c>
      <c r="D4152" s="2">
        <v>0.11600000000000001</v>
      </c>
      <c r="E4152" s="2">
        <v>3</v>
      </c>
      <c r="F4152" s="2" t="s">
        <v>131</v>
      </c>
    </row>
    <row r="4153" spans="1:6" ht="25.5">
      <c r="A4153" s="2">
        <v>4150</v>
      </c>
      <c r="B4153" s="2" t="s">
        <v>4229</v>
      </c>
      <c r="C4153" s="2" t="str">
        <f>"10958363"</f>
        <v>10958363</v>
      </c>
      <c r="D4153" s="2">
        <v>1.6080000000000001</v>
      </c>
      <c r="E4153" s="2">
        <v>37</v>
      </c>
      <c r="F4153" s="2" t="s">
        <v>6</v>
      </c>
    </row>
    <row r="4154" spans="1:6" ht="25.5">
      <c r="A4154" s="2">
        <v>4151</v>
      </c>
      <c r="B4154" s="2" t="s">
        <v>4230</v>
      </c>
      <c r="C4154" s="2" t="str">
        <f>"09205489"</f>
        <v>09205489</v>
      </c>
      <c r="D4154" s="2">
        <v>1.0820000000000001</v>
      </c>
      <c r="E4154" s="2">
        <v>33</v>
      </c>
      <c r="F4154" s="2" t="s">
        <v>75</v>
      </c>
    </row>
    <row r="4155" spans="1:6" ht="25.5">
      <c r="A4155" s="2">
        <v>4152</v>
      </c>
      <c r="B4155" s="2" t="s">
        <v>4231</v>
      </c>
      <c r="C4155" s="2" t="str">
        <f>"15737551"</f>
        <v>15737551</v>
      </c>
      <c r="D4155" s="2">
        <v>0.94799999999999995</v>
      </c>
      <c r="E4155" s="2">
        <v>40</v>
      </c>
      <c r="F4155" s="2" t="s">
        <v>75</v>
      </c>
    </row>
    <row r="4156" spans="1:6" ht="25.5">
      <c r="A4156" s="2">
        <v>4153</v>
      </c>
      <c r="B4156" s="2" t="s">
        <v>4232</v>
      </c>
      <c r="C4156" s="2" t="str">
        <f>"02676192"</f>
        <v>02676192</v>
      </c>
      <c r="D4156" s="2">
        <v>0.10299999999999999</v>
      </c>
      <c r="E4156" s="2">
        <v>17</v>
      </c>
      <c r="F4156" s="2" t="s">
        <v>16</v>
      </c>
    </row>
    <row r="4157" spans="1:6" ht="25.5">
      <c r="A4157" s="2">
        <v>4154</v>
      </c>
      <c r="B4157" s="2" t="s">
        <v>4233</v>
      </c>
      <c r="C4157" s="2" t="str">
        <f>"1090235X"</f>
        <v>1090235X</v>
      </c>
      <c r="D4157" s="2">
        <v>1.653</v>
      </c>
      <c r="E4157" s="2">
        <v>85</v>
      </c>
      <c r="F4157" s="2" t="s">
        <v>6</v>
      </c>
    </row>
    <row r="4158" spans="1:6" ht="25.5">
      <c r="A4158" s="2">
        <v>4155</v>
      </c>
      <c r="B4158" s="2" t="s">
        <v>4234</v>
      </c>
      <c r="C4158" s="2" t="str">
        <f>"14365057"</f>
        <v>14365057</v>
      </c>
      <c r="D4158" s="2">
        <v>0.34100000000000003</v>
      </c>
      <c r="E4158" s="2">
        <v>30</v>
      </c>
      <c r="F4158" s="2" t="s">
        <v>288</v>
      </c>
    </row>
    <row r="4159" spans="1:6" ht="25.5">
      <c r="A4159" s="2">
        <v>4156</v>
      </c>
      <c r="B4159" s="2" t="s">
        <v>4235</v>
      </c>
      <c r="C4159" s="2" t="str">
        <f>"13359150"</f>
        <v>13359150</v>
      </c>
      <c r="D4159" s="2">
        <v>0.29499999999999998</v>
      </c>
      <c r="E4159" s="2">
        <v>14</v>
      </c>
      <c r="F4159" s="2" t="s">
        <v>241</v>
      </c>
    </row>
    <row r="4160" spans="1:6" ht="25.5">
      <c r="A4160" s="2">
        <v>4157</v>
      </c>
      <c r="B4160" s="2" t="s">
        <v>4236</v>
      </c>
      <c r="C4160" s="2" t="str">
        <f>"14329360"</f>
        <v>14329360</v>
      </c>
      <c r="D4160" s="2">
        <v>0.56399999999999995</v>
      </c>
      <c r="E4160" s="2">
        <v>12</v>
      </c>
      <c r="F4160" s="2" t="s">
        <v>12</v>
      </c>
    </row>
    <row r="4161" spans="1:6" ht="25.5">
      <c r="A4161" s="2">
        <v>4158</v>
      </c>
      <c r="B4161" s="2" t="s">
        <v>4237</v>
      </c>
      <c r="C4161" s="2" t="str">
        <f>"15219615"</f>
        <v>15219615</v>
      </c>
      <c r="D4161" s="2">
        <v>0.70599999999999996</v>
      </c>
      <c r="E4161" s="2">
        <v>34</v>
      </c>
      <c r="F4161" s="2" t="s">
        <v>6</v>
      </c>
    </row>
    <row r="4162" spans="1:6" ht="25.5">
      <c r="A4162" s="2">
        <v>4159</v>
      </c>
      <c r="B4162" s="2" t="s">
        <v>4238</v>
      </c>
      <c r="C4162" s="2" t="str">
        <f>"02140039"</f>
        <v>02140039</v>
      </c>
      <c r="D4162" s="2">
        <v>0.161</v>
      </c>
      <c r="E4162" s="2">
        <v>2</v>
      </c>
      <c r="F4162" s="2" t="s">
        <v>351</v>
      </c>
    </row>
    <row r="4163" spans="1:6" ht="25.5">
      <c r="A4163" s="2">
        <v>4160</v>
      </c>
      <c r="B4163" s="2" t="s">
        <v>4239</v>
      </c>
      <c r="C4163" s="2" t="str">
        <f>"16472462"</f>
        <v>16472462</v>
      </c>
      <c r="D4163" s="2">
        <v>0.12</v>
      </c>
      <c r="E4163" s="2">
        <v>1</v>
      </c>
      <c r="F4163" s="2" t="s">
        <v>306</v>
      </c>
    </row>
    <row r="4164" spans="1:6" ht="25.5">
      <c r="A4164" s="2">
        <v>4161</v>
      </c>
      <c r="B4164" s="2" t="s">
        <v>4240</v>
      </c>
      <c r="C4164" s="2" t="str">
        <f>"11343478"</f>
        <v>11343478</v>
      </c>
      <c r="D4164" s="2">
        <v>0.251</v>
      </c>
      <c r="E4164" s="2">
        <v>4</v>
      </c>
      <c r="F4164" s="2" t="s">
        <v>351</v>
      </c>
    </row>
    <row r="4165" spans="1:6" ht="25.5">
      <c r="A4165" s="2">
        <v>4162</v>
      </c>
      <c r="B4165" s="2" t="s">
        <v>4241</v>
      </c>
      <c r="C4165" s="2" t="str">
        <f>"21775133"</f>
        <v>21775133</v>
      </c>
      <c r="D4165" s="2">
        <v>0.21199999999999999</v>
      </c>
      <c r="E4165" s="2">
        <v>2</v>
      </c>
      <c r="F4165" s="2" t="s">
        <v>159</v>
      </c>
    </row>
    <row r="4166" spans="1:6">
      <c r="A4166" s="2">
        <v>4163</v>
      </c>
      <c r="B4166" s="2" t="s">
        <v>4242</v>
      </c>
      <c r="C4166" s="2" t="str">
        <f>"0"</f>
        <v>0</v>
      </c>
      <c r="D4166" s="2">
        <v>0.10100000000000001</v>
      </c>
      <c r="E4166" s="2">
        <v>0</v>
      </c>
      <c r="F4166" s="2" t="s">
        <v>75</v>
      </c>
    </row>
    <row r="4167" spans="1:6" ht="25.5">
      <c r="A4167" s="2">
        <v>4164</v>
      </c>
      <c r="B4167" s="2" t="s">
        <v>4243</v>
      </c>
      <c r="C4167" s="2" t="str">
        <f>"10277358"</f>
        <v>10277358</v>
      </c>
      <c r="D4167" s="2">
        <v>0.10100000000000001</v>
      </c>
      <c r="E4167" s="2">
        <v>2</v>
      </c>
      <c r="F4167" s="2" t="s">
        <v>161</v>
      </c>
    </row>
    <row r="4168" spans="1:6" ht="25.5">
      <c r="A4168" s="2">
        <v>4165</v>
      </c>
      <c r="B4168" s="2" t="s">
        <v>4244</v>
      </c>
      <c r="C4168" s="2" t="str">
        <f>"15525023"</f>
        <v>15525023</v>
      </c>
      <c r="D4168" s="2">
        <v>0.46</v>
      </c>
      <c r="E4168" s="2">
        <v>27</v>
      </c>
      <c r="F4168" s="2" t="s">
        <v>6</v>
      </c>
    </row>
    <row r="4169" spans="1:6" ht="25.5">
      <c r="A4169" s="2">
        <v>4166</v>
      </c>
      <c r="B4169" s="2" t="s">
        <v>4245</v>
      </c>
      <c r="C4169" s="2" t="str">
        <f>"15525031"</f>
        <v>15525031</v>
      </c>
      <c r="D4169" s="2">
        <v>0.38</v>
      </c>
      <c r="E4169" s="2">
        <v>21</v>
      </c>
      <c r="F4169" s="2" t="s">
        <v>6</v>
      </c>
    </row>
    <row r="4170" spans="1:6" ht="25.5">
      <c r="A4170" s="2">
        <v>4167</v>
      </c>
      <c r="B4170" s="2" t="s">
        <v>4246</v>
      </c>
      <c r="C4170" s="2" t="str">
        <f>"15320634"</f>
        <v>15320634</v>
      </c>
      <c r="D4170" s="2">
        <v>0.51500000000000001</v>
      </c>
      <c r="E4170" s="2">
        <v>39</v>
      </c>
      <c r="F4170" s="2" t="s">
        <v>16</v>
      </c>
    </row>
    <row r="4171" spans="1:6" ht="25.5">
      <c r="A4171" s="2">
        <v>4168</v>
      </c>
      <c r="B4171" s="2" t="s">
        <v>4247</v>
      </c>
      <c r="C4171" s="2" t="str">
        <f>"15312003"</f>
        <v>15312003</v>
      </c>
      <c r="D4171" s="2">
        <v>0.41599999999999998</v>
      </c>
      <c r="E4171" s="2">
        <v>27</v>
      </c>
      <c r="F4171" s="2" t="s">
        <v>16</v>
      </c>
    </row>
    <row r="4172" spans="1:6" ht="25.5">
      <c r="A4172" s="2">
        <v>4169</v>
      </c>
      <c r="B4172" s="2" t="s">
        <v>4248</v>
      </c>
      <c r="C4172" s="2" t="str">
        <f>"13837575"</f>
        <v>13837575</v>
      </c>
      <c r="D4172" s="2">
        <v>0.10299999999999999</v>
      </c>
      <c r="E4172" s="2">
        <v>7</v>
      </c>
      <c r="F4172" s="2" t="s">
        <v>75</v>
      </c>
    </row>
    <row r="4173" spans="1:6" ht="25.5">
      <c r="A4173" s="2">
        <v>4170</v>
      </c>
      <c r="B4173" s="2" t="s">
        <v>4249</v>
      </c>
      <c r="C4173" s="2" t="str">
        <f>"1607324X"</f>
        <v>1607324X</v>
      </c>
      <c r="D4173" s="2">
        <v>0.25</v>
      </c>
      <c r="E4173" s="2">
        <v>13</v>
      </c>
      <c r="F4173" s="2" t="s">
        <v>438</v>
      </c>
    </row>
    <row r="4174" spans="1:6" ht="25.5">
      <c r="A4174" s="2">
        <v>4171</v>
      </c>
      <c r="B4174" s="2" t="s">
        <v>4250</v>
      </c>
      <c r="C4174" s="2" t="str">
        <f>"00105422"</f>
        <v>00105422</v>
      </c>
      <c r="D4174" s="2">
        <v>0.63900000000000001</v>
      </c>
      <c r="E4174" s="2">
        <v>50</v>
      </c>
      <c r="F4174" s="2" t="s">
        <v>6</v>
      </c>
    </row>
    <row r="4175" spans="1:6" ht="25.5">
      <c r="A4175" s="2">
        <v>4172</v>
      </c>
      <c r="B4175" s="2" t="s">
        <v>4251</v>
      </c>
      <c r="C4175" s="2" t="str">
        <f>"08999406"</f>
        <v>08999406</v>
      </c>
      <c r="D4175" s="2">
        <v>0.17799999999999999</v>
      </c>
      <c r="E4175" s="2">
        <v>7</v>
      </c>
      <c r="F4175" s="2" t="s">
        <v>6</v>
      </c>
    </row>
    <row r="4176" spans="1:6">
      <c r="A4176" s="2">
        <v>4173</v>
      </c>
      <c r="B4176" s="2" t="s">
        <v>4252</v>
      </c>
      <c r="C4176" s="2" t="str">
        <f>"0"</f>
        <v>0</v>
      </c>
      <c r="D4176" s="2">
        <v>0.58499999999999996</v>
      </c>
      <c r="E4176" s="2">
        <v>58</v>
      </c>
      <c r="F4176" s="2" t="s">
        <v>6</v>
      </c>
    </row>
    <row r="4177" spans="1:6" ht="25.5">
      <c r="A4177" s="2">
        <v>4174</v>
      </c>
      <c r="B4177" s="2" t="s">
        <v>4253</v>
      </c>
      <c r="C4177" s="2" t="str">
        <f>"0"</f>
        <v>0</v>
      </c>
      <c r="D4177" s="2">
        <v>0.222</v>
      </c>
      <c r="E4177" s="2">
        <v>12</v>
      </c>
      <c r="F4177" s="2" t="s">
        <v>6</v>
      </c>
    </row>
    <row r="4178" spans="1:6" ht="25.5">
      <c r="A4178" s="2">
        <v>4175</v>
      </c>
      <c r="B4178" s="2" t="s">
        <v>4254</v>
      </c>
      <c r="C4178" s="2" t="str">
        <f>"0"</f>
        <v>0</v>
      </c>
      <c r="D4178" s="2">
        <v>0.73699999999999999</v>
      </c>
      <c r="E4178" s="2">
        <v>45</v>
      </c>
      <c r="F4178" s="2" t="s">
        <v>6</v>
      </c>
    </row>
    <row r="4179" spans="1:6" ht="25.5">
      <c r="A4179" s="2">
        <v>4176</v>
      </c>
      <c r="B4179" s="2" t="s">
        <v>4255</v>
      </c>
      <c r="C4179" s="2" t="str">
        <f>"10928669"</f>
        <v>10928669</v>
      </c>
      <c r="D4179" s="2">
        <v>0.13500000000000001</v>
      </c>
      <c r="E4179" s="2">
        <v>14</v>
      </c>
      <c r="F4179" s="2" t="s">
        <v>6</v>
      </c>
    </row>
    <row r="4180" spans="1:6" ht="25.5">
      <c r="A4180" s="2">
        <v>4177</v>
      </c>
      <c r="B4180" s="2" t="s">
        <v>4256</v>
      </c>
      <c r="C4180" s="2" t="str">
        <f>"01972618"</f>
        <v>01972618</v>
      </c>
      <c r="D4180" s="2">
        <v>0.10299999999999999</v>
      </c>
      <c r="E4180" s="2">
        <v>42</v>
      </c>
      <c r="F4180" s="2" t="s">
        <v>6</v>
      </c>
    </row>
    <row r="4181" spans="1:6" ht="25.5">
      <c r="A4181" s="2">
        <v>4178</v>
      </c>
      <c r="B4181" s="2" t="s">
        <v>4257</v>
      </c>
      <c r="C4181" s="2" t="str">
        <f>"07314906"</f>
        <v>07314906</v>
      </c>
      <c r="D4181" s="2">
        <v>0.1</v>
      </c>
      <c r="E4181" s="2">
        <v>6</v>
      </c>
      <c r="F4181" s="2" t="s">
        <v>6</v>
      </c>
    </row>
    <row r="4182" spans="1:6" ht="25.5">
      <c r="A4182" s="2">
        <v>4179</v>
      </c>
      <c r="B4182" s="2" t="s">
        <v>4258</v>
      </c>
      <c r="C4182" s="2" t="str">
        <f>"10915281"</f>
        <v>10915281</v>
      </c>
      <c r="D4182" s="2">
        <v>0.152</v>
      </c>
      <c r="E4182" s="2">
        <v>19</v>
      </c>
      <c r="F4182" s="2" t="s">
        <v>6</v>
      </c>
    </row>
    <row r="4183" spans="1:6" ht="25.5">
      <c r="A4183" s="2">
        <v>4180</v>
      </c>
      <c r="B4183" s="2" t="s">
        <v>4259</v>
      </c>
      <c r="C4183" s="2" t="str">
        <f>"05361486"</f>
        <v>05361486</v>
      </c>
      <c r="D4183" s="2">
        <v>0.124</v>
      </c>
      <c r="E4183" s="2">
        <v>65</v>
      </c>
      <c r="F4183" s="2" t="s">
        <v>6</v>
      </c>
    </row>
    <row r="4184" spans="1:6" ht="25.5">
      <c r="A4184" s="2">
        <v>4181</v>
      </c>
      <c r="B4184" s="2" t="s">
        <v>4260</v>
      </c>
      <c r="C4184" s="2" t="str">
        <f>"07308566"</f>
        <v>07308566</v>
      </c>
      <c r="D4184" s="2">
        <v>1.49</v>
      </c>
      <c r="E4184" s="2">
        <v>45</v>
      </c>
      <c r="F4184" s="2" t="s">
        <v>6</v>
      </c>
    </row>
    <row r="4185" spans="1:6" ht="25.5">
      <c r="A4185" s="2">
        <v>4182</v>
      </c>
      <c r="B4185" s="2" t="s">
        <v>4261</v>
      </c>
      <c r="C4185" s="2" t="str">
        <f>"10586393"</f>
        <v>10586393</v>
      </c>
      <c r="D4185" s="2">
        <v>0.30599999999999999</v>
      </c>
      <c r="E4185" s="2">
        <v>36</v>
      </c>
      <c r="F4185" s="2" t="s">
        <v>6</v>
      </c>
    </row>
    <row r="4186" spans="1:6" ht="25.5">
      <c r="A4186" s="2">
        <v>4183</v>
      </c>
      <c r="B4186" s="2" t="s">
        <v>4262</v>
      </c>
      <c r="C4186" s="2" t="str">
        <f>"01608371"</f>
        <v>01608371</v>
      </c>
      <c r="D4186" s="2">
        <v>0.17699999999999999</v>
      </c>
      <c r="E4186" s="2">
        <v>20</v>
      </c>
      <c r="F4186" s="2" t="s">
        <v>6</v>
      </c>
    </row>
    <row r="4187" spans="1:6" ht="25.5">
      <c r="A4187" s="2">
        <v>4184</v>
      </c>
      <c r="B4187" s="2" t="s">
        <v>4263</v>
      </c>
      <c r="C4187" s="2" t="str">
        <f>"10806520"</f>
        <v>10806520</v>
      </c>
      <c r="D4187" s="2">
        <v>0.111</v>
      </c>
      <c r="E4187" s="2">
        <v>12</v>
      </c>
      <c r="F4187" s="2" t="s">
        <v>6</v>
      </c>
    </row>
    <row r="4188" spans="1:6" ht="25.5">
      <c r="A4188" s="2">
        <v>4185</v>
      </c>
      <c r="B4188" s="2" t="s">
        <v>4264</v>
      </c>
      <c r="C4188" s="2" t="str">
        <f>"11220279"</f>
        <v>11220279</v>
      </c>
      <c r="D4188" s="2">
        <v>0.10100000000000001</v>
      </c>
      <c r="E4188" s="2">
        <v>3</v>
      </c>
      <c r="F4188" s="2" t="s">
        <v>190</v>
      </c>
    </row>
    <row r="4189" spans="1:6" ht="25.5">
      <c r="A4189" s="2">
        <v>4186</v>
      </c>
      <c r="B4189" s="2" t="s">
        <v>4265</v>
      </c>
      <c r="C4189" s="2" t="str">
        <f>"17521505"</f>
        <v>17521505</v>
      </c>
      <c r="D4189" s="2">
        <v>0.52600000000000002</v>
      </c>
      <c r="E4189" s="2">
        <v>5</v>
      </c>
      <c r="F4189" s="2" t="s">
        <v>16</v>
      </c>
    </row>
    <row r="4190" spans="1:6" ht="25.5">
      <c r="A4190" s="2">
        <v>4187</v>
      </c>
      <c r="B4190" s="2" t="s">
        <v>4266</v>
      </c>
      <c r="C4190" s="2" t="str">
        <f>"07388942"</f>
        <v>07388942</v>
      </c>
      <c r="D4190" s="2">
        <v>1.9039999999999999</v>
      </c>
      <c r="E4190" s="2">
        <v>19</v>
      </c>
      <c r="F4190" s="2" t="s">
        <v>6</v>
      </c>
    </row>
    <row r="4191" spans="1:6" ht="25.5">
      <c r="A4191" s="2">
        <v>4188</v>
      </c>
      <c r="B4191" s="2" t="s">
        <v>4267</v>
      </c>
      <c r="C4191" s="2" t="str">
        <f>"15411508"</f>
        <v>15411508</v>
      </c>
      <c r="D4191" s="2">
        <v>0.38400000000000001</v>
      </c>
      <c r="E4191" s="2">
        <v>7</v>
      </c>
      <c r="F4191" s="2" t="s">
        <v>6</v>
      </c>
    </row>
    <row r="4192" spans="1:6" ht="25.5">
      <c r="A4192" s="2">
        <v>4189</v>
      </c>
      <c r="B4192" s="2" t="s">
        <v>4268</v>
      </c>
      <c r="C4192" s="2" t="str">
        <f>"14678802"</f>
        <v>14678802</v>
      </c>
      <c r="D4192" s="2">
        <v>0.34799999999999998</v>
      </c>
      <c r="E4192" s="2">
        <v>3</v>
      </c>
      <c r="F4192" s="2" t="s">
        <v>16</v>
      </c>
    </row>
    <row r="4193" spans="1:6" ht="25.5">
      <c r="A4193" s="2">
        <v>4190</v>
      </c>
      <c r="B4193" s="2" t="s">
        <v>4269</v>
      </c>
      <c r="C4193" s="2" t="str">
        <f>"10884173"</f>
        <v>10884173</v>
      </c>
      <c r="D4193" s="2">
        <v>0.17499999999999999</v>
      </c>
      <c r="E4193" s="2">
        <v>5</v>
      </c>
      <c r="F4193" s="2" t="s">
        <v>6</v>
      </c>
    </row>
    <row r="4194" spans="1:6" ht="25.5">
      <c r="A4194" s="2">
        <v>4191</v>
      </c>
      <c r="B4194" s="2" t="s">
        <v>4270</v>
      </c>
      <c r="C4194" s="2" t="str">
        <f>"00105716"</f>
        <v>00105716</v>
      </c>
      <c r="D4194" s="2">
        <v>0.1</v>
      </c>
      <c r="E4194" s="2">
        <v>0</v>
      </c>
      <c r="F4194" s="2" t="s">
        <v>6</v>
      </c>
    </row>
    <row r="4195" spans="1:6" ht="25.5">
      <c r="A4195" s="2">
        <v>4192</v>
      </c>
      <c r="B4195" s="2" t="s">
        <v>4271</v>
      </c>
      <c r="C4195" s="2" t="str">
        <f>"09143505"</f>
        <v>09143505</v>
      </c>
      <c r="D4195" s="2">
        <v>0.316</v>
      </c>
      <c r="E4195" s="2">
        <v>18</v>
      </c>
      <c r="F4195" s="2" t="s">
        <v>16</v>
      </c>
    </row>
    <row r="4196" spans="1:6" ht="25.5">
      <c r="A4196" s="2">
        <v>4193</v>
      </c>
      <c r="B4196" s="2" t="s">
        <v>4272</v>
      </c>
      <c r="C4196" s="2" t="str">
        <f>"17470803"</f>
        <v>17470803</v>
      </c>
      <c r="D4196" s="2">
        <v>0.47099999999999997</v>
      </c>
      <c r="E4196" s="2">
        <v>14</v>
      </c>
      <c r="F4196" s="2" t="s">
        <v>16</v>
      </c>
    </row>
    <row r="4197" spans="1:6" ht="25.5">
      <c r="A4197" s="2">
        <v>4194</v>
      </c>
      <c r="B4197" s="2" t="s">
        <v>4273</v>
      </c>
      <c r="C4197" s="2" t="str">
        <f>"15275299"</f>
        <v>15275299</v>
      </c>
      <c r="D4197" s="2">
        <v>0.66200000000000003</v>
      </c>
      <c r="E4197" s="2">
        <v>23</v>
      </c>
      <c r="F4197" s="2" t="s">
        <v>16</v>
      </c>
    </row>
    <row r="4198" spans="1:6" ht="25.5">
      <c r="A4198" s="2">
        <v>4195</v>
      </c>
      <c r="B4198" s="2" t="s">
        <v>4274</v>
      </c>
      <c r="C4198" s="2" t="str">
        <f>"07343469"</f>
        <v>07343469</v>
      </c>
      <c r="D4198" s="2">
        <v>0.125</v>
      </c>
      <c r="E4198" s="2">
        <v>1</v>
      </c>
      <c r="F4198" s="2" t="s">
        <v>16</v>
      </c>
    </row>
    <row r="4199" spans="1:6">
      <c r="A4199" s="2">
        <v>4196</v>
      </c>
      <c r="B4199" s="2" t="s">
        <v>4275</v>
      </c>
      <c r="C4199" s="2" t="str">
        <f>"0"</f>
        <v>0</v>
      </c>
      <c r="D4199" s="2">
        <v>0.10299999999999999</v>
      </c>
      <c r="E4199" s="2">
        <v>6</v>
      </c>
      <c r="F4199" s="2" t="s">
        <v>6</v>
      </c>
    </row>
    <row r="4200" spans="1:6" ht="25.5">
      <c r="A4200" s="2">
        <v>4197</v>
      </c>
      <c r="B4200" s="2" t="s">
        <v>4276</v>
      </c>
      <c r="C4200" s="2" t="str">
        <f>"02939274"</f>
        <v>02939274</v>
      </c>
      <c r="D4200" s="2">
        <v>0.1</v>
      </c>
      <c r="E4200" s="2">
        <v>1</v>
      </c>
      <c r="F4200" s="2" t="s">
        <v>345</v>
      </c>
    </row>
    <row r="4201" spans="1:6" ht="25.5">
      <c r="A4201" s="2">
        <v>4198</v>
      </c>
      <c r="B4201" s="2" t="s">
        <v>4277</v>
      </c>
      <c r="C4201" s="2" t="str">
        <f>"00106178"</f>
        <v>00106178</v>
      </c>
      <c r="D4201" s="2">
        <v>0.14000000000000001</v>
      </c>
      <c r="E4201" s="2">
        <v>15</v>
      </c>
      <c r="F4201" s="2" t="s">
        <v>6</v>
      </c>
    </row>
    <row r="4202" spans="1:6" ht="25.5">
      <c r="A4202" s="2">
        <v>4199</v>
      </c>
      <c r="B4202" s="2" t="s">
        <v>4278</v>
      </c>
      <c r="C4202" s="2" t="str">
        <f>"13600494"</f>
        <v>13600494</v>
      </c>
      <c r="D4202" s="2">
        <v>0.30599999999999999</v>
      </c>
      <c r="E4202" s="2">
        <v>29</v>
      </c>
      <c r="F4202" s="2" t="s">
        <v>151</v>
      </c>
    </row>
    <row r="4203" spans="1:6" ht="25.5">
      <c r="A4203" s="2">
        <v>4200</v>
      </c>
      <c r="B4203" s="2" t="s">
        <v>4279</v>
      </c>
      <c r="C4203" s="2" t="str">
        <f>"16078438"</f>
        <v>16078438</v>
      </c>
      <c r="D4203" s="2">
        <v>0.51</v>
      </c>
      <c r="E4203" s="2">
        <v>44</v>
      </c>
      <c r="F4203" s="2" t="s">
        <v>16</v>
      </c>
    </row>
    <row r="4204" spans="1:6" ht="25.5">
      <c r="A4204" s="2">
        <v>4201</v>
      </c>
      <c r="B4204" s="2" t="s">
        <v>4280</v>
      </c>
      <c r="C4204" s="2" t="str">
        <f>"17762804"</f>
        <v>17762804</v>
      </c>
      <c r="D4204" s="2">
        <v>0.127</v>
      </c>
      <c r="E4204" s="2">
        <v>4</v>
      </c>
      <c r="F4204" s="2" t="s">
        <v>66</v>
      </c>
    </row>
    <row r="4205" spans="1:6" ht="25.5">
      <c r="A4205" s="2">
        <v>4202</v>
      </c>
      <c r="B4205" s="2" t="s">
        <v>4281</v>
      </c>
      <c r="C4205" s="2" t="str">
        <f>"10902376"</f>
        <v>10902376</v>
      </c>
      <c r="D4205" s="2">
        <v>1.1919999999999999</v>
      </c>
      <c r="E4205" s="2">
        <v>55</v>
      </c>
      <c r="F4205" s="2" t="s">
        <v>6</v>
      </c>
    </row>
    <row r="4206" spans="1:6" ht="25.5">
      <c r="A4206" s="2">
        <v>4203</v>
      </c>
      <c r="B4206" s="2" t="s">
        <v>4282</v>
      </c>
      <c r="C4206" s="2" t="str">
        <f>"17535522"</f>
        <v>17535522</v>
      </c>
      <c r="D4206" s="2">
        <v>0.158</v>
      </c>
      <c r="E4206" s="2">
        <v>1</v>
      </c>
      <c r="F4206" s="2" t="s">
        <v>16</v>
      </c>
    </row>
    <row r="4207" spans="1:6" ht="25.5">
      <c r="A4207" s="2">
        <v>4204</v>
      </c>
      <c r="B4207" s="2" t="s">
        <v>4283</v>
      </c>
      <c r="C4207" s="2" t="str">
        <f>"09724923"</f>
        <v>09724923</v>
      </c>
      <c r="D4207" s="2">
        <v>0.221</v>
      </c>
      <c r="E4207" s="2">
        <v>3</v>
      </c>
      <c r="F4207" s="2" t="s">
        <v>488</v>
      </c>
    </row>
    <row r="4208" spans="1:6" ht="25.5">
      <c r="A4208" s="2">
        <v>4205</v>
      </c>
      <c r="B4208" s="2" t="s">
        <v>4284</v>
      </c>
      <c r="C4208" s="2" t="str">
        <f>"15231739"</f>
        <v>15231739</v>
      </c>
      <c r="D4208" s="2">
        <v>2.3820000000000001</v>
      </c>
      <c r="E4208" s="2">
        <v>130</v>
      </c>
      <c r="F4208" s="2" t="s">
        <v>16</v>
      </c>
    </row>
    <row r="4209" spans="1:6" ht="25.5">
      <c r="A4209" s="2">
        <v>4206</v>
      </c>
      <c r="B4209" s="2" t="s">
        <v>4285</v>
      </c>
      <c r="C4209" s="2" t="str">
        <f>"17582067"</f>
        <v>17582067</v>
      </c>
      <c r="D4209" s="2">
        <v>0.14599999999999999</v>
      </c>
      <c r="E4209" s="2">
        <v>1</v>
      </c>
      <c r="F4209" s="2" t="s">
        <v>16</v>
      </c>
    </row>
    <row r="4210" spans="1:6" ht="25.5">
      <c r="A4210" s="2">
        <v>4207</v>
      </c>
      <c r="B4210" s="2" t="s">
        <v>4286</v>
      </c>
      <c r="C4210" s="2" t="str">
        <f>"15660621"</f>
        <v>15660621</v>
      </c>
      <c r="D4210" s="2">
        <v>0.73299999999999998</v>
      </c>
      <c r="E4210" s="2">
        <v>43</v>
      </c>
      <c r="F4210" s="2" t="s">
        <v>75</v>
      </c>
    </row>
    <row r="4211" spans="1:6" ht="25.5">
      <c r="A4211" s="2">
        <v>4208</v>
      </c>
      <c r="B4211" s="2" t="s">
        <v>4287</v>
      </c>
      <c r="C4211" s="2" t="str">
        <f>"18777260"</f>
        <v>18777260</v>
      </c>
      <c r="D4211" s="2">
        <v>0.28100000000000003</v>
      </c>
      <c r="E4211" s="2">
        <v>6</v>
      </c>
      <c r="F4211" s="2" t="s">
        <v>12</v>
      </c>
    </row>
    <row r="4212" spans="1:6" ht="25.5">
      <c r="A4212" s="2">
        <v>4209</v>
      </c>
      <c r="B4212" s="2" t="s">
        <v>4288</v>
      </c>
      <c r="C4212" s="2" t="str">
        <f>"1755263X"</f>
        <v>1755263X</v>
      </c>
      <c r="D4212" s="2">
        <v>2.63</v>
      </c>
      <c r="E4212" s="2">
        <v>14</v>
      </c>
      <c r="F4212" s="2" t="s">
        <v>6</v>
      </c>
    </row>
    <row r="4213" spans="1:6" ht="25.5">
      <c r="A4213" s="2">
        <v>4210</v>
      </c>
      <c r="B4213" s="2" t="s">
        <v>4289</v>
      </c>
      <c r="C4213" s="2" t="str">
        <f>"14473682"</f>
        <v>14473682</v>
      </c>
      <c r="D4213" s="2">
        <v>0.14299999999999999</v>
      </c>
      <c r="E4213" s="2">
        <v>13</v>
      </c>
      <c r="F4213" s="2" t="s">
        <v>127</v>
      </c>
    </row>
    <row r="4214" spans="1:6" ht="25.5">
      <c r="A4214" s="2">
        <v>4211</v>
      </c>
      <c r="B4214" s="2" t="s">
        <v>4290</v>
      </c>
      <c r="C4214" s="2" t="str">
        <f>"15729966"</f>
        <v>15729966</v>
      </c>
      <c r="D4214" s="2">
        <v>0.49299999999999999</v>
      </c>
      <c r="E4214" s="2">
        <v>13</v>
      </c>
      <c r="F4214" s="2" t="s">
        <v>6</v>
      </c>
    </row>
    <row r="4215" spans="1:6" ht="25.5">
      <c r="A4215" s="2">
        <v>4212</v>
      </c>
      <c r="B4215" s="2" t="s">
        <v>4291</v>
      </c>
      <c r="C4215" s="2" t="str">
        <f>"15729354"</f>
        <v>15729354</v>
      </c>
      <c r="D4215" s="2">
        <v>2.4849999999999999</v>
      </c>
      <c r="E4215" s="2">
        <v>27</v>
      </c>
      <c r="F4215" s="2" t="s">
        <v>75</v>
      </c>
    </row>
    <row r="4216" spans="1:6" ht="25.5">
      <c r="A4216" s="2">
        <v>4213</v>
      </c>
      <c r="B4216" s="2" t="s">
        <v>4292</v>
      </c>
      <c r="C4216" s="2" t="str">
        <f>"09500618"</f>
        <v>09500618</v>
      </c>
      <c r="D4216" s="2">
        <v>1.498</v>
      </c>
      <c r="E4216" s="2">
        <v>50</v>
      </c>
      <c r="F4216" s="2" t="s">
        <v>16</v>
      </c>
    </row>
    <row r="4217" spans="1:6" ht="25.5">
      <c r="A4217" s="2">
        <v>4214</v>
      </c>
      <c r="B4217" s="2" t="s">
        <v>4293</v>
      </c>
      <c r="C4217" s="2" t="str">
        <f>"02677768"</f>
        <v>02677768</v>
      </c>
      <c r="D4217" s="2">
        <v>0.10100000000000001</v>
      </c>
      <c r="E4217" s="2">
        <v>2</v>
      </c>
      <c r="F4217" s="2" t="s">
        <v>16</v>
      </c>
    </row>
    <row r="4218" spans="1:6" ht="25.5">
      <c r="A4218" s="2">
        <v>4215</v>
      </c>
      <c r="B4218" s="2" t="s">
        <v>4294</v>
      </c>
      <c r="C4218" s="2" t="str">
        <f>"14770857"</f>
        <v>14770857</v>
      </c>
      <c r="D4218" s="2">
        <v>0.15</v>
      </c>
      <c r="E4218" s="2">
        <v>1</v>
      </c>
      <c r="F4218" s="2" t="s">
        <v>16</v>
      </c>
    </row>
    <row r="4219" spans="1:6" ht="25.5">
      <c r="A4219" s="2">
        <v>4216</v>
      </c>
      <c r="B4219" s="2" t="s">
        <v>4295</v>
      </c>
      <c r="C4219" s="2" t="str">
        <f>"1466433X"</f>
        <v>1466433X</v>
      </c>
      <c r="D4219" s="2">
        <v>0.69599999999999995</v>
      </c>
      <c r="E4219" s="2">
        <v>44</v>
      </c>
      <c r="F4219" s="2" t="s">
        <v>16</v>
      </c>
    </row>
    <row r="4220" spans="1:6" ht="25.5">
      <c r="A4220" s="2">
        <v>4217</v>
      </c>
      <c r="B4220" s="2" t="s">
        <v>4296</v>
      </c>
      <c r="C4220" s="2" t="str">
        <f>"18761933"</f>
        <v>18761933</v>
      </c>
      <c r="D4220" s="2">
        <v>0.27100000000000002</v>
      </c>
      <c r="E4220" s="2">
        <v>2</v>
      </c>
      <c r="F4220" s="2" t="s">
        <v>75</v>
      </c>
    </row>
    <row r="4221" spans="1:6" ht="25.5">
      <c r="A4221" s="2">
        <v>4218</v>
      </c>
      <c r="B4221" s="2" t="s">
        <v>4297</v>
      </c>
      <c r="C4221" s="2" t="str">
        <f>"14320940"</f>
        <v>14320940</v>
      </c>
      <c r="D4221" s="2">
        <v>1.153</v>
      </c>
      <c r="E4221" s="2">
        <v>31</v>
      </c>
      <c r="F4221" s="2" t="s">
        <v>6</v>
      </c>
    </row>
    <row r="4222" spans="1:6" ht="25.5">
      <c r="A4222" s="2">
        <v>4219</v>
      </c>
      <c r="B4222" s="2" t="s">
        <v>4298</v>
      </c>
      <c r="C4222" s="2" t="str">
        <f>"1782348X"</f>
        <v>1782348X</v>
      </c>
      <c r="D4222" s="2">
        <v>0.153</v>
      </c>
      <c r="E4222" s="2">
        <v>3</v>
      </c>
      <c r="F4222" s="2" t="s">
        <v>161</v>
      </c>
    </row>
    <row r="4223" spans="1:6" ht="25.5">
      <c r="A4223" s="2">
        <v>4220</v>
      </c>
      <c r="B4223" s="2" t="s">
        <v>4299</v>
      </c>
      <c r="C4223" s="2" t="str">
        <f>"00107069"</f>
        <v>00107069</v>
      </c>
      <c r="D4223" s="2">
        <v>0.105</v>
      </c>
      <c r="E4223" s="2">
        <v>5</v>
      </c>
      <c r="F4223" s="2" t="s">
        <v>6</v>
      </c>
    </row>
    <row r="4224" spans="1:6" ht="25.5">
      <c r="A4224" s="2">
        <v>4221</v>
      </c>
      <c r="B4224" s="2" t="s">
        <v>4300</v>
      </c>
      <c r="C4224" s="2" t="str">
        <f>"08885109"</f>
        <v>08885109</v>
      </c>
      <c r="D4224" s="2">
        <v>0.19500000000000001</v>
      </c>
      <c r="E4224" s="2">
        <v>11</v>
      </c>
      <c r="F4224" s="2" t="s">
        <v>6</v>
      </c>
    </row>
    <row r="4225" spans="1:6" ht="25.5">
      <c r="A4225" s="2">
        <v>4222</v>
      </c>
      <c r="B4225" s="2" t="s">
        <v>4301</v>
      </c>
      <c r="C4225" s="2" t="str">
        <f>"10659293"</f>
        <v>10659293</v>
      </c>
      <c r="D4225" s="2">
        <v>0.312</v>
      </c>
      <c r="E4225" s="2">
        <v>22</v>
      </c>
      <c r="F4225" s="2" t="s">
        <v>6</v>
      </c>
    </row>
    <row r="4226" spans="1:6" ht="25.5">
      <c r="A4226" s="2">
        <v>4223</v>
      </c>
      <c r="B4226" s="2" t="s">
        <v>4302</v>
      </c>
      <c r="C4226" s="2" t="str">
        <f>"00107174"</f>
        <v>00107174</v>
      </c>
      <c r="D4226" s="2">
        <v>0.1</v>
      </c>
      <c r="E4226" s="2">
        <v>6</v>
      </c>
      <c r="F4226" s="2" t="s">
        <v>6</v>
      </c>
    </row>
    <row r="4227" spans="1:6" ht="25.5">
      <c r="A4227" s="2">
        <v>4224</v>
      </c>
      <c r="B4227" s="2" t="s">
        <v>4303</v>
      </c>
      <c r="C4227" s="2" t="str">
        <f>"16000536"</f>
        <v>16000536</v>
      </c>
      <c r="D4227" s="2">
        <v>0.76900000000000002</v>
      </c>
      <c r="E4227" s="2">
        <v>64</v>
      </c>
      <c r="F4227" s="2" t="s">
        <v>16</v>
      </c>
    </row>
    <row r="4228" spans="1:6" ht="25.5">
      <c r="A4228" s="2">
        <v>4225</v>
      </c>
      <c r="B4228" s="2" t="s">
        <v>4304</v>
      </c>
      <c r="C4228" s="2" t="str">
        <f>"13670484"</f>
        <v>13670484</v>
      </c>
      <c r="D4228" s="2">
        <v>0.89700000000000002</v>
      </c>
      <c r="E4228" s="2">
        <v>24</v>
      </c>
      <c r="F4228" s="2" t="s">
        <v>75</v>
      </c>
    </row>
    <row r="4229" spans="1:6" ht="25.5">
      <c r="A4229" s="2">
        <v>4226</v>
      </c>
      <c r="B4229" s="2" t="s">
        <v>4305</v>
      </c>
      <c r="C4229" s="2" t="str">
        <f>"19301200"</f>
        <v>19301200</v>
      </c>
      <c r="D4229" s="2">
        <v>0.10100000000000001</v>
      </c>
      <c r="E4229" s="2">
        <v>1</v>
      </c>
      <c r="F4229" s="2" t="s">
        <v>6</v>
      </c>
    </row>
    <row r="4230" spans="1:6" ht="25.5">
      <c r="A4230" s="2">
        <v>4227</v>
      </c>
      <c r="B4230" s="2" t="s">
        <v>4306</v>
      </c>
      <c r="C4230" s="2" t="str">
        <f>"11273070"</f>
        <v>11273070</v>
      </c>
      <c r="D4230" s="2">
        <v>0.1</v>
      </c>
      <c r="E4230" s="2">
        <v>2</v>
      </c>
      <c r="F4230" s="2" t="s">
        <v>190</v>
      </c>
    </row>
    <row r="4231" spans="1:6" ht="25.5">
      <c r="A4231" s="2">
        <v>4228</v>
      </c>
      <c r="B4231" s="2" t="s">
        <v>4307</v>
      </c>
      <c r="C4231" s="2" t="str">
        <f>"08239150"</f>
        <v>08239150</v>
      </c>
      <c r="D4231" s="2">
        <v>1.7</v>
      </c>
      <c r="E4231" s="2">
        <v>43</v>
      </c>
      <c r="F4231" s="2" t="s">
        <v>6</v>
      </c>
    </row>
    <row r="4232" spans="1:6" ht="25.5">
      <c r="A4232" s="2">
        <v>4229</v>
      </c>
      <c r="B4232" s="2" t="s">
        <v>4308</v>
      </c>
      <c r="C4232" s="2" t="str">
        <f>"13619462"</f>
        <v>13619462</v>
      </c>
      <c r="D4232" s="2">
        <v>0.17399999999999999</v>
      </c>
      <c r="E4232" s="2">
        <v>5</v>
      </c>
      <c r="F4232" s="2" t="s">
        <v>16</v>
      </c>
    </row>
    <row r="4233" spans="1:6" ht="25.5">
      <c r="A4233" s="2">
        <v>4230</v>
      </c>
      <c r="B4233" s="2" t="s">
        <v>4309</v>
      </c>
      <c r="C4233" s="2" t="str">
        <f>"14639947"</f>
        <v>14639947</v>
      </c>
      <c r="D4233" s="2">
        <v>0.122</v>
      </c>
      <c r="E4233" s="2">
        <v>1</v>
      </c>
      <c r="F4233" s="2" t="s">
        <v>16</v>
      </c>
    </row>
    <row r="4234" spans="1:6" ht="25.5">
      <c r="A4234" s="2">
        <v>4231</v>
      </c>
      <c r="B4234" s="2" t="s">
        <v>4310</v>
      </c>
      <c r="C4234" s="2" t="str">
        <f>"15580997"</f>
        <v>15580997</v>
      </c>
      <c r="D4234" s="2">
        <v>0.1</v>
      </c>
      <c r="E4234" s="2">
        <v>2</v>
      </c>
      <c r="F4234" s="2" t="s">
        <v>6</v>
      </c>
    </row>
    <row r="4235" spans="1:6" ht="25.5">
      <c r="A4235" s="2">
        <v>4232</v>
      </c>
      <c r="B4235" s="2" t="s">
        <v>4311</v>
      </c>
      <c r="C4235" s="2" t="str">
        <f>"15592030"</f>
        <v>15592030</v>
      </c>
      <c r="D4235" s="2">
        <v>0.92100000000000004</v>
      </c>
      <c r="E4235" s="2">
        <v>26</v>
      </c>
      <c r="F4235" s="2" t="s">
        <v>6</v>
      </c>
    </row>
    <row r="4236" spans="1:6" ht="25.5">
      <c r="A4236" s="2">
        <v>4233</v>
      </c>
      <c r="B4236" s="2" t="s">
        <v>4312</v>
      </c>
      <c r="C4236" s="2" t="str">
        <f>"15720934"</f>
        <v>15720934</v>
      </c>
      <c r="D4236" s="2">
        <v>0.104</v>
      </c>
      <c r="E4236" s="2">
        <v>2</v>
      </c>
      <c r="F4236" s="2" t="s">
        <v>75</v>
      </c>
    </row>
    <row r="4237" spans="1:6" ht="25.5">
      <c r="A4237" s="2">
        <v>4234</v>
      </c>
      <c r="B4237" s="2" t="s">
        <v>4313</v>
      </c>
      <c r="C4237" s="2" t="str">
        <f>"14657287"</f>
        <v>14657287</v>
      </c>
      <c r="D4237" s="2">
        <v>0.34399999999999997</v>
      </c>
      <c r="E4237" s="2">
        <v>28</v>
      </c>
      <c r="F4237" s="2" t="s">
        <v>16</v>
      </c>
    </row>
    <row r="4238" spans="1:6" ht="25.5">
      <c r="A4238" s="2">
        <v>4235</v>
      </c>
      <c r="B4238" s="2" t="s">
        <v>4314</v>
      </c>
      <c r="C4238" s="2" t="str">
        <f>"20840845"</f>
        <v>20840845</v>
      </c>
      <c r="D4238" s="2">
        <v>0.113</v>
      </c>
      <c r="E4238" s="2">
        <v>1</v>
      </c>
      <c r="F4238" s="2" t="s">
        <v>169</v>
      </c>
    </row>
    <row r="4239" spans="1:6" ht="25.5">
      <c r="A4239" s="2">
        <v>4236</v>
      </c>
      <c r="B4239" s="2" t="s">
        <v>4315</v>
      </c>
      <c r="C4239" s="2" t="str">
        <f>"10902384"</f>
        <v>10902384</v>
      </c>
      <c r="D4239" s="2">
        <v>2.5089999999999999</v>
      </c>
      <c r="E4239" s="2">
        <v>49</v>
      </c>
      <c r="F4239" s="2" t="s">
        <v>6</v>
      </c>
    </row>
    <row r="4240" spans="1:6" ht="25.5">
      <c r="A4240" s="2">
        <v>4237</v>
      </c>
      <c r="B4240" s="2" t="s">
        <v>4316</v>
      </c>
      <c r="C4240" s="2" t="str">
        <f>"09607773"</f>
        <v>09607773</v>
      </c>
      <c r="D4240" s="2">
        <v>0.22700000000000001</v>
      </c>
      <c r="E4240" s="2">
        <v>9</v>
      </c>
      <c r="F4240" s="2" t="s">
        <v>16</v>
      </c>
    </row>
    <row r="4241" spans="1:6" ht="25.5">
      <c r="A4241" s="2">
        <v>4238</v>
      </c>
      <c r="B4241" s="2" t="s">
        <v>4317</v>
      </c>
      <c r="C4241" s="2" t="str">
        <f>"15733335"</f>
        <v>15733335</v>
      </c>
      <c r="D4241" s="2">
        <v>0.28199999999999997</v>
      </c>
      <c r="E4241" s="2">
        <v>18</v>
      </c>
      <c r="F4241" s="2" t="s">
        <v>6</v>
      </c>
    </row>
    <row r="4242" spans="1:6" ht="25.5">
      <c r="A4242" s="2">
        <v>4239</v>
      </c>
      <c r="B4242" s="2" t="s">
        <v>4318</v>
      </c>
      <c r="C4242" s="2" t="str">
        <f>"17409292"</f>
        <v>17409292</v>
      </c>
      <c r="D4242" s="2">
        <v>0.105</v>
      </c>
      <c r="E4242" s="2">
        <v>3</v>
      </c>
      <c r="F4242" s="2" t="s">
        <v>16</v>
      </c>
    </row>
    <row r="4243" spans="1:6" ht="25.5">
      <c r="A4243" s="2">
        <v>4240</v>
      </c>
      <c r="B4243" s="2" t="s">
        <v>4319</v>
      </c>
      <c r="C4243" s="2" t="str">
        <f>"18720226"</f>
        <v>18720226</v>
      </c>
      <c r="D4243" s="2">
        <v>0.20300000000000001</v>
      </c>
      <c r="E4243" s="2">
        <v>6</v>
      </c>
      <c r="F4243" s="2" t="s">
        <v>75</v>
      </c>
    </row>
    <row r="4244" spans="1:6" ht="25.5">
      <c r="A4244" s="2">
        <v>4241</v>
      </c>
      <c r="B4244" s="2" t="s">
        <v>4320</v>
      </c>
      <c r="C4244" s="2" t="str">
        <f>"14639491"</f>
        <v>14639491</v>
      </c>
      <c r="D4244" s="2">
        <v>0.39700000000000002</v>
      </c>
      <c r="E4244" s="2">
        <v>5</v>
      </c>
      <c r="F4244" s="2" t="s">
        <v>16</v>
      </c>
    </row>
    <row r="4245" spans="1:6" ht="25.5">
      <c r="A4245" s="2">
        <v>4242</v>
      </c>
      <c r="B4245" s="2" t="s">
        <v>4321</v>
      </c>
      <c r="C4245" s="2" t="str">
        <f>"01471694"</f>
        <v>01471694</v>
      </c>
      <c r="D4245" s="2">
        <v>0.191</v>
      </c>
      <c r="E4245" s="2">
        <v>6</v>
      </c>
      <c r="F4245" s="2" t="s">
        <v>6</v>
      </c>
    </row>
    <row r="4246" spans="1:6" ht="25.5">
      <c r="A4246" s="2">
        <v>4243</v>
      </c>
      <c r="B4246" s="2" t="s">
        <v>4322</v>
      </c>
      <c r="C4246" s="2" t="str">
        <f>"10282580"</f>
        <v>10282580</v>
      </c>
      <c r="D4246" s="2">
        <v>0.14699999999999999</v>
      </c>
      <c r="E4246" s="2">
        <v>2</v>
      </c>
      <c r="F4246" s="2" t="s">
        <v>16</v>
      </c>
    </row>
    <row r="4247" spans="1:6" ht="25.5">
      <c r="A4247" s="2">
        <v>4244</v>
      </c>
      <c r="B4247" s="2" t="s">
        <v>4323</v>
      </c>
      <c r="C4247" s="2" t="str">
        <f>"15489949"</f>
        <v>15489949</v>
      </c>
      <c r="D4247" s="2">
        <v>0.11899999999999999</v>
      </c>
      <c r="E4247" s="2">
        <v>6</v>
      </c>
      <c r="F4247" s="2" t="s">
        <v>6</v>
      </c>
    </row>
    <row r="4248" spans="1:6" ht="25.5">
      <c r="A4248" s="2">
        <v>4245</v>
      </c>
      <c r="B4248" s="2" t="s">
        <v>4324</v>
      </c>
      <c r="C4248" s="2" t="str">
        <f>"07494467"</f>
        <v>07494467</v>
      </c>
      <c r="D4248" s="2">
        <v>0.20699999999999999</v>
      </c>
      <c r="E4248" s="2">
        <v>6</v>
      </c>
      <c r="F4248" s="2" t="s">
        <v>16</v>
      </c>
    </row>
    <row r="4249" spans="1:6" ht="25.5">
      <c r="A4249" s="2">
        <v>4246</v>
      </c>
      <c r="B4249" s="2" t="s">
        <v>4325</v>
      </c>
      <c r="C4249" s="2" t="str">
        <f>"10376178"</f>
        <v>10376178</v>
      </c>
      <c r="D4249" s="2">
        <v>0.307</v>
      </c>
      <c r="E4249" s="2">
        <v>17</v>
      </c>
      <c r="F4249" s="2" t="s">
        <v>127</v>
      </c>
    </row>
    <row r="4250" spans="1:6" ht="25.5">
      <c r="A4250" s="2">
        <v>4247</v>
      </c>
      <c r="B4250" s="2" t="s">
        <v>4326</v>
      </c>
      <c r="C4250" s="2" t="str">
        <f>"00903159"</f>
        <v>00903159</v>
      </c>
      <c r="D4250" s="2">
        <v>0.11</v>
      </c>
      <c r="E4250" s="2">
        <v>9</v>
      </c>
      <c r="F4250" s="2" t="s">
        <v>6</v>
      </c>
    </row>
    <row r="4251" spans="1:6" ht="25.5">
      <c r="A4251" s="2">
        <v>4248</v>
      </c>
      <c r="B4251" s="2" t="s">
        <v>4327</v>
      </c>
      <c r="C4251" s="2" t="str">
        <f>"15279464"</f>
        <v>15279464</v>
      </c>
      <c r="D4251" s="2">
        <v>0.19500000000000001</v>
      </c>
      <c r="E4251" s="2">
        <v>17</v>
      </c>
      <c r="F4251" s="2" t="s">
        <v>6</v>
      </c>
    </row>
    <row r="4252" spans="1:6" ht="25.5">
      <c r="A4252" s="2">
        <v>4249</v>
      </c>
      <c r="B4252" s="2" t="s">
        <v>4328</v>
      </c>
      <c r="C4252" s="2" t="str">
        <f>"87500507"</f>
        <v>87500507</v>
      </c>
      <c r="D4252" s="2">
        <v>0.108</v>
      </c>
      <c r="E4252" s="2">
        <v>3</v>
      </c>
      <c r="F4252" s="2" t="s">
        <v>6</v>
      </c>
    </row>
    <row r="4253" spans="1:6" ht="25.5">
      <c r="A4253" s="2">
        <v>4250</v>
      </c>
      <c r="B4253" s="2" t="s">
        <v>4329</v>
      </c>
      <c r="C4253" s="2" t="str">
        <f>"13665812"</f>
        <v>13665812</v>
      </c>
      <c r="D4253" s="2">
        <v>1.153</v>
      </c>
      <c r="E4253" s="2">
        <v>36</v>
      </c>
      <c r="F4253" s="2" t="s">
        <v>16</v>
      </c>
    </row>
    <row r="4254" spans="1:6" ht="25.5">
      <c r="A4254" s="2">
        <v>4251</v>
      </c>
      <c r="B4254" s="2" t="s">
        <v>4330</v>
      </c>
      <c r="C4254" s="2" t="str">
        <f>"14769336"</f>
        <v>14769336</v>
      </c>
      <c r="D4254" s="2">
        <v>0.14699999999999999</v>
      </c>
      <c r="E4254" s="2">
        <v>2</v>
      </c>
      <c r="F4254" s="2" t="s">
        <v>16</v>
      </c>
    </row>
    <row r="4255" spans="1:6" ht="25.5">
      <c r="A4255" s="2">
        <v>4252</v>
      </c>
      <c r="B4255" s="2" t="s">
        <v>4331</v>
      </c>
      <c r="C4255" s="2" t="str">
        <f>"14693631"</f>
        <v>14693631</v>
      </c>
      <c r="D4255" s="2">
        <v>0.51</v>
      </c>
      <c r="E4255" s="2">
        <v>4</v>
      </c>
      <c r="F4255" s="2" t="s">
        <v>16</v>
      </c>
    </row>
    <row r="4256" spans="1:6" ht="25.5">
      <c r="A4256" s="2">
        <v>4253</v>
      </c>
      <c r="B4256" s="2" t="s">
        <v>4332</v>
      </c>
      <c r="C4256" s="2" t="str">
        <f>"15723429"</f>
        <v>15723429</v>
      </c>
      <c r="D4256" s="2">
        <v>0.105</v>
      </c>
      <c r="E4256" s="2">
        <v>1</v>
      </c>
      <c r="F4256" s="2" t="s">
        <v>75</v>
      </c>
    </row>
    <row r="4257" spans="1:6" ht="25.5">
      <c r="A4257" s="2">
        <v>4254</v>
      </c>
      <c r="B4257" s="2" t="s">
        <v>4333</v>
      </c>
      <c r="C4257" s="2" t="str">
        <f>"19954263"</f>
        <v>19954263</v>
      </c>
      <c r="D4257" s="2">
        <v>0.13500000000000001</v>
      </c>
      <c r="E4257" s="2">
        <v>2</v>
      </c>
      <c r="F4257" s="2" t="s">
        <v>129</v>
      </c>
    </row>
    <row r="4258" spans="1:6" ht="25.5">
      <c r="A4258" s="2">
        <v>4255</v>
      </c>
      <c r="B4258" s="2" t="s">
        <v>4334</v>
      </c>
      <c r="C4258" s="2" t="str">
        <f>"00107530"</f>
        <v>00107530</v>
      </c>
      <c r="D4258" s="2">
        <v>0.46899999999999997</v>
      </c>
      <c r="E4258" s="2">
        <v>16</v>
      </c>
      <c r="F4258" s="2" t="s">
        <v>6</v>
      </c>
    </row>
    <row r="4259" spans="1:6" ht="25.5">
      <c r="A4259" s="2">
        <v>4256</v>
      </c>
      <c r="B4259" s="2" t="s">
        <v>4335</v>
      </c>
      <c r="C4259" s="2" t="str">
        <f>"10759298"</f>
        <v>10759298</v>
      </c>
      <c r="D4259" s="2">
        <v>0.10100000000000001</v>
      </c>
      <c r="E4259" s="2">
        <v>1</v>
      </c>
      <c r="F4259" s="2" t="s">
        <v>6</v>
      </c>
    </row>
    <row r="4260" spans="1:6" ht="25.5">
      <c r="A4260" s="2">
        <v>4257</v>
      </c>
      <c r="B4260" s="2" t="s">
        <v>4336</v>
      </c>
      <c r="C4260" s="2" t="str">
        <f>"17438764"</f>
        <v>17438764</v>
      </c>
      <c r="D4260" s="2">
        <v>0.27100000000000002</v>
      </c>
      <c r="E4260" s="2">
        <v>3</v>
      </c>
      <c r="F4260" s="2" t="s">
        <v>16</v>
      </c>
    </row>
    <row r="4261" spans="1:6" ht="25.5">
      <c r="A4261" s="2">
        <v>4258</v>
      </c>
      <c r="B4261" s="2" t="s">
        <v>4337</v>
      </c>
      <c r="C4261" s="2" t="str">
        <f>"2158205X"</f>
        <v>2158205X</v>
      </c>
      <c r="D4261" s="2">
        <v>0.154</v>
      </c>
      <c r="E4261" s="2">
        <v>2</v>
      </c>
      <c r="F4261" s="2" t="s">
        <v>16</v>
      </c>
    </row>
    <row r="4262" spans="1:6" ht="25.5">
      <c r="A4262" s="2">
        <v>4259</v>
      </c>
      <c r="B4262" s="2" t="s">
        <v>4338</v>
      </c>
      <c r="C4262" s="2" t="str">
        <f>"00943061"</f>
        <v>00943061</v>
      </c>
      <c r="D4262" s="2">
        <v>0.11899999999999999</v>
      </c>
      <c r="E4262" s="2">
        <v>12</v>
      </c>
      <c r="F4262" s="2" t="s">
        <v>6</v>
      </c>
    </row>
    <row r="4263" spans="1:6" ht="25.5">
      <c r="A4263" s="2">
        <v>4260</v>
      </c>
      <c r="B4263" s="2" t="s">
        <v>4339</v>
      </c>
      <c r="C4263" s="2" t="str">
        <f>"1469364X"</f>
        <v>1469364X</v>
      </c>
      <c r="D4263" s="2">
        <v>0.28299999999999997</v>
      </c>
      <c r="E4263" s="2">
        <v>8</v>
      </c>
      <c r="F4263" s="2" t="s">
        <v>16</v>
      </c>
    </row>
    <row r="4264" spans="1:6" ht="25.5">
      <c r="A4264" s="2">
        <v>4261</v>
      </c>
      <c r="B4264" s="2" t="s">
        <v>4340</v>
      </c>
      <c r="C4264" s="2" t="str">
        <f>"0129797X"</f>
        <v>0129797X</v>
      </c>
      <c r="D4264" s="2">
        <v>0</v>
      </c>
      <c r="E4264" s="2">
        <v>0</v>
      </c>
      <c r="F4264" s="2" t="s">
        <v>543</v>
      </c>
    </row>
    <row r="4265" spans="1:6" ht="25.5">
      <c r="A4265" s="2">
        <v>4262</v>
      </c>
      <c r="B4265" s="2" t="s">
        <v>4341</v>
      </c>
      <c r="C4265" s="2" t="str">
        <f>"15693759"</f>
        <v>15693759</v>
      </c>
      <c r="D4265" s="2">
        <v>0.1</v>
      </c>
      <c r="E4265" s="2">
        <v>1</v>
      </c>
      <c r="F4265" s="2" t="s">
        <v>6</v>
      </c>
    </row>
    <row r="4266" spans="1:6" ht="25.5">
      <c r="A4266" s="2">
        <v>4263</v>
      </c>
      <c r="B4266" s="2" t="s">
        <v>4342</v>
      </c>
      <c r="C4266" s="2" t="str">
        <f>"14772264"</f>
        <v>14772264</v>
      </c>
      <c r="D4266" s="2">
        <v>0.113</v>
      </c>
      <c r="E4266" s="2">
        <v>4</v>
      </c>
      <c r="F4266" s="2" t="s">
        <v>16</v>
      </c>
    </row>
    <row r="4267" spans="1:6" ht="25.5">
      <c r="A4267" s="2">
        <v>4264</v>
      </c>
      <c r="B4267" s="2" t="s">
        <v>4343</v>
      </c>
      <c r="C4267" s="2" t="str">
        <f>"17541484"</f>
        <v>17541484</v>
      </c>
      <c r="D4267" s="2">
        <v>0.10100000000000001</v>
      </c>
      <c r="E4267" s="2">
        <v>1</v>
      </c>
      <c r="F4267" s="2" t="s">
        <v>16</v>
      </c>
    </row>
    <row r="4268" spans="1:6" ht="25.5">
      <c r="A4268" s="2">
        <v>4265</v>
      </c>
      <c r="B4268" s="2" t="s">
        <v>4344</v>
      </c>
      <c r="C4268" s="2" t="str">
        <f>"13872842"</f>
        <v>13872842</v>
      </c>
      <c r="D4268" s="2">
        <v>0.11799999999999999</v>
      </c>
      <c r="E4268" s="2">
        <v>7</v>
      </c>
      <c r="F4268" s="2" t="s">
        <v>75</v>
      </c>
    </row>
    <row r="4269" spans="1:6" ht="25.5">
      <c r="A4269" s="2">
        <v>4266</v>
      </c>
      <c r="B4269" s="2" t="s">
        <v>4345</v>
      </c>
      <c r="C4269" s="2" t="str">
        <f>"02784343"</f>
        <v>02784343</v>
      </c>
      <c r="D4269" s="2">
        <v>0.93200000000000005</v>
      </c>
      <c r="E4269" s="2">
        <v>65</v>
      </c>
      <c r="F4269" s="2" t="s">
        <v>16</v>
      </c>
    </row>
    <row r="4270" spans="1:6" ht="25.5">
      <c r="A4270" s="2">
        <v>4267</v>
      </c>
      <c r="B4270" s="2" t="s">
        <v>4346</v>
      </c>
      <c r="C4270" s="2" t="str">
        <f>"17431824"</f>
        <v>17431824</v>
      </c>
      <c r="D4270" s="2">
        <v>0.4</v>
      </c>
      <c r="E4270" s="2">
        <v>9</v>
      </c>
      <c r="F4270" s="2" t="s">
        <v>16</v>
      </c>
    </row>
    <row r="4271" spans="1:6" ht="25.5">
      <c r="A4271" s="2">
        <v>4268</v>
      </c>
      <c r="B4271" s="2" t="s">
        <v>4347</v>
      </c>
      <c r="C4271" s="2" t="str">
        <f>"1469218X"</f>
        <v>1469218X</v>
      </c>
      <c r="D4271" s="2">
        <v>0.24099999999999999</v>
      </c>
      <c r="E4271" s="2">
        <v>12</v>
      </c>
      <c r="F4271" s="2" t="s">
        <v>16</v>
      </c>
    </row>
    <row r="4272" spans="1:6" ht="25.5">
      <c r="A4272" s="2">
        <v>4269</v>
      </c>
      <c r="B4272" s="2" t="s">
        <v>4348</v>
      </c>
      <c r="C4272" s="2" t="str">
        <f>"01956043"</f>
        <v>01956043</v>
      </c>
      <c r="D4272" s="2">
        <v>0.315</v>
      </c>
      <c r="E4272" s="2">
        <v>6</v>
      </c>
      <c r="F4272" s="2" t="s">
        <v>16</v>
      </c>
    </row>
    <row r="4273" spans="1:6" ht="25.5">
      <c r="A4273" s="2">
        <v>4270</v>
      </c>
      <c r="B4273" s="2" t="s">
        <v>4349</v>
      </c>
      <c r="C4273" s="2" t="str">
        <f>"10802371"</f>
        <v>10802371</v>
      </c>
      <c r="D4273" s="2">
        <v>0.124</v>
      </c>
      <c r="E4273" s="2">
        <v>5</v>
      </c>
      <c r="F4273" s="2" t="s">
        <v>6</v>
      </c>
    </row>
    <row r="4274" spans="1:6" ht="25.5">
      <c r="A4274" s="2">
        <v>4271</v>
      </c>
      <c r="B4274" s="2" t="s">
        <v>4350</v>
      </c>
      <c r="C4274" s="2" t="str">
        <f>"14320959"</f>
        <v>14320959</v>
      </c>
      <c r="D4274" s="2">
        <v>0.749</v>
      </c>
      <c r="E4274" s="2">
        <v>26</v>
      </c>
      <c r="F4274" s="2" t="s">
        <v>6</v>
      </c>
    </row>
    <row r="4275" spans="1:6" ht="25.5">
      <c r="A4275" s="2">
        <v>4272</v>
      </c>
      <c r="B4275" s="2" t="s">
        <v>4351</v>
      </c>
      <c r="C4275" s="2" t="str">
        <f>"00107824"</f>
        <v>00107824</v>
      </c>
      <c r="D4275" s="2">
        <v>1.474</v>
      </c>
      <c r="E4275" s="2">
        <v>65</v>
      </c>
      <c r="F4275" s="2" t="s">
        <v>6</v>
      </c>
    </row>
    <row r="4276" spans="1:6" ht="25.5">
      <c r="A4276" s="2">
        <v>4273</v>
      </c>
      <c r="B4276" s="2" t="s">
        <v>4352</v>
      </c>
      <c r="C4276" s="2" t="str">
        <f>"15554317"</f>
        <v>15554317</v>
      </c>
      <c r="D4276" s="2">
        <v>0.94599999999999995</v>
      </c>
      <c r="E4276" s="2">
        <v>23</v>
      </c>
      <c r="F4276" s="2" t="s">
        <v>16</v>
      </c>
    </row>
    <row r="4277" spans="1:6" ht="25.5">
      <c r="A4277" s="2">
        <v>4274</v>
      </c>
      <c r="B4277" s="2" t="s">
        <v>4353</v>
      </c>
      <c r="C4277" s="2" t="str">
        <f>"14320967"</f>
        <v>14320967</v>
      </c>
      <c r="D4277" s="2">
        <v>2.1659999999999999</v>
      </c>
      <c r="E4277" s="2">
        <v>92</v>
      </c>
      <c r="F4277" s="2" t="s">
        <v>12</v>
      </c>
    </row>
    <row r="4278" spans="1:6" ht="25.5">
      <c r="A4278" s="2">
        <v>4275</v>
      </c>
      <c r="B4278" s="2" t="s">
        <v>4354</v>
      </c>
      <c r="C4278" s="2" t="str">
        <f>"13360337"</f>
        <v>13360337</v>
      </c>
      <c r="D4278" s="2">
        <v>0.22600000000000001</v>
      </c>
      <c r="E4278" s="2">
        <v>4</v>
      </c>
      <c r="F4278" s="2" t="s">
        <v>241</v>
      </c>
    </row>
    <row r="4279" spans="1:6" ht="25.5">
      <c r="A4279" s="2">
        <v>4276</v>
      </c>
      <c r="B4279" s="2" t="s">
        <v>4355</v>
      </c>
      <c r="C4279" s="2" t="str">
        <f>"15380645"</f>
        <v>15380645</v>
      </c>
      <c r="D4279" s="2">
        <v>0.53700000000000003</v>
      </c>
      <c r="E4279" s="2">
        <v>11</v>
      </c>
      <c r="F4279" s="2" t="s">
        <v>6</v>
      </c>
    </row>
    <row r="4280" spans="1:6" ht="25.5">
      <c r="A4280" s="2">
        <v>4277</v>
      </c>
      <c r="B4280" s="2" t="s">
        <v>4356</v>
      </c>
      <c r="C4280" s="2" t="str">
        <f>"14311933"</f>
        <v>14311933</v>
      </c>
      <c r="D4280" s="2">
        <v>0.106</v>
      </c>
      <c r="E4280" s="2">
        <v>3</v>
      </c>
      <c r="F4280" s="2" t="s">
        <v>12</v>
      </c>
    </row>
    <row r="4281" spans="1:6" ht="25.5">
      <c r="A4281" s="2">
        <v>4278</v>
      </c>
      <c r="B4281" s="2" t="s">
        <v>4357</v>
      </c>
      <c r="C4281" s="2" t="str">
        <f>"13352806"</f>
        <v>13352806</v>
      </c>
      <c r="D4281" s="2">
        <v>0.42599999999999999</v>
      </c>
      <c r="E4281" s="2">
        <v>10</v>
      </c>
      <c r="F4281" s="2" t="s">
        <v>16</v>
      </c>
    </row>
    <row r="4282" spans="1:6" ht="25.5">
      <c r="A4282" s="2">
        <v>4279</v>
      </c>
      <c r="B4282" s="2" t="s">
        <v>4358</v>
      </c>
      <c r="C4282" s="2" t="str">
        <f>"16642570"</f>
        <v>16642570</v>
      </c>
      <c r="D4282" s="2">
        <v>0</v>
      </c>
      <c r="E4282" s="2">
        <v>1</v>
      </c>
      <c r="F4282" s="2" t="s">
        <v>31</v>
      </c>
    </row>
    <row r="4283" spans="1:6" ht="25.5">
      <c r="A4283" s="2">
        <v>4280</v>
      </c>
      <c r="B4283" s="2" t="s">
        <v>4359</v>
      </c>
      <c r="C4283" s="2" t="str">
        <f>"00699667"</f>
        <v>00699667</v>
      </c>
      <c r="D4283" s="2">
        <v>0.26900000000000002</v>
      </c>
      <c r="E4283" s="2">
        <v>10</v>
      </c>
      <c r="F4283" s="2" t="s">
        <v>488</v>
      </c>
    </row>
    <row r="4284" spans="1:6" ht="25.5">
      <c r="A4284" s="2">
        <v>4281</v>
      </c>
      <c r="B4284" s="2" t="s">
        <v>4360</v>
      </c>
      <c r="C4284" s="2" t="str">
        <f>"14209519"</f>
        <v>14209519</v>
      </c>
      <c r="D4284" s="2">
        <v>1.61</v>
      </c>
      <c r="E4284" s="2">
        <v>22</v>
      </c>
      <c r="F4284" s="2" t="s">
        <v>31</v>
      </c>
    </row>
    <row r="4285" spans="1:6" ht="25.5">
      <c r="A4285" s="2">
        <v>4282</v>
      </c>
      <c r="B4285" s="2" t="s">
        <v>4361</v>
      </c>
      <c r="C4285" s="2" t="str">
        <f>"03025144"</f>
        <v>03025144</v>
      </c>
      <c r="D4285" s="2">
        <v>0.58499999999999996</v>
      </c>
      <c r="E4285" s="2">
        <v>29</v>
      </c>
      <c r="F4285" s="2" t="s">
        <v>31</v>
      </c>
    </row>
    <row r="4286" spans="1:6" ht="25.5">
      <c r="A4286" s="2">
        <v>4283</v>
      </c>
      <c r="B4286" s="2" t="s">
        <v>4362</v>
      </c>
      <c r="C4286" s="2" t="str">
        <f>"15213986"</f>
        <v>15213986</v>
      </c>
      <c r="D4286" s="2">
        <v>0.61199999999999999</v>
      </c>
      <c r="E4286" s="2">
        <v>29</v>
      </c>
      <c r="F4286" s="2" t="s">
        <v>12</v>
      </c>
    </row>
    <row r="4287" spans="1:6" ht="25.5">
      <c r="A4287" s="2">
        <v>4284</v>
      </c>
      <c r="B4287" s="2" t="s">
        <v>4363</v>
      </c>
      <c r="C4287" s="2" t="str">
        <f>"02775921"</f>
        <v>02775921</v>
      </c>
      <c r="D4287" s="2">
        <v>0.154</v>
      </c>
      <c r="E4287" s="2">
        <v>6</v>
      </c>
      <c r="F4287" s="2" t="s">
        <v>16</v>
      </c>
    </row>
    <row r="4288" spans="1:6" ht="25.5">
      <c r="A4288" s="2">
        <v>4285</v>
      </c>
      <c r="B4288" s="2" t="s">
        <v>4364</v>
      </c>
      <c r="C4288" s="2" t="str">
        <f>"1874656X"</f>
        <v>1874656X</v>
      </c>
      <c r="D4288" s="2">
        <v>0.10100000000000001</v>
      </c>
      <c r="E4288" s="2">
        <v>4</v>
      </c>
      <c r="F4288" s="2" t="s">
        <v>6</v>
      </c>
    </row>
    <row r="4289" spans="1:6" ht="25.5">
      <c r="A4289" s="2">
        <v>4286</v>
      </c>
      <c r="B4289" s="2" t="s">
        <v>4365</v>
      </c>
      <c r="C4289" s="2" t="str">
        <f>"13834517"</f>
        <v>13834517</v>
      </c>
      <c r="D4289" s="2">
        <v>0.64800000000000002</v>
      </c>
      <c r="E4289" s="2">
        <v>20</v>
      </c>
      <c r="F4289" s="2" t="s">
        <v>75</v>
      </c>
    </row>
    <row r="4290" spans="1:6" ht="25.5">
      <c r="A4290" s="2">
        <v>4287</v>
      </c>
      <c r="B4290" s="2" t="s">
        <v>4366</v>
      </c>
      <c r="C4290" s="2" t="str">
        <f>"03248569"</f>
        <v>03248569</v>
      </c>
      <c r="D4290" s="2">
        <v>0.254</v>
      </c>
      <c r="E4290" s="2">
        <v>23</v>
      </c>
      <c r="F4290" s="2" t="s">
        <v>169</v>
      </c>
    </row>
    <row r="4291" spans="1:6" ht="25.5">
      <c r="A4291" s="2">
        <v>4288</v>
      </c>
      <c r="B4291" s="2" t="s">
        <v>4367</v>
      </c>
      <c r="C4291" s="2" t="str">
        <f>"14801752"</f>
        <v>14801752</v>
      </c>
      <c r="D4291" s="2">
        <v>0.35099999999999998</v>
      </c>
      <c r="E4291" s="2">
        <v>10</v>
      </c>
      <c r="F4291" s="2" t="s">
        <v>64</v>
      </c>
    </row>
    <row r="4292" spans="1:6" ht="25.5">
      <c r="A4292" s="2">
        <v>4289</v>
      </c>
      <c r="B4292" s="2" t="s">
        <v>4368</v>
      </c>
      <c r="C4292" s="2" t="str">
        <f>"01031759"</f>
        <v>01031759</v>
      </c>
      <c r="D4292" s="2">
        <v>0.14899999999999999</v>
      </c>
      <c r="E4292" s="2">
        <v>7</v>
      </c>
      <c r="F4292" s="2" t="s">
        <v>159</v>
      </c>
    </row>
    <row r="4293" spans="1:6" ht="25.5">
      <c r="A4293" s="2">
        <v>4290</v>
      </c>
      <c r="B4293" s="2" t="s">
        <v>4369</v>
      </c>
      <c r="C4293" s="2" t="str">
        <f>"14548658"</f>
        <v>14548658</v>
      </c>
      <c r="D4293" s="2">
        <v>0.16600000000000001</v>
      </c>
      <c r="E4293" s="2">
        <v>3</v>
      </c>
      <c r="F4293" s="2" t="s">
        <v>19</v>
      </c>
    </row>
    <row r="4294" spans="1:6" ht="25.5">
      <c r="A4294" s="2">
        <v>4291</v>
      </c>
      <c r="B4294" s="2" t="s">
        <v>4370</v>
      </c>
      <c r="C4294" s="2" t="str">
        <f>"09670661"</f>
        <v>09670661</v>
      </c>
      <c r="D4294" s="2">
        <v>1.522</v>
      </c>
      <c r="E4294" s="2">
        <v>59</v>
      </c>
      <c r="F4294" s="2" t="s">
        <v>16</v>
      </c>
    </row>
    <row r="4295" spans="1:6" ht="25.5">
      <c r="A4295" s="2">
        <v>4292</v>
      </c>
      <c r="B4295" s="2" t="s">
        <v>4371</v>
      </c>
      <c r="C4295" s="2" t="str">
        <f>"00108146"</f>
        <v>00108146</v>
      </c>
      <c r="D4295" s="2">
        <v>0.54800000000000004</v>
      </c>
      <c r="E4295" s="2">
        <v>15</v>
      </c>
      <c r="F4295" s="2" t="s">
        <v>64</v>
      </c>
    </row>
    <row r="4296" spans="1:6" ht="25.5">
      <c r="A4296" s="2">
        <v>4293</v>
      </c>
      <c r="B4296" s="2" t="s">
        <v>4372</v>
      </c>
      <c r="C4296" s="2" t="str">
        <f>"14051435"</f>
        <v>14051435</v>
      </c>
      <c r="D4296" s="2">
        <v>0.105</v>
      </c>
      <c r="E4296" s="2">
        <v>2</v>
      </c>
      <c r="F4296" s="2" t="s">
        <v>200</v>
      </c>
    </row>
    <row r="4297" spans="1:6" ht="25.5">
      <c r="A4297" s="2">
        <v>4294</v>
      </c>
      <c r="B4297" s="2" t="s">
        <v>4373</v>
      </c>
      <c r="C4297" s="2" t="str">
        <f>"14603691"</f>
        <v>14603691</v>
      </c>
      <c r="D4297" s="2">
        <v>0.33600000000000002</v>
      </c>
      <c r="E4297" s="2">
        <v>11</v>
      </c>
      <c r="F4297" s="2" t="s">
        <v>16</v>
      </c>
    </row>
    <row r="4298" spans="1:6" ht="25.5">
      <c r="A4298" s="2">
        <v>4295</v>
      </c>
      <c r="B4298" s="2" t="s">
        <v>4374</v>
      </c>
      <c r="C4298" s="2" t="str">
        <f>"00108545"</f>
        <v>00108545</v>
      </c>
      <c r="D4298" s="2">
        <v>4.3079999999999998</v>
      </c>
      <c r="E4298" s="2">
        <v>175</v>
      </c>
      <c r="F4298" s="2" t="s">
        <v>75</v>
      </c>
    </row>
    <row r="4299" spans="1:6" ht="25.5">
      <c r="A4299" s="2">
        <v>4296</v>
      </c>
      <c r="B4299" s="2" t="s">
        <v>4375</v>
      </c>
      <c r="C4299" s="2" t="str">
        <f>"15412563"</f>
        <v>15412563</v>
      </c>
      <c r="D4299" s="2">
        <v>1.151</v>
      </c>
      <c r="E4299" s="2">
        <v>31</v>
      </c>
      <c r="F4299" s="2" t="s">
        <v>16</v>
      </c>
    </row>
    <row r="4300" spans="1:6" ht="25.5">
      <c r="A4300" s="2">
        <v>4297</v>
      </c>
      <c r="B4300" s="2" t="s">
        <v>4376</v>
      </c>
      <c r="C4300" s="2" t="str">
        <f>"00458511"</f>
        <v>00458511</v>
      </c>
      <c r="D4300" s="2">
        <v>0.501</v>
      </c>
      <c r="E4300" s="2">
        <v>41</v>
      </c>
      <c r="F4300" s="2" t="s">
        <v>6</v>
      </c>
    </row>
    <row r="4301" spans="1:6" ht="25.5">
      <c r="A4301" s="2">
        <v>4298</v>
      </c>
      <c r="B4301" s="2" t="s">
        <v>4377</v>
      </c>
      <c r="C4301" s="2" t="str">
        <f>"13954199"</f>
        <v>13954199</v>
      </c>
      <c r="D4301" s="2">
        <v>0.156</v>
      </c>
      <c r="E4301" s="2">
        <v>4</v>
      </c>
      <c r="F4301" s="2" t="s">
        <v>163</v>
      </c>
    </row>
    <row r="4302" spans="1:6" ht="25.5">
      <c r="A4302" s="2">
        <v>4299</v>
      </c>
      <c r="B4302" s="2" t="s">
        <v>4378</v>
      </c>
      <c r="C4302" s="2" t="str">
        <f>"14320975"</f>
        <v>14320975</v>
      </c>
      <c r="D4302" s="2">
        <v>1.3280000000000001</v>
      </c>
      <c r="E4302" s="2">
        <v>64</v>
      </c>
      <c r="F4302" s="2" t="s">
        <v>12</v>
      </c>
    </row>
    <row r="4303" spans="1:6" ht="25.5">
      <c r="A4303" s="2">
        <v>4300</v>
      </c>
      <c r="B4303" s="2" t="s">
        <v>4379</v>
      </c>
      <c r="C4303" s="2" t="str">
        <f>"1555175X"</f>
        <v>1555175X</v>
      </c>
      <c r="D4303" s="2">
        <v>0.63200000000000001</v>
      </c>
      <c r="E4303" s="2">
        <v>7</v>
      </c>
      <c r="F4303" s="2" t="s">
        <v>503</v>
      </c>
    </row>
    <row r="4304" spans="1:6" ht="25.5">
      <c r="A4304" s="2">
        <v>4301</v>
      </c>
      <c r="B4304" s="2" t="s">
        <v>4380</v>
      </c>
      <c r="C4304" s="2" t="str">
        <f>"01550438"</f>
        <v>01550438</v>
      </c>
      <c r="D4304" s="2">
        <v>0.30399999999999999</v>
      </c>
      <c r="E4304" s="2">
        <v>5</v>
      </c>
      <c r="F4304" s="2" t="s">
        <v>127</v>
      </c>
    </row>
    <row r="4305" spans="1:6" ht="25.5">
      <c r="A4305" s="2">
        <v>4302</v>
      </c>
      <c r="B4305" s="2" t="s">
        <v>4381</v>
      </c>
      <c r="C4305" s="2" t="str">
        <f>"00108650"</f>
        <v>00108650</v>
      </c>
      <c r="D4305" s="2">
        <v>0.113</v>
      </c>
      <c r="E4305" s="2">
        <v>8</v>
      </c>
      <c r="F4305" s="2" t="s">
        <v>169</v>
      </c>
    </row>
    <row r="4306" spans="1:6" ht="25.5">
      <c r="A4306" s="2">
        <v>4303</v>
      </c>
      <c r="B4306" s="2" t="s">
        <v>4382</v>
      </c>
      <c r="C4306" s="2" t="str">
        <f>"15364798"</f>
        <v>15364798</v>
      </c>
      <c r="D4306" s="2">
        <v>1.323</v>
      </c>
      <c r="E4306" s="2">
        <v>79</v>
      </c>
      <c r="F4306" s="2" t="s">
        <v>6</v>
      </c>
    </row>
    <row r="4307" spans="1:6" ht="25.5">
      <c r="A4307" s="2">
        <v>4304</v>
      </c>
      <c r="B4307" s="2" t="s">
        <v>4383</v>
      </c>
      <c r="C4307" s="2" t="str">
        <f>"19389655"</f>
        <v>19389655</v>
      </c>
      <c r="D4307" s="2">
        <v>0.92500000000000004</v>
      </c>
      <c r="E4307" s="2">
        <v>33</v>
      </c>
      <c r="F4307" s="2" t="s">
        <v>6</v>
      </c>
    </row>
    <row r="4308" spans="1:6" ht="25.5">
      <c r="A4308" s="2">
        <v>4305</v>
      </c>
      <c r="B4308" s="2" t="s">
        <v>4384</v>
      </c>
      <c r="C4308" s="2" t="str">
        <f>"00108812"</f>
        <v>00108812</v>
      </c>
      <c r="D4308" s="2">
        <v>0.14499999999999999</v>
      </c>
      <c r="E4308" s="2">
        <v>9</v>
      </c>
      <c r="F4308" s="2" t="s">
        <v>6</v>
      </c>
    </row>
    <row r="4309" spans="1:6" ht="25.5">
      <c r="A4309" s="2">
        <v>4306</v>
      </c>
      <c r="B4309" s="2" t="s">
        <v>4385</v>
      </c>
      <c r="C4309" s="2" t="str">
        <f>"00108847"</f>
        <v>00108847</v>
      </c>
      <c r="D4309" s="2">
        <v>1.171</v>
      </c>
      <c r="E4309" s="2">
        <v>19</v>
      </c>
      <c r="F4309" s="2" t="s">
        <v>6</v>
      </c>
    </row>
    <row r="4310" spans="1:6">
      <c r="A4310" s="2">
        <v>4307</v>
      </c>
      <c r="B4310" s="2" t="s">
        <v>4386</v>
      </c>
      <c r="C4310" s="2" t="str">
        <f>"0"</f>
        <v>0</v>
      </c>
      <c r="D4310" s="2">
        <v>0</v>
      </c>
      <c r="E4310" s="2">
        <v>0</v>
      </c>
      <c r="F4310" s="2" t="s">
        <v>6</v>
      </c>
    </row>
    <row r="4311" spans="1:6" ht="25.5">
      <c r="A4311" s="2">
        <v>4308</v>
      </c>
      <c r="B4311" s="2" t="s">
        <v>4387</v>
      </c>
      <c r="C4311" s="2" t="str">
        <f>"09546928"</f>
        <v>09546928</v>
      </c>
      <c r="D4311" s="2">
        <v>0.45600000000000002</v>
      </c>
      <c r="E4311" s="2">
        <v>47</v>
      </c>
      <c r="F4311" s="2" t="s">
        <v>6</v>
      </c>
    </row>
    <row r="4312" spans="1:6" ht="25.5">
      <c r="A4312" s="2">
        <v>4309</v>
      </c>
      <c r="B4312" s="2" t="s">
        <v>4388</v>
      </c>
      <c r="C4312" s="2" t="str">
        <f>"17551676"</f>
        <v>17551676</v>
      </c>
      <c r="D4312" s="2">
        <v>0.44</v>
      </c>
      <c r="E4312" s="2">
        <v>2</v>
      </c>
      <c r="F4312" s="2" t="s">
        <v>16</v>
      </c>
    </row>
    <row r="4313" spans="1:6" ht="25.5">
      <c r="A4313" s="2">
        <v>4310</v>
      </c>
      <c r="B4313" s="2" t="s">
        <v>4389</v>
      </c>
      <c r="C4313" s="2" t="str">
        <f>"13563289"</f>
        <v>13563289</v>
      </c>
      <c r="D4313" s="2">
        <v>0.53500000000000003</v>
      </c>
      <c r="E4313" s="2">
        <v>15</v>
      </c>
      <c r="F4313" s="2" t="s">
        <v>16</v>
      </c>
    </row>
    <row r="4314" spans="1:6" ht="25.5">
      <c r="A4314" s="2">
        <v>4311</v>
      </c>
      <c r="B4314" s="2" t="s">
        <v>4390</v>
      </c>
      <c r="C4314" s="2" t="str">
        <f>"14720701"</f>
        <v>14720701</v>
      </c>
      <c r="D4314" s="2">
        <v>0.28499999999999998</v>
      </c>
      <c r="E4314" s="2">
        <v>17</v>
      </c>
      <c r="F4314" s="2" t="s">
        <v>16</v>
      </c>
    </row>
    <row r="4315" spans="1:6" ht="25.5">
      <c r="A4315" s="2">
        <v>4312</v>
      </c>
      <c r="B4315" s="2" t="s">
        <v>4390</v>
      </c>
      <c r="C4315" s="2" t="str">
        <f>"14678683"</f>
        <v>14678683</v>
      </c>
      <c r="D4315" s="2">
        <v>0.72499999999999998</v>
      </c>
      <c r="E4315" s="2">
        <v>28</v>
      </c>
      <c r="F4315" s="2" t="s">
        <v>16</v>
      </c>
    </row>
    <row r="4316" spans="1:6" ht="25.5">
      <c r="A4316" s="2">
        <v>4313</v>
      </c>
      <c r="B4316" s="2" t="s">
        <v>4391</v>
      </c>
      <c r="C4316" s="2" t="str">
        <f>"14791889"</f>
        <v>14791889</v>
      </c>
      <c r="D4316" s="2">
        <v>0.33</v>
      </c>
      <c r="E4316" s="2">
        <v>5</v>
      </c>
      <c r="F4316" s="2" t="s">
        <v>16</v>
      </c>
    </row>
    <row r="4317" spans="1:6" ht="25.5">
      <c r="A4317" s="2">
        <v>4314</v>
      </c>
      <c r="B4317" s="2" t="s">
        <v>4392</v>
      </c>
      <c r="C4317" s="2" t="str">
        <f>"15353966"</f>
        <v>15353966</v>
      </c>
      <c r="D4317" s="2">
        <v>0.95799999999999996</v>
      </c>
      <c r="E4317" s="2">
        <v>20</v>
      </c>
      <c r="F4317" s="2" t="s">
        <v>16</v>
      </c>
    </row>
    <row r="4318" spans="1:6" ht="25.5">
      <c r="A4318" s="2">
        <v>4315</v>
      </c>
      <c r="B4318" s="2" t="s">
        <v>4393</v>
      </c>
      <c r="C4318" s="2" t="str">
        <f>"16137027"</f>
        <v>16137027</v>
      </c>
      <c r="D4318" s="2">
        <v>0.34599999999999997</v>
      </c>
      <c r="E4318" s="2">
        <v>8</v>
      </c>
      <c r="F4318" s="2" t="s">
        <v>12</v>
      </c>
    </row>
    <row r="4319" spans="1:6" ht="25.5">
      <c r="A4319" s="2">
        <v>4316</v>
      </c>
      <c r="B4319" s="2" t="s">
        <v>4394</v>
      </c>
      <c r="C4319" s="2" t="str">
        <f>"21009619"</f>
        <v>21009619</v>
      </c>
      <c r="D4319" s="2">
        <v>0.105</v>
      </c>
      <c r="E4319" s="2">
        <v>0</v>
      </c>
      <c r="F4319" s="2" t="s">
        <v>66</v>
      </c>
    </row>
    <row r="4320" spans="1:6" ht="25.5">
      <c r="A4320" s="2">
        <v>4317</v>
      </c>
      <c r="B4320" s="2" t="s">
        <v>4395</v>
      </c>
      <c r="C4320" s="2" t="str">
        <f>"00109312"</f>
        <v>00109312</v>
      </c>
      <c r="D4320" s="2">
        <v>0.26100000000000001</v>
      </c>
      <c r="E4320" s="2">
        <v>53</v>
      </c>
      <c r="F4320" s="2" t="s">
        <v>6</v>
      </c>
    </row>
    <row r="4321" spans="1:6" ht="25.5">
      <c r="A4321" s="2">
        <v>4318</v>
      </c>
      <c r="B4321" s="2" t="s">
        <v>4396</v>
      </c>
      <c r="C4321" s="2" t="str">
        <f>"1005748X"</f>
        <v>1005748X</v>
      </c>
      <c r="D4321" s="2">
        <v>0.108</v>
      </c>
      <c r="E4321" s="2">
        <v>5</v>
      </c>
      <c r="F4321" s="2" t="s">
        <v>46</v>
      </c>
    </row>
    <row r="4322" spans="1:6" ht="25.5">
      <c r="A4322" s="2">
        <v>4319</v>
      </c>
      <c r="B4322" s="2" t="s">
        <v>4397</v>
      </c>
      <c r="C4322" s="2" t="str">
        <f>"1478422X"</f>
        <v>1478422X</v>
      </c>
      <c r="D4322" s="2">
        <v>0.23499999999999999</v>
      </c>
      <c r="E4322" s="2">
        <v>25</v>
      </c>
      <c r="F4322" s="2" t="s">
        <v>16</v>
      </c>
    </row>
    <row r="4323" spans="1:6" ht="25.5">
      <c r="A4323" s="2">
        <v>4320</v>
      </c>
      <c r="B4323" s="2" t="s">
        <v>4398</v>
      </c>
      <c r="C4323" s="2" t="str">
        <f>"03346005"</f>
        <v>03346005</v>
      </c>
      <c r="D4323" s="2">
        <v>0.20699999999999999</v>
      </c>
      <c r="E4323" s="2">
        <v>15</v>
      </c>
      <c r="F4323" s="2" t="s">
        <v>2065</v>
      </c>
    </row>
    <row r="4324" spans="1:6" ht="25.5">
      <c r="A4324" s="2">
        <v>4321</v>
      </c>
      <c r="B4324" s="2" t="s">
        <v>4399</v>
      </c>
      <c r="C4324" s="2" t="str">
        <f>"0010938X"</f>
        <v>0010938X</v>
      </c>
      <c r="D4324" s="2">
        <v>1.333</v>
      </c>
      <c r="E4324" s="2">
        <v>94</v>
      </c>
      <c r="F4324" s="2" t="s">
        <v>16</v>
      </c>
    </row>
    <row r="4325" spans="1:6" ht="25.5">
      <c r="A4325" s="2">
        <v>4322</v>
      </c>
      <c r="B4325" s="2" t="s">
        <v>4400</v>
      </c>
      <c r="C4325" s="2" t="str">
        <f>"10026495"</f>
        <v>10026495</v>
      </c>
      <c r="D4325" s="2">
        <v>0.127</v>
      </c>
      <c r="E4325" s="2">
        <v>7</v>
      </c>
      <c r="F4325" s="2" t="s">
        <v>46</v>
      </c>
    </row>
    <row r="4326" spans="1:6" ht="25.5">
      <c r="A4326" s="2">
        <v>4323</v>
      </c>
      <c r="B4326" s="2" t="s">
        <v>4401</v>
      </c>
      <c r="C4326" s="2" t="str">
        <f>"00109452"</f>
        <v>00109452</v>
      </c>
      <c r="D4326" s="2">
        <v>1.629</v>
      </c>
      <c r="E4326" s="2">
        <v>57</v>
      </c>
      <c r="F4326" s="2" t="s">
        <v>190</v>
      </c>
    </row>
    <row r="4327" spans="1:6" ht="25.5">
      <c r="A4327" s="2">
        <v>4324</v>
      </c>
      <c r="B4327" s="2" t="s">
        <v>4402</v>
      </c>
      <c r="C4327" s="2" t="str">
        <f>"10413766"</f>
        <v>10413766</v>
      </c>
      <c r="D4327" s="2">
        <v>0.14099999999999999</v>
      </c>
      <c r="E4327" s="2">
        <v>10</v>
      </c>
      <c r="F4327" s="2" t="s">
        <v>6</v>
      </c>
    </row>
    <row r="4328" spans="1:6" ht="25.5">
      <c r="A4328" s="2">
        <v>4325</v>
      </c>
      <c r="B4328" s="2" t="s">
        <v>4403</v>
      </c>
      <c r="C4328" s="2" t="str">
        <f>"16083075"</f>
        <v>16083075</v>
      </c>
      <c r="D4328" s="2">
        <v>0.13700000000000001</v>
      </c>
      <c r="E4328" s="2">
        <v>10</v>
      </c>
      <c r="F4328" s="2" t="s">
        <v>129</v>
      </c>
    </row>
    <row r="4329" spans="1:6" ht="25.5">
      <c r="A4329" s="2">
        <v>4326</v>
      </c>
      <c r="B4329" s="2" t="s">
        <v>4404</v>
      </c>
      <c r="C4329" s="2" t="str">
        <f>"18329101"</f>
        <v>18329101</v>
      </c>
      <c r="D4329" s="2">
        <v>0.10100000000000001</v>
      </c>
      <c r="E4329" s="2">
        <v>1</v>
      </c>
      <c r="F4329" s="2" t="s">
        <v>127</v>
      </c>
    </row>
    <row r="4330" spans="1:6" ht="25.5">
      <c r="A4330" s="2">
        <v>4327</v>
      </c>
      <c r="B4330" s="2" t="s">
        <v>4405</v>
      </c>
      <c r="C4330" s="2" t="str">
        <f>"14397676"</f>
        <v>14397676</v>
      </c>
      <c r="D4330" s="2">
        <v>0.1</v>
      </c>
      <c r="E4330" s="2">
        <v>2</v>
      </c>
      <c r="F4330" s="2" t="s">
        <v>12</v>
      </c>
    </row>
    <row r="4331" spans="1:6" ht="25.5">
      <c r="A4331" s="2">
        <v>4328</v>
      </c>
      <c r="B4331" s="2" t="s">
        <v>4406</v>
      </c>
      <c r="C4331" s="2" t="str">
        <f>"14787547"</f>
        <v>14787547</v>
      </c>
      <c r="D4331" s="2">
        <v>0.64800000000000002</v>
      </c>
      <c r="E4331" s="2">
        <v>19</v>
      </c>
      <c r="F4331" s="2" t="s">
        <v>16</v>
      </c>
    </row>
    <row r="4332" spans="1:6" ht="25.5">
      <c r="A4332" s="2">
        <v>4329</v>
      </c>
      <c r="B4332" s="2" t="s">
        <v>4407</v>
      </c>
      <c r="C4332" s="2" t="str">
        <f>"05908876"</f>
        <v>05908876</v>
      </c>
      <c r="D4332" s="2">
        <v>0.10100000000000001</v>
      </c>
      <c r="E4332" s="2">
        <v>4</v>
      </c>
      <c r="F4332" s="2" t="s">
        <v>16</v>
      </c>
    </row>
    <row r="4333" spans="1:6" ht="25.5">
      <c r="A4333" s="2">
        <v>4330</v>
      </c>
      <c r="B4333" s="2" t="s">
        <v>4408</v>
      </c>
      <c r="C4333" s="2" t="str">
        <f>"1353985X"</f>
        <v>1353985X</v>
      </c>
      <c r="D4333" s="2">
        <v>0.17799999999999999</v>
      </c>
      <c r="E4333" s="2">
        <v>3</v>
      </c>
      <c r="F4333" s="2" t="s">
        <v>6</v>
      </c>
    </row>
    <row r="4334" spans="1:6" ht="25.5">
      <c r="A4334" s="2">
        <v>4331</v>
      </c>
      <c r="B4334" s="2" t="s">
        <v>4409</v>
      </c>
      <c r="C4334" s="2" t="str">
        <f>"17459974"</f>
        <v>17459974</v>
      </c>
      <c r="D4334" s="2">
        <v>0.68799999999999994</v>
      </c>
      <c r="E4334" s="2">
        <v>10</v>
      </c>
      <c r="F4334" s="2" t="s">
        <v>16</v>
      </c>
    </row>
    <row r="4335" spans="1:6" ht="25.5">
      <c r="A4335" s="2">
        <v>4332</v>
      </c>
      <c r="B4335" s="2" t="s">
        <v>4410</v>
      </c>
      <c r="C4335" s="2" t="str">
        <f>"01607960"</f>
        <v>01607960</v>
      </c>
      <c r="D4335" s="2">
        <v>0.32900000000000001</v>
      </c>
      <c r="E4335" s="2">
        <v>5</v>
      </c>
      <c r="F4335" s="2" t="s">
        <v>6</v>
      </c>
    </row>
    <row r="4336" spans="1:6" ht="25.5">
      <c r="A4336" s="2">
        <v>4333</v>
      </c>
      <c r="B4336" s="2" t="s">
        <v>4411</v>
      </c>
      <c r="C4336" s="2" t="str">
        <f>"00110000"</f>
        <v>00110000</v>
      </c>
      <c r="D4336" s="2">
        <v>0.77800000000000002</v>
      </c>
      <c r="E4336" s="2">
        <v>44</v>
      </c>
      <c r="F4336" s="2" t="s">
        <v>6</v>
      </c>
    </row>
    <row r="4337" spans="1:6" ht="25.5">
      <c r="A4337" s="2">
        <v>4334</v>
      </c>
      <c r="B4337" s="2" t="s">
        <v>4412</v>
      </c>
      <c r="C4337" s="2" t="str">
        <f>"14733145"</f>
        <v>14733145</v>
      </c>
      <c r="D4337" s="2">
        <v>0.43099999999999999</v>
      </c>
      <c r="E4337" s="2">
        <v>4</v>
      </c>
      <c r="F4337" s="2" t="s">
        <v>16</v>
      </c>
    </row>
    <row r="4338" spans="1:6" ht="25.5">
      <c r="A4338" s="2">
        <v>4335</v>
      </c>
      <c r="B4338" s="2" t="s">
        <v>4413</v>
      </c>
      <c r="C4338" s="2" t="str">
        <f>"14693674"</f>
        <v>14693674</v>
      </c>
      <c r="D4338" s="2">
        <v>0.21299999999999999</v>
      </c>
      <c r="E4338" s="2">
        <v>17</v>
      </c>
      <c r="F4338" s="2" t="s">
        <v>16</v>
      </c>
    </row>
    <row r="4339" spans="1:6" ht="25.5">
      <c r="A4339" s="2">
        <v>4336</v>
      </c>
      <c r="B4339" s="2" t="s">
        <v>4414</v>
      </c>
      <c r="C4339" s="2" t="str">
        <f>"00110035"</f>
        <v>00110035</v>
      </c>
      <c r="D4339" s="2">
        <v>0.53700000000000003</v>
      </c>
      <c r="E4339" s="2">
        <v>4</v>
      </c>
      <c r="F4339" s="2" t="s">
        <v>6</v>
      </c>
    </row>
    <row r="4340" spans="1:6" ht="25.5">
      <c r="A4340" s="2">
        <v>4337</v>
      </c>
      <c r="B4340" s="2" t="s">
        <v>4415</v>
      </c>
      <c r="C4340" s="2" t="str">
        <f>"14662922"</f>
        <v>14662922</v>
      </c>
      <c r="D4340" s="2">
        <v>0.10100000000000001</v>
      </c>
      <c r="E4340" s="2">
        <v>3</v>
      </c>
      <c r="F4340" s="2" t="s">
        <v>16</v>
      </c>
    </row>
    <row r="4341" spans="1:6" ht="25.5">
      <c r="A4341" s="2">
        <v>4338</v>
      </c>
      <c r="B4341" s="2" t="s">
        <v>4416</v>
      </c>
      <c r="C4341" s="2" t="str">
        <f>"13678930"</f>
        <v>13678930</v>
      </c>
      <c r="D4341" s="2">
        <v>0.14099999999999999</v>
      </c>
      <c r="E4341" s="2">
        <v>2</v>
      </c>
      <c r="F4341" s="2" t="s">
        <v>16</v>
      </c>
    </row>
    <row r="4342" spans="1:6" ht="25.5">
      <c r="A4342" s="2">
        <v>4339</v>
      </c>
      <c r="B4342" s="2" t="s">
        <v>4417</v>
      </c>
      <c r="C4342" s="2" t="str">
        <f>"05891485"</f>
        <v>05891485</v>
      </c>
      <c r="D4342" s="2">
        <v>0.222</v>
      </c>
      <c r="E4342" s="2">
        <v>8</v>
      </c>
      <c r="F4342" s="2" t="s">
        <v>6</v>
      </c>
    </row>
    <row r="4343" spans="1:6" ht="25.5">
      <c r="A4343" s="2">
        <v>4340</v>
      </c>
      <c r="B4343" s="2" t="s">
        <v>4418</v>
      </c>
      <c r="C4343" s="2" t="str">
        <f>"0306610X"</f>
        <v>0306610X</v>
      </c>
      <c r="D4343" s="2">
        <v>0.1</v>
      </c>
      <c r="E4343" s="2">
        <v>1</v>
      </c>
      <c r="F4343" s="2" t="s">
        <v>16</v>
      </c>
    </row>
    <row r="4344" spans="1:6" ht="25.5">
      <c r="A4344" s="2">
        <v>4341</v>
      </c>
      <c r="B4344" s="2" t="s">
        <v>4419</v>
      </c>
      <c r="C4344" s="2" t="str">
        <f>"08869634"</f>
        <v>08869634</v>
      </c>
      <c r="D4344" s="2">
        <v>0.42599999999999999</v>
      </c>
      <c r="E4344" s="2">
        <v>26</v>
      </c>
      <c r="F4344" s="2" t="s">
        <v>6</v>
      </c>
    </row>
    <row r="4345" spans="1:6" ht="25.5">
      <c r="A4345" s="2">
        <v>4342</v>
      </c>
      <c r="B4345" s="2" t="s">
        <v>4420</v>
      </c>
      <c r="C4345" s="2" t="str">
        <f>"10784535"</f>
        <v>10784535</v>
      </c>
      <c r="D4345" s="2">
        <v>0.189</v>
      </c>
      <c r="E4345" s="2">
        <v>5</v>
      </c>
      <c r="F4345" s="2" t="s">
        <v>6</v>
      </c>
    </row>
    <row r="4346" spans="1:6" ht="25.5">
      <c r="A4346" s="2">
        <v>4343</v>
      </c>
      <c r="B4346" s="2" t="s">
        <v>4421</v>
      </c>
      <c r="C4346" s="2" t="str">
        <f>"14678691"</f>
        <v>14678691</v>
      </c>
      <c r="D4346" s="2">
        <v>0</v>
      </c>
      <c r="E4346" s="2">
        <v>2</v>
      </c>
      <c r="F4346" s="2" t="s">
        <v>16</v>
      </c>
    </row>
    <row r="4347" spans="1:6" ht="25.5">
      <c r="A4347" s="2">
        <v>4344</v>
      </c>
      <c r="B4347" s="2" t="s">
        <v>4422</v>
      </c>
      <c r="C4347" s="2" t="str">
        <f>"15326934"</f>
        <v>15326934</v>
      </c>
      <c r="D4347" s="2">
        <v>0.79300000000000004</v>
      </c>
      <c r="E4347" s="2">
        <v>35</v>
      </c>
      <c r="F4347" s="2" t="s">
        <v>16</v>
      </c>
    </row>
    <row r="4348" spans="1:6" ht="25.5">
      <c r="A4348" s="2">
        <v>4345</v>
      </c>
      <c r="B4348" s="2" t="s">
        <v>4423</v>
      </c>
      <c r="C4348" s="2" t="str">
        <f>"1095998X"</f>
        <v>1095998X</v>
      </c>
      <c r="D4348" s="2">
        <v>0.76700000000000002</v>
      </c>
      <c r="E4348" s="2">
        <v>35</v>
      </c>
      <c r="F4348" s="2" t="s">
        <v>6</v>
      </c>
    </row>
    <row r="4349" spans="1:6" ht="25.5">
      <c r="A4349" s="2">
        <v>4346</v>
      </c>
      <c r="B4349" s="2" t="s">
        <v>4424</v>
      </c>
      <c r="C4349" s="2" t="str">
        <f>"00111287"</f>
        <v>00111287</v>
      </c>
      <c r="D4349" s="2">
        <v>1.175</v>
      </c>
      <c r="E4349" s="2">
        <v>37</v>
      </c>
      <c r="F4349" s="2" t="s">
        <v>6</v>
      </c>
    </row>
    <row r="4350" spans="1:6" ht="25.5">
      <c r="A4350" s="2">
        <v>4347</v>
      </c>
      <c r="B4350" s="2" t="s">
        <v>4425</v>
      </c>
      <c r="C4350" s="2" t="str">
        <f>"01923234"</f>
        <v>01923234</v>
      </c>
      <c r="D4350" s="2">
        <v>1.3380000000000001</v>
      </c>
      <c r="E4350" s="2">
        <v>12</v>
      </c>
      <c r="F4350" s="2" t="s">
        <v>6</v>
      </c>
    </row>
    <row r="4351" spans="1:6" ht="25.5">
      <c r="A4351" s="2">
        <v>4348</v>
      </c>
      <c r="B4351" s="2" t="s">
        <v>4426</v>
      </c>
      <c r="C4351" s="2" t="str">
        <f>"09254994"</f>
        <v>09254994</v>
      </c>
      <c r="D4351" s="2">
        <v>0.29599999999999999</v>
      </c>
      <c r="E4351" s="2">
        <v>17</v>
      </c>
      <c r="F4351" s="2" t="s">
        <v>75</v>
      </c>
    </row>
    <row r="4352" spans="1:6" ht="25.5">
      <c r="A4352" s="2">
        <v>4349</v>
      </c>
      <c r="B4352" s="2" t="s">
        <v>4427</v>
      </c>
      <c r="C4352" s="2" t="str">
        <f>"17416590"</f>
        <v>17416590</v>
      </c>
      <c r="D4352" s="2">
        <v>0.377</v>
      </c>
      <c r="E4352" s="2">
        <v>10</v>
      </c>
      <c r="F4352" s="2" t="s">
        <v>16</v>
      </c>
    </row>
    <row r="4353" spans="1:6" ht="25.5">
      <c r="A4353" s="2">
        <v>4350</v>
      </c>
      <c r="B4353" s="2" t="s">
        <v>4428</v>
      </c>
      <c r="C4353" s="2" t="str">
        <f>"14603780"</f>
        <v>14603780</v>
      </c>
      <c r="D4353" s="2">
        <v>0.40500000000000003</v>
      </c>
      <c r="E4353" s="2">
        <v>5</v>
      </c>
      <c r="F4353" s="2" t="s">
        <v>16</v>
      </c>
    </row>
    <row r="4354" spans="1:6" ht="25.5">
      <c r="A4354" s="2">
        <v>4351</v>
      </c>
      <c r="B4354" s="2" t="s">
        <v>4429</v>
      </c>
      <c r="C4354" s="2" t="str">
        <f>"14712857"</f>
        <v>14712857</v>
      </c>
      <c r="D4354" s="2">
        <v>0.95499999999999996</v>
      </c>
      <c r="E4354" s="2">
        <v>25</v>
      </c>
      <c r="F4354" s="2" t="s">
        <v>16</v>
      </c>
    </row>
    <row r="4355" spans="1:6" ht="25.5">
      <c r="A4355" s="2">
        <v>4352</v>
      </c>
      <c r="B4355" s="2" t="s">
        <v>4430</v>
      </c>
      <c r="C4355" s="2" t="str">
        <f>"00938548"</f>
        <v>00938548</v>
      </c>
      <c r="D4355" s="2">
        <v>1.3</v>
      </c>
      <c r="E4355" s="2">
        <v>46</v>
      </c>
      <c r="F4355" s="2" t="s">
        <v>6</v>
      </c>
    </row>
    <row r="4356" spans="1:6" ht="25.5">
      <c r="A4356" s="2">
        <v>4353</v>
      </c>
      <c r="B4356" s="2" t="s">
        <v>4431</v>
      </c>
      <c r="C4356" s="2" t="str">
        <f>"0731129X"</f>
        <v>0731129X</v>
      </c>
      <c r="D4356" s="2">
        <v>0.11799999999999999</v>
      </c>
      <c r="E4356" s="2">
        <v>6</v>
      </c>
      <c r="F4356" s="2" t="s">
        <v>6</v>
      </c>
    </row>
    <row r="4357" spans="1:6" ht="25.5">
      <c r="A4357" s="2">
        <v>4354</v>
      </c>
      <c r="B4357" s="2" t="s">
        <v>4432</v>
      </c>
      <c r="C4357" s="2" t="str">
        <f>"19346220"</f>
        <v>19346220</v>
      </c>
      <c r="D4357" s="2">
        <v>0.125</v>
      </c>
      <c r="E4357" s="2">
        <v>2</v>
      </c>
      <c r="F4357" s="2" t="s">
        <v>16</v>
      </c>
    </row>
    <row r="4358" spans="1:6" ht="25.5">
      <c r="A4358" s="2">
        <v>4355</v>
      </c>
      <c r="B4358" s="2" t="s">
        <v>4433</v>
      </c>
      <c r="C4358" s="2" t="str">
        <f>"15523586"</f>
        <v>15523586</v>
      </c>
      <c r="D4358" s="2">
        <v>0.96299999999999997</v>
      </c>
      <c r="E4358" s="2">
        <v>10</v>
      </c>
      <c r="F4358" s="2" t="s">
        <v>6</v>
      </c>
    </row>
    <row r="4359" spans="1:6" ht="25.5">
      <c r="A4359" s="2">
        <v>4356</v>
      </c>
      <c r="B4359" s="2" t="s">
        <v>4434</v>
      </c>
      <c r="C4359" s="2" t="str">
        <f>"07340168"</f>
        <v>07340168</v>
      </c>
      <c r="D4359" s="2">
        <v>0.52800000000000002</v>
      </c>
      <c r="E4359" s="2">
        <v>13</v>
      </c>
      <c r="F4359" s="2" t="s">
        <v>6</v>
      </c>
    </row>
    <row r="4360" spans="1:6" ht="25.5">
      <c r="A4360" s="2">
        <v>4357</v>
      </c>
      <c r="B4360" s="2" t="s">
        <v>4435</v>
      </c>
      <c r="C4360" s="2" t="str">
        <f>"14786028"</f>
        <v>14786028</v>
      </c>
      <c r="D4360" s="2">
        <v>0.161</v>
      </c>
      <c r="E4360" s="2">
        <v>5</v>
      </c>
      <c r="F4360" s="2" t="s">
        <v>16</v>
      </c>
    </row>
    <row r="4361" spans="1:6" ht="25.5">
      <c r="A4361" s="2">
        <v>4358</v>
      </c>
      <c r="B4361" s="2" t="s">
        <v>4436</v>
      </c>
      <c r="C4361" s="2" t="str">
        <f>"18719805"</f>
        <v>18719805</v>
      </c>
      <c r="D4361" s="2">
        <v>0.26700000000000002</v>
      </c>
      <c r="E4361" s="2">
        <v>6</v>
      </c>
      <c r="F4361" s="2" t="s">
        <v>75</v>
      </c>
    </row>
    <row r="4362" spans="1:6" ht="25.5">
      <c r="A4362" s="2">
        <v>4359</v>
      </c>
      <c r="B4362" s="2" t="s">
        <v>4437</v>
      </c>
      <c r="C4362" s="2" t="str">
        <f>"10468374"</f>
        <v>10468374</v>
      </c>
      <c r="D4362" s="2">
        <v>0.41399999999999998</v>
      </c>
      <c r="E4362" s="2">
        <v>6</v>
      </c>
      <c r="F4362" s="2" t="s">
        <v>75</v>
      </c>
    </row>
    <row r="4363" spans="1:6" ht="25.5">
      <c r="A4363" s="2">
        <v>4360</v>
      </c>
      <c r="B4363" s="2" t="s">
        <v>4438</v>
      </c>
      <c r="C4363" s="2" t="str">
        <f>"0011135X"</f>
        <v>0011135X</v>
      </c>
      <c r="D4363" s="2">
        <v>0.29499999999999998</v>
      </c>
      <c r="E4363" s="2">
        <v>9</v>
      </c>
      <c r="F4363" s="2" t="s">
        <v>16</v>
      </c>
    </row>
    <row r="4364" spans="1:6" ht="25.5">
      <c r="A4364" s="2">
        <v>4361</v>
      </c>
      <c r="B4364" s="2" t="s">
        <v>4439</v>
      </c>
      <c r="C4364" s="2" t="str">
        <f>"00111384"</f>
        <v>00111384</v>
      </c>
      <c r="D4364" s="2">
        <v>3.4649999999999999</v>
      </c>
      <c r="E4364" s="2">
        <v>70</v>
      </c>
      <c r="F4364" s="2" t="s">
        <v>16</v>
      </c>
    </row>
    <row r="4365" spans="1:6" ht="25.5">
      <c r="A4365" s="2">
        <v>4362</v>
      </c>
      <c r="B4365" s="2" t="s">
        <v>4440</v>
      </c>
      <c r="C4365" s="2" t="str">
        <f>"17488966"</f>
        <v>17488966</v>
      </c>
      <c r="D4365" s="2">
        <v>0.98799999999999999</v>
      </c>
      <c r="E4365" s="2">
        <v>13</v>
      </c>
      <c r="F4365" s="2" t="s">
        <v>16</v>
      </c>
    </row>
    <row r="4366" spans="1:6" ht="25.5">
      <c r="A4366" s="2">
        <v>4363</v>
      </c>
      <c r="B4366" s="2" t="s">
        <v>4441</v>
      </c>
      <c r="C4366" s="2" t="str">
        <f>"19967756"</f>
        <v>19967756</v>
      </c>
      <c r="D4366" s="2">
        <v>0.1</v>
      </c>
      <c r="E4366" s="2">
        <v>0</v>
      </c>
      <c r="F4366" s="2" t="s">
        <v>129</v>
      </c>
    </row>
    <row r="4367" spans="1:6" ht="25.5">
      <c r="A4367" s="2">
        <v>4364</v>
      </c>
      <c r="B4367" s="2" t="s">
        <v>4442</v>
      </c>
      <c r="C4367" s="2" t="str">
        <f>"02275910"</f>
        <v>02275910</v>
      </c>
      <c r="D4367" s="2">
        <v>0.57999999999999996</v>
      </c>
      <c r="E4367" s="2">
        <v>27</v>
      </c>
      <c r="F4367" s="2" t="s">
        <v>6</v>
      </c>
    </row>
    <row r="4368" spans="1:6" ht="25.5">
      <c r="A4368" s="2">
        <v>4365</v>
      </c>
      <c r="B4368" s="2" t="s">
        <v>4443</v>
      </c>
      <c r="C4368" s="2" t="str">
        <f>"00111511"</f>
        <v>00111511</v>
      </c>
      <c r="D4368" s="2">
        <v>0.1</v>
      </c>
      <c r="E4368" s="2">
        <v>1</v>
      </c>
      <c r="F4368" s="2" t="s">
        <v>190</v>
      </c>
    </row>
    <row r="4369" spans="1:6" ht="25.5">
      <c r="A4369" s="2">
        <v>4366</v>
      </c>
      <c r="B4369" s="2" t="s">
        <v>4444</v>
      </c>
      <c r="C4369" s="2" t="str">
        <f>"11271140"</f>
        <v>11271140</v>
      </c>
      <c r="D4369" s="2">
        <v>0</v>
      </c>
      <c r="E4369" s="2">
        <v>0</v>
      </c>
      <c r="F4369" s="2" t="s">
        <v>190</v>
      </c>
    </row>
    <row r="4370" spans="1:6" ht="25.5">
      <c r="A4370" s="2">
        <v>4367</v>
      </c>
      <c r="B4370" s="2" t="s">
        <v>4445</v>
      </c>
      <c r="C4370" s="2" t="str">
        <f>"02787261"</f>
        <v>02787261</v>
      </c>
      <c r="D4370" s="2">
        <v>0.1</v>
      </c>
      <c r="E4370" s="2">
        <v>1</v>
      </c>
      <c r="F4370" s="2" t="s">
        <v>6</v>
      </c>
    </row>
    <row r="4371" spans="1:6" ht="25.5">
      <c r="A4371" s="2">
        <v>4368</v>
      </c>
      <c r="B4371" s="2" t="s">
        <v>4446</v>
      </c>
      <c r="C4371" s="2" t="str">
        <f>"14672715"</f>
        <v>14672715</v>
      </c>
      <c r="D4371" s="2">
        <v>0.28499999999999998</v>
      </c>
      <c r="E4371" s="2">
        <v>14</v>
      </c>
      <c r="F4371" s="2" t="s">
        <v>16</v>
      </c>
    </row>
    <row r="4372" spans="1:6" ht="25.5">
      <c r="A4372" s="2">
        <v>4369</v>
      </c>
      <c r="B4372" s="2" t="s">
        <v>4447</v>
      </c>
      <c r="C4372" s="2" t="str">
        <f>"1466609X"</f>
        <v>1466609X</v>
      </c>
      <c r="D4372" s="2">
        <v>1.9410000000000001</v>
      </c>
      <c r="E4372" s="2">
        <v>80</v>
      </c>
      <c r="F4372" s="2" t="s">
        <v>16</v>
      </c>
    </row>
    <row r="4373" spans="1:6" ht="25.5">
      <c r="A4373" s="2">
        <v>4370</v>
      </c>
      <c r="B4373" s="2" t="s">
        <v>4448</v>
      </c>
      <c r="C4373" s="2" t="str">
        <f>"14412772"</f>
        <v>14412772</v>
      </c>
      <c r="D4373" s="2">
        <v>0.68899999999999995</v>
      </c>
      <c r="E4373" s="2">
        <v>14</v>
      </c>
      <c r="F4373" s="2" t="s">
        <v>127</v>
      </c>
    </row>
    <row r="4374" spans="1:6" ht="25.5">
      <c r="A4374" s="2">
        <v>4371</v>
      </c>
      <c r="B4374" s="2" t="s">
        <v>4449</v>
      </c>
      <c r="C4374" s="2" t="str">
        <f>"14107767"</f>
        <v>14107767</v>
      </c>
      <c r="D4374" s="2">
        <v>0.112</v>
      </c>
      <c r="E4374" s="2">
        <v>6</v>
      </c>
      <c r="F4374" s="2" t="s">
        <v>297</v>
      </c>
    </row>
    <row r="4375" spans="1:6" ht="25.5">
      <c r="A4375" s="2">
        <v>4372</v>
      </c>
      <c r="B4375" s="2" t="s">
        <v>4450</v>
      </c>
      <c r="C4375" s="2" t="str">
        <f>"07490704"</f>
        <v>07490704</v>
      </c>
      <c r="D4375" s="2">
        <v>0.95099999999999996</v>
      </c>
      <c r="E4375" s="2">
        <v>44</v>
      </c>
      <c r="F4375" s="2" t="s">
        <v>16</v>
      </c>
    </row>
    <row r="4376" spans="1:6" ht="25.5">
      <c r="A4376" s="2">
        <v>4373</v>
      </c>
      <c r="B4376" s="2" t="s">
        <v>4451</v>
      </c>
      <c r="C4376" s="2" t="str">
        <f>"15300293"</f>
        <v>15300293</v>
      </c>
      <c r="D4376" s="2">
        <v>2.633</v>
      </c>
      <c r="E4376" s="2">
        <v>176</v>
      </c>
      <c r="F4376" s="2" t="s">
        <v>6</v>
      </c>
    </row>
    <row r="4377" spans="1:6" ht="25.5">
      <c r="A4377" s="2">
        <v>4374</v>
      </c>
      <c r="B4377" s="2" t="s">
        <v>4452</v>
      </c>
      <c r="C4377" s="2" t="str">
        <f>"02795442"</f>
        <v>02795442</v>
      </c>
      <c r="D4377" s="2">
        <v>0.40699999999999997</v>
      </c>
      <c r="E4377" s="2">
        <v>21</v>
      </c>
      <c r="F4377" s="2" t="s">
        <v>6</v>
      </c>
    </row>
    <row r="4378" spans="1:6" ht="25.5">
      <c r="A4378" s="2">
        <v>4375</v>
      </c>
      <c r="B4378" s="2" t="s">
        <v>4453</v>
      </c>
      <c r="C4378" s="2" t="str">
        <f>"08995885"</f>
        <v>08995885</v>
      </c>
      <c r="D4378" s="2">
        <v>0.16400000000000001</v>
      </c>
      <c r="E4378" s="2">
        <v>18</v>
      </c>
      <c r="F4378" s="2" t="s">
        <v>16</v>
      </c>
    </row>
    <row r="4379" spans="1:6" ht="25.5">
      <c r="A4379" s="2">
        <v>4376</v>
      </c>
      <c r="B4379" s="2" t="s">
        <v>4454</v>
      </c>
      <c r="C4379" s="2" t="str">
        <f>"15505111"</f>
        <v>15505111</v>
      </c>
      <c r="D4379" s="2">
        <v>0.36</v>
      </c>
      <c r="E4379" s="2">
        <v>20</v>
      </c>
      <c r="F4379" s="2" t="s">
        <v>6</v>
      </c>
    </row>
    <row r="4380" spans="1:6" ht="25.5">
      <c r="A4380" s="2">
        <v>4377</v>
      </c>
      <c r="B4380" s="2" t="s">
        <v>4455</v>
      </c>
      <c r="C4380" s="2" t="str">
        <f>"20901305"</f>
        <v>20901305</v>
      </c>
      <c r="D4380" s="2">
        <v>0</v>
      </c>
      <c r="E4380" s="2">
        <v>2</v>
      </c>
      <c r="F4380" s="2" t="s">
        <v>523</v>
      </c>
    </row>
    <row r="4381" spans="1:6" ht="25.5">
      <c r="A4381" s="2">
        <v>4378</v>
      </c>
      <c r="B4381" s="2" t="s">
        <v>4456</v>
      </c>
      <c r="C4381" s="2" t="str">
        <f>"15729877"</f>
        <v>15729877</v>
      </c>
      <c r="D4381" s="2">
        <v>0.17299999999999999</v>
      </c>
      <c r="E4381" s="2">
        <v>9</v>
      </c>
      <c r="F4381" s="2" t="s">
        <v>75</v>
      </c>
    </row>
    <row r="4382" spans="1:6" ht="25.5">
      <c r="A4382" s="2">
        <v>4379</v>
      </c>
      <c r="B4382" s="2" t="s">
        <v>4457</v>
      </c>
      <c r="C4382" s="2" t="str">
        <f>"17405912"</f>
        <v>17405912</v>
      </c>
      <c r="D4382" s="2">
        <v>0.63600000000000001</v>
      </c>
      <c r="E4382" s="2">
        <v>4</v>
      </c>
      <c r="F4382" s="2" t="s">
        <v>16</v>
      </c>
    </row>
    <row r="4383" spans="1:6" ht="25.5">
      <c r="A4383" s="2">
        <v>4380</v>
      </c>
      <c r="B4383" s="2" t="s">
        <v>4458</v>
      </c>
      <c r="C4383" s="2" t="str">
        <f>"20352638"</f>
        <v>20352638</v>
      </c>
      <c r="D4383" s="2">
        <v>0.1</v>
      </c>
      <c r="E4383" s="2">
        <v>1</v>
      </c>
      <c r="F4383" s="2" t="s">
        <v>190</v>
      </c>
    </row>
    <row r="4384" spans="1:6" ht="25.5">
      <c r="A4384" s="2">
        <v>4381</v>
      </c>
      <c r="B4384" s="2" t="s">
        <v>4459</v>
      </c>
      <c r="C4384" s="2" t="str">
        <f>"15685160"</f>
        <v>15685160</v>
      </c>
      <c r="D4384" s="2">
        <v>0.105</v>
      </c>
      <c r="E4384" s="2">
        <v>5</v>
      </c>
      <c r="F4384" s="2" t="s">
        <v>16</v>
      </c>
    </row>
    <row r="4385" spans="1:6" ht="25.5">
      <c r="A4385" s="2">
        <v>4382</v>
      </c>
      <c r="B4385" s="2" t="s">
        <v>4460</v>
      </c>
      <c r="C4385" s="2" t="str">
        <f>"15397858"</f>
        <v>15397858</v>
      </c>
      <c r="D4385" s="2">
        <v>0.57099999999999995</v>
      </c>
      <c r="E4385" s="2">
        <v>24</v>
      </c>
      <c r="F4385" s="2" t="s">
        <v>6</v>
      </c>
    </row>
    <row r="4386" spans="1:6" ht="25.5">
      <c r="A4386" s="2">
        <v>4383</v>
      </c>
      <c r="B4386" s="2" t="s">
        <v>4461</v>
      </c>
      <c r="C4386" s="2" t="str">
        <f>"15427587"</f>
        <v>15427587</v>
      </c>
      <c r="D4386" s="2">
        <v>0.224</v>
      </c>
      <c r="E4386" s="2">
        <v>2</v>
      </c>
      <c r="F4386" s="2" t="s">
        <v>16</v>
      </c>
    </row>
    <row r="4387" spans="1:6" ht="25.5">
      <c r="A4387" s="2">
        <v>4384</v>
      </c>
      <c r="B4387" s="2" t="s">
        <v>4462</v>
      </c>
      <c r="C4387" s="2" t="str">
        <f>"1535282X"</f>
        <v>1535282X</v>
      </c>
      <c r="D4387" s="2">
        <v>0.51200000000000001</v>
      </c>
      <c r="E4387" s="2">
        <v>13</v>
      </c>
      <c r="F4387" s="2" t="s">
        <v>6</v>
      </c>
    </row>
    <row r="4388" spans="1:6" ht="25.5">
      <c r="A4388" s="2">
        <v>4385</v>
      </c>
      <c r="B4388" s="2" t="s">
        <v>4463</v>
      </c>
      <c r="C4388" s="2" t="str">
        <f>"10959955"</f>
        <v>10959955</v>
      </c>
      <c r="D4388" s="2">
        <v>0.64100000000000001</v>
      </c>
      <c r="E4388" s="2">
        <v>28</v>
      </c>
      <c r="F4388" s="2" t="s">
        <v>6</v>
      </c>
    </row>
    <row r="4389" spans="1:6" ht="25.5">
      <c r="A4389" s="2">
        <v>4386</v>
      </c>
      <c r="B4389" s="2" t="s">
        <v>4464</v>
      </c>
      <c r="C4389" s="2" t="str">
        <f>"17422043"</f>
        <v>17422043</v>
      </c>
      <c r="D4389" s="2">
        <v>0.312</v>
      </c>
      <c r="E4389" s="2">
        <v>9</v>
      </c>
      <c r="F4389" s="2" t="s">
        <v>16</v>
      </c>
    </row>
    <row r="4390" spans="1:6" ht="25.5">
      <c r="A4390" s="2">
        <v>4387</v>
      </c>
      <c r="B4390" s="2" t="s">
        <v>4465</v>
      </c>
      <c r="C4390" s="2" t="str">
        <f>"1946018X"</f>
        <v>1946018X</v>
      </c>
      <c r="D4390" s="2">
        <v>0.309</v>
      </c>
      <c r="E4390" s="2">
        <v>5</v>
      </c>
      <c r="F4390" s="2" t="s">
        <v>6</v>
      </c>
    </row>
    <row r="4391" spans="1:6" ht="25.5">
      <c r="A4391" s="2">
        <v>4388</v>
      </c>
      <c r="B4391" s="2" t="s">
        <v>4466</v>
      </c>
      <c r="C4391" s="2" t="str">
        <f>"14693682"</f>
        <v>14693682</v>
      </c>
      <c r="D4391" s="2">
        <v>0.42599999999999999</v>
      </c>
      <c r="E4391" s="2">
        <v>20</v>
      </c>
      <c r="F4391" s="2" t="s">
        <v>16</v>
      </c>
    </row>
    <row r="4392" spans="1:6" ht="25.5">
      <c r="A4392" s="2">
        <v>4389</v>
      </c>
      <c r="B4392" s="2" t="s">
        <v>4467</v>
      </c>
      <c r="C4392" s="2" t="str">
        <f>"14678705"</f>
        <v>14678705</v>
      </c>
      <c r="D4392" s="2">
        <v>0.1</v>
      </c>
      <c r="E4392" s="2">
        <v>8</v>
      </c>
      <c r="F4392" s="2" t="s">
        <v>16</v>
      </c>
    </row>
    <row r="4393" spans="1:6" ht="25.5">
      <c r="A4393" s="2">
        <v>4390</v>
      </c>
      <c r="B4393" s="2" t="s">
        <v>4468</v>
      </c>
      <c r="C4393" s="2" t="str">
        <f>"08913811"</f>
        <v>08913811</v>
      </c>
      <c r="D4393" s="2">
        <v>0.57299999999999995</v>
      </c>
      <c r="E4393" s="2">
        <v>12</v>
      </c>
      <c r="F4393" s="2" t="s">
        <v>16</v>
      </c>
    </row>
    <row r="4394" spans="1:6" ht="25.5">
      <c r="A4394" s="2">
        <v>4391</v>
      </c>
      <c r="B4394" s="2" t="s">
        <v>4469</v>
      </c>
      <c r="C4394" s="2" t="str">
        <f>"17438772"</f>
        <v>17438772</v>
      </c>
      <c r="D4394" s="2">
        <v>0.215</v>
      </c>
      <c r="E4394" s="2">
        <v>3</v>
      </c>
      <c r="F4394" s="2" t="s">
        <v>16</v>
      </c>
    </row>
    <row r="4395" spans="1:6" ht="25.5">
      <c r="A4395" s="2">
        <v>4392</v>
      </c>
      <c r="B4395" s="2" t="s">
        <v>4470</v>
      </c>
      <c r="C4395" s="2" t="str">
        <f>"15476510"</f>
        <v>15476510</v>
      </c>
      <c r="D4395" s="2">
        <v>0.97499999999999998</v>
      </c>
      <c r="E4395" s="2">
        <v>40</v>
      </c>
      <c r="F4395" s="2" t="s">
        <v>16</v>
      </c>
    </row>
    <row r="4396" spans="1:6" ht="25.5">
      <c r="A4396" s="2">
        <v>4393</v>
      </c>
      <c r="B4396" s="2" t="s">
        <v>4471</v>
      </c>
      <c r="C4396" s="2" t="str">
        <f>"15497798"</f>
        <v>15497798</v>
      </c>
      <c r="D4396" s="2">
        <v>3.5379999999999998</v>
      </c>
      <c r="E4396" s="2">
        <v>69</v>
      </c>
      <c r="F4396" s="2" t="s">
        <v>16</v>
      </c>
    </row>
    <row r="4397" spans="1:6" ht="25.5">
      <c r="A4397" s="2">
        <v>4394</v>
      </c>
      <c r="B4397" s="2" t="s">
        <v>4472</v>
      </c>
      <c r="C4397" s="2" t="str">
        <f>"0278940X"</f>
        <v>0278940X</v>
      </c>
      <c r="D4397" s="2">
        <v>0.38900000000000001</v>
      </c>
      <c r="E4397" s="2">
        <v>30</v>
      </c>
      <c r="F4397" s="2" t="s">
        <v>6</v>
      </c>
    </row>
    <row r="4398" spans="1:6" ht="25.5">
      <c r="A4398" s="2">
        <v>4395</v>
      </c>
      <c r="B4398" s="2" t="s">
        <v>4473</v>
      </c>
      <c r="C4398" s="2" t="str">
        <f>"15497801"</f>
        <v>15497801</v>
      </c>
      <c r="D4398" s="2">
        <v>1.304</v>
      </c>
      <c r="E4398" s="2">
        <v>48</v>
      </c>
      <c r="F4398" s="2" t="s">
        <v>16</v>
      </c>
    </row>
    <row r="4399" spans="1:6" ht="25.5">
      <c r="A4399" s="2">
        <v>4396</v>
      </c>
      <c r="B4399" s="2" t="s">
        <v>4474</v>
      </c>
      <c r="C4399" s="2" t="str">
        <f>"1549781X"</f>
        <v>1549781X</v>
      </c>
      <c r="D4399" s="2">
        <v>1.355</v>
      </c>
      <c r="E4399" s="2">
        <v>47</v>
      </c>
      <c r="F4399" s="2" t="s">
        <v>16</v>
      </c>
    </row>
    <row r="4400" spans="1:6" ht="25.5">
      <c r="A4400" s="2">
        <v>4397</v>
      </c>
      <c r="B4400" s="2" t="s">
        <v>4475</v>
      </c>
      <c r="C4400" s="2" t="str">
        <f>"10643389"</f>
        <v>10643389</v>
      </c>
      <c r="D4400" s="2">
        <v>1.548</v>
      </c>
      <c r="E4400" s="2">
        <v>51</v>
      </c>
      <c r="F4400" s="2" t="s">
        <v>16</v>
      </c>
    </row>
    <row r="4401" spans="1:6" ht="25.5">
      <c r="A4401" s="2">
        <v>4398</v>
      </c>
      <c r="B4401" s="2" t="s">
        <v>4476</v>
      </c>
      <c r="C4401" s="2" t="str">
        <f>"10454403"</f>
        <v>10454403</v>
      </c>
      <c r="D4401" s="2">
        <v>0.89500000000000002</v>
      </c>
      <c r="E4401" s="2">
        <v>43</v>
      </c>
      <c r="F4401" s="2" t="s">
        <v>6</v>
      </c>
    </row>
    <row r="4402" spans="1:6" ht="25.5">
      <c r="A4402" s="2">
        <v>4399</v>
      </c>
      <c r="B4402" s="2" t="s">
        <v>4477</v>
      </c>
      <c r="C4402" s="2" t="str">
        <f>"15497852"</f>
        <v>15497852</v>
      </c>
      <c r="D4402" s="2">
        <v>1.73</v>
      </c>
      <c r="E4402" s="2">
        <v>78</v>
      </c>
      <c r="F4402" s="2" t="s">
        <v>16</v>
      </c>
    </row>
    <row r="4403" spans="1:6" ht="25.5">
      <c r="A4403" s="2">
        <v>4400</v>
      </c>
      <c r="B4403" s="2" t="s">
        <v>4478</v>
      </c>
      <c r="C4403" s="2" t="str">
        <f>"10408401"</f>
        <v>10408401</v>
      </c>
      <c r="D4403" s="2">
        <v>1.6180000000000001</v>
      </c>
      <c r="E4403" s="2">
        <v>56</v>
      </c>
      <c r="F4403" s="2" t="s">
        <v>6</v>
      </c>
    </row>
    <row r="4404" spans="1:6" ht="25.5">
      <c r="A4404" s="2">
        <v>4401</v>
      </c>
      <c r="B4404" s="2" t="s">
        <v>4479</v>
      </c>
      <c r="C4404" s="2" t="str">
        <f>"15497828"</f>
        <v>15497828</v>
      </c>
      <c r="D4404" s="2">
        <v>1.4019999999999999</v>
      </c>
      <c r="E4404" s="2">
        <v>46</v>
      </c>
      <c r="F4404" s="2" t="s">
        <v>16</v>
      </c>
    </row>
    <row r="4405" spans="1:6" ht="25.5">
      <c r="A4405" s="2">
        <v>4402</v>
      </c>
      <c r="B4405" s="2" t="s">
        <v>4480</v>
      </c>
      <c r="C4405" s="2" t="str">
        <f>"08939675"</f>
        <v>08939675</v>
      </c>
      <c r="D4405" s="2">
        <v>0.58599999999999997</v>
      </c>
      <c r="E4405" s="2">
        <v>33</v>
      </c>
      <c r="F4405" s="2" t="s">
        <v>6</v>
      </c>
    </row>
    <row r="4406" spans="1:6" ht="25.5">
      <c r="A4406" s="2">
        <v>4403</v>
      </c>
      <c r="B4406" s="2" t="s">
        <v>4481</v>
      </c>
      <c r="C4406" s="2" t="str">
        <f>"10408428"</f>
        <v>10408428</v>
      </c>
      <c r="D4406" s="2">
        <v>1.508</v>
      </c>
      <c r="E4406" s="2">
        <v>77</v>
      </c>
      <c r="F4406" s="2" t="s">
        <v>732</v>
      </c>
    </row>
    <row r="4407" spans="1:6" ht="25.5">
      <c r="A4407" s="2">
        <v>4404</v>
      </c>
      <c r="B4407" s="2" t="s">
        <v>4482</v>
      </c>
      <c r="C4407" s="2" t="str">
        <f>"08962960"</f>
        <v>08962960</v>
      </c>
      <c r="D4407" s="2">
        <v>0.10100000000000001</v>
      </c>
      <c r="E4407" s="2">
        <v>11</v>
      </c>
      <c r="F4407" s="2" t="s">
        <v>6</v>
      </c>
    </row>
    <row r="4408" spans="1:6" ht="25.5">
      <c r="A4408" s="2">
        <v>4405</v>
      </c>
      <c r="B4408" s="2" t="s">
        <v>4483</v>
      </c>
      <c r="C4408" s="2" t="str">
        <f>"15497836"</f>
        <v>15497836</v>
      </c>
      <c r="D4408" s="2">
        <v>1.542</v>
      </c>
      <c r="E4408" s="2">
        <v>68</v>
      </c>
      <c r="F4408" s="2" t="s">
        <v>16</v>
      </c>
    </row>
    <row r="4409" spans="1:6" ht="25.5">
      <c r="A4409" s="2">
        <v>4406</v>
      </c>
      <c r="B4409" s="2" t="s">
        <v>4484</v>
      </c>
      <c r="C4409" s="2" t="str">
        <f>"10408436"</f>
        <v>10408436</v>
      </c>
      <c r="D4409" s="2">
        <v>2.92</v>
      </c>
      <c r="E4409" s="2">
        <v>29</v>
      </c>
      <c r="F4409" s="2" t="s">
        <v>16</v>
      </c>
    </row>
    <row r="4410" spans="1:6" ht="25.5">
      <c r="A4410" s="2">
        <v>4407</v>
      </c>
      <c r="B4410" s="2" t="s">
        <v>4485</v>
      </c>
      <c r="C4410" s="2" t="str">
        <f>"07434863"</f>
        <v>07434863</v>
      </c>
      <c r="D4410" s="2">
        <v>0.89100000000000001</v>
      </c>
      <c r="E4410" s="2">
        <v>51</v>
      </c>
      <c r="F4410" s="2" t="s">
        <v>6</v>
      </c>
    </row>
    <row r="4411" spans="1:6" ht="25.5">
      <c r="A4411" s="2">
        <v>4408</v>
      </c>
      <c r="B4411" s="2" t="s">
        <v>4486</v>
      </c>
      <c r="C4411" s="2" t="str">
        <f>"15476898"</f>
        <v>15476898</v>
      </c>
      <c r="D4411" s="2">
        <v>1.7589999999999999</v>
      </c>
      <c r="E4411" s="2">
        <v>65</v>
      </c>
      <c r="F4411" s="2" t="s">
        <v>16</v>
      </c>
    </row>
    <row r="4412" spans="1:6" ht="25.5">
      <c r="A4412" s="2">
        <v>4409</v>
      </c>
      <c r="B4412" s="2" t="s">
        <v>4487</v>
      </c>
      <c r="C4412" s="2" t="str">
        <f>"02610183"</f>
        <v>02610183</v>
      </c>
      <c r="D4412" s="2">
        <v>0.57799999999999996</v>
      </c>
      <c r="E4412" s="2">
        <v>30</v>
      </c>
      <c r="F4412" s="2" t="s">
        <v>16</v>
      </c>
    </row>
    <row r="4413" spans="1:6" ht="25.5">
      <c r="A4413" s="2">
        <v>4410</v>
      </c>
      <c r="B4413" s="2" t="s">
        <v>4488</v>
      </c>
      <c r="C4413" s="2" t="str">
        <f>"08969205"</f>
        <v>08969205</v>
      </c>
      <c r="D4413" s="2">
        <v>0.40300000000000002</v>
      </c>
      <c r="E4413" s="2">
        <v>12</v>
      </c>
      <c r="F4413" s="2" t="s">
        <v>16</v>
      </c>
    </row>
    <row r="4414" spans="1:6" ht="25.5">
      <c r="A4414" s="2">
        <v>4411</v>
      </c>
      <c r="B4414" s="2" t="s">
        <v>4489</v>
      </c>
      <c r="C4414" s="2" t="str">
        <f>"0923411X"</f>
        <v>0923411X</v>
      </c>
      <c r="D4414" s="2">
        <v>0.10299999999999999</v>
      </c>
      <c r="E4414" s="2">
        <v>0</v>
      </c>
      <c r="F4414" s="2" t="s">
        <v>75</v>
      </c>
    </row>
    <row r="4415" spans="1:6" ht="25.5">
      <c r="A4415" s="2">
        <v>4412</v>
      </c>
      <c r="B4415" s="2" t="s">
        <v>4490</v>
      </c>
      <c r="C4415" s="2" t="str">
        <f>"17508495"</f>
        <v>17508495</v>
      </c>
      <c r="D4415" s="2">
        <v>1.093</v>
      </c>
      <c r="E4415" s="2">
        <v>5</v>
      </c>
      <c r="F4415" s="2" t="s">
        <v>16</v>
      </c>
    </row>
    <row r="4416" spans="1:6" ht="25.5">
      <c r="A4416" s="2">
        <v>4413</v>
      </c>
      <c r="B4416" s="2" t="s">
        <v>4491</v>
      </c>
      <c r="C4416" s="2" t="str">
        <f>"15295036"</f>
        <v>15295036</v>
      </c>
      <c r="D4416" s="2">
        <v>0.44</v>
      </c>
      <c r="E4416" s="2">
        <v>21</v>
      </c>
      <c r="F4416" s="2" t="s">
        <v>6</v>
      </c>
    </row>
    <row r="4417" spans="1:6" ht="25.5">
      <c r="A4417" s="2">
        <v>4414</v>
      </c>
      <c r="B4417" s="2" t="s">
        <v>4492</v>
      </c>
      <c r="C4417" s="2" t="str">
        <f>"17522293"</f>
        <v>17522293</v>
      </c>
      <c r="D4417" s="2">
        <v>0</v>
      </c>
      <c r="E4417" s="2">
        <v>0</v>
      </c>
      <c r="F4417" s="2" t="s">
        <v>16</v>
      </c>
    </row>
    <row r="4418" spans="1:6" ht="25.5">
      <c r="A4418" s="2">
        <v>4415</v>
      </c>
      <c r="B4418" s="2" t="s">
        <v>4493</v>
      </c>
      <c r="C4418" s="2" t="str">
        <f>"20367902"</f>
        <v>20367902</v>
      </c>
      <c r="D4418" s="2">
        <v>0.13700000000000001</v>
      </c>
      <c r="E4418" s="2">
        <v>3</v>
      </c>
      <c r="F4418" s="2" t="s">
        <v>190</v>
      </c>
    </row>
    <row r="4419" spans="1:6" ht="25.5">
      <c r="A4419" s="2">
        <v>4416</v>
      </c>
      <c r="B4419" s="2" t="s">
        <v>4494</v>
      </c>
      <c r="C4419" s="2" t="str">
        <f>"00111503"</f>
        <v>00111503</v>
      </c>
      <c r="D4419" s="2">
        <v>0.104</v>
      </c>
      <c r="E4419" s="2">
        <v>3</v>
      </c>
      <c r="F4419" s="2" t="s">
        <v>200</v>
      </c>
    </row>
    <row r="4420" spans="1:6" ht="25.5">
      <c r="A4420" s="2">
        <v>4417</v>
      </c>
      <c r="B4420" s="2" t="s">
        <v>4495</v>
      </c>
      <c r="C4420" s="2" t="str">
        <f>"15360342"</f>
        <v>15360342</v>
      </c>
      <c r="D4420" s="2">
        <v>0.14699999999999999</v>
      </c>
      <c r="E4420" s="2">
        <v>8</v>
      </c>
      <c r="F4420" s="2" t="s">
        <v>6</v>
      </c>
    </row>
    <row r="4421" spans="1:6" ht="25.5">
      <c r="A4421" s="2">
        <v>4418</v>
      </c>
      <c r="B4421" s="2" t="s">
        <v>4496</v>
      </c>
      <c r="C4421" s="2" t="str">
        <f>"17488605"</f>
        <v>17488605</v>
      </c>
      <c r="D4421" s="2">
        <v>0.14000000000000001</v>
      </c>
      <c r="E4421" s="2">
        <v>4</v>
      </c>
      <c r="F4421" s="2" t="s">
        <v>16</v>
      </c>
    </row>
    <row r="4422" spans="1:6" ht="25.5">
      <c r="A4422" s="2">
        <v>4419</v>
      </c>
      <c r="B4422" s="2" t="s">
        <v>4497</v>
      </c>
      <c r="C4422" s="2" t="str">
        <f>"12907839"</f>
        <v>12907839</v>
      </c>
      <c r="D4422" s="2">
        <v>0.21299999999999999</v>
      </c>
      <c r="E4422" s="2">
        <v>5</v>
      </c>
      <c r="F4422" s="2" t="s">
        <v>66</v>
      </c>
    </row>
    <row r="4423" spans="1:6" ht="25.5">
      <c r="A4423" s="2">
        <v>4420</v>
      </c>
      <c r="B4423" s="2" t="s">
        <v>4498</v>
      </c>
      <c r="C4423" s="2" t="str">
        <f>"0308275X"</f>
        <v>0308275X</v>
      </c>
      <c r="D4423" s="2">
        <v>0.64700000000000002</v>
      </c>
      <c r="E4423" s="2">
        <v>20</v>
      </c>
      <c r="F4423" s="2" t="s">
        <v>16</v>
      </c>
    </row>
    <row r="4424" spans="1:6" ht="25.5">
      <c r="A4424" s="2">
        <v>4421</v>
      </c>
      <c r="B4424" s="2" t="s">
        <v>4499</v>
      </c>
      <c r="C4424" s="2" t="str">
        <f>"00111619"</f>
        <v>00111619</v>
      </c>
      <c r="D4424" s="2">
        <v>0.13300000000000001</v>
      </c>
      <c r="E4424" s="2">
        <v>4</v>
      </c>
      <c r="F4424" s="2" t="s">
        <v>16</v>
      </c>
    </row>
    <row r="4425" spans="1:6" ht="25.5">
      <c r="A4425" s="2">
        <v>4422</v>
      </c>
      <c r="B4425" s="2" t="s">
        <v>4500</v>
      </c>
      <c r="C4425" s="2" t="str">
        <f>"03524000"</f>
        <v>03524000</v>
      </c>
      <c r="D4425" s="2">
        <v>0.10100000000000001</v>
      </c>
      <c r="E4425" s="2">
        <v>1</v>
      </c>
      <c r="F4425" s="2" t="s">
        <v>149</v>
      </c>
    </row>
    <row r="4426" spans="1:6" ht="25.5">
      <c r="A4426" s="2">
        <v>4423</v>
      </c>
      <c r="B4426" s="2" t="s">
        <v>4501</v>
      </c>
      <c r="C4426" s="2" t="str">
        <f>"18463878"</f>
        <v>18463878</v>
      </c>
      <c r="D4426" s="2">
        <v>0.191</v>
      </c>
      <c r="E4426" s="2">
        <v>1</v>
      </c>
      <c r="F4426" s="2" t="s">
        <v>149</v>
      </c>
    </row>
    <row r="4427" spans="1:6" ht="25.5">
      <c r="A4427" s="2">
        <v>4424</v>
      </c>
      <c r="B4427" s="2" t="s">
        <v>4502</v>
      </c>
      <c r="C4427" s="2" t="str">
        <f>"18455719"</f>
        <v>18455719</v>
      </c>
      <c r="D4427" s="2">
        <v>0.27400000000000002</v>
      </c>
      <c r="E4427" s="2">
        <v>7</v>
      </c>
      <c r="F4427" s="2" t="s">
        <v>149</v>
      </c>
    </row>
    <row r="4428" spans="1:6" ht="25.5">
      <c r="A4428" s="2">
        <v>4425</v>
      </c>
      <c r="B4428" s="2" t="s">
        <v>4503</v>
      </c>
      <c r="C4428" s="2" t="str">
        <f>"18476139"</f>
        <v>18476139</v>
      </c>
      <c r="D4428" s="2">
        <v>0.13500000000000001</v>
      </c>
      <c r="E4428" s="2">
        <v>4</v>
      </c>
      <c r="F4428" s="2" t="s">
        <v>149</v>
      </c>
    </row>
    <row r="4429" spans="1:6" ht="25.5">
      <c r="A4429" s="2">
        <v>4426</v>
      </c>
      <c r="B4429" s="2" t="s">
        <v>4504</v>
      </c>
      <c r="C4429" s="2" t="str">
        <f>"13328166"</f>
        <v>13328166</v>
      </c>
      <c r="D4429" s="2">
        <v>0.33</v>
      </c>
      <c r="E4429" s="2">
        <v>31</v>
      </c>
      <c r="F4429" s="2" t="s">
        <v>149</v>
      </c>
    </row>
    <row r="4430" spans="1:6" ht="25.5">
      <c r="A4430" s="2">
        <v>4427</v>
      </c>
      <c r="B4430" s="2" t="s">
        <v>4505</v>
      </c>
      <c r="C4430" s="2" t="str">
        <f>"18455662"</f>
        <v>18455662</v>
      </c>
      <c r="D4430" s="2">
        <v>0</v>
      </c>
      <c r="E4430" s="2">
        <v>0</v>
      </c>
      <c r="F4430" s="2" t="s">
        <v>149</v>
      </c>
    </row>
    <row r="4431" spans="1:6" ht="25.5">
      <c r="A4431" s="2">
        <v>4428</v>
      </c>
      <c r="B4431" s="2" t="s">
        <v>4506</v>
      </c>
      <c r="C4431" s="2" t="str">
        <f>"1334417X"</f>
        <v>1334417X</v>
      </c>
      <c r="D4431" s="2">
        <v>0.23799999999999999</v>
      </c>
      <c r="E4431" s="2">
        <v>30</v>
      </c>
      <c r="F4431" s="2" t="s">
        <v>149</v>
      </c>
    </row>
    <row r="4432" spans="1:6" ht="25.5">
      <c r="A4432" s="2">
        <v>4429</v>
      </c>
      <c r="B4432" s="2" t="s">
        <v>4507</v>
      </c>
      <c r="C4432" s="2" t="str">
        <f>"03507823"</f>
        <v>03507823</v>
      </c>
      <c r="D4432" s="2">
        <v>0.10100000000000001</v>
      </c>
      <c r="E4432" s="2">
        <v>0</v>
      </c>
      <c r="F4432" s="2" t="s">
        <v>149</v>
      </c>
    </row>
    <row r="4433" spans="1:6" ht="25.5">
      <c r="A4433" s="2">
        <v>4430</v>
      </c>
      <c r="B4433" s="2" t="s">
        <v>4508</v>
      </c>
      <c r="C4433" s="2" t="str">
        <f>"11237023"</f>
        <v>11237023</v>
      </c>
      <c r="D4433" s="2">
        <v>0.109</v>
      </c>
      <c r="E4433" s="2">
        <v>0</v>
      </c>
      <c r="F4433" s="2" t="s">
        <v>190</v>
      </c>
    </row>
    <row r="4434" spans="1:6" ht="25.5">
      <c r="A4434" s="2">
        <v>4431</v>
      </c>
      <c r="B4434" s="2" t="s">
        <v>4509</v>
      </c>
      <c r="C4434" s="2" t="str">
        <f>"18360947"</f>
        <v>18360947</v>
      </c>
      <c r="D4434" s="2">
        <v>0.65200000000000002</v>
      </c>
      <c r="E4434" s="2">
        <v>53</v>
      </c>
      <c r="F4434" s="2" t="s">
        <v>127</v>
      </c>
    </row>
    <row r="4435" spans="1:6" ht="25.5">
      <c r="A4435" s="2">
        <v>4432</v>
      </c>
      <c r="B4435" s="2" t="s">
        <v>4510</v>
      </c>
      <c r="C4435" s="2" t="str">
        <f>"15187853"</f>
        <v>15187853</v>
      </c>
      <c r="D4435" s="2">
        <v>0.44900000000000001</v>
      </c>
      <c r="E4435" s="2">
        <v>9</v>
      </c>
      <c r="F4435" s="2" t="s">
        <v>159</v>
      </c>
    </row>
    <row r="4436" spans="1:6" ht="25.5">
      <c r="A4436" s="2">
        <v>4433</v>
      </c>
      <c r="B4436" s="2" t="s">
        <v>4511</v>
      </c>
      <c r="C4436" s="2" t="str">
        <f>"02612194"</f>
        <v>02612194</v>
      </c>
      <c r="D4436" s="2">
        <v>0.61</v>
      </c>
      <c r="E4436" s="2">
        <v>55</v>
      </c>
      <c r="F4436" s="2" t="s">
        <v>75</v>
      </c>
    </row>
    <row r="4437" spans="1:6" ht="25.5">
      <c r="A4437" s="2">
        <v>4434</v>
      </c>
      <c r="B4437" s="2" t="s">
        <v>4512</v>
      </c>
      <c r="C4437" s="2" t="str">
        <f>"14350653"</f>
        <v>14350653</v>
      </c>
      <c r="D4437" s="2">
        <v>0.75900000000000001</v>
      </c>
      <c r="E4437" s="2">
        <v>84</v>
      </c>
      <c r="F4437" s="2" t="s">
        <v>6</v>
      </c>
    </row>
    <row r="4438" spans="1:6" ht="25.5">
      <c r="A4438" s="2">
        <v>4435</v>
      </c>
      <c r="B4438" s="2" t="s">
        <v>4513</v>
      </c>
      <c r="C4438" s="2" t="str">
        <f>"13527606"</f>
        <v>13527606</v>
      </c>
      <c r="D4438" s="2">
        <v>0.434</v>
      </c>
      <c r="E4438" s="2">
        <v>4</v>
      </c>
      <c r="F4438" s="2" t="s">
        <v>16</v>
      </c>
    </row>
    <row r="4439" spans="1:6" ht="25.5">
      <c r="A4439" s="2">
        <v>4436</v>
      </c>
      <c r="B4439" s="2" t="s">
        <v>4514</v>
      </c>
      <c r="C4439" s="2" t="str">
        <f>"15523578"</f>
        <v>15523578</v>
      </c>
      <c r="D4439" s="2">
        <v>0.43</v>
      </c>
      <c r="E4439" s="2">
        <v>20</v>
      </c>
      <c r="F4439" s="2" t="s">
        <v>6</v>
      </c>
    </row>
    <row r="4440" spans="1:6">
      <c r="A4440" s="2">
        <v>4437</v>
      </c>
      <c r="B4440" s="2" t="s">
        <v>4515</v>
      </c>
      <c r="C4440" s="2" t="str">
        <f>"0"</f>
        <v>0</v>
      </c>
      <c r="D4440" s="2">
        <v>0.23</v>
      </c>
      <c r="E4440" s="2">
        <v>8</v>
      </c>
      <c r="F4440" s="2" t="s">
        <v>6</v>
      </c>
    </row>
    <row r="4441" spans="1:6" ht="25.5">
      <c r="A4441" s="2">
        <v>4438</v>
      </c>
      <c r="B4441" s="2" t="s">
        <v>4516</v>
      </c>
      <c r="C4441" s="2" t="str">
        <f>"15396630"</f>
        <v>15396630</v>
      </c>
      <c r="D4441" s="2">
        <v>0.123</v>
      </c>
      <c r="E4441" s="2">
        <v>7</v>
      </c>
      <c r="F4441" s="2" t="s">
        <v>6</v>
      </c>
    </row>
    <row r="4442" spans="1:6" ht="25.5">
      <c r="A4442" s="2">
        <v>4439</v>
      </c>
      <c r="B4442" s="2" t="s">
        <v>4517</v>
      </c>
      <c r="C4442" s="2" t="str">
        <f>"15685403"</f>
        <v>15685403</v>
      </c>
      <c r="D4442" s="2">
        <v>0.27200000000000002</v>
      </c>
      <c r="E4442" s="2">
        <v>23</v>
      </c>
      <c r="F4442" s="2" t="s">
        <v>75</v>
      </c>
    </row>
    <row r="4443" spans="1:6" ht="25.5">
      <c r="A4443" s="2">
        <v>4440</v>
      </c>
      <c r="B4443" s="2" t="s">
        <v>4518</v>
      </c>
      <c r="C4443" s="2" t="str">
        <f>"10902392"</f>
        <v>10902392</v>
      </c>
      <c r="D4443" s="2">
        <v>0.70599999999999996</v>
      </c>
      <c r="E4443" s="2">
        <v>53</v>
      </c>
      <c r="F4443" s="2" t="s">
        <v>6</v>
      </c>
    </row>
    <row r="4444" spans="1:6" ht="25.5">
      <c r="A4444" s="2">
        <v>4441</v>
      </c>
      <c r="B4444" s="2" t="s">
        <v>4519</v>
      </c>
      <c r="C4444" s="2" t="str">
        <f>"00112275"</f>
        <v>00112275</v>
      </c>
      <c r="D4444" s="2">
        <v>0.57699999999999996</v>
      </c>
      <c r="E4444" s="2">
        <v>35</v>
      </c>
      <c r="F4444" s="2" t="s">
        <v>16</v>
      </c>
    </row>
    <row r="4445" spans="1:6" ht="25.5">
      <c r="A4445" s="2">
        <v>4442</v>
      </c>
      <c r="B4445" s="2" t="s">
        <v>4520</v>
      </c>
      <c r="C4445" s="2" t="str">
        <f>"01432044"</f>
        <v>01432044</v>
      </c>
      <c r="D4445" s="2">
        <v>0.39600000000000002</v>
      </c>
      <c r="E4445" s="2">
        <v>30</v>
      </c>
      <c r="F4445" s="2" t="s">
        <v>16</v>
      </c>
    </row>
    <row r="4446" spans="1:6" ht="25.5">
      <c r="A4446" s="2">
        <v>4443</v>
      </c>
      <c r="B4446" s="2" t="s">
        <v>4521</v>
      </c>
      <c r="C4446" s="2" t="str">
        <f>"19940424"</f>
        <v>19940424</v>
      </c>
      <c r="D4446" s="2">
        <v>2.6949999999999998</v>
      </c>
      <c r="E4446" s="2">
        <v>17</v>
      </c>
      <c r="F4446" s="2" t="s">
        <v>12</v>
      </c>
    </row>
    <row r="4447" spans="1:6" ht="25.5">
      <c r="A4447" s="2">
        <v>4444</v>
      </c>
      <c r="B4447" s="2" t="s">
        <v>4522</v>
      </c>
      <c r="C4447" s="2" t="str">
        <f>"01811568"</f>
        <v>01811568</v>
      </c>
      <c r="D4447" s="2">
        <v>0.4</v>
      </c>
      <c r="E4447" s="2">
        <v>17</v>
      </c>
      <c r="F4447" s="2" t="s">
        <v>66</v>
      </c>
    </row>
    <row r="4448" spans="1:6" ht="25.5">
      <c r="A4448" s="2">
        <v>4445</v>
      </c>
      <c r="B4448" s="2" t="s">
        <v>4523</v>
      </c>
      <c r="C4448" s="2" t="str">
        <f>"12900796"</f>
        <v>12900796</v>
      </c>
      <c r="D4448" s="2">
        <v>0.443</v>
      </c>
      <c r="E4448" s="2">
        <v>15</v>
      </c>
      <c r="F4448" s="2" t="s">
        <v>66</v>
      </c>
    </row>
    <row r="4449" spans="1:6" ht="25.5">
      <c r="A4449" s="2">
        <v>4446</v>
      </c>
      <c r="B4449" s="2" t="s">
        <v>4524</v>
      </c>
      <c r="C4449" s="2" t="str">
        <f>"01811584"</f>
        <v>01811584</v>
      </c>
      <c r="D4449" s="2">
        <v>0.43099999999999999</v>
      </c>
      <c r="E4449" s="2">
        <v>13</v>
      </c>
      <c r="F4449" s="2" t="s">
        <v>66</v>
      </c>
    </row>
    <row r="4450" spans="1:6" ht="25.5">
      <c r="A4450" s="2">
        <v>4447</v>
      </c>
      <c r="B4450" s="2" t="s">
        <v>4525</v>
      </c>
      <c r="C4450" s="2" t="str">
        <f>"19362455"</f>
        <v>19362455</v>
      </c>
      <c r="D4450" s="2">
        <v>0.48499999999999999</v>
      </c>
      <c r="E4450" s="2">
        <v>3</v>
      </c>
      <c r="F4450" s="2" t="s">
        <v>6</v>
      </c>
    </row>
    <row r="4451" spans="1:6" ht="25.5">
      <c r="A4451" s="2">
        <v>4448</v>
      </c>
      <c r="B4451" s="2" t="s">
        <v>4526</v>
      </c>
      <c r="C4451" s="2" t="str">
        <f>"15581586"</f>
        <v>15581586</v>
      </c>
      <c r="D4451" s="2">
        <v>0.129</v>
      </c>
      <c r="E4451" s="2">
        <v>4</v>
      </c>
      <c r="F4451" s="2" t="s">
        <v>16</v>
      </c>
    </row>
    <row r="4452" spans="1:6" ht="25.5">
      <c r="A4452" s="2">
        <v>4449</v>
      </c>
      <c r="B4452" s="2" t="s">
        <v>4527</v>
      </c>
      <c r="C4452" s="2" t="str">
        <f>"15287505"</f>
        <v>15287505</v>
      </c>
      <c r="D4452" s="2">
        <v>1.3580000000000001</v>
      </c>
      <c r="E4452" s="2">
        <v>89</v>
      </c>
      <c r="F4452" s="2" t="s">
        <v>6</v>
      </c>
    </row>
    <row r="4453" spans="1:6" ht="25.5">
      <c r="A4453" s="2">
        <v>4450</v>
      </c>
      <c r="B4453" s="2" t="s">
        <v>4528</v>
      </c>
      <c r="C4453" s="2" t="str">
        <f>"1562689X"</f>
        <v>1562689X</v>
      </c>
      <c r="D4453" s="2">
        <v>0.35899999999999999</v>
      </c>
      <c r="E4453" s="2">
        <v>19</v>
      </c>
      <c r="F4453" s="2" t="s">
        <v>129</v>
      </c>
    </row>
    <row r="4454" spans="1:6" ht="25.5">
      <c r="A4454" s="2">
        <v>4451</v>
      </c>
      <c r="B4454" s="2" t="s">
        <v>4529</v>
      </c>
      <c r="C4454" s="2" t="str">
        <f>"0889311X"</f>
        <v>0889311X</v>
      </c>
      <c r="D4454" s="2">
        <v>2.0030000000000001</v>
      </c>
      <c r="E4454" s="2">
        <v>16</v>
      </c>
      <c r="F4454" s="2" t="s">
        <v>16</v>
      </c>
    </row>
    <row r="4455" spans="1:6" ht="25.5">
      <c r="A4455" s="2">
        <v>4452</v>
      </c>
      <c r="B4455" s="2" t="s">
        <v>4530</v>
      </c>
      <c r="C4455" s="2" t="str">
        <f>"15214079"</f>
        <v>15214079</v>
      </c>
      <c r="D4455" s="2">
        <v>0.46400000000000002</v>
      </c>
      <c r="E4455" s="2">
        <v>39</v>
      </c>
      <c r="F4455" s="2" t="s">
        <v>6</v>
      </c>
    </row>
    <row r="4456" spans="1:6" ht="25.5">
      <c r="A4456" s="2">
        <v>4453</v>
      </c>
      <c r="B4456" s="2" t="s">
        <v>4531</v>
      </c>
      <c r="C4456" s="2" t="str">
        <f>"14668033"</f>
        <v>14668033</v>
      </c>
      <c r="D4456" s="2">
        <v>1.095</v>
      </c>
      <c r="E4456" s="2">
        <v>59</v>
      </c>
      <c r="F4456" s="2" t="s">
        <v>16</v>
      </c>
    </row>
    <row r="4457" spans="1:6" ht="25.5">
      <c r="A4457" s="2">
        <v>4454</v>
      </c>
      <c r="B4457" s="2" t="s">
        <v>4532</v>
      </c>
      <c r="C4457" s="2" t="str">
        <f>"0"</f>
        <v>0</v>
      </c>
      <c r="D4457" s="2">
        <v>0</v>
      </c>
      <c r="E4457" s="2">
        <v>0</v>
      </c>
      <c r="F4457" s="2" t="s">
        <v>6</v>
      </c>
    </row>
    <row r="4458" spans="1:6" ht="25.5">
      <c r="A4458" s="2">
        <v>4455</v>
      </c>
      <c r="B4458" s="2" t="s">
        <v>4533</v>
      </c>
      <c r="C4458" s="2" t="str">
        <f>"19461186"</f>
        <v>19461186</v>
      </c>
      <c r="D4458" s="2">
        <v>0.14499999999999999</v>
      </c>
      <c r="E4458" s="2">
        <v>1</v>
      </c>
      <c r="F4458" s="2" t="s">
        <v>6</v>
      </c>
    </row>
    <row r="4459" spans="1:6" ht="25.5">
      <c r="A4459" s="2">
        <v>4456</v>
      </c>
      <c r="B4459" s="2" t="s">
        <v>4534</v>
      </c>
      <c r="C4459" s="2" t="str">
        <f>"01225383"</f>
        <v>01225383</v>
      </c>
      <c r="D4459" s="2">
        <v>0.104</v>
      </c>
      <c r="E4459" s="2">
        <v>5</v>
      </c>
      <c r="F4459" s="2" t="s">
        <v>184</v>
      </c>
    </row>
    <row r="4460" spans="1:6" ht="25.5">
      <c r="A4460" s="2">
        <v>4457</v>
      </c>
      <c r="B4460" s="2" t="s">
        <v>4535</v>
      </c>
      <c r="C4460" s="2" t="str">
        <f>"19007205"</f>
        <v>19007205</v>
      </c>
      <c r="D4460" s="2">
        <v>0.112</v>
      </c>
      <c r="E4460" s="2">
        <v>3</v>
      </c>
      <c r="F4460" s="2" t="s">
        <v>184</v>
      </c>
    </row>
    <row r="4461" spans="1:6" ht="25.5">
      <c r="A4461" s="2">
        <v>4458</v>
      </c>
      <c r="B4461" s="2" t="s">
        <v>4536</v>
      </c>
      <c r="C4461" s="2" t="str">
        <f>"11321989"</f>
        <v>11321989</v>
      </c>
      <c r="D4461" s="2">
        <v>0.10199999999999999</v>
      </c>
      <c r="E4461" s="2">
        <v>2</v>
      </c>
      <c r="F4461" s="2" t="s">
        <v>351</v>
      </c>
    </row>
    <row r="4462" spans="1:6" ht="25.5">
      <c r="A4462" s="2">
        <v>4459</v>
      </c>
      <c r="B4462" s="2" t="s">
        <v>4537</v>
      </c>
      <c r="C4462" s="2" t="str">
        <f>"01221450"</f>
        <v>01221450</v>
      </c>
      <c r="D4462" s="2">
        <v>0.10299999999999999</v>
      </c>
      <c r="E4462" s="2">
        <v>2</v>
      </c>
      <c r="F4462" s="2" t="s">
        <v>184</v>
      </c>
    </row>
    <row r="4463" spans="1:6" ht="25.5">
      <c r="A4463" s="2">
        <v>4460</v>
      </c>
      <c r="B4463" s="2" t="s">
        <v>4538</v>
      </c>
      <c r="C4463" s="2" t="str">
        <f>"01214772"</f>
        <v>01214772</v>
      </c>
      <c r="D4463" s="2">
        <v>0.129</v>
      </c>
      <c r="E4463" s="2">
        <v>2</v>
      </c>
      <c r="F4463" s="2" t="s">
        <v>184</v>
      </c>
    </row>
    <row r="4464" spans="1:6" ht="25.5">
      <c r="A4464" s="2">
        <v>4461</v>
      </c>
      <c r="B4464" s="2" t="s">
        <v>4538</v>
      </c>
      <c r="C4464" s="2" t="str">
        <f>"02100266"</f>
        <v>02100266</v>
      </c>
      <c r="D4464" s="2">
        <v>0.105</v>
      </c>
      <c r="E4464" s="2">
        <v>0</v>
      </c>
      <c r="F4464" s="2" t="s">
        <v>184</v>
      </c>
    </row>
    <row r="4465" spans="1:6" ht="25.5">
      <c r="A4465" s="2">
        <v>4462</v>
      </c>
      <c r="B4465" s="2" t="s">
        <v>4539</v>
      </c>
      <c r="C4465" s="2" t="str">
        <f>"19888333"</f>
        <v>19888333</v>
      </c>
      <c r="D4465" s="2">
        <v>0</v>
      </c>
      <c r="E4465" s="2">
        <v>0</v>
      </c>
      <c r="F4465" s="2" t="s">
        <v>351</v>
      </c>
    </row>
    <row r="4466" spans="1:6" ht="25.5">
      <c r="A4466" s="2">
        <v>4463</v>
      </c>
      <c r="B4466" s="2" t="s">
        <v>4540</v>
      </c>
      <c r="C4466" s="2" t="str">
        <f>"19882157"</f>
        <v>19882157</v>
      </c>
      <c r="D4466" s="2">
        <v>0.125</v>
      </c>
      <c r="E4466" s="2">
        <v>1</v>
      </c>
      <c r="F4466" s="2" t="s">
        <v>351</v>
      </c>
    </row>
    <row r="4467" spans="1:6" ht="25.5">
      <c r="A4467" s="2">
        <v>4464</v>
      </c>
      <c r="B4467" s="2" t="s">
        <v>4541</v>
      </c>
      <c r="C4467" s="2" t="str">
        <f>"02116820"</f>
        <v>02116820</v>
      </c>
      <c r="D4467" s="2">
        <v>0.13800000000000001</v>
      </c>
      <c r="E4467" s="2">
        <v>2</v>
      </c>
      <c r="F4467" s="2" t="s">
        <v>351</v>
      </c>
    </row>
    <row r="4468" spans="1:6" ht="25.5">
      <c r="A4468" s="2">
        <v>4465</v>
      </c>
      <c r="B4468" s="2" t="s">
        <v>4542</v>
      </c>
      <c r="C4468" s="2" t="str">
        <f>"10122508"</f>
        <v>10122508</v>
      </c>
      <c r="D4468" s="2">
        <v>0.1</v>
      </c>
      <c r="E4468" s="2">
        <v>2</v>
      </c>
      <c r="F4468" s="2" t="s">
        <v>40</v>
      </c>
    </row>
    <row r="4469" spans="1:6" ht="25.5">
      <c r="A4469" s="2">
        <v>4466</v>
      </c>
      <c r="B4469" s="2" t="s">
        <v>4543</v>
      </c>
      <c r="C4469" s="2" t="str">
        <f>"11357606"</f>
        <v>11357606</v>
      </c>
      <c r="D4469" s="2">
        <v>0.10100000000000001</v>
      </c>
      <c r="E4469" s="2">
        <v>3</v>
      </c>
      <c r="F4469" s="2" t="s">
        <v>351</v>
      </c>
    </row>
    <row r="4470" spans="1:6" ht="25.5">
      <c r="A4470" s="2">
        <v>4467</v>
      </c>
      <c r="B4470" s="2" t="s">
        <v>4544</v>
      </c>
      <c r="C4470" s="2" t="str">
        <f>"17946670"</f>
        <v>17946670</v>
      </c>
      <c r="D4470" s="2">
        <v>0</v>
      </c>
      <c r="E4470" s="2">
        <v>0</v>
      </c>
      <c r="F4470" s="2" t="s">
        <v>184</v>
      </c>
    </row>
    <row r="4471" spans="1:6" ht="25.5">
      <c r="A4471" s="2">
        <v>4468</v>
      </c>
      <c r="B4471" s="2" t="s">
        <v>4545</v>
      </c>
      <c r="C4471" s="2" t="str">
        <f>"15788423"</f>
        <v>15788423</v>
      </c>
      <c r="D4471" s="2">
        <v>0.14499999999999999</v>
      </c>
      <c r="E4471" s="2">
        <v>1</v>
      </c>
      <c r="F4471" s="2" t="s">
        <v>351</v>
      </c>
    </row>
    <row r="4472" spans="1:6" ht="25.5">
      <c r="A4472" s="2">
        <v>4469</v>
      </c>
      <c r="B4472" s="2" t="s">
        <v>4546</v>
      </c>
      <c r="C4472" s="2" t="str">
        <f>"21450226"</f>
        <v>21450226</v>
      </c>
      <c r="D4472" s="2">
        <v>0</v>
      </c>
      <c r="E4472" s="2">
        <v>0</v>
      </c>
      <c r="F4472" s="2" t="s">
        <v>184</v>
      </c>
    </row>
    <row r="4473" spans="1:6" ht="25.5">
      <c r="A4473" s="2">
        <v>4470</v>
      </c>
      <c r="B4473" s="2" t="s">
        <v>4547</v>
      </c>
      <c r="C4473" s="2" t="str">
        <f>"02105462"</f>
        <v>02105462</v>
      </c>
      <c r="D4473" s="2">
        <v>0.1</v>
      </c>
      <c r="E4473" s="2">
        <v>3</v>
      </c>
      <c r="F4473" s="2" t="s">
        <v>351</v>
      </c>
    </row>
    <row r="4474" spans="1:6" ht="25.5">
      <c r="A4474" s="2">
        <v>4471</v>
      </c>
      <c r="B4474" s="2" t="s">
        <v>4548</v>
      </c>
      <c r="C4474" s="2" t="str">
        <f>"0011250X"</f>
        <v>0011250X</v>
      </c>
      <c r="D4474" s="2">
        <v>0.1</v>
      </c>
      <c r="E4474" s="2">
        <v>2</v>
      </c>
      <c r="F4474" s="2" t="s">
        <v>351</v>
      </c>
    </row>
    <row r="4475" spans="1:6" ht="25.5">
      <c r="A4475" s="2">
        <v>4472</v>
      </c>
      <c r="B4475" s="2" t="s">
        <v>4549</v>
      </c>
      <c r="C4475" s="2" t="str">
        <f>"02134497"</f>
        <v>02134497</v>
      </c>
      <c r="D4475" s="2">
        <v>0.11600000000000001</v>
      </c>
      <c r="E4475" s="2">
        <v>6</v>
      </c>
      <c r="F4475" s="2" t="s">
        <v>351</v>
      </c>
    </row>
    <row r="4476" spans="1:6" ht="25.5">
      <c r="A4476" s="2">
        <v>4473</v>
      </c>
      <c r="B4476" s="2" t="s">
        <v>4550</v>
      </c>
      <c r="C4476" s="2" t="str">
        <f>"02141744"</f>
        <v>02141744</v>
      </c>
      <c r="D4476" s="2">
        <v>0</v>
      </c>
      <c r="E4476" s="2">
        <v>1</v>
      </c>
      <c r="F4476" s="2" t="s">
        <v>351</v>
      </c>
    </row>
    <row r="4477" spans="1:6" ht="25.5">
      <c r="A4477" s="2">
        <v>4474</v>
      </c>
      <c r="B4477" s="2" t="s">
        <v>4551</v>
      </c>
      <c r="C4477" s="2" t="str">
        <f>"08640408"</f>
        <v>08640408</v>
      </c>
      <c r="D4477" s="2">
        <v>0.124</v>
      </c>
      <c r="E4477" s="2">
        <v>7</v>
      </c>
      <c r="F4477" s="2" t="s">
        <v>88</v>
      </c>
    </row>
    <row r="4478" spans="1:6" ht="25.5">
      <c r="A4478" s="2">
        <v>4475</v>
      </c>
      <c r="B4478" s="2" t="s">
        <v>4552</v>
      </c>
      <c r="C4478" s="2" t="str">
        <f>"16965043"</f>
        <v>16965043</v>
      </c>
      <c r="D4478" s="2">
        <v>0.105</v>
      </c>
      <c r="E4478" s="2">
        <v>2</v>
      </c>
      <c r="F4478" s="2" t="s">
        <v>351</v>
      </c>
    </row>
    <row r="4479" spans="1:6" ht="25.5">
      <c r="A4479" s="2">
        <v>4476</v>
      </c>
      <c r="B4479" s="2" t="s">
        <v>4553</v>
      </c>
      <c r="C4479" s="2" t="str">
        <f>"20655002"</f>
        <v>20655002</v>
      </c>
      <c r="D4479" s="2">
        <v>0.1</v>
      </c>
      <c r="E4479" s="2">
        <v>1</v>
      </c>
      <c r="F4479" s="2" t="s">
        <v>19</v>
      </c>
    </row>
    <row r="4480" spans="1:6" ht="25.5">
      <c r="A4480" s="2">
        <v>4477</v>
      </c>
      <c r="B4480" s="2" t="s">
        <v>4554</v>
      </c>
      <c r="C4480" s="2" t="str">
        <f>"14780046"</f>
        <v>14780046</v>
      </c>
      <c r="D4480" s="2">
        <v>0.17499999999999999</v>
      </c>
      <c r="E4480" s="2">
        <v>4</v>
      </c>
      <c r="F4480" s="2" t="s">
        <v>16</v>
      </c>
    </row>
    <row r="4481" spans="1:6" ht="25.5">
      <c r="A4481" s="2">
        <v>4478</v>
      </c>
      <c r="B4481" s="2" t="s">
        <v>4555</v>
      </c>
      <c r="C4481" s="2" t="str">
        <f>"08867356"</f>
        <v>08867356</v>
      </c>
      <c r="D4481" s="2">
        <v>4.0049999999999999</v>
      </c>
      <c r="E4481" s="2">
        <v>31</v>
      </c>
      <c r="F4481" s="2" t="s">
        <v>6</v>
      </c>
    </row>
    <row r="4482" spans="1:6" ht="25.5">
      <c r="A4482" s="2">
        <v>4479</v>
      </c>
      <c r="B4482" s="2" t="s">
        <v>4556</v>
      </c>
      <c r="C4482" s="2" t="str">
        <f>"15345203"</f>
        <v>15345203</v>
      </c>
      <c r="D4482" s="2">
        <v>0.108</v>
      </c>
      <c r="E4482" s="2">
        <v>9</v>
      </c>
      <c r="F4482" s="2" t="s">
        <v>6</v>
      </c>
    </row>
    <row r="4483" spans="1:6" ht="25.5">
      <c r="A4483" s="2">
        <v>4480</v>
      </c>
      <c r="B4483" s="2" t="s">
        <v>4557</v>
      </c>
      <c r="C4483" s="2" t="str">
        <f>"10999809"</f>
        <v>10999809</v>
      </c>
      <c r="D4483" s="2">
        <v>0.77400000000000002</v>
      </c>
      <c r="E4483" s="2">
        <v>39</v>
      </c>
      <c r="F4483" s="2" t="s">
        <v>6</v>
      </c>
    </row>
    <row r="4484" spans="1:6" ht="25.5">
      <c r="A4484" s="2">
        <v>4481</v>
      </c>
      <c r="B4484" s="2" t="s">
        <v>4558</v>
      </c>
      <c r="C4484" s="2" t="str">
        <f>"09213740"</f>
        <v>09213740</v>
      </c>
      <c r="D4484" s="2">
        <v>0.123</v>
      </c>
      <c r="E4484" s="2">
        <v>11</v>
      </c>
      <c r="F4484" s="2" t="s">
        <v>16</v>
      </c>
    </row>
    <row r="4485" spans="1:6" ht="25.5">
      <c r="A4485" s="2">
        <v>4482</v>
      </c>
      <c r="B4485" s="2" t="s">
        <v>4559</v>
      </c>
      <c r="C4485" s="2" t="str">
        <f>"16977750"</f>
        <v>16977750</v>
      </c>
      <c r="D4485" s="2">
        <v>0.10299999999999999</v>
      </c>
      <c r="E4485" s="2">
        <v>0</v>
      </c>
      <c r="F4485" s="2" t="s">
        <v>351</v>
      </c>
    </row>
    <row r="4486" spans="1:6" ht="25.5">
      <c r="A4486" s="2">
        <v>4483</v>
      </c>
      <c r="B4486" s="2" t="s">
        <v>4560</v>
      </c>
      <c r="C4486" s="2" t="str">
        <f>"14770881"</f>
        <v>14770881</v>
      </c>
      <c r="D4486" s="2">
        <v>1.0860000000000001</v>
      </c>
      <c r="E4486" s="2">
        <v>25</v>
      </c>
      <c r="F4486" s="2" t="s">
        <v>16</v>
      </c>
    </row>
    <row r="4487" spans="1:6" ht="25.5">
      <c r="A4487" s="2">
        <v>4484</v>
      </c>
      <c r="B4487" s="2" t="s">
        <v>4561</v>
      </c>
      <c r="C4487" s="2" t="str">
        <f>"17432197"</f>
        <v>17432197</v>
      </c>
      <c r="D4487" s="2">
        <v>0.126</v>
      </c>
      <c r="E4487" s="2">
        <v>1</v>
      </c>
      <c r="F4487" s="2" t="s">
        <v>6</v>
      </c>
    </row>
    <row r="4488" spans="1:6" ht="25.5">
      <c r="A4488" s="2">
        <v>4485</v>
      </c>
      <c r="B4488" s="2" t="s">
        <v>4562</v>
      </c>
      <c r="C4488" s="2" t="str">
        <f>"17499755"</f>
        <v>17499755</v>
      </c>
      <c r="D4488" s="2">
        <v>0.55200000000000005</v>
      </c>
      <c r="E4488" s="2">
        <v>9</v>
      </c>
      <c r="F4488" s="2" t="s">
        <v>16</v>
      </c>
    </row>
    <row r="4489" spans="1:6" ht="25.5">
      <c r="A4489" s="2">
        <v>4486</v>
      </c>
      <c r="B4489" s="2" t="s">
        <v>4563</v>
      </c>
      <c r="C4489" s="2" t="str">
        <f>"14664348"</f>
        <v>14664348</v>
      </c>
      <c r="D4489" s="2">
        <v>0.27100000000000002</v>
      </c>
      <c r="E4489" s="2">
        <v>21</v>
      </c>
      <c r="F4489" s="2" t="s">
        <v>16</v>
      </c>
    </row>
    <row r="4490" spans="1:6" ht="25.5">
      <c r="A4490" s="2">
        <v>4487</v>
      </c>
      <c r="B4490" s="2" t="s">
        <v>4564</v>
      </c>
      <c r="C4490" s="2" t="str">
        <f>"15327086"</f>
        <v>15327086</v>
      </c>
      <c r="D4490" s="2">
        <v>0.31900000000000001</v>
      </c>
      <c r="E4490" s="2">
        <v>11</v>
      </c>
      <c r="F4490" s="2" t="s">
        <v>6</v>
      </c>
    </row>
    <row r="4491" spans="1:6" ht="25.5">
      <c r="A4491" s="2">
        <v>4488</v>
      </c>
      <c r="B4491" s="2" t="s">
        <v>4565</v>
      </c>
      <c r="C4491" s="2" t="str">
        <f>"18711502"</f>
        <v>18711502</v>
      </c>
      <c r="D4491" s="2">
        <v>0.41599999999999998</v>
      </c>
      <c r="E4491" s="2">
        <v>11</v>
      </c>
      <c r="F4491" s="2" t="s">
        <v>75</v>
      </c>
    </row>
    <row r="4492" spans="1:6" ht="25.5">
      <c r="A4492" s="2">
        <v>4489</v>
      </c>
      <c r="B4492" s="2" t="s">
        <v>4566</v>
      </c>
      <c r="C4492" s="2" t="str">
        <f>"14693690"</f>
        <v>14693690</v>
      </c>
      <c r="D4492" s="2">
        <v>0.17599999999999999</v>
      </c>
      <c r="E4492" s="2">
        <v>2</v>
      </c>
      <c r="F4492" s="2" t="s">
        <v>16</v>
      </c>
    </row>
    <row r="4493" spans="1:6" ht="25.5">
      <c r="A4493" s="2">
        <v>4490</v>
      </c>
      <c r="B4493" s="2" t="s">
        <v>4567</v>
      </c>
      <c r="C4493" s="2" t="str">
        <f>"03915654"</f>
        <v>03915654</v>
      </c>
      <c r="D4493" s="2">
        <v>0.10100000000000001</v>
      </c>
      <c r="E4493" s="2">
        <v>2</v>
      </c>
      <c r="F4493" s="2" t="s">
        <v>190</v>
      </c>
    </row>
    <row r="4494" spans="1:6" ht="25.5">
      <c r="A4494" s="2">
        <v>4491</v>
      </c>
      <c r="B4494" s="2" t="s">
        <v>4568</v>
      </c>
      <c r="C4494" s="2" t="str">
        <f>"15784118"</f>
        <v>15784118</v>
      </c>
      <c r="D4494" s="2">
        <v>0.36199999999999999</v>
      </c>
      <c r="E4494" s="2">
        <v>5</v>
      </c>
      <c r="F4494" s="2" t="s">
        <v>351</v>
      </c>
    </row>
    <row r="4495" spans="1:6" ht="25.5">
      <c r="A4495" s="2">
        <v>4492</v>
      </c>
      <c r="B4495" s="2" t="s">
        <v>4569</v>
      </c>
      <c r="C4495" s="2" t="str">
        <f>"21539553"</f>
        <v>21539553</v>
      </c>
      <c r="D4495" s="2">
        <v>0.113</v>
      </c>
      <c r="E4495" s="2">
        <v>1</v>
      </c>
      <c r="F4495" s="2" t="s">
        <v>6</v>
      </c>
    </row>
    <row r="4496" spans="1:6" ht="25.5">
      <c r="A4496" s="2">
        <v>4493</v>
      </c>
      <c r="B4496" s="2" t="s">
        <v>4570</v>
      </c>
      <c r="C4496" s="2" t="str">
        <f>"14772760"</f>
        <v>14772760</v>
      </c>
      <c r="D4496" s="2">
        <v>0.245</v>
      </c>
      <c r="E4496" s="2">
        <v>4</v>
      </c>
      <c r="F4496" s="2" t="s">
        <v>6</v>
      </c>
    </row>
    <row r="4497" spans="1:6" ht="25.5">
      <c r="A4497" s="2">
        <v>4494</v>
      </c>
      <c r="B4497" s="2" t="s">
        <v>4571</v>
      </c>
      <c r="C4497" s="2" t="str">
        <f>"1354067X"</f>
        <v>1354067X</v>
      </c>
      <c r="D4497" s="2">
        <v>0.45400000000000001</v>
      </c>
      <c r="E4497" s="2">
        <v>22</v>
      </c>
      <c r="F4497" s="2" t="s">
        <v>16</v>
      </c>
    </row>
    <row r="4498" spans="1:6" ht="25.5">
      <c r="A4498" s="2">
        <v>4495</v>
      </c>
      <c r="B4498" s="2" t="s">
        <v>4572</v>
      </c>
      <c r="C4498" s="2" t="str">
        <f>"14755610"</f>
        <v>14755610</v>
      </c>
      <c r="D4498" s="2">
        <v>0.14399999999999999</v>
      </c>
      <c r="E4498" s="2">
        <v>3</v>
      </c>
      <c r="F4498" s="2" t="s">
        <v>16</v>
      </c>
    </row>
    <row r="4499" spans="1:6" ht="25.5">
      <c r="A4499" s="2">
        <v>4496</v>
      </c>
      <c r="B4499" s="2" t="s">
        <v>4573</v>
      </c>
      <c r="C4499" s="2" t="str">
        <f>"14645351"</f>
        <v>14645351</v>
      </c>
      <c r="D4499" s="2">
        <v>0.83499999999999996</v>
      </c>
      <c r="E4499" s="2">
        <v>27</v>
      </c>
      <c r="F4499" s="2" t="s">
        <v>16</v>
      </c>
    </row>
    <row r="4500" spans="1:6" ht="25.5">
      <c r="A4500" s="2">
        <v>4497</v>
      </c>
      <c r="B4500" s="2" t="s">
        <v>4574</v>
      </c>
      <c r="C4500" s="2" t="str">
        <f>"1573076X"</f>
        <v>1573076X</v>
      </c>
      <c r="D4500" s="2">
        <v>0.76100000000000001</v>
      </c>
      <c r="E4500" s="2">
        <v>33</v>
      </c>
      <c r="F4500" s="2" t="s">
        <v>6</v>
      </c>
    </row>
    <row r="4501" spans="1:6" ht="25.5">
      <c r="A4501" s="2">
        <v>4498</v>
      </c>
      <c r="B4501" s="2" t="s">
        <v>4575</v>
      </c>
      <c r="C4501" s="2" t="str">
        <f>"14735784"</f>
        <v>14735784</v>
      </c>
      <c r="D4501" s="2">
        <v>0.11899999999999999</v>
      </c>
      <c r="E4501" s="2">
        <v>1</v>
      </c>
      <c r="F4501" s="2" t="s">
        <v>6</v>
      </c>
    </row>
    <row r="4502" spans="1:6" ht="25.5">
      <c r="A4502" s="2">
        <v>4499</v>
      </c>
      <c r="B4502" s="2" t="s">
        <v>4576</v>
      </c>
      <c r="C4502" s="2" t="str">
        <f>"18746128"</f>
        <v>18746128</v>
      </c>
      <c r="D4502" s="2">
        <v>0.85</v>
      </c>
      <c r="E4502" s="2">
        <v>13</v>
      </c>
      <c r="F4502" s="2" t="s">
        <v>1467</v>
      </c>
    </row>
    <row r="4503" spans="1:6" ht="25.5">
      <c r="A4503" s="2">
        <v>4500</v>
      </c>
      <c r="B4503" s="2" t="s">
        <v>4577</v>
      </c>
      <c r="C4503" s="2" t="str">
        <f>"15346315"</f>
        <v>15346315</v>
      </c>
      <c r="D4503" s="2">
        <v>0.72599999999999998</v>
      </c>
      <c r="E4503" s="2">
        <v>34</v>
      </c>
      <c r="F4503" s="2" t="s">
        <v>6</v>
      </c>
    </row>
    <row r="4504" spans="1:6" ht="25.5">
      <c r="A4504" s="2">
        <v>4501</v>
      </c>
      <c r="B4504" s="2" t="s">
        <v>4578</v>
      </c>
      <c r="C4504" s="2" t="str">
        <f>"16093607"</f>
        <v>16093607</v>
      </c>
      <c r="D4504" s="2">
        <v>0.106</v>
      </c>
      <c r="E4504" s="2">
        <v>3</v>
      </c>
      <c r="F4504" s="2" t="s">
        <v>410</v>
      </c>
    </row>
    <row r="4505" spans="1:6" ht="25.5">
      <c r="A4505" s="2">
        <v>4502</v>
      </c>
      <c r="B4505" s="2" t="s">
        <v>4579</v>
      </c>
      <c r="C4505" s="2" t="str">
        <f>"15672050"</f>
        <v>15672050</v>
      </c>
      <c r="D4505" s="2">
        <v>1.169</v>
      </c>
      <c r="E4505" s="2">
        <v>44</v>
      </c>
      <c r="F4505" s="2" t="s">
        <v>75</v>
      </c>
    </row>
    <row r="4506" spans="1:6" ht="25.5">
      <c r="A4506" s="2">
        <v>4503</v>
      </c>
      <c r="B4506" s="2" t="s">
        <v>4580</v>
      </c>
      <c r="C4506" s="2" t="str">
        <f>"15734110"</f>
        <v>15734110</v>
      </c>
      <c r="D4506" s="2">
        <v>0.442</v>
      </c>
      <c r="E4506" s="2">
        <v>15</v>
      </c>
      <c r="F4506" s="2" t="s">
        <v>75</v>
      </c>
    </row>
    <row r="4507" spans="1:6" ht="25.5">
      <c r="A4507" s="2">
        <v>4504</v>
      </c>
      <c r="B4507" s="2" t="s">
        <v>4581</v>
      </c>
      <c r="C4507" s="2" t="str">
        <f>"15375382"</f>
        <v>15375382</v>
      </c>
      <c r="D4507" s="2">
        <v>1.0449999999999999</v>
      </c>
      <c r="E4507" s="2">
        <v>50</v>
      </c>
      <c r="F4507" s="2" t="s">
        <v>6</v>
      </c>
    </row>
    <row r="4508" spans="1:6" ht="25.5">
      <c r="A4508" s="2">
        <v>4505</v>
      </c>
      <c r="B4508" s="2" t="s">
        <v>4582</v>
      </c>
      <c r="C4508" s="2" t="str">
        <f>"15671739"</f>
        <v>15671739</v>
      </c>
      <c r="D4508" s="2">
        <v>0.70299999999999996</v>
      </c>
      <c r="E4508" s="2">
        <v>37</v>
      </c>
      <c r="F4508" s="2" t="s">
        <v>75</v>
      </c>
    </row>
    <row r="4509" spans="1:6" ht="25.5">
      <c r="A4509" s="2">
        <v>4506</v>
      </c>
      <c r="B4509" s="2" t="s">
        <v>4583</v>
      </c>
      <c r="C4509" s="2" t="str">
        <f>"15346242"</f>
        <v>15346242</v>
      </c>
      <c r="D4509" s="2">
        <v>0.93200000000000005</v>
      </c>
      <c r="E4509" s="2">
        <v>44</v>
      </c>
      <c r="F4509" s="2" t="s">
        <v>6</v>
      </c>
    </row>
    <row r="4510" spans="1:6" ht="25.5">
      <c r="A4510" s="2">
        <v>4507</v>
      </c>
      <c r="B4510" s="2" t="s">
        <v>4584</v>
      </c>
      <c r="C4510" s="2" t="str">
        <f>"15734072"</f>
        <v>15734072</v>
      </c>
      <c r="D4510" s="2">
        <v>0.58399999999999996</v>
      </c>
      <c r="E4510" s="2">
        <v>10</v>
      </c>
      <c r="F4510" s="2" t="s">
        <v>75</v>
      </c>
    </row>
    <row r="4511" spans="1:6" ht="25.5">
      <c r="A4511" s="2">
        <v>4508</v>
      </c>
      <c r="B4511" s="2" t="s">
        <v>4585</v>
      </c>
      <c r="C4511" s="2" t="str">
        <f>"15748936"</f>
        <v>15748936</v>
      </c>
      <c r="D4511" s="2">
        <v>0.20699999999999999</v>
      </c>
      <c r="E4511" s="2">
        <v>11</v>
      </c>
      <c r="F4511" s="2" t="s">
        <v>75</v>
      </c>
    </row>
    <row r="4512" spans="1:6" ht="25.5">
      <c r="A4512" s="2">
        <v>4509</v>
      </c>
      <c r="B4512" s="2" t="s">
        <v>4586</v>
      </c>
      <c r="C4512" s="2" t="str">
        <f>"09609822"</f>
        <v>09609822</v>
      </c>
      <c r="D4512" s="2">
        <v>3.76</v>
      </c>
      <c r="E4512" s="2">
        <v>214</v>
      </c>
      <c r="F4512" s="2" t="s">
        <v>6</v>
      </c>
    </row>
    <row r="4513" spans="1:6" ht="25.5">
      <c r="A4513" s="2">
        <v>4510</v>
      </c>
      <c r="B4513" s="2" t="s">
        <v>4587</v>
      </c>
      <c r="C4513" s="2" t="str">
        <f>"19317220"</f>
        <v>19317220</v>
      </c>
      <c r="D4513" s="2">
        <v>0.13800000000000001</v>
      </c>
      <c r="E4513" s="2">
        <v>3</v>
      </c>
      <c r="F4513" s="2" t="s">
        <v>6</v>
      </c>
    </row>
    <row r="4514" spans="1:6" ht="25.5">
      <c r="A4514" s="2">
        <v>4511</v>
      </c>
      <c r="B4514" s="2" t="s">
        <v>4588</v>
      </c>
      <c r="C4514" s="2" t="str">
        <f>"19434596"</f>
        <v>19434596</v>
      </c>
      <c r="D4514" s="2">
        <v>0.23100000000000001</v>
      </c>
      <c r="E4514" s="2">
        <v>3</v>
      </c>
      <c r="F4514" s="2" t="s">
        <v>6</v>
      </c>
    </row>
    <row r="4515" spans="1:6" ht="25.5">
      <c r="A4515" s="2">
        <v>4512</v>
      </c>
      <c r="B4515" s="2" t="s">
        <v>4589</v>
      </c>
      <c r="C4515" s="2" t="str">
        <f>"15680096"</f>
        <v>15680096</v>
      </c>
      <c r="D4515" s="2">
        <v>1.47</v>
      </c>
      <c r="E4515" s="2">
        <v>57</v>
      </c>
      <c r="F4515" s="2" t="s">
        <v>75</v>
      </c>
    </row>
    <row r="4516" spans="1:6" ht="25.5">
      <c r="A4516" s="2">
        <v>4513</v>
      </c>
      <c r="B4516" s="2" t="s">
        <v>4590</v>
      </c>
      <c r="C4516" s="2" t="str">
        <f>"09400745"</f>
        <v>09400745</v>
      </c>
      <c r="D4516" s="2">
        <v>0.11600000000000001</v>
      </c>
      <c r="E4516" s="2">
        <v>1</v>
      </c>
      <c r="F4516" s="2" t="s">
        <v>6</v>
      </c>
    </row>
    <row r="4517" spans="1:6" ht="25.5">
      <c r="A4517" s="2">
        <v>4514</v>
      </c>
      <c r="B4517" s="2" t="s">
        <v>4591</v>
      </c>
      <c r="C4517" s="2" t="str">
        <f>"15733947"</f>
        <v>15733947</v>
      </c>
      <c r="D4517" s="2">
        <v>0.20200000000000001</v>
      </c>
      <c r="E4517" s="2">
        <v>6</v>
      </c>
      <c r="F4517" s="2" t="s">
        <v>75</v>
      </c>
    </row>
    <row r="4518" spans="1:6" ht="25.5">
      <c r="A4518" s="2">
        <v>4515</v>
      </c>
      <c r="B4518" s="2" t="s">
        <v>4592</v>
      </c>
      <c r="C4518" s="2" t="str">
        <f>"15343170"</f>
        <v>15343170</v>
      </c>
      <c r="D4518" s="2">
        <v>0.70699999999999996</v>
      </c>
      <c r="E4518" s="2">
        <v>27</v>
      </c>
      <c r="F4518" s="2" t="s">
        <v>6</v>
      </c>
    </row>
    <row r="4519" spans="1:6" ht="25.5">
      <c r="A4519" s="2">
        <v>4516</v>
      </c>
      <c r="B4519" s="2" t="s">
        <v>4593</v>
      </c>
      <c r="C4519" s="2" t="str">
        <f>"1573403X"</f>
        <v>1573403X</v>
      </c>
      <c r="D4519" s="2">
        <v>0.47599999999999998</v>
      </c>
      <c r="E4519" s="2">
        <v>10</v>
      </c>
      <c r="F4519" s="2" t="s">
        <v>75</v>
      </c>
    </row>
    <row r="4520" spans="1:6" ht="25.5">
      <c r="A4520" s="2">
        <v>4517</v>
      </c>
      <c r="B4520" s="2" t="s">
        <v>4594</v>
      </c>
      <c r="C4520" s="2" t="str">
        <f>"19419074"</f>
        <v>19419074</v>
      </c>
      <c r="D4520" s="2">
        <v>0.184</v>
      </c>
      <c r="E4520" s="2">
        <v>5</v>
      </c>
      <c r="F4520" s="2" t="s">
        <v>6</v>
      </c>
    </row>
    <row r="4521" spans="1:6" ht="25.5">
      <c r="A4521" s="2">
        <v>4518</v>
      </c>
      <c r="B4521" s="2" t="s">
        <v>4595</v>
      </c>
      <c r="C4521" s="2" t="str">
        <f>"19329563"</f>
        <v>19329563</v>
      </c>
      <c r="D4521" s="2">
        <v>0.246</v>
      </c>
      <c r="E4521" s="2">
        <v>7</v>
      </c>
      <c r="F4521" s="2" t="s">
        <v>6</v>
      </c>
    </row>
    <row r="4522" spans="1:6" ht="25.5">
      <c r="A4522" s="2">
        <v>4519</v>
      </c>
      <c r="B4522" s="2" t="s">
        <v>4596</v>
      </c>
      <c r="C4522" s="2" t="str">
        <f>"18723136"</f>
        <v>18723136</v>
      </c>
      <c r="D4522" s="2">
        <v>0.33500000000000002</v>
      </c>
      <c r="E4522" s="2">
        <v>10</v>
      </c>
      <c r="F4522" s="2" t="s">
        <v>75</v>
      </c>
    </row>
    <row r="4523" spans="1:6" ht="25.5">
      <c r="A4523" s="2">
        <v>4520</v>
      </c>
      <c r="B4523" s="2" t="s">
        <v>4597</v>
      </c>
      <c r="C4523" s="2" t="str">
        <f>"18753973"</f>
        <v>18753973</v>
      </c>
      <c r="D4523" s="2">
        <v>0.93300000000000005</v>
      </c>
      <c r="E4523" s="2">
        <v>6</v>
      </c>
      <c r="F4523" s="2" t="s">
        <v>75</v>
      </c>
    </row>
    <row r="4524" spans="1:6" ht="25.5">
      <c r="A4524" s="2">
        <v>4521</v>
      </c>
      <c r="B4524" s="2" t="s">
        <v>4598</v>
      </c>
      <c r="C4524" s="2" t="str">
        <f>"15748847"</f>
        <v>15748847</v>
      </c>
      <c r="D4524" s="2">
        <v>0.51500000000000001</v>
      </c>
      <c r="E4524" s="2">
        <v>20</v>
      </c>
      <c r="F4524" s="2" t="s">
        <v>75</v>
      </c>
    </row>
    <row r="4525" spans="1:6" ht="25.5">
      <c r="A4525" s="2">
        <v>4522</v>
      </c>
      <c r="B4525" s="2" t="s">
        <v>4599</v>
      </c>
      <c r="C4525" s="2" t="str">
        <f>"15563804"</f>
        <v>15563804</v>
      </c>
      <c r="D4525" s="2">
        <v>0.22</v>
      </c>
      <c r="E4525" s="2">
        <v>7</v>
      </c>
      <c r="F4525" s="2" t="s">
        <v>6</v>
      </c>
    </row>
    <row r="4526" spans="1:6" ht="25.5">
      <c r="A4526" s="2">
        <v>4523</v>
      </c>
      <c r="B4526" s="2" t="s">
        <v>4600</v>
      </c>
      <c r="C4526" s="2" t="str">
        <f>"15734099"</f>
        <v>15734099</v>
      </c>
      <c r="D4526" s="2">
        <v>0.41899999999999998</v>
      </c>
      <c r="E4526" s="2">
        <v>14</v>
      </c>
      <c r="F4526" s="2" t="s">
        <v>75</v>
      </c>
    </row>
    <row r="4527" spans="1:6" ht="25.5">
      <c r="A4527" s="2">
        <v>4524</v>
      </c>
      <c r="B4527" s="2" t="s">
        <v>4601</v>
      </c>
      <c r="C4527" s="2" t="str">
        <f>"15390829"</f>
        <v>15390829</v>
      </c>
      <c r="D4527" s="2">
        <v>1.0309999999999999</v>
      </c>
      <c r="E4527" s="2">
        <v>38</v>
      </c>
      <c r="F4527" s="2" t="s">
        <v>6</v>
      </c>
    </row>
    <row r="4528" spans="1:6" ht="25.5">
      <c r="A4528" s="2">
        <v>4525</v>
      </c>
      <c r="B4528" s="2" t="s">
        <v>4602</v>
      </c>
      <c r="C4528" s="2" t="str">
        <f>"15733998"</f>
        <v>15733998</v>
      </c>
      <c r="D4528" s="2">
        <v>0.85099999999999998</v>
      </c>
      <c r="E4528" s="2">
        <v>24</v>
      </c>
      <c r="F4528" s="2" t="s">
        <v>75</v>
      </c>
    </row>
    <row r="4529" spans="1:6" ht="25.5">
      <c r="A4529" s="2">
        <v>4526</v>
      </c>
      <c r="B4529" s="2" t="s">
        <v>4603</v>
      </c>
      <c r="C4529" s="2" t="str">
        <f>"14678721"</f>
        <v>14678721</v>
      </c>
      <c r="D4529" s="2">
        <v>2.819</v>
      </c>
      <c r="E4529" s="2">
        <v>75</v>
      </c>
      <c r="F4529" s="2" t="s">
        <v>6</v>
      </c>
    </row>
    <row r="4530" spans="1:6" ht="25.5">
      <c r="A4530" s="2">
        <v>4527</v>
      </c>
      <c r="B4530" s="2" t="s">
        <v>4604</v>
      </c>
      <c r="C4530" s="2" t="str">
        <f>"18744745"</f>
        <v>18744745</v>
      </c>
      <c r="D4530" s="2">
        <v>0.96299999999999997</v>
      </c>
      <c r="E4530" s="2">
        <v>16</v>
      </c>
      <c r="F4530" s="2" t="s">
        <v>75</v>
      </c>
    </row>
    <row r="4531" spans="1:6" ht="25.5">
      <c r="A4531" s="2">
        <v>4528</v>
      </c>
      <c r="B4531" s="2" t="s">
        <v>4605</v>
      </c>
      <c r="C4531" s="2" t="str">
        <f>"15672018"</f>
        <v>15672018</v>
      </c>
      <c r="D4531" s="2">
        <v>0.68400000000000005</v>
      </c>
      <c r="E4531" s="2">
        <v>32</v>
      </c>
      <c r="F4531" s="2" t="s">
        <v>75</v>
      </c>
    </row>
    <row r="4532" spans="1:6" ht="25.5">
      <c r="A4532" s="2">
        <v>4529</v>
      </c>
      <c r="B4532" s="2" t="s">
        <v>4606</v>
      </c>
      <c r="C4532" s="2" t="str">
        <f>"15701638"</f>
        <v>15701638</v>
      </c>
      <c r="D4532" s="2">
        <v>0.67400000000000004</v>
      </c>
      <c r="E4532" s="2">
        <v>22</v>
      </c>
      <c r="F4532" s="2" t="s">
        <v>75</v>
      </c>
    </row>
    <row r="4533" spans="1:6" ht="25.5">
      <c r="A4533" s="2">
        <v>4530</v>
      </c>
      <c r="B4533" s="2" t="s">
        <v>4607</v>
      </c>
      <c r="C4533" s="2" t="str">
        <f>"13892002"</f>
        <v>13892002</v>
      </c>
      <c r="D4533" s="2">
        <v>0.97599999999999998</v>
      </c>
      <c r="E4533" s="2">
        <v>65</v>
      </c>
      <c r="F4533" s="2" t="s">
        <v>75</v>
      </c>
    </row>
    <row r="4534" spans="1:6" ht="25.5">
      <c r="A4534" s="2">
        <v>4531</v>
      </c>
      <c r="B4534" s="2" t="s">
        <v>4608</v>
      </c>
      <c r="C4534" s="2" t="str">
        <f>"15748863"</f>
        <v>15748863</v>
      </c>
      <c r="D4534" s="2">
        <v>0.35799999999999998</v>
      </c>
      <c r="E4534" s="2">
        <v>17</v>
      </c>
      <c r="F4534" s="2" t="s">
        <v>75</v>
      </c>
    </row>
    <row r="4535" spans="1:6" ht="25.5">
      <c r="A4535" s="2">
        <v>4532</v>
      </c>
      <c r="B4535" s="2" t="s">
        <v>4609</v>
      </c>
      <c r="C4535" s="2" t="str">
        <f>"13894501"</f>
        <v>13894501</v>
      </c>
      <c r="D4535" s="2">
        <v>1.0880000000000001</v>
      </c>
      <c r="E4535" s="2">
        <v>59</v>
      </c>
      <c r="F4535" s="2" t="s">
        <v>75</v>
      </c>
    </row>
    <row r="4536" spans="1:6" ht="25.5">
      <c r="A4536" s="2">
        <v>4533</v>
      </c>
      <c r="B4536" s="2" t="s">
        <v>4610</v>
      </c>
      <c r="C4536" s="2" t="str">
        <f>"15748855"</f>
        <v>15748855</v>
      </c>
      <c r="D4536" s="2">
        <v>0.16600000000000001</v>
      </c>
      <c r="E4536" s="2">
        <v>7</v>
      </c>
      <c r="F4536" s="2" t="s">
        <v>75</v>
      </c>
    </row>
    <row r="4537" spans="1:6" ht="25.5">
      <c r="A4537" s="2">
        <v>4534</v>
      </c>
      <c r="B4537" s="2" t="s">
        <v>4611</v>
      </c>
      <c r="C4537" s="2" t="str">
        <f>"15734080"</f>
        <v>15734080</v>
      </c>
      <c r="D4537" s="2">
        <v>0.20200000000000001</v>
      </c>
      <c r="E4537" s="2">
        <v>8</v>
      </c>
      <c r="F4537" s="2" t="s">
        <v>75</v>
      </c>
    </row>
    <row r="4538" spans="1:6" ht="25.5">
      <c r="A4538" s="2">
        <v>4535</v>
      </c>
      <c r="B4538" s="2" t="s">
        <v>4612</v>
      </c>
      <c r="C4538" s="2" t="str">
        <f>"02713683"</f>
        <v>02713683</v>
      </c>
      <c r="D4538" s="2">
        <v>0.76500000000000001</v>
      </c>
      <c r="E4538" s="2">
        <v>55</v>
      </c>
      <c r="F4538" s="2" t="s">
        <v>16</v>
      </c>
    </row>
    <row r="4539" spans="1:6" ht="25.5">
      <c r="A4539" s="2">
        <v>4536</v>
      </c>
      <c r="B4539" s="2" t="s">
        <v>4613</v>
      </c>
      <c r="C4539" s="2" t="str">
        <f>"1936377X"</f>
        <v>1936377X</v>
      </c>
      <c r="D4539" s="2">
        <v>0.3</v>
      </c>
      <c r="E4539" s="2">
        <v>6</v>
      </c>
      <c r="F4539" s="2" t="s">
        <v>6</v>
      </c>
    </row>
    <row r="4540" spans="1:6" ht="25.5">
      <c r="A4540" s="2">
        <v>4537</v>
      </c>
      <c r="B4540" s="2" t="s">
        <v>4614</v>
      </c>
      <c r="C4540" s="2" t="str">
        <f>"1534312X"</f>
        <v>1534312X</v>
      </c>
      <c r="D4540" s="2">
        <v>0.754</v>
      </c>
      <c r="E4540" s="2">
        <v>35</v>
      </c>
      <c r="F4540" s="2" t="s">
        <v>6</v>
      </c>
    </row>
    <row r="4541" spans="1:6" ht="25.5">
      <c r="A4541" s="2">
        <v>4538</v>
      </c>
      <c r="B4541" s="2" t="s">
        <v>4615</v>
      </c>
      <c r="C4541" s="2" t="str">
        <f>"15665232"</f>
        <v>15665232</v>
      </c>
      <c r="D4541" s="2">
        <v>1.23</v>
      </c>
      <c r="E4541" s="2">
        <v>46</v>
      </c>
      <c r="F4541" s="2" t="s">
        <v>75</v>
      </c>
    </row>
    <row r="4542" spans="1:6" ht="25.5">
      <c r="A4542" s="2">
        <v>4539</v>
      </c>
      <c r="B4542" s="2" t="s">
        <v>4616</v>
      </c>
      <c r="C4542" s="2" t="str">
        <f>"14320983"</f>
        <v>14320983</v>
      </c>
      <c r="D4542" s="2">
        <v>1.091</v>
      </c>
      <c r="E4542" s="2">
        <v>58</v>
      </c>
      <c r="F4542" s="2" t="s">
        <v>12</v>
      </c>
    </row>
    <row r="4543" spans="1:6" ht="25.5">
      <c r="A4543" s="2">
        <v>4540</v>
      </c>
      <c r="B4543" s="2" t="s">
        <v>4617</v>
      </c>
      <c r="C4543" s="2" t="str">
        <f>"13892029"</f>
        <v>13892029</v>
      </c>
      <c r="D4543" s="2">
        <v>1.0649999999999999</v>
      </c>
      <c r="E4543" s="2">
        <v>24</v>
      </c>
      <c r="F4543" s="2" t="s">
        <v>75</v>
      </c>
    </row>
    <row r="4544" spans="1:6" ht="25.5">
      <c r="A4544" s="2">
        <v>4541</v>
      </c>
      <c r="B4544" s="2" t="s">
        <v>4618</v>
      </c>
      <c r="C4544" s="2" t="str">
        <f>"16877071"</f>
        <v>16877071</v>
      </c>
      <c r="D4544" s="2">
        <v>0.32</v>
      </c>
      <c r="E4544" s="2">
        <v>5</v>
      </c>
      <c r="F4544" s="2" t="s">
        <v>6</v>
      </c>
    </row>
    <row r="4545" spans="1:6" ht="25.5">
      <c r="A4545" s="2">
        <v>4542</v>
      </c>
      <c r="B4545" s="2" t="s">
        <v>4619</v>
      </c>
      <c r="C4545" s="2" t="str">
        <f>"20811632"</f>
        <v>20811632</v>
      </c>
      <c r="D4545" s="2">
        <v>0.104</v>
      </c>
      <c r="E4545" s="2">
        <v>2</v>
      </c>
      <c r="F4545" s="2" t="s">
        <v>169</v>
      </c>
    </row>
    <row r="4546" spans="1:6" ht="25.5">
      <c r="A4546" s="2">
        <v>4543</v>
      </c>
      <c r="B4546" s="2" t="s">
        <v>4620</v>
      </c>
      <c r="C4546" s="2" t="str">
        <f>"15469549"</f>
        <v>15469549</v>
      </c>
      <c r="D4546" s="2">
        <v>0.73699999999999999</v>
      </c>
      <c r="E4546" s="2">
        <v>14</v>
      </c>
      <c r="F4546" s="2" t="s">
        <v>6</v>
      </c>
    </row>
    <row r="4547" spans="1:6" ht="25.5">
      <c r="A4547" s="2">
        <v>4544</v>
      </c>
      <c r="B4547" s="2" t="s">
        <v>4621</v>
      </c>
      <c r="C4547" s="2" t="str">
        <f>"1558822X"</f>
        <v>1558822X</v>
      </c>
      <c r="D4547" s="2">
        <v>0.64700000000000002</v>
      </c>
      <c r="E4547" s="2">
        <v>9</v>
      </c>
      <c r="F4547" s="2" t="s">
        <v>6</v>
      </c>
    </row>
    <row r="4548" spans="1:6" ht="25.5">
      <c r="A4548" s="2">
        <v>4545</v>
      </c>
      <c r="B4548" s="2" t="s">
        <v>4622</v>
      </c>
      <c r="C4548" s="2" t="str">
        <f>"15410706"</f>
        <v>15410706</v>
      </c>
      <c r="D4548" s="2">
        <v>0.23400000000000001</v>
      </c>
      <c r="E4548" s="2">
        <v>6</v>
      </c>
      <c r="F4548" s="2" t="s">
        <v>6</v>
      </c>
    </row>
    <row r="4549" spans="1:6" ht="25.5">
      <c r="A4549" s="2">
        <v>4546</v>
      </c>
      <c r="B4549" s="2" t="s">
        <v>4623</v>
      </c>
      <c r="C4549" s="2" t="str">
        <f>"13455834"</f>
        <v>13455834</v>
      </c>
      <c r="D4549" s="2">
        <v>0.29299999999999998</v>
      </c>
      <c r="E4549" s="2">
        <v>4</v>
      </c>
      <c r="F4549" s="2" t="s">
        <v>131</v>
      </c>
    </row>
    <row r="4550" spans="1:6" ht="25.5">
      <c r="A4550" s="2">
        <v>4547</v>
      </c>
      <c r="B4550" s="2" t="s">
        <v>4624</v>
      </c>
      <c r="C4550" s="2" t="str">
        <f>"00113530"</f>
        <v>00113530</v>
      </c>
      <c r="D4550" s="2">
        <v>0.14199999999999999</v>
      </c>
      <c r="E4550" s="2">
        <v>9</v>
      </c>
      <c r="F4550" s="2" t="s">
        <v>6</v>
      </c>
    </row>
    <row r="4551" spans="1:6" ht="25.5">
      <c r="A4551" s="2">
        <v>4548</v>
      </c>
      <c r="B4551" s="2" t="s">
        <v>4625</v>
      </c>
      <c r="C4551" s="2" t="str">
        <f>"15483576"</f>
        <v>15483576</v>
      </c>
      <c r="D4551" s="2">
        <v>1.8049999999999999</v>
      </c>
      <c r="E4551" s="2">
        <v>22</v>
      </c>
      <c r="F4551" s="2" t="s">
        <v>6</v>
      </c>
    </row>
    <row r="4552" spans="1:6" ht="25.5">
      <c r="A4552" s="2">
        <v>4549</v>
      </c>
      <c r="B4552" s="2" t="s">
        <v>4626</v>
      </c>
      <c r="C4552" s="2" t="str">
        <f>"1570162X"</f>
        <v>1570162X</v>
      </c>
      <c r="D4552" s="2">
        <v>0.71199999999999997</v>
      </c>
      <c r="E4552" s="2">
        <v>32</v>
      </c>
      <c r="F4552" s="2" t="s">
        <v>75</v>
      </c>
    </row>
    <row r="4553" spans="1:6" ht="25.5">
      <c r="A4553" s="2">
        <v>4550</v>
      </c>
      <c r="B4553" s="2" t="s">
        <v>4627</v>
      </c>
      <c r="C4553" s="2" t="str">
        <f>"15343111"</f>
        <v>15343111</v>
      </c>
      <c r="D4553" s="2">
        <v>1.018</v>
      </c>
      <c r="E4553" s="2">
        <v>41</v>
      </c>
      <c r="F4553" s="2" t="s">
        <v>6</v>
      </c>
    </row>
    <row r="4554" spans="1:6" ht="25.5">
      <c r="A4554" s="2">
        <v>4551</v>
      </c>
      <c r="B4554" s="2" t="s">
        <v>4628</v>
      </c>
      <c r="C4554" s="2" t="str">
        <f>"15734021"</f>
        <v>15734021</v>
      </c>
      <c r="D4554" s="2">
        <v>0.192</v>
      </c>
      <c r="E4554" s="2">
        <v>7</v>
      </c>
      <c r="F4554" s="2" t="s">
        <v>75</v>
      </c>
    </row>
    <row r="4555" spans="1:6" ht="25.5">
      <c r="A4555" s="2">
        <v>4552</v>
      </c>
      <c r="B4555" s="2" t="s">
        <v>4629</v>
      </c>
      <c r="C4555" s="2" t="str">
        <f>"15733955"</f>
        <v>15733955</v>
      </c>
      <c r="D4555" s="2">
        <v>0.28599999999999998</v>
      </c>
      <c r="E4555" s="2">
        <v>11</v>
      </c>
      <c r="F4555" s="2" t="s">
        <v>75</v>
      </c>
    </row>
    <row r="4556" spans="1:6" ht="25.5">
      <c r="A4556" s="2">
        <v>4553</v>
      </c>
      <c r="B4556" s="2" t="s">
        <v>4630</v>
      </c>
      <c r="C4556" s="2" t="str">
        <f>"15343146"</f>
        <v>15343146</v>
      </c>
      <c r="D4556" s="2">
        <v>0.61399999999999999</v>
      </c>
      <c r="E4556" s="2">
        <v>23</v>
      </c>
      <c r="F4556" s="2" t="s">
        <v>6</v>
      </c>
    </row>
    <row r="4557" spans="1:6" ht="25.5">
      <c r="A4557" s="2">
        <v>4554</v>
      </c>
      <c r="B4557" s="2" t="s">
        <v>4631</v>
      </c>
      <c r="C4557" s="2" t="str">
        <f>"1099839X"</f>
        <v>1099839X</v>
      </c>
      <c r="D4557" s="2">
        <v>0.19</v>
      </c>
      <c r="E4557" s="2">
        <v>6</v>
      </c>
      <c r="F4557" s="2" t="s">
        <v>6</v>
      </c>
    </row>
    <row r="4558" spans="1:6" ht="25.5">
      <c r="A4558" s="2">
        <v>4555</v>
      </c>
      <c r="B4558" s="2" t="s">
        <v>4632</v>
      </c>
      <c r="C4558" s="2" t="str">
        <f>"14664208"</f>
        <v>14664208</v>
      </c>
      <c r="D4558" s="2">
        <v>0.39600000000000002</v>
      </c>
      <c r="E4558" s="2">
        <v>5</v>
      </c>
      <c r="F4558" s="2" t="s">
        <v>16</v>
      </c>
    </row>
    <row r="4559" spans="1:6" ht="25.5">
      <c r="A4559" s="2">
        <v>4556</v>
      </c>
      <c r="B4559" s="2" t="s">
        <v>4633</v>
      </c>
      <c r="C4559" s="2" t="str">
        <f>"14673045"</f>
        <v>14673045</v>
      </c>
      <c r="D4559" s="2">
        <v>1.111</v>
      </c>
      <c r="E4559" s="2">
        <v>33</v>
      </c>
      <c r="F4559" s="2" t="s">
        <v>16</v>
      </c>
    </row>
    <row r="4560" spans="1:6" ht="25.5">
      <c r="A4560" s="2">
        <v>4557</v>
      </c>
      <c r="B4560" s="2" t="s">
        <v>4634</v>
      </c>
      <c r="C4560" s="2" t="str">
        <f>"13683500"</f>
        <v>13683500</v>
      </c>
      <c r="D4560" s="2">
        <v>0.61199999999999999</v>
      </c>
      <c r="E4560" s="2">
        <v>21</v>
      </c>
      <c r="F4560" s="2" t="s">
        <v>16</v>
      </c>
    </row>
    <row r="4561" spans="1:6" ht="25.5">
      <c r="A4561" s="2">
        <v>4558</v>
      </c>
      <c r="B4561" s="2" t="s">
        <v>4635</v>
      </c>
      <c r="C4561" s="2" t="str">
        <f>"15734056"</f>
        <v>15734056</v>
      </c>
      <c r="D4561" s="2">
        <v>0.22900000000000001</v>
      </c>
      <c r="E4561" s="2">
        <v>14</v>
      </c>
      <c r="F4561" s="2" t="s">
        <v>75</v>
      </c>
    </row>
    <row r="4562" spans="1:6" ht="25.5">
      <c r="A4562" s="2">
        <v>4559</v>
      </c>
      <c r="B4562" s="2" t="s">
        <v>4636</v>
      </c>
      <c r="C4562" s="2" t="str">
        <f>"03007995"</f>
        <v>03007995</v>
      </c>
      <c r="D4562" s="2">
        <v>0.77100000000000002</v>
      </c>
      <c r="E4562" s="2">
        <v>67</v>
      </c>
      <c r="F4562" s="2" t="s">
        <v>16</v>
      </c>
    </row>
    <row r="4563" spans="1:6" ht="25.5">
      <c r="A4563" s="2">
        <v>4560</v>
      </c>
      <c r="B4563" s="2" t="s">
        <v>4637</v>
      </c>
      <c r="C4563" s="2" t="str">
        <f>"09298673"</f>
        <v>09298673</v>
      </c>
      <c r="D4563" s="2">
        <v>1.2909999999999999</v>
      </c>
      <c r="E4563" s="2">
        <v>107</v>
      </c>
      <c r="F4563" s="2" t="s">
        <v>75</v>
      </c>
    </row>
    <row r="4564" spans="1:6" ht="25.5">
      <c r="A4564" s="2">
        <v>4561</v>
      </c>
      <c r="B4564" s="2" t="s">
        <v>4638</v>
      </c>
      <c r="C4564" s="2" t="str">
        <f>"18715206"</f>
        <v>18715206</v>
      </c>
      <c r="D4564" s="2">
        <v>0.84399999999999997</v>
      </c>
      <c r="E4564" s="2">
        <v>56</v>
      </c>
      <c r="F4564" s="2" t="s">
        <v>75</v>
      </c>
    </row>
    <row r="4565" spans="1:6" ht="25.5">
      <c r="A4565" s="2">
        <v>4562</v>
      </c>
      <c r="B4565" s="2" t="s">
        <v>4639</v>
      </c>
      <c r="C4565" s="2" t="str">
        <f>"14320991"</f>
        <v>14320991</v>
      </c>
      <c r="D4565" s="2">
        <v>0.59099999999999997</v>
      </c>
      <c r="E4565" s="2">
        <v>52</v>
      </c>
      <c r="F4565" s="2" t="s">
        <v>6</v>
      </c>
    </row>
    <row r="4566" spans="1:6" ht="25.5">
      <c r="A4566" s="2">
        <v>4563</v>
      </c>
      <c r="B4566" s="2" t="s">
        <v>4640</v>
      </c>
      <c r="C4566" s="2" t="str">
        <f>"15665240"</f>
        <v>15665240</v>
      </c>
      <c r="D4566" s="2">
        <v>1.607</v>
      </c>
      <c r="E4566" s="2">
        <v>64</v>
      </c>
      <c r="F4566" s="2" t="s">
        <v>75</v>
      </c>
    </row>
    <row r="4567" spans="1:6" ht="25.5">
      <c r="A4567" s="2">
        <v>4564</v>
      </c>
      <c r="B4567" s="2" t="s">
        <v>4641</v>
      </c>
      <c r="C4567" s="2" t="str">
        <f>"18744702"</f>
        <v>18744702</v>
      </c>
      <c r="D4567" s="2">
        <v>1.302</v>
      </c>
      <c r="E4567" s="2">
        <v>17</v>
      </c>
      <c r="F4567" s="2" t="s">
        <v>1467</v>
      </c>
    </row>
    <row r="4568" spans="1:6" ht="25.5">
      <c r="A4568" s="2">
        <v>4565</v>
      </c>
      <c r="B4568" s="2" t="s">
        <v>4642</v>
      </c>
      <c r="C4568" s="2" t="str">
        <f>"15734137"</f>
        <v>15734137</v>
      </c>
      <c r="D4568" s="2">
        <v>0.38900000000000001</v>
      </c>
      <c r="E4568" s="2">
        <v>23</v>
      </c>
      <c r="F4568" s="2" t="s">
        <v>75</v>
      </c>
    </row>
    <row r="4569" spans="1:6" ht="25.5">
      <c r="A4569" s="2">
        <v>4566</v>
      </c>
      <c r="B4569" s="2" t="s">
        <v>4643</v>
      </c>
      <c r="C4569" s="2" t="str">
        <f>"15346293"</f>
        <v>15346293</v>
      </c>
      <c r="D4569" s="2">
        <v>1.256</v>
      </c>
      <c r="E4569" s="2">
        <v>35</v>
      </c>
      <c r="F4569" s="2" t="s">
        <v>6</v>
      </c>
    </row>
    <row r="4570" spans="1:6" ht="25.5">
      <c r="A4570" s="2">
        <v>4567</v>
      </c>
      <c r="B4570" s="2" t="s">
        <v>4644</v>
      </c>
      <c r="C4570" s="2" t="str">
        <f>"1570159X"</f>
        <v>1570159X</v>
      </c>
      <c r="D4570" s="2">
        <v>0.67900000000000005</v>
      </c>
      <c r="E4570" s="2">
        <v>25</v>
      </c>
      <c r="F4570" s="2" t="s">
        <v>75</v>
      </c>
    </row>
    <row r="4571" spans="1:6" ht="25.5">
      <c r="A4571" s="2">
        <v>4568</v>
      </c>
      <c r="B4571" s="2" t="s">
        <v>4645</v>
      </c>
      <c r="C4571" s="2" t="str">
        <f>"15672026"</f>
        <v>15672026</v>
      </c>
      <c r="D4571" s="2">
        <v>0.82799999999999996</v>
      </c>
      <c r="E4571" s="2">
        <v>35</v>
      </c>
      <c r="F4571" s="2" t="s">
        <v>75</v>
      </c>
    </row>
    <row r="4572" spans="1:6" ht="25.5">
      <c r="A4572" s="2">
        <v>4569</v>
      </c>
      <c r="B4572" s="2" t="s">
        <v>4646</v>
      </c>
      <c r="C4572" s="2" t="str">
        <f>"15734013"</f>
        <v>15734013</v>
      </c>
      <c r="D4572" s="2">
        <v>0.36199999999999999</v>
      </c>
      <c r="E4572" s="2">
        <v>10</v>
      </c>
      <c r="F4572" s="2" t="s">
        <v>75</v>
      </c>
    </row>
    <row r="4573" spans="1:6" ht="25.5">
      <c r="A4573" s="2">
        <v>4570</v>
      </c>
      <c r="B4573" s="2" t="s">
        <v>4647</v>
      </c>
      <c r="C4573" s="2" t="str">
        <f>"11980052"</f>
        <v>11980052</v>
      </c>
      <c r="D4573" s="2">
        <v>0.60799999999999998</v>
      </c>
      <c r="E4573" s="2">
        <v>18</v>
      </c>
      <c r="F4573" s="2" t="s">
        <v>64</v>
      </c>
    </row>
    <row r="4574" spans="1:6" ht="25.5">
      <c r="A4574" s="2">
        <v>4571</v>
      </c>
      <c r="B4574" s="2" t="s">
        <v>4648</v>
      </c>
      <c r="C4574" s="2" t="str">
        <f>"15346269"</f>
        <v>15346269</v>
      </c>
      <c r="D4574" s="2">
        <v>1.1439999999999999</v>
      </c>
      <c r="E4574" s="2">
        <v>31</v>
      </c>
      <c r="F4574" s="2" t="s">
        <v>6</v>
      </c>
    </row>
    <row r="4575" spans="1:6" ht="25.5">
      <c r="A4575" s="2">
        <v>4572</v>
      </c>
      <c r="B4575" s="2" t="s">
        <v>4649</v>
      </c>
      <c r="C4575" s="2" t="str">
        <f>"15284050"</f>
        <v>15284050</v>
      </c>
      <c r="D4575" s="2">
        <v>1.095</v>
      </c>
      <c r="E4575" s="2">
        <v>51</v>
      </c>
      <c r="F4575" s="2" t="s">
        <v>6</v>
      </c>
    </row>
    <row r="4576" spans="1:6" ht="25.5">
      <c r="A4576" s="2">
        <v>4573</v>
      </c>
      <c r="B4576" s="2" t="s">
        <v>4650</v>
      </c>
      <c r="C4576" s="2" t="str">
        <f>"14736500"</f>
        <v>14736500</v>
      </c>
      <c r="D4576" s="2">
        <v>0.86899999999999999</v>
      </c>
      <c r="E4576" s="2">
        <v>33</v>
      </c>
      <c r="F4576" s="2" t="s">
        <v>6</v>
      </c>
    </row>
    <row r="4577" spans="1:6" ht="25.5">
      <c r="A4577" s="2">
        <v>4574</v>
      </c>
      <c r="B4577" s="2" t="s">
        <v>4651</v>
      </c>
      <c r="C4577" s="2" t="str">
        <f>"09581669"</f>
        <v>09581669</v>
      </c>
      <c r="D4577" s="2">
        <v>2.927</v>
      </c>
      <c r="E4577" s="2">
        <v>123</v>
      </c>
      <c r="F4577" s="2" t="s">
        <v>16</v>
      </c>
    </row>
    <row r="4578" spans="1:6" ht="25.5">
      <c r="A4578" s="2">
        <v>4575</v>
      </c>
      <c r="B4578" s="2" t="s">
        <v>4652</v>
      </c>
      <c r="C4578" s="2" t="str">
        <f>"15317080"</f>
        <v>15317080</v>
      </c>
      <c r="D4578" s="2">
        <v>1.1539999999999999</v>
      </c>
      <c r="E4578" s="2">
        <v>54</v>
      </c>
      <c r="F4578" s="2" t="s">
        <v>6</v>
      </c>
    </row>
    <row r="4579" spans="1:6" ht="25.5">
      <c r="A4579" s="2">
        <v>4576</v>
      </c>
      <c r="B4579" s="2" t="s">
        <v>4653</v>
      </c>
      <c r="C4579" s="2" t="str">
        <f>"09550674"</f>
        <v>09550674</v>
      </c>
      <c r="D4579" s="2">
        <v>8.109</v>
      </c>
      <c r="E4579" s="2">
        <v>199</v>
      </c>
      <c r="F4579" s="2" t="s">
        <v>16</v>
      </c>
    </row>
    <row r="4580" spans="1:6" ht="25.5">
      <c r="A4580" s="2">
        <v>4577</v>
      </c>
      <c r="B4580" s="2" t="s">
        <v>4654</v>
      </c>
      <c r="C4580" s="2" t="str">
        <f>"13675931"</f>
        <v>13675931</v>
      </c>
      <c r="D4580" s="2">
        <v>3.6840000000000002</v>
      </c>
      <c r="E4580" s="2">
        <v>121</v>
      </c>
      <c r="F4580" s="2" t="s">
        <v>16</v>
      </c>
    </row>
    <row r="4581" spans="1:6" ht="25.5">
      <c r="A4581" s="2">
        <v>4578</v>
      </c>
      <c r="B4581" s="2" t="s">
        <v>4655</v>
      </c>
      <c r="C4581" s="2" t="str">
        <f>"22113398"</f>
        <v>22113398</v>
      </c>
      <c r="D4581" s="2">
        <v>0.57299999999999995</v>
      </c>
      <c r="E4581" s="2">
        <v>3</v>
      </c>
      <c r="F4581" s="2" t="s">
        <v>75</v>
      </c>
    </row>
    <row r="4582" spans="1:6" ht="25.5">
      <c r="A4582" s="2">
        <v>4579</v>
      </c>
      <c r="B4582" s="2" t="s">
        <v>4656</v>
      </c>
      <c r="C4582" s="2" t="str">
        <f>"15353885"</f>
        <v>15353885</v>
      </c>
      <c r="D4582" s="2">
        <v>1.381</v>
      </c>
      <c r="E4582" s="2">
        <v>64</v>
      </c>
      <c r="F4582" s="2" t="s">
        <v>6</v>
      </c>
    </row>
    <row r="4583" spans="1:6" ht="25.5">
      <c r="A4583" s="2">
        <v>4580</v>
      </c>
      <c r="B4583" s="2" t="s">
        <v>4657</v>
      </c>
      <c r="C4583" s="2" t="str">
        <f>"13590294"</f>
        <v>13590294</v>
      </c>
      <c r="D4583" s="2">
        <v>2.6480000000000001</v>
      </c>
      <c r="E4583" s="2">
        <v>82</v>
      </c>
      <c r="F4583" s="2" t="s">
        <v>75</v>
      </c>
    </row>
    <row r="4584" spans="1:6" ht="25.5">
      <c r="A4584" s="2">
        <v>4581</v>
      </c>
      <c r="B4584" s="2" t="s">
        <v>4658</v>
      </c>
      <c r="C4584" s="2" t="str">
        <f>"15317072"</f>
        <v>15317072</v>
      </c>
      <c r="D4584" s="2">
        <v>1.0680000000000001</v>
      </c>
      <c r="E4584" s="2">
        <v>53</v>
      </c>
      <c r="F4584" s="2" t="s">
        <v>6</v>
      </c>
    </row>
    <row r="4585" spans="1:6" ht="25.5">
      <c r="A4585" s="2">
        <v>4582</v>
      </c>
      <c r="B4585" s="2" t="s">
        <v>4659</v>
      </c>
      <c r="C4585" s="2" t="str">
        <f>"17522978"</f>
        <v>17522978</v>
      </c>
      <c r="D4585" s="2">
        <v>1.2509999999999999</v>
      </c>
      <c r="E4585" s="2">
        <v>31</v>
      </c>
      <c r="F4585" s="2" t="s">
        <v>6</v>
      </c>
    </row>
    <row r="4586" spans="1:6" ht="25.5">
      <c r="A4586" s="2">
        <v>4583</v>
      </c>
      <c r="B4586" s="2" t="s">
        <v>4660</v>
      </c>
      <c r="C4586" s="2" t="str">
        <f>"18773435"</f>
        <v>18773435</v>
      </c>
      <c r="D4586" s="2">
        <v>1.331</v>
      </c>
      <c r="E4586" s="2">
        <v>15</v>
      </c>
      <c r="F4586" s="2" t="s">
        <v>75</v>
      </c>
    </row>
    <row r="4587" spans="1:6" ht="25.5">
      <c r="A4587" s="2">
        <v>4584</v>
      </c>
      <c r="B4587" s="2" t="s">
        <v>4661</v>
      </c>
      <c r="C4587" s="2" t="str">
        <f>"15317056"</f>
        <v>15317056</v>
      </c>
      <c r="D4587" s="2">
        <v>1.2749999999999999</v>
      </c>
      <c r="E4587" s="2">
        <v>47</v>
      </c>
      <c r="F4587" s="2" t="s">
        <v>6</v>
      </c>
    </row>
    <row r="4588" spans="1:6" ht="25.5">
      <c r="A4588" s="2">
        <v>4585</v>
      </c>
      <c r="B4588" s="2" t="s">
        <v>4662</v>
      </c>
      <c r="C4588" s="2" t="str">
        <f>"0959437X"</f>
        <v>0959437X</v>
      </c>
      <c r="D4588" s="2">
        <v>5.6959999999999997</v>
      </c>
      <c r="E4588" s="2">
        <v>142</v>
      </c>
      <c r="F4588" s="2" t="s">
        <v>16</v>
      </c>
    </row>
    <row r="4589" spans="1:6" ht="25.5">
      <c r="A4589" s="2">
        <v>4586</v>
      </c>
      <c r="B4589" s="2" t="s">
        <v>4663</v>
      </c>
      <c r="C4589" s="2" t="str">
        <f>"15317048"</f>
        <v>15317048</v>
      </c>
      <c r="D4589" s="2">
        <v>1.47</v>
      </c>
      <c r="E4589" s="2">
        <v>68</v>
      </c>
      <c r="F4589" s="2" t="s">
        <v>6</v>
      </c>
    </row>
    <row r="4590" spans="1:6" ht="25.5">
      <c r="A4590" s="2">
        <v>4587</v>
      </c>
      <c r="B4590" s="2" t="s">
        <v>4664</v>
      </c>
      <c r="C4590" s="2" t="str">
        <f>"1746630X"</f>
        <v>1746630X</v>
      </c>
      <c r="D4590" s="2">
        <v>1.853</v>
      </c>
      <c r="E4590" s="2">
        <v>23</v>
      </c>
      <c r="F4590" s="2" t="s">
        <v>6</v>
      </c>
    </row>
    <row r="4591" spans="1:6" ht="25.5">
      <c r="A4591" s="2">
        <v>4588</v>
      </c>
      <c r="B4591" s="2" t="s">
        <v>4665</v>
      </c>
      <c r="C4591" s="2" t="str">
        <f>"09527915"</f>
        <v>09527915</v>
      </c>
      <c r="D4591" s="2">
        <v>5.0149999999999997</v>
      </c>
      <c r="E4591" s="2">
        <v>143</v>
      </c>
      <c r="F4591" s="2" t="s">
        <v>16</v>
      </c>
    </row>
    <row r="4592" spans="1:6" ht="25.5">
      <c r="A4592" s="2">
        <v>4589</v>
      </c>
      <c r="B4592" s="2" t="s">
        <v>4666</v>
      </c>
      <c r="C4592" s="2" t="str">
        <f>"14736527"</f>
        <v>14736527</v>
      </c>
      <c r="D4592" s="2">
        <v>1.6120000000000001</v>
      </c>
      <c r="E4592" s="2">
        <v>62</v>
      </c>
      <c r="F4592" s="2" t="s">
        <v>6</v>
      </c>
    </row>
    <row r="4593" spans="1:6" ht="25.5">
      <c r="A4593" s="2">
        <v>4590</v>
      </c>
      <c r="B4593" s="2" t="s">
        <v>4667</v>
      </c>
      <c r="C4593" s="2" t="str">
        <f>"14736535"</f>
        <v>14736535</v>
      </c>
      <c r="D4593" s="2">
        <v>2.0449999999999999</v>
      </c>
      <c r="E4593" s="2">
        <v>88</v>
      </c>
      <c r="F4593" s="2" t="s">
        <v>6</v>
      </c>
    </row>
    <row r="4594" spans="1:6" ht="25.5">
      <c r="A4594" s="2">
        <v>4591</v>
      </c>
      <c r="B4594" s="2" t="s">
        <v>4668</v>
      </c>
      <c r="C4594" s="2" t="str">
        <f>"13695274"</f>
        <v>13695274</v>
      </c>
      <c r="D4594" s="2">
        <v>4.1040000000000001</v>
      </c>
      <c r="E4594" s="2">
        <v>111</v>
      </c>
      <c r="F4594" s="2" t="s">
        <v>16</v>
      </c>
    </row>
    <row r="4595" spans="1:6" ht="25.5">
      <c r="A4595" s="2">
        <v>4592</v>
      </c>
      <c r="B4595" s="2" t="s">
        <v>4669</v>
      </c>
      <c r="C4595" s="2" t="str">
        <f>"14736543"</f>
        <v>14736543</v>
      </c>
      <c r="D4595" s="2">
        <v>1.4379999999999999</v>
      </c>
      <c r="E4595" s="2">
        <v>62</v>
      </c>
      <c r="F4595" s="2" t="s">
        <v>6</v>
      </c>
    </row>
    <row r="4596" spans="1:6" ht="25.5">
      <c r="A4596" s="2">
        <v>4593</v>
      </c>
      <c r="B4596" s="2" t="s">
        <v>4670</v>
      </c>
      <c r="C4596" s="2" t="str">
        <f>"09594388"</f>
        <v>09594388</v>
      </c>
      <c r="D4596" s="2">
        <v>4.9020000000000001</v>
      </c>
      <c r="E4596" s="2">
        <v>156</v>
      </c>
      <c r="F4596" s="2" t="s">
        <v>16</v>
      </c>
    </row>
    <row r="4597" spans="1:6" ht="25.5">
      <c r="A4597" s="2">
        <v>4594</v>
      </c>
      <c r="B4597" s="2" t="s">
        <v>4671</v>
      </c>
      <c r="C4597" s="2" t="str">
        <f>"14736551"</f>
        <v>14736551</v>
      </c>
      <c r="D4597" s="2">
        <v>1.7989999999999999</v>
      </c>
      <c r="E4597" s="2">
        <v>76</v>
      </c>
      <c r="F4597" s="2" t="s">
        <v>6</v>
      </c>
    </row>
    <row r="4598" spans="1:6" ht="25.5">
      <c r="A4598" s="2">
        <v>4595</v>
      </c>
      <c r="B4598" s="2" t="s">
        <v>4672</v>
      </c>
      <c r="C4598" s="2" t="str">
        <f>"1473656X"</f>
        <v>1473656X</v>
      </c>
      <c r="D4598" s="2">
        <v>0.90900000000000003</v>
      </c>
      <c r="E4598" s="2">
        <v>46</v>
      </c>
      <c r="F4598" s="2" t="s">
        <v>6</v>
      </c>
    </row>
    <row r="4599" spans="1:6" ht="25.5">
      <c r="A4599" s="2">
        <v>4596</v>
      </c>
      <c r="B4599" s="2" t="s">
        <v>4673</v>
      </c>
      <c r="C4599" s="2" t="str">
        <f>"1531703X"</f>
        <v>1531703X</v>
      </c>
      <c r="D4599" s="2">
        <v>1.6240000000000001</v>
      </c>
      <c r="E4599" s="2">
        <v>65</v>
      </c>
      <c r="F4599" s="2" t="s">
        <v>6</v>
      </c>
    </row>
    <row r="4600" spans="1:6" ht="25.5">
      <c r="A4600" s="2">
        <v>4597</v>
      </c>
      <c r="B4600" s="2" t="s">
        <v>4674</v>
      </c>
      <c r="C4600" s="2" t="str">
        <f>"15317021"</f>
        <v>15317021</v>
      </c>
      <c r="D4600" s="2">
        <v>1.431</v>
      </c>
      <c r="E4600" s="2">
        <v>53</v>
      </c>
      <c r="F4600" s="2" t="s">
        <v>6</v>
      </c>
    </row>
    <row r="4601" spans="1:6" ht="25.5">
      <c r="A4601" s="2">
        <v>4598</v>
      </c>
      <c r="B4601" s="2" t="s">
        <v>4675</v>
      </c>
      <c r="C4601" s="2" t="str">
        <f>"15317013"</f>
        <v>15317013</v>
      </c>
      <c r="D4601" s="2">
        <v>1.022</v>
      </c>
      <c r="E4601" s="2">
        <v>21</v>
      </c>
      <c r="F4601" s="2" t="s">
        <v>6</v>
      </c>
    </row>
    <row r="4602" spans="1:6" ht="25.5">
      <c r="A4602" s="2">
        <v>4599</v>
      </c>
      <c r="B4602" s="2" t="s">
        <v>4676</v>
      </c>
      <c r="C4602" s="2" t="str">
        <f>"10689508"</f>
        <v>10689508</v>
      </c>
      <c r="D4602" s="2">
        <v>0.79300000000000004</v>
      </c>
      <c r="E4602" s="2">
        <v>36</v>
      </c>
      <c r="F4602" s="2" t="s">
        <v>6</v>
      </c>
    </row>
    <row r="4603" spans="1:6" ht="25.5">
      <c r="A4603" s="2">
        <v>4600</v>
      </c>
      <c r="B4603" s="2" t="s">
        <v>4677</v>
      </c>
      <c r="C4603" s="2" t="str">
        <f>"1531698X"</f>
        <v>1531698X</v>
      </c>
      <c r="D4603" s="2">
        <v>0.97099999999999997</v>
      </c>
      <c r="E4603" s="2">
        <v>50</v>
      </c>
      <c r="F4603" s="2" t="s">
        <v>6</v>
      </c>
    </row>
    <row r="4604" spans="1:6" ht="25.5">
      <c r="A4604" s="2">
        <v>4601</v>
      </c>
      <c r="B4604" s="2" t="s">
        <v>4678</v>
      </c>
      <c r="C4604" s="2" t="str">
        <f>"14714892"</f>
        <v>14714892</v>
      </c>
      <c r="D4604" s="2">
        <v>2.3119999999999998</v>
      </c>
      <c r="E4604" s="2">
        <v>82</v>
      </c>
      <c r="F4604" s="2" t="s">
        <v>75</v>
      </c>
    </row>
    <row r="4605" spans="1:6" ht="25.5">
      <c r="A4605" s="2">
        <v>4602</v>
      </c>
      <c r="B4605" s="2" t="s">
        <v>4679</v>
      </c>
      <c r="C4605" s="2" t="str">
        <f>"13695266"</f>
        <v>13695266</v>
      </c>
      <c r="D4605" s="2">
        <v>4.55</v>
      </c>
      <c r="E4605" s="2">
        <v>123</v>
      </c>
      <c r="F4605" s="2" t="s">
        <v>16</v>
      </c>
    </row>
    <row r="4606" spans="1:6" ht="25.5">
      <c r="A4606" s="2">
        <v>4603</v>
      </c>
      <c r="B4606" s="2" t="s">
        <v>4680</v>
      </c>
      <c r="C4606" s="2" t="str">
        <f>"09517367"</f>
        <v>09517367</v>
      </c>
      <c r="D4606" s="2">
        <v>1.2889999999999999</v>
      </c>
      <c r="E4606" s="2">
        <v>46</v>
      </c>
      <c r="F4606" s="2" t="s">
        <v>6</v>
      </c>
    </row>
    <row r="4607" spans="1:6" ht="25.5">
      <c r="A4607" s="2">
        <v>4604</v>
      </c>
      <c r="B4607" s="2" t="s">
        <v>4681</v>
      </c>
      <c r="C4607" s="2" t="str">
        <f>"15316971"</f>
        <v>15316971</v>
      </c>
      <c r="D4607" s="2">
        <v>1.0609999999999999</v>
      </c>
      <c r="E4607" s="2">
        <v>46</v>
      </c>
      <c r="F4607" s="2" t="s">
        <v>6</v>
      </c>
    </row>
    <row r="4608" spans="1:6" ht="25.5">
      <c r="A4608" s="2">
        <v>4605</v>
      </c>
      <c r="B4608" s="2" t="s">
        <v>4682</v>
      </c>
      <c r="C4608" s="2" t="str">
        <f>"15316963"</f>
        <v>15316963</v>
      </c>
      <c r="D4608" s="2">
        <v>1.6679999999999999</v>
      </c>
      <c r="E4608" s="2">
        <v>73</v>
      </c>
      <c r="F4608" s="2" t="s">
        <v>6</v>
      </c>
    </row>
    <row r="4609" spans="1:6" ht="25.5">
      <c r="A4609" s="2">
        <v>4606</v>
      </c>
      <c r="B4609" s="2" t="s">
        <v>4683</v>
      </c>
      <c r="C4609" s="2" t="str">
        <f>"13590286"</f>
        <v>13590286</v>
      </c>
      <c r="D4609" s="2">
        <v>2.327</v>
      </c>
      <c r="E4609" s="2">
        <v>77</v>
      </c>
      <c r="F4609" s="2" t="s">
        <v>16</v>
      </c>
    </row>
    <row r="4610" spans="1:6" ht="25.5">
      <c r="A4610" s="2">
        <v>4607</v>
      </c>
      <c r="B4610" s="2" t="s">
        <v>4684</v>
      </c>
      <c r="C4610" s="2" t="str">
        <f>"0959440X"</f>
        <v>0959440X</v>
      </c>
      <c r="D4610" s="2">
        <v>5.782</v>
      </c>
      <c r="E4610" s="2">
        <v>142</v>
      </c>
      <c r="F4610" s="2" t="s">
        <v>16</v>
      </c>
    </row>
    <row r="4611" spans="1:6" ht="25.5">
      <c r="A4611" s="2">
        <v>4608</v>
      </c>
      <c r="B4611" s="2" t="s">
        <v>4685</v>
      </c>
      <c r="C4611" s="2" t="str">
        <f>"17514266"</f>
        <v>17514266</v>
      </c>
      <c r="D4611" s="2">
        <v>0.67300000000000004</v>
      </c>
      <c r="E4611" s="2">
        <v>17</v>
      </c>
      <c r="F4611" s="2" t="s">
        <v>6</v>
      </c>
    </row>
    <row r="4612" spans="1:6" ht="25.5">
      <c r="A4612" s="2">
        <v>4609</v>
      </c>
      <c r="B4612" s="2" t="s">
        <v>4686</v>
      </c>
      <c r="C4612" s="2" t="str">
        <f>"14736586"</f>
        <v>14736586</v>
      </c>
      <c r="D4612" s="2">
        <v>1.006</v>
      </c>
      <c r="E4612" s="2">
        <v>39</v>
      </c>
      <c r="F4612" s="2" t="s">
        <v>6</v>
      </c>
    </row>
    <row r="4613" spans="1:6" ht="25.5">
      <c r="A4613" s="2">
        <v>4610</v>
      </c>
      <c r="B4613" s="2" t="s">
        <v>4687</v>
      </c>
      <c r="C4613" s="2" t="str">
        <f>"18796257"</f>
        <v>18796257</v>
      </c>
      <c r="D4613" s="2">
        <v>1.2669999999999999</v>
      </c>
      <c r="E4613" s="2">
        <v>8</v>
      </c>
      <c r="F4613" s="2" t="s">
        <v>75</v>
      </c>
    </row>
    <row r="4614" spans="1:6" ht="25.5">
      <c r="A4614" s="2">
        <v>4611</v>
      </c>
      <c r="B4614" s="2" t="s">
        <v>4688</v>
      </c>
      <c r="C4614" s="2" t="str">
        <f>"13852728"</f>
        <v>13852728</v>
      </c>
      <c r="D4614" s="2">
        <v>1.1759999999999999</v>
      </c>
      <c r="E4614" s="2">
        <v>69</v>
      </c>
      <c r="F4614" s="2" t="s">
        <v>75</v>
      </c>
    </row>
    <row r="4615" spans="1:6" ht="25.5">
      <c r="A4615" s="2">
        <v>4612</v>
      </c>
      <c r="B4615" s="2" t="s">
        <v>4689</v>
      </c>
      <c r="C4615" s="2" t="str">
        <f>"15701794"</f>
        <v>15701794</v>
      </c>
      <c r="D4615" s="2">
        <v>0.94</v>
      </c>
      <c r="E4615" s="2">
        <v>26</v>
      </c>
      <c r="F4615" s="2" t="s">
        <v>75</v>
      </c>
    </row>
    <row r="4616" spans="1:6" ht="25.5">
      <c r="A4616" s="2">
        <v>4613</v>
      </c>
      <c r="B4616" s="2" t="s">
        <v>4690</v>
      </c>
      <c r="C4616" s="2" t="str">
        <f>"19417551"</f>
        <v>19417551</v>
      </c>
      <c r="D4616" s="2">
        <v>0.16</v>
      </c>
      <c r="E4616" s="2">
        <v>13</v>
      </c>
      <c r="F4616" s="2" t="s">
        <v>6</v>
      </c>
    </row>
    <row r="4617" spans="1:6" ht="25.5">
      <c r="A4617" s="2">
        <v>4614</v>
      </c>
      <c r="B4617" s="2" t="s">
        <v>4691</v>
      </c>
      <c r="C4617" s="2" t="str">
        <f>"15442241"</f>
        <v>15442241</v>
      </c>
      <c r="D4617" s="2">
        <v>0.89600000000000002</v>
      </c>
      <c r="E4617" s="2">
        <v>20</v>
      </c>
      <c r="F4617" s="2" t="s">
        <v>6</v>
      </c>
    </row>
    <row r="4618" spans="1:6" ht="25.5">
      <c r="A4618" s="2">
        <v>4615</v>
      </c>
      <c r="B4618" s="2" t="s">
        <v>4692</v>
      </c>
      <c r="C4618" s="2" t="str">
        <f>"15343081"</f>
        <v>15343081</v>
      </c>
      <c r="D4618" s="2">
        <v>0.46300000000000002</v>
      </c>
      <c r="E4618" s="2">
        <v>32</v>
      </c>
      <c r="F4618" s="2" t="s">
        <v>6</v>
      </c>
    </row>
    <row r="4619" spans="1:6" ht="25.5">
      <c r="A4619" s="2">
        <v>4616</v>
      </c>
      <c r="B4619" s="2" t="s">
        <v>4693</v>
      </c>
      <c r="C4619" s="2" t="str">
        <f>"09719032"</f>
        <v>09719032</v>
      </c>
      <c r="D4619" s="2">
        <v>0.14299999999999999</v>
      </c>
      <c r="E4619" s="2">
        <v>2</v>
      </c>
      <c r="F4619" s="2" t="s">
        <v>488</v>
      </c>
    </row>
    <row r="4620" spans="1:6" ht="25.5">
      <c r="A4620" s="2">
        <v>4617</v>
      </c>
      <c r="B4620" s="2" t="s">
        <v>4694</v>
      </c>
      <c r="C4620" s="2" t="str">
        <f>"15733963"</f>
        <v>15733963</v>
      </c>
      <c r="D4620" s="2">
        <v>0.192</v>
      </c>
      <c r="E4620" s="2">
        <v>7</v>
      </c>
      <c r="F4620" s="2" t="s">
        <v>75</v>
      </c>
    </row>
    <row r="4621" spans="1:6" ht="25.5">
      <c r="A4621" s="2">
        <v>4618</v>
      </c>
      <c r="B4621" s="2" t="s">
        <v>4695</v>
      </c>
      <c r="C4621" s="2" t="str">
        <f>"02781204"</f>
        <v>02781204</v>
      </c>
      <c r="D4621" s="2">
        <v>0.126</v>
      </c>
      <c r="E4621" s="2">
        <v>3</v>
      </c>
      <c r="F4621" s="2" t="s">
        <v>6</v>
      </c>
    </row>
    <row r="4622" spans="1:6" ht="25.5">
      <c r="A4622" s="2">
        <v>4619</v>
      </c>
      <c r="B4622" s="2" t="s">
        <v>4696</v>
      </c>
      <c r="C4622" s="2" t="str">
        <f>"15734129"</f>
        <v>15734129</v>
      </c>
      <c r="D4622" s="2">
        <v>0.39700000000000002</v>
      </c>
      <c r="E4622" s="2">
        <v>13</v>
      </c>
      <c r="F4622" s="2" t="s">
        <v>75</v>
      </c>
    </row>
    <row r="4623" spans="1:6" ht="25.5">
      <c r="A4623" s="2">
        <v>4620</v>
      </c>
      <c r="B4623" s="2" t="s">
        <v>4697</v>
      </c>
      <c r="C4623" s="2" t="str">
        <f>"18734316"</f>
        <v>18734316</v>
      </c>
      <c r="D4623" s="2">
        <v>0.84</v>
      </c>
      <c r="E4623" s="2">
        <v>43</v>
      </c>
      <c r="F4623" s="2" t="s">
        <v>75</v>
      </c>
    </row>
    <row r="4624" spans="1:6" ht="25.5">
      <c r="A4624" s="2">
        <v>4621</v>
      </c>
      <c r="B4624" s="2" t="s">
        <v>4698</v>
      </c>
      <c r="C4624" s="2" t="str">
        <f>"13816128"</f>
        <v>13816128</v>
      </c>
      <c r="D4624" s="2">
        <v>1.0569999999999999</v>
      </c>
      <c r="E4624" s="2">
        <v>95</v>
      </c>
      <c r="F4624" s="2" t="s">
        <v>75</v>
      </c>
    </row>
    <row r="4625" spans="1:6" ht="25.5">
      <c r="A4625" s="2">
        <v>4622</v>
      </c>
      <c r="B4625" s="2" t="s">
        <v>4699</v>
      </c>
      <c r="C4625" s="2" t="str">
        <f>"18756921"</f>
        <v>18756921</v>
      </c>
      <c r="D4625" s="2">
        <v>0.32100000000000001</v>
      </c>
      <c r="E4625" s="2">
        <v>11</v>
      </c>
      <c r="F4625" s="2" t="s">
        <v>75</v>
      </c>
    </row>
    <row r="4626" spans="1:6" ht="25.5">
      <c r="A4626" s="2">
        <v>4623</v>
      </c>
      <c r="B4626" s="2" t="s">
        <v>4700</v>
      </c>
      <c r="C4626" s="2" t="str">
        <f>"01470272"</f>
        <v>01470272</v>
      </c>
      <c r="D4626" s="2">
        <v>0.505</v>
      </c>
      <c r="E4626" s="2">
        <v>22</v>
      </c>
      <c r="F4626" s="2" t="s">
        <v>6</v>
      </c>
    </row>
    <row r="4627" spans="1:6" ht="25.5">
      <c r="A4627" s="2">
        <v>4624</v>
      </c>
      <c r="B4627" s="2" t="s">
        <v>4701</v>
      </c>
      <c r="C4627" s="2" t="str">
        <f>"01462806"</f>
        <v>01462806</v>
      </c>
      <c r="D4627" s="2">
        <v>1.0740000000000001</v>
      </c>
      <c r="E4627" s="2">
        <v>31</v>
      </c>
      <c r="F4627" s="2" t="s">
        <v>6</v>
      </c>
    </row>
    <row r="4628" spans="1:6" ht="25.5">
      <c r="A4628" s="2">
        <v>4625</v>
      </c>
      <c r="B4628" s="2" t="s">
        <v>4702</v>
      </c>
      <c r="C4628" s="2" t="str">
        <f>"14215721"</f>
        <v>14215721</v>
      </c>
      <c r="D4628" s="2">
        <v>0.33400000000000002</v>
      </c>
      <c r="E4628" s="2">
        <v>16</v>
      </c>
      <c r="F4628" s="2" t="s">
        <v>31</v>
      </c>
    </row>
    <row r="4629" spans="1:6" ht="25.5">
      <c r="A4629" s="2">
        <v>4626</v>
      </c>
      <c r="B4629" s="2" t="s">
        <v>4703</v>
      </c>
      <c r="C4629" s="2" t="str">
        <f>"03630188"</f>
        <v>03630188</v>
      </c>
      <c r="D4629" s="2">
        <v>0.39300000000000002</v>
      </c>
      <c r="E4629" s="2">
        <v>18</v>
      </c>
      <c r="F4629" s="2" t="s">
        <v>6</v>
      </c>
    </row>
    <row r="4630" spans="1:6" ht="25.5">
      <c r="A4630" s="2">
        <v>4627</v>
      </c>
      <c r="B4630" s="2" t="s">
        <v>4704</v>
      </c>
      <c r="C4630" s="2" t="str">
        <f>"15385442"</f>
        <v>15385442</v>
      </c>
      <c r="D4630" s="2">
        <v>0.52400000000000002</v>
      </c>
      <c r="E4630" s="2">
        <v>23</v>
      </c>
      <c r="F4630" s="2" t="s">
        <v>6</v>
      </c>
    </row>
    <row r="4631" spans="1:6" ht="25.5">
      <c r="A4631" s="2">
        <v>4628</v>
      </c>
      <c r="B4631" s="2" t="s">
        <v>4705</v>
      </c>
      <c r="C4631" s="2" t="str">
        <f>"00113840"</f>
        <v>00113840</v>
      </c>
      <c r="D4631" s="2">
        <v>0.69199999999999995</v>
      </c>
      <c r="E4631" s="2">
        <v>30</v>
      </c>
      <c r="F4631" s="2" t="s">
        <v>6</v>
      </c>
    </row>
    <row r="4632" spans="1:6" ht="25.5">
      <c r="A4632" s="2">
        <v>4629</v>
      </c>
      <c r="B4632" s="2" t="s">
        <v>4706</v>
      </c>
      <c r="C4632" s="2" t="str">
        <f>"13892037"</f>
        <v>13892037</v>
      </c>
      <c r="D4632" s="2">
        <v>1.099</v>
      </c>
      <c r="E4632" s="2">
        <v>52</v>
      </c>
      <c r="F4632" s="2" t="s">
        <v>75</v>
      </c>
    </row>
    <row r="4633" spans="1:6" ht="25.5">
      <c r="A4633" s="2">
        <v>4630</v>
      </c>
      <c r="B4633" s="2" t="s">
        <v>4707</v>
      </c>
      <c r="C4633" s="2" t="str">
        <f>"15701646"</f>
        <v>15701646</v>
      </c>
      <c r="D4633" s="2">
        <v>0.26800000000000002</v>
      </c>
      <c r="E4633" s="2">
        <v>14</v>
      </c>
      <c r="F4633" s="2" t="s">
        <v>75</v>
      </c>
    </row>
    <row r="4634" spans="1:6" ht="25.5">
      <c r="A4634" s="2">
        <v>4631</v>
      </c>
      <c r="B4634" s="2" t="s">
        <v>4708</v>
      </c>
      <c r="C4634" s="2" t="str">
        <f>"1934340X"</f>
        <v>1934340X</v>
      </c>
      <c r="D4634" s="2">
        <v>1.097</v>
      </c>
      <c r="E4634" s="2">
        <v>15</v>
      </c>
      <c r="F4634" s="2" t="s">
        <v>6</v>
      </c>
    </row>
    <row r="4635" spans="1:6" ht="25.5">
      <c r="A4635" s="2">
        <v>4632</v>
      </c>
      <c r="B4635" s="2" t="s">
        <v>4709</v>
      </c>
      <c r="C4635" s="2" t="str">
        <f>"19342616"</f>
        <v>19342616</v>
      </c>
      <c r="D4635" s="2">
        <v>0.52100000000000002</v>
      </c>
      <c r="E4635" s="2">
        <v>9</v>
      </c>
      <c r="F4635" s="2" t="s">
        <v>6</v>
      </c>
    </row>
    <row r="4636" spans="1:6" ht="25.5">
      <c r="A4636" s="2">
        <v>4633</v>
      </c>
      <c r="B4636" s="2" t="s">
        <v>4710</v>
      </c>
      <c r="C4636" s="2" t="str">
        <f>"19349300"</f>
        <v>19349300</v>
      </c>
      <c r="D4636" s="2">
        <v>0.30299999999999999</v>
      </c>
      <c r="E4636" s="2">
        <v>6</v>
      </c>
      <c r="F4636" s="2" t="s">
        <v>6</v>
      </c>
    </row>
    <row r="4637" spans="1:6">
      <c r="A4637" s="2">
        <v>4634</v>
      </c>
      <c r="B4637" s="2" t="s">
        <v>4711</v>
      </c>
      <c r="C4637" s="2" t="str">
        <f>"0"</f>
        <v>0</v>
      </c>
      <c r="D4637" s="2">
        <v>0.13400000000000001</v>
      </c>
      <c r="E4637" s="2">
        <v>1</v>
      </c>
      <c r="F4637" s="2" t="s">
        <v>12</v>
      </c>
    </row>
    <row r="4638" spans="1:6" ht="25.5">
      <c r="A4638" s="2">
        <v>4635</v>
      </c>
      <c r="B4638" s="2" t="s">
        <v>4712</v>
      </c>
      <c r="C4638" s="2" t="str">
        <f>"19348266"</f>
        <v>19348266</v>
      </c>
      <c r="D4638" s="2">
        <v>0.74</v>
      </c>
      <c r="E4638" s="2">
        <v>8</v>
      </c>
      <c r="F4638" s="2" t="s">
        <v>6</v>
      </c>
    </row>
    <row r="4639" spans="1:6" ht="25.5">
      <c r="A4639" s="2">
        <v>4636</v>
      </c>
      <c r="B4639" s="2" t="s">
        <v>4713</v>
      </c>
      <c r="C4639" s="2" t="str">
        <f>"1934368X"</f>
        <v>1934368X</v>
      </c>
      <c r="D4639" s="2">
        <v>0.85</v>
      </c>
      <c r="E4639" s="2">
        <v>14</v>
      </c>
      <c r="F4639" s="2" t="s">
        <v>6</v>
      </c>
    </row>
    <row r="4640" spans="1:6" ht="25.5">
      <c r="A4640" s="2">
        <v>4637</v>
      </c>
      <c r="B4640" s="2" t="s">
        <v>4714</v>
      </c>
      <c r="C4640" s="2" t="str">
        <f>"19348533"</f>
        <v>19348533</v>
      </c>
      <c r="D4640" s="2">
        <v>0.39200000000000002</v>
      </c>
      <c r="E4640" s="2">
        <v>9</v>
      </c>
      <c r="F4640" s="2" t="s">
        <v>6</v>
      </c>
    </row>
    <row r="4641" spans="1:6" ht="25.5">
      <c r="A4641" s="2">
        <v>4638</v>
      </c>
      <c r="B4641" s="2" t="s">
        <v>4715</v>
      </c>
      <c r="C4641" s="2" t="str">
        <f>"19343647"</f>
        <v>19343647</v>
      </c>
      <c r="D4641" s="2">
        <v>1.6259999999999999</v>
      </c>
      <c r="E4641" s="2">
        <v>10</v>
      </c>
      <c r="F4641" s="2" t="s">
        <v>6</v>
      </c>
    </row>
    <row r="4642" spans="1:6" ht="25.5">
      <c r="A4642" s="2">
        <v>4639</v>
      </c>
      <c r="B4642" s="2" t="s">
        <v>4716</v>
      </c>
      <c r="C4642" s="2" t="str">
        <f>"19348584"</f>
        <v>19348584</v>
      </c>
      <c r="D4642" s="2">
        <v>0.57499999999999996</v>
      </c>
      <c r="E4642" s="2">
        <v>10</v>
      </c>
      <c r="F4642" s="2" t="s">
        <v>6</v>
      </c>
    </row>
    <row r="4643" spans="1:6" ht="25.5">
      <c r="A4643" s="2">
        <v>4640</v>
      </c>
      <c r="B4643" s="2" t="s">
        <v>4717</v>
      </c>
      <c r="C4643" s="2" t="str">
        <f>"19349289"</f>
        <v>19349289</v>
      </c>
      <c r="D4643" s="2">
        <v>0.20300000000000001</v>
      </c>
      <c r="E4643" s="2">
        <v>5</v>
      </c>
      <c r="F4643" s="2" t="s">
        <v>6</v>
      </c>
    </row>
    <row r="4644" spans="1:6" ht="25.5">
      <c r="A4644" s="2">
        <v>4641</v>
      </c>
      <c r="B4644" s="2" t="s">
        <v>4718</v>
      </c>
      <c r="C4644" s="2" t="str">
        <f>"19348290"</f>
        <v>19348290</v>
      </c>
      <c r="D4644" s="2">
        <v>0.115</v>
      </c>
      <c r="E4644" s="2">
        <v>2</v>
      </c>
      <c r="F4644" s="2" t="s">
        <v>6</v>
      </c>
    </row>
    <row r="4645" spans="1:6" ht="25.5">
      <c r="A4645" s="2">
        <v>4642</v>
      </c>
      <c r="B4645" s="2" t="s">
        <v>4719</v>
      </c>
      <c r="C4645" s="2" t="str">
        <f>"19343663"</f>
        <v>19343663</v>
      </c>
      <c r="D4645" s="2">
        <v>0.34599999999999997</v>
      </c>
      <c r="E4645" s="2">
        <v>6</v>
      </c>
      <c r="F4645" s="2" t="s">
        <v>6</v>
      </c>
    </row>
    <row r="4646" spans="1:6" ht="25.5">
      <c r="A4646" s="2">
        <v>4643</v>
      </c>
      <c r="B4646" s="2" t="s">
        <v>4720</v>
      </c>
      <c r="C4646" s="2" t="str">
        <f>"19417322"</f>
        <v>19417322</v>
      </c>
      <c r="D4646" s="2">
        <v>0.50700000000000001</v>
      </c>
      <c r="E4646" s="2">
        <v>12</v>
      </c>
      <c r="F4646" s="2" t="s">
        <v>6</v>
      </c>
    </row>
    <row r="4647" spans="1:6" ht="25.5">
      <c r="A4647" s="2">
        <v>4644</v>
      </c>
      <c r="B4647" s="2" t="s">
        <v>4721</v>
      </c>
      <c r="C4647" s="2" t="str">
        <f>"19349262"</f>
        <v>19349262</v>
      </c>
      <c r="D4647" s="2">
        <v>0.26</v>
      </c>
      <c r="E4647" s="2">
        <v>4</v>
      </c>
      <c r="F4647" s="2" t="s">
        <v>6</v>
      </c>
    </row>
    <row r="4648" spans="1:6" ht="25.5">
      <c r="A4648" s="2">
        <v>4645</v>
      </c>
      <c r="B4648" s="2" t="s">
        <v>4722</v>
      </c>
      <c r="C4648" s="2" t="str">
        <f>"15378276"</f>
        <v>15378276</v>
      </c>
      <c r="D4648" s="2">
        <v>0.12</v>
      </c>
      <c r="E4648" s="2">
        <v>2</v>
      </c>
      <c r="F4648" s="2" t="s">
        <v>6</v>
      </c>
    </row>
    <row r="4649" spans="1:6" ht="25.5">
      <c r="A4649" s="2">
        <v>4646</v>
      </c>
      <c r="B4649" s="2" t="s">
        <v>4723</v>
      </c>
      <c r="C4649" s="2" t="str">
        <f>"15351645"</f>
        <v>15351645</v>
      </c>
      <c r="D4649" s="2">
        <v>1.232</v>
      </c>
      <c r="E4649" s="2">
        <v>38</v>
      </c>
      <c r="F4649" s="2" t="s">
        <v>6</v>
      </c>
    </row>
    <row r="4650" spans="1:6" ht="25.5">
      <c r="A4650" s="2">
        <v>4647</v>
      </c>
      <c r="B4650" s="2" t="s">
        <v>4724</v>
      </c>
      <c r="C4650" s="2" t="str">
        <f>"15734005"</f>
        <v>15734005</v>
      </c>
      <c r="D4650" s="2">
        <v>0.26500000000000001</v>
      </c>
      <c r="E4650" s="2">
        <v>10</v>
      </c>
      <c r="F4650" s="2" t="s">
        <v>75</v>
      </c>
    </row>
    <row r="4651" spans="1:6" ht="25.5">
      <c r="A4651" s="2">
        <v>4648</v>
      </c>
      <c r="B4651" s="2" t="s">
        <v>4725</v>
      </c>
      <c r="C4651" s="2" t="str">
        <f>"10461310"</f>
        <v>10461310</v>
      </c>
      <c r="D4651" s="2">
        <v>0.27800000000000002</v>
      </c>
      <c r="E4651" s="2">
        <v>21</v>
      </c>
      <c r="F4651" s="2" t="s">
        <v>6</v>
      </c>
    </row>
    <row r="4652" spans="1:6" ht="25.5">
      <c r="A4652" s="2">
        <v>4649</v>
      </c>
      <c r="B4652" s="2" t="s">
        <v>4726</v>
      </c>
      <c r="C4652" s="2" t="str">
        <f>"18744710"</f>
        <v>18744710</v>
      </c>
      <c r="D4652" s="2">
        <v>0.36</v>
      </c>
      <c r="E4652" s="2">
        <v>6</v>
      </c>
      <c r="F4652" s="2" t="s">
        <v>75</v>
      </c>
    </row>
    <row r="4653" spans="1:6">
      <c r="A4653" s="2">
        <v>4650</v>
      </c>
      <c r="B4653" s="2" t="s">
        <v>4727</v>
      </c>
      <c r="C4653" s="2" t="str">
        <f>"0"</f>
        <v>0</v>
      </c>
      <c r="D4653" s="2">
        <v>0.11899999999999999</v>
      </c>
      <c r="E4653" s="2">
        <v>2</v>
      </c>
      <c r="F4653" s="2" t="s">
        <v>6</v>
      </c>
    </row>
    <row r="4654" spans="1:6" ht="25.5">
      <c r="A4654" s="2">
        <v>4651</v>
      </c>
      <c r="B4654" s="2" t="s">
        <v>4728</v>
      </c>
      <c r="C4654" s="2" t="str">
        <f>"10887423"</f>
        <v>10887423</v>
      </c>
      <c r="D4654" s="2">
        <v>0.11</v>
      </c>
      <c r="E4654" s="2">
        <v>12</v>
      </c>
      <c r="F4654" s="2" t="s">
        <v>6</v>
      </c>
    </row>
    <row r="4655" spans="1:6" ht="25.5">
      <c r="A4655" s="2">
        <v>4652</v>
      </c>
      <c r="B4655" s="2" t="s">
        <v>4729</v>
      </c>
      <c r="C4655" s="2" t="str">
        <f>"18193366"</f>
        <v>18193366</v>
      </c>
      <c r="D4655" s="2">
        <v>0.104</v>
      </c>
      <c r="E4655" s="2">
        <v>1</v>
      </c>
      <c r="F4655" s="2" t="s">
        <v>6</v>
      </c>
    </row>
    <row r="4656" spans="1:6" ht="25.5">
      <c r="A4656" s="2">
        <v>4653</v>
      </c>
      <c r="B4656" s="2" t="s">
        <v>4730</v>
      </c>
      <c r="C4656" s="2" t="str">
        <f>"1573398X"</f>
        <v>1573398X</v>
      </c>
      <c r="D4656" s="2">
        <v>0.13400000000000001</v>
      </c>
      <c r="E4656" s="2">
        <v>6</v>
      </c>
      <c r="F4656" s="2" t="s">
        <v>75</v>
      </c>
    </row>
    <row r="4657" spans="1:6" ht="25.5">
      <c r="A4657" s="2">
        <v>4654</v>
      </c>
      <c r="B4657" s="2" t="s">
        <v>4731</v>
      </c>
      <c r="C4657" s="2" t="str">
        <f>"19359748"</f>
        <v>19359748</v>
      </c>
      <c r="D4657" s="2">
        <v>0.437</v>
      </c>
      <c r="E4657" s="2">
        <v>8</v>
      </c>
      <c r="F4657" s="2" t="s">
        <v>6</v>
      </c>
    </row>
    <row r="4658" spans="1:6" ht="25.5">
      <c r="A4658" s="2">
        <v>4655</v>
      </c>
      <c r="B4658" s="2" t="s">
        <v>4732</v>
      </c>
      <c r="C4658" s="2" t="str">
        <f>"15346307"</f>
        <v>15346307</v>
      </c>
      <c r="D4658" s="2">
        <v>0.88900000000000001</v>
      </c>
      <c r="E4658" s="2">
        <v>37</v>
      </c>
      <c r="F4658" s="2" t="s">
        <v>6</v>
      </c>
    </row>
    <row r="4659" spans="1:6" ht="25.5">
      <c r="A4659" s="2">
        <v>4656</v>
      </c>
      <c r="B4659" s="2" t="s">
        <v>4733</v>
      </c>
      <c r="C4659" s="2" t="str">
        <f>"15733971"</f>
        <v>15733971</v>
      </c>
      <c r="D4659" s="2">
        <v>0.18099999999999999</v>
      </c>
      <c r="E4659" s="2">
        <v>7</v>
      </c>
      <c r="F4659" s="2" t="s">
        <v>75</v>
      </c>
    </row>
    <row r="4660" spans="1:6" ht="25.5">
      <c r="A4660" s="2">
        <v>4657</v>
      </c>
      <c r="B4660" s="2" t="s">
        <v>4734</v>
      </c>
      <c r="C4660" s="2" t="str">
        <f>"00113891"</f>
        <v>00113891</v>
      </c>
      <c r="D4660" s="2">
        <v>0.29799999999999999</v>
      </c>
      <c r="E4660" s="2">
        <v>63</v>
      </c>
      <c r="F4660" s="2" t="s">
        <v>488</v>
      </c>
    </row>
    <row r="4661" spans="1:6" ht="25.5">
      <c r="A4661" s="2">
        <v>4658</v>
      </c>
      <c r="B4661" s="2" t="s">
        <v>4735</v>
      </c>
      <c r="C4661" s="2" t="str">
        <f>"15743624"</f>
        <v>15743624</v>
      </c>
      <c r="D4661" s="2">
        <v>0.21099999999999999</v>
      </c>
      <c r="E4661" s="2">
        <v>7</v>
      </c>
      <c r="F4661" s="2" t="s">
        <v>75</v>
      </c>
    </row>
    <row r="4662" spans="1:6" ht="25.5">
      <c r="A4662" s="2">
        <v>4659</v>
      </c>
      <c r="B4662" s="2" t="s">
        <v>4736</v>
      </c>
      <c r="C4662" s="2" t="str">
        <f>"18771297"</f>
        <v>18771297</v>
      </c>
      <c r="D4662" s="2">
        <v>0.248</v>
      </c>
      <c r="E4662" s="2">
        <v>3</v>
      </c>
      <c r="F4662" s="2" t="s">
        <v>6</v>
      </c>
    </row>
    <row r="4663" spans="1:6" ht="25.5">
      <c r="A4663" s="2">
        <v>4660</v>
      </c>
      <c r="B4663" s="2" t="s">
        <v>4737</v>
      </c>
      <c r="C4663" s="2" t="str">
        <f>"00113921"</f>
        <v>00113921</v>
      </c>
      <c r="D4663" s="2">
        <v>0.625</v>
      </c>
      <c r="E4663" s="2">
        <v>19</v>
      </c>
      <c r="F4663" s="2" t="s">
        <v>16</v>
      </c>
    </row>
    <row r="4664" spans="1:6" ht="25.5">
      <c r="A4664" s="2">
        <v>4661</v>
      </c>
      <c r="B4664" s="2" t="s">
        <v>4738</v>
      </c>
      <c r="C4664" s="2" t="str">
        <f>"15378918"</f>
        <v>15378918</v>
      </c>
      <c r="D4664" s="2">
        <v>0.41099999999999998</v>
      </c>
      <c r="E4664" s="2">
        <v>21</v>
      </c>
      <c r="F4664" s="2" t="s">
        <v>6</v>
      </c>
    </row>
    <row r="4665" spans="1:6" ht="25.5">
      <c r="A4665" s="2">
        <v>4662</v>
      </c>
      <c r="B4665" s="2" t="s">
        <v>4739</v>
      </c>
      <c r="C4665" s="2" t="str">
        <f>"1574888X"</f>
        <v>1574888X</v>
      </c>
      <c r="D4665" s="2">
        <v>0.90400000000000003</v>
      </c>
      <c r="E4665" s="2">
        <v>25</v>
      </c>
      <c r="F4665" s="2" t="s">
        <v>75</v>
      </c>
    </row>
    <row r="4666" spans="1:6" ht="25.5">
      <c r="A4666" s="2">
        <v>4663</v>
      </c>
      <c r="B4666" s="2" t="s">
        <v>4740</v>
      </c>
      <c r="C4666" s="2" t="str">
        <f>"11027355"</f>
        <v>11027355</v>
      </c>
      <c r="D4666" s="2">
        <v>0.10299999999999999</v>
      </c>
      <c r="E4666" s="2">
        <v>1</v>
      </c>
      <c r="F4666" s="2" t="s">
        <v>151</v>
      </c>
    </row>
    <row r="4667" spans="1:6" ht="25.5">
      <c r="A4667" s="2">
        <v>4664</v>
      </c>
      <c r="B4667" s="2" t="s">
        <v>4741</v>
      </c>
      <c r="C4667" s="2" t="str">
        <f>"0011393X"</f>
        <v>0011393X</v>
      </c>
      <c r="D4667" s="2">
        <v>0.15</v>
      </c>
      <c r="E4667" s="2">
        <v>29</v>
      </c>
      <c r="F4667" s="2" t="s">
        <v>6</v>
      </c>
    </row>
    <row r="4668" spans="1:6" ht="25.5">
      <c r="A4668" s="2">
        <v>4665</v>
      </c>
      <c r="B4668" s="2" t="s">
        <v>4742</v>
      </c>
      <c r="C4668" s="2" t="str">
        <f>"18663389"</f>
        <v>18663389</v>
      </c>
      <c r="D4668" s="2">
        <v>1.2809999999999999</v>
      </c>
      <c r="E4668" s="2">
        <v>13</v>
      </c>
      <c r="F4668" s="2" t="s">
        <v>12</v>
      </c>
    </row>
    <row r="4669" spans="1:6" ht="25.5">
      <c r="A4669" s="2">
        <v>4666</v>
      </c>
      <c r="B4669" s="2" t="s">
        <v>4743</v>
      </c>
      <c r="C4669" s="2" t="str">
        <f>"00702153"</f>
        <v>00702153</v>
      </c>
      <c r="D4669" s="2">
        <v>4.2690000000000001</v>
      </c>
      <c r="E4669" s="2">
        <v>61</v>
      </c>
      <c r="F4669" s="2" t="s">
        <v>6</v>
      </c>
    </row>
    <row r="4670" spans="1:6" ht="25.5">
      <c r="A4670" s="2">
        <v>4667</v>
      </c>
      <c r="B4670" s="2" t="s">
        <v>4744</v>
      </c>
      <c r="C4670" s="2" t="str">
        <f>"15680266"</f>
        <v>15680266</v>
      </c>
      <c r="D4670" s="2">
        <v>1.165</v>
      </c>
      <c r="E4670" s="2">
        <v>71</v>
      </c>
      <c r="F4670" s="2" t="s">
        <v>75</v>
      </c>
    </row>
    <row r="4671" spans="1:6" ht="25.5">
      <c r="A4671" s="2">
        <v>4668</v>
      </c>
      <c r="B4671" s="2" t="s">
        <v>4745</v>
      </c>
      <c r="C4671" s="2" t="str">
        <f>"0070217X"</f>
        <v>0070217X</v>
      </c>
      <c r="D4671" s="2">
        <v>1.6890000000000001</v>
      </c>
      <c r="E4671" s="2">
        <v>78</v>
      </c>
      <c r="F4671" s="2" t="s">
        <v>12</v>
      </c>
    </row>
    <row r="4672" spans="1:6" ht="25.5">
      <c r="A4672" s="2">
        <v>4669</v>
      </c>
      <c r="B4672" s="2" t="s">
        <v>4746</v>
      </c>
      <c r="C4672" s="2" t="str">
        <f>"09724524"</f>
        <v>09724524</v>
      </c>
      <c r="D4672" s="2">
        <v>0.11600000000000001</v>
      </c>
      <c r="E4672" s="2">
        <v>3</v>
      </c>
      <c r="F4672" s="2" t="s">
        <v>488</v>
      </c>
    </row>
    <row r="4673" spans="1:6" ht="25.5">
      <c r="A4673" s="2">
        <v>4670</v>
      </c>
      <c r="B4673" s="2" t="s">
        <v>4747</v>
      </c>
      <c r="C4673" s="2" t="str">
        <f>"09724559"</f>
        <v>09724559</v>
      </c>
      <c r="D4673" s="2">
        <v>0.13300000000000001</v>
      </c>
      <c r="E4673" s="2">
        <v>3</v>
      </c>
      <c r="F4673" s="2" t="s">
        <v>488</v>
      </c>
    </row>
    <row r="4674" spans="1:6" ht="25.5">
      <c r="A4674" s="2">
        <v>4671</v>
      </c>
      <c r="B4674" s="2" t="s">
        <v>4748</v>
      </c>
      <c r="C4674" s="2" t="str">
        <f>"09728228"</f>
        <v>09728228</v>
      </c>
      <c r="D4674" s="2">
        <v>0.115</v>
      </c>
      <c r="E4674" s="2">
        <v>2</v>
      </c>
      <c r="F4674" s="2" t="s">
        <v>488</v>
      </c>
    </row>
    <row r="4675" spans="1:6" ht="25.5">
      <c r="A4675" s="2">
        <v>4672</v>
      </c>
      <c r="B4675" s="2" t="s">
        <v>4749</v>
      </c>
      <c r="C4675" s="2" t="str">
        <f>"10635823"</f>
        <v>10635823</v>
      </c>
      <c r="D4675" s="2">
        <v>0.54</v>
      </c>
      <c r="E4675" s="2">
        <v>17</v>
      </c>
      <c r="F4675" s="2" t="s">
        <v>6</v>
      </c>
    </row>
    <row r="4676" spans="1:6" ht="25.5">
      <c r="A4676" s="2">
        <v>4673</v>
      </c>
      <c r="B4676" s="2" t="s">
        <v>4750</v>
      </c>
      <c r="C4676" s="2" t="str">
        <f>"15343189"</f>
        <v>15343189</v>
      </c>
      <c r="D4676" s="2">
        <v>0.36299999999999999</v>
      </c>
      <c r="E4676" s="2">
        <v>12</v>
      </c>
      <c r="F4676" s="2" t="s">
        <v>6</v>
      </c>
    </row>
    <row r="4677" spans="1:6" ht="25.5">
      <c r="A4677" s="2">
        <v>4674</v>
      </c>
      <c r="B4677" s="2" t="s">
        <v>4751</v>
      </c>
      <c r="C4677" s="2" t="str">
        <f>"15343138"</f>
        <v>15343138</v>
      </c>
      <c r="D4677" s="2">
        <v>0.65900000000000003</v>
      </c>
      <c r="E4677" s="2">
        <v>20</v>
      </c>
      <c r="F4677" s="2" t="s">
        <v>6</v>
      </c>
    </row>
    <row r="4678" spans="1:6" ht="25.5">
      <c r="A4678" s="2">
        <v>4675</v>
      </c>
      <c r="B4678" s="2" t="s">
        <v>4752</v>
      </c>
      <c r="C4678" s="2" t="str">
        <f>"15346277"</f>
        <v>15346277</v>
      </c>
      <c r="D4678" s="2">
        <v>0.82499999999999996</v>
      </c>
      <c r="E4678" s="2">
        <v>32</v>
      </c>
      <c r="F4678" s="2" t="s">
        <v>6</v>
      </c>
    </row>
    <row r="4679" spans="1:6" ht="25.5">
      <c r="A4679" s="2">
        <v>4676</v>
      </c>
      <c r="B4679" s="2" t="s">
        <v>4753</v>
      </c>
      <c r="C4679" s="2" t="str">
        <f>"09738916"</f>
        <v>09738916</v>
      </c>
      <c r="D4679" s="2">
        <v>0.16600000000000001</v>
      </c>
      <c r="E4679" s="2">
        <v>5</v>
      </c>
      <c r="F4679" s="2" t="s">
        <v>6</v>
      </c>
    </row>
    <row r="4680" spans="1:6" ht="25.5">
      <c r="A4680" s="2">
        <v>4677</v>
      </c>
      <c r="B4680" s="2" t="s">
        <v>4754</v>
      </c>
      <c r="C4680" s="2" t="str">
        <f>"09724567"</f>
        <v>09724567</v>
      </c>
      <c r="D4680" s="2">
        <v>0.105</v>
      </c>
      <c r="E4680" s="2">
        <v>2</v>
      </c>
      <c r="F4680" s="2" t="s">
        <v>488</v>
      </c>
    </row>
    <row r="4681" spans="1:6" ht="25.5">
      <c r="A4681" s="2">
        <v>4678</v>
      </c>
      <c r="B4681" s="2" t="s">
        <v>4755</v>
      </c>
      <c r="C4681" s="2" t="str">
        <f>"16617657"</f>
        <v>16617657</v>
      </c>
      <c r="D4681" s="2">
        <v>0.13</v>
      </c>
      <c r="E4681" s="2">
        <v>3</v>
      </c>
      <c r="F4681" s="2" t="s">
        <v>31</v>
      </c>
    </row>
    <row r="4682" spans="1:6" ht="25.5">
      <c r="A4682" s="2">
        <v>4679</v>
      </c>
      <c r="B4682" s="2" t="s">
        <v>4756</v>
      </c>
      <c r="C4682" s="2" t="str">
        <f>"15346285"</f>
        <v>15346285</v>
      </c>
      <c r="D4682" s="2">
        <v>0.63100000000000001</v>
      </c>
      <c r="E4682" s="2">
        <v>24</v>
      </c>
      <c r="F4682" s="2" t="s">
        <v>6</v>
      </c>
    </row>
    <row r="4683" spans="1:6" ht="25.5">
      <c r="A4683" s="2">
        <v>4680</v>
      </c>
      <c r="B4683" s="2" t="s">
        <v>4757</v>
      </c>
      <c r="C4683" s="2" t="str">
        <f>"15701611"</f>
        <v>15701611</v>
      </c>
      <c r="D4683" s="2">
        <v>0.81200000000000006</v>
      </c>
      <c r="E4683" s="2">
        <v>35</v>
      </c>
      <c r="F4683" s="2" t="s">
        <v>75</v>
      </c>
    </row>
    <row r="4684" spans="1:6" ht="25.5">
      <c r="A4684" s="2">
        <v>4681</v>
      </c>
      <c r="B4684" s="2" t="s">
        <v>4758</v>
      </c>
      <c r="C4684" s="2" t="str">
        <f>"15734048"</f>
        <v>15734048</v>
      </c>
      <c r="D4684" s="2">
        <v>0.17499999999999999</v>
      </c>
      <c r="E4684" s="2">
        <v>5</v>
      </c>
      <c r="F4684" s="2" t="s">
        <v>75</v>
      </c>
    </row>
    <row r="4685" spans="1:6" ht="25.5">
      <c r="A4685" s="2">
        <v>4682</v>
      </c>
      <c r="B4685" s="2" t="s">
        <v>4759</v>
      </c>
      <c r="C4685" s="2" t="str">
        <f>"16745507"</f>
        <v>16745507</v>
      </c>
      <c r="D4685" s="2">
        <v>0.45500000000000002</v>
      </c>
      <c r="E4685" s="2">
        <v>9</v>
      </c>
      <c r="F4685" s="2" t="s">
        <v>46</v>
      </c>
    </row>
    <row r="4686" spans="1:6" ht="25.5">
      <c r="A4686" s="2">
        <v>4683</v>
      </c>
      <c r="B4686" s="2" t="s">
        <v>4760</v>
      </c>
      <c r="C4686" s="2" t="str">
        <f>"16451384"</f>
        <v>16451384</v>
      </c>
      <c r="D4686" s="2">
        <v>0.124</v>
      </c>
      <c r="E4686" s="2">
        <v>1</v>
      </c>
      <c r="F4686" s="2" t="s">
        <v>306</v>
      </c>
    </row>
    <row r="4687" spans="1:6" ht="25.5">
      <c r="A4687" s="2">
        <v>4684</v>
      </c>
      <c r="B4687" s="2" t="s">
        <v>4761</v>
      </c>
      <c r="C4687" s="2" t="str">
        <f>"1467873X"</f>
        <v>1467873X</v>
      </c>
      <c r="D4687" s="2">
        <v>0.38600000000000001</v>
      </c>
      <c r="E4687" s="2">
        <v>17</v>
      </c>
      <c r="F4687" s="2" t="s">
        <v>16</v>
      </c>
    </row>
    <row r="4688" spans="1:6" ht="25.5">
      <c r="A4688" s="2">
        <v>4685</v>
      </c>
      <c r="B4688" s="2" t="s">
        <v>4762</v>
      </c>
      <c r="C4688" s="2" t="str">
        <f>"01597868"</f>
        <v>01597868</v>
      </c>
      <c r="D4688" s="2">
        <v>0.246</v>
      </c>
      <c r="E4688" s="2">
        <v>4</v>
      </c>
      <c r="F4688" s="2" t="s">
        <v>127</v>
      </c>
    </row>
    <row r="4689" spans="1:6" ht="25.5">
      <c r="A4689" s="2">
        <v>4686</v>
      </c>
      <c r="B4689" s="2" t="s">
        <v>4763</v>
      </c>
      <c r="C4689" s="2" t="str">
        <f>"18082882"</f>
        <v>18082882</v>
      </c>
      <c r="D4689" s="2">
        <v>0.1</v>
      </c>
      <c r="E4689" s="2">
        <v>1</v>
      </c>
      <c r="F4689" s="2" t="s">
        <v>159</v>
      </c>
    </row>
    <row r="4690" spans="1:6" ht="25.5">
      <c r="A4690" s="2">
        <v>4687</v>
      </c>
      <c r="B4690" s="2" t="s">
        <v>4764</v>
      </c>
      <c r="C4690" s="2" t="str">
        <f>"15569535"</f>
        <v>15569535</v>
      </c>
      <c r="D4690" s="2">
        <v>0.313</v>
      </c>
      <c r="E4690" s="2">
        <v>14</v>
      </c>
      <c r="F4690" s="2" t="s">
        <v>16</v>
      </c>
    </row>
    <row r="4691" spans="1:6" ht="25.5">
      <c r="A4691" s="2">
        <v>4688</v>
      </c>
      <c r="B4691" s="2" t="s">
        <v>4765</v>
      </c>
      <c r="C4691" s="2" t="str">
        <f>"00114162"</f>
        <v>00114162</v>
      </c>
      <c r="D4691" s="2">
        <v>0.38300000000000001</v>
      </c>
      <c r="E4691" s="2">
        <v>36</v>
      </c>
      <c r="F4691" s="2" t="s">
        <v>6</v>
      </c>
    </row>
    <row r="4692" spans="1:6" ht="25.5">
      <c r="A4692" s="2">
        <v>4689</v>
      </c>
      <c r="B4692" s="2" t="s">
        <v>4766</v>
      </c>
      <c r="C4692" s="2" t="str">
        <f>"15227383"</f>
        <v>15227383</v>
      </c>
      <c r="D4692" s="2">
        <v>0.115</v>
      </c>
      <c r="E4692" s="2">
        <v>10</v>
      </c>
      <c r="F4692" s="2" t="s">
        <v>6</v>
      </c>
    </row>
    <row r="4693" spans="1:6" ht="25.5">
      <c r="A4693" s="2">
        <v>4690</v>
      </c>
      <c r="B4693" s="2" t="s">
        <v>4767</v>
      </c>
      <c r="C4693" s="2" t="str">
        <f>"12783366"</f>
        <v>12783366</v>
      </c>
      <c r="D4693" s="2">
        <v>0.1</v>
      </c>
      <c r="E4693" s="2">
        <v>3</v>
      </c>
      <c r="F4693" s="2" t="s">
        <v>66</v>
      </c>
    </row>
    <row r="4694" spans="1:6" ht="25.5">
      <c r="A4694" s="2">
        <v>4691</v>
      </c>
      <c r="B4694" s="2" t="s">
        <v>4768</v>
      </c>
      <c r="C4694" s="2" t="str">
        <f>"11375019"</f>
        <v>11375019</v>
      </c>
      <c r="D4694" s="2">
        <v>0.33500000000000002</v>
      </c>
      <c r="E4694" s="2">
        <v>11</v>
      </c>
      <c r="F4694" s="2" t="s">
        <v>351</v>
      </c>
    </row>
    <row r="4695" spans="1:6" ht="25.5">
      <c r="A4695" s="2">
        <v>4692</v>
      </c>
      <c r="B4695" s="2" t="s">
        <v>4769</v>
      </c>
      <c r="C4695" s="2" t="str">
        <f>"13144081"</f>
        <v>13144081</v>
      </c>
      <c r="D4695" s="2">
        <v>0.10100000000000001</v>
      </c>
      <c r="E4695" s="2">
        <v>1</v>
      </c>
      <c r="F4695" s="2" t="s">
        <v>293</v>
      </c>
    </row>
    <row r="4696" spans="1:6" ht="25.5">
      <c r="A4696" s="2">
        <v>4693</v>
      </c>
      <c r="B4696" s="2" t="s">
        <v>4770</v>
      </c>
      <c r="C4696" s="2" t="str">
        <f>"10876553"</f>
        <v>10876553</v>
      </c>
      <c r="D4696" s="2">
        <v>0.77100000000000002</v>
      </c>
      <c r="E4696" s="2">
        <v>23</v>
      </c>
      <c r="F4696" s="2" t="s">
        <v>16</v>
      </c>
    </row>
    <row r="4697" spans="1:6" ht="25.5">
      <c r="A4697" s="2">
        <v>4694</v>
      </c>
      <c r="B4697" s="2" t="s">
        <v>4771</v>
      </c>
      <c r="C4697" s="2" t="str">
        <f>"15738337"</f>
        <v>15738337</v>
      </c>
      <c r="D4697" s="2">
        <v>0.2</v>
      </c>
      <c r="E4697" s="2">
        <v>8</v>
      </c>
      <c r="F4697" s="2" t="s">
        <v>6</v>
      </c>
    </row>
    <row r="4698" spans="1:6" ht="25.5">
      <c r="A4698" s="2">
        <v>4695</v>
      </c>
      <c r="B4698" s="2" t="s">
        <v>4772</v>
      </c>
      <c r="C4698" s="2" t="str">
        <f>"18027962"</f>
        <v>18027962</v>
      </c>
      <c r="D4698" s="2">
        <v>0.152</v>
      </c>
      <c r="E4698" s="2">
        <v>1</v>
      </c>
      <c r="F4698" s="2" t="s">
        <v>208</v>
      </c>
    </row>
    <row r="4699" spans="1:6" ht="25.5">
      <c r="A4699" s="2">
        <v>4696</v>
      </c>
      <c r="B4699" s="2" t="s">
        <v>4773</v>
      </c>
      <c r="C4699" s="2" t="str">
        <f>"21522723"</f>
        <v>21522723</v>
      </c>
      <c r="D4699" s="2">
        <v>1.381</v>
      </c>
      <c r="E4699" s="2">
        <v>59</v>
      </c>
      <c r="F4699" s="2" t="s">
        <v>6</v>
      </c>
    </row>
    <row r="4700" spans="1:6" ht="25.5">
      <c r="A4700" s="2">
        <v>4697</v>
      </c>
      <c r="B4700" s="2" t="s">
        <v>4774</v>
      </c>
      <c r="C4700" s="2" t="str">
        <f>"03990974"</f>
        <v>03990974</v>
      </c>
      <c r="D4700" s="2">
        <v>0.20899999999999999</v>
      </c>
      <c r="E4700" s="2">
        <v>18</v>
      </c>
      <c r="F4700" s="2" t="s">
        <v>66</v>
      </c>
    </row>
    <row r="4701" spans="1:6" ht="25.5">
      <c r="A4701" s="2">
        <v>4698</v>
      </c>
      <c r="B4701" s="2" t="s">
        <v>4775</v>
      </c>
      <c r="C4701" s="2" t="str">
        <f>"10152881"</f>
        <v>10152881</v>
      </c>
      <c r="D4701" s="2">
        <v>0.15</v>
      </c>
      <c r="E4701" s="2">
        <v>5</v>
      </c>
      <c r="F4701" s="2" t="s">
        <v>4776</v>
      </c>
    </row>
    <row r="4702" spans="1:6" ht="25.5">
      <c r="A4702" s="2">
        <v>4699</v>
      </c>
      <c r="B4702" s="2" t="s">
        <v>4777</v>
      </c>
      <c r="C4702" s="2" t="str">
        <f>"1424859X"</f>
        <v>1424859X</v>
      </c>
      <c r="D4702" s="2">
        <v>0.86699999999999999</v>
      </c>
      <c r="E4702" s="2">
        <v>63</v>
      </c>
      <c r="F4702" s="2" t="s">
        <v>31</v>
      </c>
    </row>
    <row r="4703" spans="1:6" ht="25.5">
      <c r="A4703" s="2">
        <v>4700</v>
      </c>
      <c r="B4703" s="2" t="s">
        <v>4778</v>
      </c>
      <c r="C4703" s="2" t="str">
        <f>"17426413"</f>
        <v>17426413</v>
      </c>
      <c r="D4703" s="2">
        <v>0.47299999999999998</v>
      </c>
      <c r="E4703" s="2">
        <v>15</v>
      </c>
      <c r="F4703" s="2" t="s">
        <v>488</v>
      </c>
    </row>
    <row r="4704" spans="1:6" ht="25.5">
      <c r="A4704" s="2">
        <v>4701</v>
      </c>
      <c r="B4704" s="2" t="s">
        <v>4779</v>
      </c>
      <c r="C4704" s="2" t="str">
        <f>"10960023"</f>
        <v>10960023</v>
      </c>
      <c r="D4704" s="2">
        <v>0.96799999999999997</v>
      </c>
      <c r="E4704" s="2">
        <v>74</v>
      </c>
      <c r="F4704" s="2" t="s">
        <v>6</v>
      </c>
    </row>
    <row r="4705" spans="1:6" ht="25.5">
      <c r="A4705" s="2">
        <v>4702</v>
      </c>
      <c r="B4705" s="2" t="s">
        <v>4780</v>
      </c>
      <c r="C4705" s="2" t="str">
        <f>"13596101"</f>
        <v>13596101</v>
      </c>
      <c r="D4705" s="2">
        <v>3.7210000000000001</v>
      </c>
      <c r="E4705" s="2">
        <v>112</v>
      </c>
      <c r="F4705" s="2" t="s">
        <v>75</v>
      </c>
    </row>
    <row r="4706" spans="1:6" ht="25.5">
      <c r="A4706" s="2">
        <v>4703</v>
      </c>
      <c r="B4706" s="2" t="s">
        <v>4781</v>
      </c>
      <c r="C4706" s="2" t="str">
        <f>"00114545"</f>
        <v>00114545</v>
      </c>
      <c r="D4706" s="2">
        <v>0.247</v>
      </c>
      <c r="E4706" s="2">
        <v>18</v>
      </c>
      <c r="F4706" s="2" t="s">
        <v>131</v>
      </c>
    </row>
    <row r="4707" spans="1:6" ht="25.5">
      <c r="A4707" s="2">
        <v>4704</v>
      </c>
      <c r="B4707" s="2" t="s">
        <v>4782</v>
      </c>
      <c r="C4707" s="2" t="str">
        <f>"15524930"</f>
        <v>15524930</v>
      </c>
      <c r="D4707" s="2">
        <v>1.119</v>
      </c>
      <c r="E4707" s="2">
        <v>47</v>
      </c>
      <c r="F4707" s="2" t="s">
        <v>6</v>
      </c>
    </row>
    <row r="4708" spans="1:6" ht="25.5">
      <c r="A4708" s="2">
        <v>4705</v>
      </c>
      <c r="B4708" s="2" t="s">
        <v>4783</v>
      </c>
      <c r="C4708" s="2" t="str">
        <f>"15524949"</f>
        <v>15524949</v>
      </c>
      <c r="D4708" s="2">
        <v>0.84499999999999997</v>
      </c>
      <c r="E4708" s="2">
        <v>32</v>
      </c>
      <c r="F4708" s="2" t="s">
        <v>6</v>
      </c>
    </row>
    <row r="4709" spans="1:6" ht="25.5">
      <c r="A4709" s="2">
        <v>4706</v>
      </c>
      <c r="B4709" s="2" t="s">
        <v>4784</v>
      </c>
      <c r="C4709" s="2" t="str">
        <f>"13652303"</f>
        <v>13652303</v>
      </c>
      <c r="D4709" s="2">
        <v>0.53200000000000003</v>
      </c>
      <c r="E4709" s="2">
        <v>30</v>
      </c>
      <c r="F4709" s="2" t="s">
        <v>16</v>
      </c>
    </row>
    <row r="4710" spans="1:6" ht="25.5">
      <c r="A4710" s="2">
        <v>4707</v>
      </c>
      <c r="B4710" s="2" t="s">
        <v>4785</v>
      </c>
      <c r="C4710" s="2" t="str">
        <f>"19493592"</f>
        <v>19493592</v>
      </c>
      <c r="D4710" s="2">
        <v>1.627</v>
      </c>
      <c r="E4710" s="2">
        <v>62</v>
      </c>
      <c r="F4710" s="2" t="s">
        <v>6</v>
      </c>
    </row>
    <row r="4711" spans="1:6" ht="25.5">
      <c r="A4711" s="2">
        <v>4708</v>
      </c>
      <c r="B4711" s="2" t="s">
        <v>4786</v>
      </c>
      <c r="C4711" s="2" t="str">
        <f>"15730778"</f>
        <v>15730778</v>
      </c>
      <c r="D4711" s="2">
        <v>0.39400000000000002</v>
      </c>
      <c r="E4711" s="2">
        <v>33</v>
      </c>
      <c r="F4711" s="2" t="s">
        <v>75</v>
      </c>
    </row>
    <row r="4712" spans="1:6" ht="25.5">
      <c r="A4712" s="2">
        <v>4709</v>
      </c>
      <c r="B4712" s="2" t="s">
        <v>4787</v>
      </c>
      <c r="C4712" s="2" t="str">
        <f>"14772566"</f>
        <v>14772566</v>
      </c>
      <c r="D4712" s="2">
        <v>0.97399999999999998</v>
      </c>
      <c r="E4712" s="2">
        <v>44</v>
      </c>
      <c r="F4712" s="2" t="s">
        <v>16</v>
      </c>
    </row>
    <row r="4713" spans="1:6" ht="25.5">
      <c r="A4713" s="2">
        <v>4710</v>
      </c>
      <c r="B4713" s="2" t="s">
        <v>4788</v>
      </c>
      <c r="C4713" s="2" t="str">
        <f>"00459453"</f>
        <v>00459453</v>
      </c>
      <c r="D4713" s="2">
        <v>0.109</v>
      </c>
      <c r="E4713" s="2">
        <v>5</v>
      </c>
      <c r="F4713" s="2" t="s">
        <v>169</v>
      </c>
    </row>
    <row r="4714" spans="1:6" ht="25.5">
      <c r="A4714" s="2">
        <v>4711</v>
      </c>
      <c r="B4714" s="2" t="s">
        <v>4789</v>
      </c>
      <c r="C4714" s="2" t="str">
        <f>"12121819"</f>
        <v>12121819</v>
      </c>
      <c r="D4714" s="2">
        <v>0.46100000000000002</v>
      </c>
      <c r="E4714" s="2">
        <v>18</v>
      </c>
      <c r="F4714" s="2" t="s">
        <v>208</v>
      </c>
    </row>
    <row r="4715" spans="1:6" ht="25.5">
      <c r="A4715" s="2">
        <v>4712</v>
      </c>
      <c r="B4715" s="2" t="s">
        <v>4790</v>
      </c>
      <c r="C4715" s="2" t="str">
        <f>"12121800"</f>
        <v>12121800</v>
      </c>
      <c r="D4715" s="2">
        <v>0.438</v>
      </c>
      <c r="E4715" s="2">
        <v>12</v>
      </c>
      <c r="F4715" s="2" t="s">
        <v>208</v>
      </c>
    </row>
    <row r="4716" spans="1:6" ht="25.5">
      <c r="A4716" s="2">
        <v>4713</v>
      </c>
      <c r="B4716" s="2" t="s">
        <v>4791</v>
      </c>
      <c r="C4716" s="2" t="str">
        <f>"12121975"</f>
        <v>12121975</v>
      </c>
      <c r="D4716" s="2">
        <v>0.22800000000000001</v>
      </c>
      <c r="E4716" s="2">
        <v>6</v>
      </c>
      <c r="F4716" s="2" t="s">
        <v>208</v>
      </c>
    </row>
    <row r="4717" spans="1:6" ht="25.5">
      <c r="A4717" s="2">
        <v>4714</v>
      </c>
      <c r="B4717" s="2" t="s">
        <v>4792</v>
      </c>
      <c r="C4717" s="2" t="str">
        <f>"15729141"</f>
        <v>15729141</v>
      </c>
      <c r="D4717" s="2">
        <v>0.315</v>
      </c>
      <c r="E4717" s="2">
        <v>16</v>
      </c>
      <c r="F4717" s="2" t="s">
        <v>6</v>
      </c>
    </row>
    <row r="4718" spans="1:6" ht="25.5">
      <c r="A4718" s="2">
        <v>4715</v>
      </c>
      <c r="B4718" s="2" t="s">
        <v>4793</v>
      </c>
      <c r="C4718" s="2" t="str">
        <f>"15824438"</f>
        <v>15824438</v>
      </c>
      <c r="D4718" s="2">
        <v>0.10299999999999999</v>
      </c>
      <c r="E4718" s="2">
        <v>0</v>
      </c>
      <c r="F4718" s="2" t="s">
        <v>19</v>
      </c>
    </row>
    <row r="4719" spans="1:6" ht="25.5">
      <c r="A4719" s="2">
        <v>4716</v>
      </c>
      <c r="B4719" s="2" t="s">
        <v>4794</v>
      </c>
      <c r="C4719" s="2" t="str">
        <f>"16784588"</f>
        <v>16784588</v>
      </c>
      <c r="D4719" s="2">
        <v>0.68899999999999995</v>
      </c>
      <c r="E4719" s="2">
        <v>12</v>
      </c>
      <c r="F4719" s="2" t="s">
        <v>159</v>
      </c>
    </row>
    <row r="4720" spans="1:6" ht="25.5">
      <c r="A4720" s="2">
        <v>4717</v>
      </c>
      <c r="B4720" s="2" t="s">
        <v>4795</v>
      </c>
      <c r="C4720" s="2" t="str">
        <f>"15486192"</f>
        <v>15486192</v>
      </c>
      <c r="D4720" s="2">
        <v>0.307</v>
      </c>
      <c r="E4720" s="2">
        <v>24</v>
      </c>
      <c r="F4720" s="2" t="s">
        <v>6</v>
      </c>
    </row>
    <row r="4721" spans="1:6" ht="25.5">
      <c r="A4721" s="2">
        <v>4718</v>
      </c>
      <c r="B4721" s="2" t="s">
        <v>4796</v>
      </c>
      <c r="C4721" s="2" t="str">
        <f>"11300507"</f>
        <v>11300507</v>
      </c>
      <c r="D4721" s="2">
        <v>0.1</v>
      </c>
      <c r="E4721" s="2">
        <v>0</v>
      </c>
      <c r="F4721" s="2" t="s">
        <v>351</v>
      </c>
    </row>
    <row r="4722" spans="1:6" ht="25.5">
      <c r="A4722" s="2">
        <v>4719</v>
      </c>
      <c r="B4722" s="2" t="s">
        <v>4797</v>
      </c>
      <c r="C4722" s="2" t="str">
        <f>"03088197"</f>
        <v>03088197</v>
      </c>
      <c r="D4722" s="2">
        <v>0.1</v>
      </c>
      <c r="E4722" s="2">
        <v>4</v>
      </c>
      <c r="F4722" s="2" t="s">
        <v>16</v>
      </c>
    </row>
    <row r="4723" spans="1:6" ht="25.5">
      <c r="A4723" s="2">
        <v>4720</v>
      </c>
      <c r="B4723" s="2" t="s">
        <v>4798</v>
      </c>
      <c r="C4723" s="2" t="str">
        <f>"19585594"</f>
        <v>19585594</v>
      </c>
      <c r="D4723" s="2">
        <v>0.61599999999999999</v>
      </c>
      <c r="E4723" s="2">
        <v>38</v>
      </c>
      <c r="F4723" s="2" t="s">
        <v>66</v>
      </c>
    </row>
    <row r="4724" spans="1:6" ht="25.5">
      <c r="A4724" s="2">
        <v>4721</v>
      </c>
      <c r="B4724" s="2" t="s">
        <v>4799</v>
      </c>
      <c r="C4724" s="2" t="str">
        <f>"00115827"</f>
        <v>00115827</v>
      </c>
      <c r="D4724" s="2">
        <v>0.10100000000000001</v>
      </c>
      <c r="E4724" s="2">
        <v>2</v>
      </c>
      <c r="F4724" s="2" t="s">
        <v>64</v>
      </c>
    </row>
    <row r="4725" spans="1:6" ht="25.5">
      <c r="A4725" s="2">
        <v>4722</v>
      </c>
      <c r="B4725" s="2" t="s">
        <v>4800</v>
      </c>
      <c r="C4725" s="2" t="str">
        <f>"10067736"</f>
        <v>10067736</v>
      </c>
      <c r="D4725" s="2">
        <v>0.14599999999999999</v>
      </c>
      <c r="E4725" s="2">
        <v>5</v>
      </c>
      <c r="F4725" s="2" t="s">
        <v>46</v>
      </c>
    </row>
    <row r="4726" spans="1:6" ht="25.5">
      <c r="A4726" s="2">
        <v>4723</v>
      </c>
      <c r="B4726" s="2" t="s">
        <v>4801</v>
      </c>
      <c r="C4726" s="2" t="str">
        <f>"10008608"</f>
        <v>10008608</v>
      </c>
      <c r="D4726" s="2">
        <v>0.20899999999999999</v>
      </c>
      <c r="E4726" s="2">
        <v>11</v>
      </c>
      <c r="F4726" s="2" t="s">
        <v>46</v>
      </c>
    </row>
    <row r="4727" spans="1:6" ht="25.5">
      <c r="A4727" s="2">
        <v>4724</v>
      </c>
      <c r="B4727" s="2" t="s">
        <v>4802</v>
      </c>
      <c r="C4727" s="2" t="str">
        <f>"14779234"</f>
        <v>14779234</v>
      </c>
      <c r="D4727" s="2">
        <v>1.331</v>
      </c>
      <c r="E4727" s="2">
        <v>93</v>
      </c>
      <c r="F4727" s="2" t="s">
        <v>16</v>
      </c>
    </row>
    <row r="4728" spans="1:6" ht="25.5">
      <c r="A4728" s="2">
        <v>4725</v>
      </c>
      <c r="B4728" s="2" t="s">
        <v>4803</v>
      </c>
      <c r="C4728" s="2" t="str">
        <f>"17568404"</f>
        <v>17568404</v>
      </c>
      <c r="D4728" s="2">
        <v>0.14799999999999999</v>
      </c>
      <c r="E4728" s="2">
        <v>1</v>
      </c>
      <c r="F4728" s="2" t="s">
        <v>16</v>
      </c>
    </row>
    <row r="4729" spans="1:6" ht="25.5">
      <c r="A4729" s="2">
        <v>4726</v>
      </c>
      <c r="B4729" s="2" t="s">
        <v>4804</v>
      </c>
      <c r="C4729" s="2" t="str">
        <f>"15324257"</f>
        <v>15324257</v>
      </c>
      <c r="D4729" s="2">
        <v>0.10100000000000001</v>
      </c>
      <c r="E4729" s="2">
        <v>3</v>
      </c>
      <c r="F4729" s="2" t="s">
        <v>16</v>
      </c>
    </row>
    <row r="4730" spans="1:6" ht="25.5">
      <c r="A4730" s="2">
        <v>4727</v>
      </c>
      <c r="B4730" s="2" t="s">
        <v>4805</v>
      </c>
      <c r="C4730" s="2" t="str">
        <f>"00116009"</f>
        <v>00116009</v>
      </c>
      <c r="D4730" s="2">
        <v>0.1</v>
      </c>
      <c r="E4730" s="2">
        <v>1</v>
      </c>
      <c r="F4730" s="2" t="s">
        <v>6</v>
      </c>
    </row>
    <row r="4731" spans="1:6" ht="25.5">
      <c r="A4731" s="2">
        <v>4728</v>
      </c>
      <c r="B4731" s="2" t="s">
        <v>4806</v>
      </c>
      <c r="C4731" s="2" t="str">
        <f>"02642875"</f>
        <v>02642875</v>
      </c>
      <c r="D4731" s="2">
        <v>0.10100000000000001</v>
      </c>
      <c r="E4731" s="2">
        <v>1</v>
      </c>
      <c r="F4731" s="2" t="s">
        <v>16</v>
      </c>
    </row>
    <row r="4732" spans="1:6" ht="25.5">
      <c r="A4732" s="2">
        <v>4729</v>
      </c>
      <c r="B4732" s="2" t="s">
        <v>4807</v>
      </c>
      <c r="C4732" s="2" t="str">
        <f>"02649160"</f>
        <v>02649160</v>
      </c>
      <c r="D4732" s="2">
        <v>0.1</v>
      </c>
      <c r="E4732" s="2">
        <v>1</v>
      </c>
      <c r="F4732" s="2" t="s">
        <v>16</v>
      </c>
    </row>
    <row r="4733" spans="1:6" ht="25.5">
      <c r="A4733" s="2">
        <v>4730</v>
      </c>
      <c r="B4733" s="2" t="s">
        <v>4808</v>
      </c>
      <c r="C4733" s="2" t="str">
        <f>"0011605X"</f>
        <v>0011605X</v>
      </c>
      <c r="D4733" s="2">
        <v>0.1</v>
      </c>
      <c r="E4733" s="2">
        <v>1</v>
      </c>
      <c r="F4733" s="2" t="s">
        <v>16</v>
      </c>
    </row>
    <row r="4734" spans="1:6" ht="25.5">
      <c r="A4734" s="2">
        <v>4731</v>
      </c>
      <c r="B4734" s="2" t="s">
        <v>4809</v>
      </c>
      <c r="C4734" s="2" t="str">
        <f>"1004499X"</f>
        <v>1004499X</v>
      </c>
      <c r="D4734" s="2">
        <v>0.30599999999999999</v>
      </c>
      <c r="E4734" s="2">
        <v>7</v>
      </c>
      <c r="F4734" s="2" t="s">
        <v>46</v>
      </c>
    </row>
    <row r="4735" spans="1:6" ht="25.5">
      <c r="A4735" s="2">
        <v>4732</v>
      </c>
      <c r="B4735" s="2" t="s">
        <v>4810</v>
      </c>
      <c r="C4735" s="2" t="str">
        <f>"22451919"</f>
        <v>22451919</v>
      </c>
      <c r="D4735" s="2">
        <v>0.26500000000000001</v>
      </c>
      <c r="E4735" s="2">
        <v>31</v>
      </c>
      <c r="F4735" s="2" t="s">
        <v>163</v>
      </c>
    </row>
    <row r="4736" spans="1:6" ht="25.5">
      <c r="A4736" s="2">
        <v>4733</v>
      </c>
      <c r="B4736" s="2" t="s">
        <v>4811</v>
      </c>
      <c r="C4736" s="2" t="str">
        <f>"00849588"</f>
        <v>00849588</v>
      </c>
      <c r="D4736" s="2">
        <v>0.10100000000000001</v>
      </c>
      <c r="E4736" s="2">
        <v>3</v>
      </c>
      <c r="F4736" s="2" t="s">
        <v>163</v>
      </c>
    </row>
    <row r="4737" spans="1:6" ht="25.5">
      <c r="A4737" s="2">
        <v>4734</v>
      </c>
      <c r="B4737" s="2" t="s">
        <v>4812</v>
      </c>
      <c r="C4737" s="2" t="str">
        <f>"01053191"</f>
        <v>01053191</v>
      </c>
      <c r="D4737" s="2">
        <v>0.10100000000000001</v>
      </c>
      <c r="E4737" s="2">
        <v>1</v>
      </c>
      <c r="F4737" s="2" t="s">
        <v>163</v>
      </c>
    </row>
    <row r="4738" spans="1:6" ht="25.5">
      <c r="A4738" s="2">
        <v>4735</v>
      </c>
      <c r="B4738" s="2" t="s">
        <v>4813</v>
      </c>
      <c r="C4738" s="2" t="str">
        <f>"15697274"</f>
        <v>15697274</v>
      </c>
      <c r="D4738" s="2">
        <v>0.222</v>
      </c>
      <c r="E4738" s="2">
        <v>4</v>
      </c>
      <c r="F4738" s="2" t="s">
        <v>75</v>
      </c>
    </row>
    <row r="4739" spans="1:6" ht="25.5">
      <c r="A4739" s="2">
        <v>4736</v>
      </c>
      <c r="B4739" s="2" t="s">
        <v>4814</v>
      </c>
      <c r="C4739" s="2" t="str">
        <f>"0300693X"</f>
        <v>0300693X</v>
      </c>
      <c r="D4739" s="2">
        <v>0.10100000000000001</v>
      </c>
      <c r="E4739" s="2">
        <v>2</v>
      </c>
      <c r="F4739" s="2" t="s">
        <v>75</v>
      </c>
    </row>
    <row r="4740" spans="1:6" ht="25.5">
      <c r="A4740" s="2">
        <v>4737</v>
      </c>
      <c r="B4740" s="2" t="s">
        <v>4815</v>
      </c>
      <c r="C4740" s="2" t="str">
        <f>"15608115"</f>
        <v>15608115</v>
      </c>
      <c r="D4740" s="2">
        <v>0.26200000000000001</v>
      </c>
      <c r="E4740" s="2">
        <v>15</v>
      </c>
      <c r="F4740" s="2" t="s">
        <v>299</v>
      </c>
    </row>
    <row r="4741" spans="1:6" ht="25.5">
      <c r="A4741" s="2">
        <v>4738</v>
      </c>
      <c r="B4741" s="2" t="s">
        <v>4816</v>
      </c>
      <c r="C4741" s="2" t="str">
        <f>"00116793"</f>
        <v>00116793</v>
      </c>
      <c r="D4741" s="2">
        <v>0.16500000000000001</v>
      </c>
      <c r="E4741" s="2">
        <v>11</v>
      </c>
      <c r="F4741" s="2" t="s">
        <v>192</v>
      </c>
    </row>
    <row r="4742" spans="1:6" ht="25.5">
      <c r="A4742" s="2">
        <v>4739</v>
      </c>
      <c r="B4742" s="2" t="s">
        <v>4817</v>
      </c>
      <c r="C4742" s="2" t="str">
        <f>"0169023X"</f>
        <v>0169023X</v>
      </c>
      <c r="D4742" s="2">
        <v>2.7210000000000001</v>
      </c>
      <c r="E4742" s="2">
        <v>53</v>
      </c>
      <c r="F4742" s="2" t="s">
        <v>75</v>
      </c>
    </row>
    <row r="4743" spans="1:6" ht="25.5">
      <c r="A4743" s="2">
        <v>4740</v>
      </c>
      <c r="B4743" s="2" t="s">
        <v>4818</v>
      </c>
      <c r="C4743" s="2" t="str">
        <f>"15320936"</f>
        <v>15320936</v>
      </c>
      <c r="D4743" s="2">
        <v>0.11600000000000001</v>
      </c>
      <c r="E4743" s="2">
        <v>31</v>
      </c>
      <c r="F4743" s="2" t="s">
        <v>6</v>
      </c>
    </row>
    <row r="4744" spans="1:6" ht="25.5">
      <c r="A4744" s="2">
        <v>4741</v>
      </c>
      <c r="B4744" s="2" t="s">
        <v>4819</v>
      </c>
      <c r="C4744" s="2" t="str">
        <f>"17580463"</f>
        <v>17580463</v>
      </c>
      <c r="D4744" s="2">
        <v>1.4179999999999999</v>
      </c>
      <c r="E4744" s="2">
        <v>9</v>
      </c>
      <c r="F4744" s="2" t="s">
        <v>16</v>
      </c>
    </row>
    <row r="4745" spans="1:6" ht="25.5">
      <c r="A4745" s="2">
        <v>4742</v>
      </c>
      <c r="B4745" s="2" t="s">
        <v>4820</v>
      </c>
      <c r="C4745" s="2" t="str">
        <f>"1573756X"</f>
        <v>1573756X</v>
      </c>
      <c r="D4745" s="2">
        <v>2.2349999999999999</v>
      </c>
      <c r="E4745" s="2">
        <v>58</v>
      </c>
      <c r="F4745" s="2" t="s">
        <v>75</v>
      </c>
    </row>
    <row r="4746" spans="1:6" ht="25.5">
      <c r="A4746" s="2">
        <v>4743</v>
      </c>
      <c r="B4746" s="2" t="s">
        <v>4821</v>
      </c>
      <c r="C4746" s="2" t="str">
        <f>"16831470"</f>
        <v>16831470</v>
      </c>
      <c r="D4746" s="2">
        <v>0.13200000000000001</v>
      </c>
      <c r="E4746" s="2">
        <v>9</v>
      </c>
      <c r="F4746" s="2" t="s">
        <v>66</v>
      </c>
    </row>
    <row r="4747" spans="1:6" ht="25.5">
      <c r="A4747" s="2">
        <v>4744</v>
      </c>
      <c r="B4747" s="2" t="s">
        <v>4822</v>
      </c>
      <c r="C4747" s="2" t="str">
        <f>"09290761"</f>
        <v>09290761</v>
      </c>
      <c r="D4747" s="2">
        <v>0.22700000000000001</v>
      </c>
      <c r="E4747" s="2">
        <v>8</v>
      </c>
      <c r="F4747" s="2" t="s">
        <v>75</v>
      </c>
    </row>
    <row r="4748" spans="1:6" ht="25.5">
      <c r="A4748" s="2">
        <v>4745</v>
      </c>
      <c r="B4748" s="2" t="s">
        <v>4823</v>
      </c>
      <c r="C4748" s="2" t="str">
        <f>"14643154"</f>
        <v>14643154</v>
      </c>
      <c r="D4748" s="2">
        <v>0.36399999999999999</v>
      </c>
      <c r="E4748" s="2">
        <v>10</v>
      </c>
      <c r="F4748" s="2" t="s">
        <v>16</v>
      </c>
    </row>
    <row r="4749" spans="1:6" ht="25.5">
      <c r="A4749" s="2">
        <v>4746</v>
      </c>
      <c r="B4749" s="2" t="s">
        <v>4824</v>
      </c>
      <c r="C4749" s="2" t="str">
        <f>"10917683"</f>
        <v>10917683</v>
      </c>
      <c r="D4749" s="2">
        <v>0.63500000000000001</v>
      </c>
      <c r="E4749" s="2">
        <v>37</v>
      </c>
      <c r="F4749" s="2" t="s">
        <v>16</v>
      </c>
    </row>
    <row r="4750" spans="1:6" ht="25.5">
      <c r="A4750" s="2">
        <v>4747</v>
      </c>
      <c r="B4750" s="2" t="s">
        <v>4825</v>
      </c>
      <c r="C4750" s="2" t="str">
        <f>"14693712"</f>
        <v>14693712</v>
      </c>
      <c r="D4750" s="2">
        <v>0.16300000000000001</v>
      </c>
      <c r="E4750" s="2">
        <v>4</v>
      </c>
      <c r="F4750" s="2" t="s">
        <v>16</v>
      </c>
    </row>
    <row r="4751" spans="1:6" ht="25.5">
      <c r="A4751" s="2">
        <v>4748</v>
      </c>
      <c r="B4751" s="2" t="s">
        <v>4826</v>
      </c>
      <c r="C4751" s="2" t="str">
        <f>"15458504"</f>
        <v>15458504</v>
      </c>
      <c r="D4751" s="2">
        <v>0.82699999999999996</v>
      </c>
      <c r="E4751" s="2">
        <v>7</v>
      </c>
      <c r="F4751" s="2" t="s">
        <v>6</v>
      </c>
    </row>
    <row r="4752" spans="1:6" ht="25.5">
      <c r="A4752" s="2">
        <v>4749</v>
      </c>
      <c r="B4752" s="2" t="s">
        <v>4827</v>
      </c>
      <c r="C4752" s="2" t="str">
        <f>"15405915"</f>
        <v>15405915</v>
      </c>
      <c r="D4752" s="2">
        <v>1.292</v>
      </c>
      <c r="E4752" s="2">
        <v>62</v>
      </c>
      <c r="F4752" s="2" t="s">
        <v>16</v>
      </c>
    </row>
    <row r="4753" spans="1:6" ht="25.5">
      <c r="A4753" s="2">
        <v>4750</v>
      </c>
      <c r="B4753" s="2" t="s">
        <v>4828</v>
      </c>
      <c r="C4753" s="2" t="str">
        <f>"15404609"</f>
        <v>15404609</v>
      </c>
      <c r="D4753" s="2">
        <v>0.21</v>
      </c>
      <c r="E4753" s="2">
        <v>2</v>
      </c>
      <c r="F4753" s="2" t="s">
        <v>16</v>
      </c>
    </row>
    <row r="4754" spans="1:6" ht="25.5">
      <c r="A4754" s="2">
        <v>4751</v>
      </c>
      <c r="B4754" s="2" t="s">
        <v>4829</v>
      </c>
      <c r="C4754" s="2" t="str">
        <f>"15938883"</f>
        <v>15938883</v>
      </c>
      <c r="D4754" s="2">
        <v>0.13800000000000001</v>
      </c>
      <c r="E4754" s="2">
        <v>8</v>
      </c>
      <c r="F4754" s="2" t="s">
        <v>190</v>
      </c>
    </row>
    <row r="4755" spans="1:6" ht="25.5">
      <c r="A4755" s="2">
        <v>4752</v>
      </c>
      <c r="B4755" s="2" t="s">
        <v>4830</v>
      </c>
      <c r="C4755" s="2" t="str">
        <f>"01679236"</f>
        <v>01679236</v>
      </c>
      <c r="D4755" s="2">
        <v>1.899</v>
      </c>
      <c r="E4755" s="2">
        <v>66</v>
      </c>
      <c r="F4755" s="2" t="s">
        <v>75</v>
      </c>
    </row>
    <row r="4756" spans="1:6" ht="25.5">
      <c r="A4756" s="2">
        <v>4753</v>
      </c>
      <c r="B4756" s="2" t="s">
        <v>4831</v>
      </c>
      <c r="C4756" s="2" t="str">
        <f>"15729982"</f>
        <v>15729982</v>
      </c>
      <c r="D4756" s="2">
        <v>0.59199999999999997</v>
      </c>
      <c r="E4756" s="2">
        <v>14</v>
      </c>
      <c r="F4756" s="2" t="s">
        <v>75</v>
      </c>
    </row>
    <row r="4757" spans="1:6" ht="25.5">
      <c r="A4757" s="2">
        <v>4754</v>
      </c>
      <c r="B4757" s="2" t="s">
        <v>4832</v>
      </c>
      <c r="C4757" s="2" t="str">
        <f>"09670645"</f>
        <v>09670645</v>
      </c>
      <c r="D4757" s="2">
        <v>1.5109999999999999</v>
      </c>
      <c r="E4757" s="2">
        <v>90</v>
      </c>
      <c r="F4757" s="2" t="s">
        <v>16</v>
      </c>
    </row>
    <row r="4758" spans="1:6" ht="25.5">
      <c r="A4758" s="2">
        <v>4755</v>
      </c>
      <c r="B4758" s="2" t="s">
        <v>4833</v>
      </c>
      <c r="C4758" s="2" t="str">
        <f>"09670637"</f>
        <v>09670637</v>
      </c>
      <c r="D4758" s="2">
        <v>1.669</v>
      </c>
      <c r="E4758" s="2">
        <v>77</v>
      </c>
      <c r="F4758" s="2" t="s">
        <v>16</v>
      </c>
    </row>
    <row r="4759" spans="1:6" ht="25.5">
      <c r="A4759" s="2">
        <v>4756</v>
      </c>
      <c r="B4759" s="2" t="s">
        <v>4834</v>
      </c>
      <c r="C4759" s="2" t="str">
        <f>"10120386"</f>
        <v>10120386</v>
      </c>
      <c r="D4759" s="2">
        <v>0.192</v>
      </c>
      <c r="E4759" s="2">
        <v>22</v>
      </c>
      <c r="F4759" s="2" t="s">
        <v>12</v>
      </c>
    </row>
    <row r="4760" spans="1:6" ht="25.5">
      <c r="A4760" s="2">
        <v>4757</v>
      </c>
      <c r="B4760" s="2" t="s">
        <v>4835</v>
      </c>
      <c r="C4760" s="2" t="str">
        <f>"14768267"</f>
        <v>14768267</v>
      </c>
      <c r="D4760" s="2">
        <v>0.66</v>
      </c>
      <c r="E4760" s="2">
        <v>19</v>
      </c>
      <c r="F4760" s="2" t="s">
        <v>16</v>
      </c>
    </row>
    <row r="4761" spans="1:6" ht="25.5">
      <c r="A4761" s="2">
        <v>4758</v>
      </c>
      <c r="B4761" s="2" t="s">
        <v>4836</v>
      </c>
      <c r="C4761" s="2" t="str">
        <f>"19856571"</f>
        <v>19856571</v>
      </c>
      <c r="D4761" s="2">
        <v>0.185</v>
      </c>
      <c r="E4761" s="2">
        <v>3</v>
      </c>
      <c r="F4761" s="2" t="s">
        <v>37</v>
      </c>
    </row>
    <row r="4762" spans="1:6" ht="25.5">
      <c r="A4762" s="2">
        <v>4759</v>
      </c>
      <c r="B4762" s="2" t="s">
        <v>4837</v>
      </c>
      <c r="C4762" s="2" t="str">
        <f>"0011748X"</f>
        <v>0011748X</v>
      </c>
      <c r="D4762" s="2">
        <v>0.218</v>
      </c>
      <c r="E4762" s="2">
        <v>11</v>
      </c>
      <c r="F4762" s="2" t="s">
        <v>488</v>
      </c>
    </row>
    <row r="4763" spans="1:6" ht="25.5">
      <c r="A4763" s="2">
        <v>4760</v>
      </c>
      <c r="B4763" s="2" t="s">
        <v>4838</v>
      </c>
      <c r="C4763" s="2" t="str">
        <f>"17439698"</f>
        <v>17439698</v>
      </c>
      <c r="D4763" s="2">
        <v>0.315</v>
      </c>
      <c r="E4763" s="2">
        <v>3</v>
      </c>
      <c r="F4763" s="2" t="s">
        <v>16</v>
      </c>
    </row>
    <row r="4764" spans="1:6" ht="25.5">
      <c r="A4764" s="2">
        <v>4761</v>
      </c>
      <c r="B4764" s="2" t="s">
        <v>4839</v>
      </c>
      <c r="C4764" s="2" t="str">
        <f>"14751798"</f>
        <v>14751798</v>
      </c>
      <c r="D4764" s="2">
        <v>0.25800000000000001</v>
      </c>
      <c r="E4764" s="2">
        <v>5</v>
      </c>
      <c r="F4764" s="2" t="s">
        <v>16</v>
      </c>
    </row>
    <row r="4765" spans="1:6" ht="25.5">
      <c r="A4765" s="2">
        <v>4762</v>
      </c>
      <c r="B4765" s="2" t="s">
        <v>4840</v>
      </c>
      <c r="C4765" s="2" t="str">
        <f>"03768163"</f>
        <v>03768163</v>
      </c>
      <c r="D4765" s="2">
        <v>0.1</v>
      </c>
      <c r="E4765" s="2">
        <v>1</v>
      </c>
      <c r="F4765" s="2" t="s">
        <v>161</v>
      </c>
    </row>
    <row r="4766" spans="1:6" ht="25.5">
      <c r="A4766" s="2">
        <v>4763</v>
      </c>
      <c r="B4766" s="2" t="s">
        <v>4841</v>
      </c>
      <c r="C4766" s="2" t="str">
        <f>"03540596"</f>
        <v>03540596</v>
      </c>
      <c r="D4766" s="2">
        <v>0.108</v>
      </c>
      <c r="E4766" s="2">
        <v>4</v>
      </c>
      <c r="F4766" s="2" t="s">
        <v>154</v>
      </c>
    </row>
    <row r="4767" spans="1:6" ht="25.5">
      <c r="A4767" s="2">
        <v>4764</v>
      </c>
      <c r="B4767" s="2" t="s">
        <v>4842</v>
      </c>
      <c r="C4767" s="2" t="str">
        <f>"00117781"</f>
        <v>00117781</v>
      </c>
      <c r="D4767" s="2">
        <v>0.14299999999999999</v>
      </c>
      <c r="E4767" s="2">
        <v>10</v>
      </c>
      <c r="F4767" s="2" t="s">
        <v>6</v>
      </c>
    </row>
    <row r="4768" spans="1:6" ht="25.5">
      <c r="A4768" s="2">
        <v>4765</v>
      </c>
      <c r="B4768" s="2" t="s">
        <v>4843</v>
      </c>
      <c r="C4768" s="2" t="str">
        <f>"01024450"</f>
        <v>01024450</v>
      </c>
      <c r="D4768" s="2">
        <v>0.13100000000000001</v>
      </c>
      <c r="E4768" s="2">
        <v>2</v>
      </c>
      <c r="F4768" s="2" t="s">
        <v>159</v>
      </c>
    </row>
    <row r="4769" spans="1:6" ht="25.5">
      <c r="A4769" s="2">
        <v>4766</v>
      </c>
      <c r="B4769" s="2" t="s">
        <v>4844</v>
      </c>
      <c r="C4769" s="2" t="str">
        <f>"17412684"</f>
        <v>17412684</v>
      </c>
      <c r="D4769" s="2">
        <v>0.432</v>
      </c>
      <c r="E4769" s="2">
        <v>11</v>
      </c>
      <c r="F4769" s="2" t="s">
        <v>16</v>
      </c>
    </row>
    <row r="4770" spans="1:6" ht="25.5">
      <c r="A4770" s="2">
        <v>4767</v>
      </c>
      <c r="B4770" s="2" t="s">
        <v>4845</v>
      </c>
      <c r="C4770" s="2" t="str">
        <f>"14219824"</f>
        <v>14219824</v>
      </c>
      <c r="D4770" s="2">
        <v>1.2350000000000001</v>
      </c>
      <c r="E4770" s="2">
        <v>68</v>
      </c>
      <c r="F4770" s="2" t="s">
        <v>31</v>
      </c>
    </row>
    <row r="4771" spans="1:6" ht="25.5">
      <c r="A4771" s="2">
        <v>4768</v>
      </c>
      <c r="B4771" s="2" t="s">
        <v>4846</v>
      </c>
      <c r="C4771" s="2" t="str">
        <f>"19805764"</f>
        <v>19805764</v>
      </c>
      <c r="D4771" s="2">
        <v>0.159</v>
      </c>
      <c r="E4771" s="2">
        <v>6</v>
      </c>
      <c r="F4771" s="2" t="s">
        <v>159</v>
      </c>
    </row>
    <row r="4772" spans="1:6" ht="25.5">
      <c r="A4772" s="2">
        <v>4769</v>
      </c>
      <c r="B4772" s="2" t="s">
        <v>4847</v>
      </c>
      <c r="C4772" s="2" t="str">
        <f>"17419166"</f>
        <v>17419166</v>
      </c>
      <c r="D4772" s="2">
        <v>0.106</v>
      </c>
      <c r="E4772" s="2">
        <v>1</v>
      </c>
      <c r="F4772" s="2" t="s">
        <v>16</v>
      </c>
    </row>
    <row r="4773" spans="1:6" ht="25.5">
      <c r="A4773" s="2">
        <v>4770</v>
      </c>
      <c r="B4773" s="2" t="s">
        <v>4848</v>
      </c>
      <c r="C4773" s="2" t="str">
        <f>"13510347"</f>
        <v>13510347</v>
      </c>
      <c r="D4773" s="2">
        <v>0.69899999999999995</v>
      </c>
      <c r="E4773" s="2">
        <v>19</v>
      </c>
      <c r="F4773" s="2" t="s">
        <v>16</v>
      </c>
    </row>
    <row r="4774" spans="1:6" ht="25.5">
      <c r="A4774" s="2">
        <v>4771</v>
      </c>
      <c r="B4774" s="2" t="s">
        <v>4849</v>
      </c>
      <c r="C4774" s="2" t="str">
        <f>"14359871"</f>
        <v>14359871</v>
      </c>
      <c r="D4774" s="2">
        <v>1.0209999999999999</v>
      </c>
      <c r="E4774" s="2">
        <v>23</v>
      </c>
      <c r="F4774" s="2" t="s">
        <v>12</v>
      </c>
    </row>
    <row r="4775" spans="1:6" ht="25.5">
      <c r="A4775" s="2">
        <v>4772</v>
      </c>
      <c r="B4775" s="2" t="s">
        <v>4850</v>
      </c>
      <c r="C4775" s="2" t="str">
        <f>"15337790"</f>
        <v>15337790</v>
      </c>
      <c r="D4775" s="2">
        <v>2.1459999999999999</v>
      </c>
      <c r="E4775" s="2">
        <v>71</v>
      </c>
      <c r="F4775" s="2" t="s">
        <v>6</v>
      </c>
    </row>
    <row r="4776" spans="1:6" ht="25.5">
      <c r="A4776" s="2">
        <v>4773</v>
      </c>
      <c r="B4776" s="2" t="s">
        <v>4851</v>
      </c>
      <c r="C4776" s="2" t="str">
        <f>"10746846"</f>
        <v>10746846</v>
      </c>
      <c r="D4776" s="2">
        <v>0.25600000000000001</v>
      </c>
      <c r="E4776" s="2">
        <v>9</v>
      </c>
      <c r="F4776" s="2" t="s">
        <v>6</v>
      </c>
    </row>
    <row r="4777" spans="1:6" ht="25.5">
      <c r="A4777" s="2">
        <v>4774</v>
      </c>
      <c r="B4777" s="2" t="s">
        <v>4852</v>
      </c>
      <c r="C4777" s="2" t="str">
        <f>"04201213"</f>
        <v>04201213</v>
      </c>
      <c r="D4777" s="2">
        <v>0.151</v>
      </c>
      <c r="E4777" s="2">
        <v>2</v>
      </c>
      <c r="F4777" s="2" t="s">
        <v>169</v>
      </c>
    </row>
    <row r="4778" spans="1:6" ht="25.5">
      <c r="A4778" s="2">
        <v>4775</v>
      </c>
      <c r="B4778" s="2" t="s">
        <v>4853</v>
      </c>
      <c r="C4778" s="2" t="str">
        <f>"16411307"</f>
        <v>16411307</v>
      </c>
      <c r="D4778" s="2">
        <v>0.19400000000000001</v>
      </c>
      <c r="E4778" s="2">
        <v>7</v>
      </c>
      <c r="F4778" s="2" t="s">
        <v>169</v>
      </c>
    </row>
    <row r="4779" spans="1:6" ht="25.5">
      <c r="A4779" s="2">
        <v>4776</v>
      </c>
      <c r="B4779" s="2" t="s">
        <v>4854</v>
      </c>
      <c r="C4779" s="2" t="str">
        <f>"11257865"</f>
        <v>11257865</v>
      </c>
      <c r="D4779" s="2">
        <v>0.60699999999999998</v>
      </c>
      <c r="E4779" s="2">
        <v>22</v>
      </c>
      <c r="F4779" s="2" t="s">
        <v>12</v>
      </c>
    </row>
    <row r="4780" spans="1:6" ht="25.5">
      <c r="A4780" s="2">
        <v>4777</v>
      </c>
      <c r="B4780" s="2" t="s">
        <v>4855</v>
      </c>
      <c r="C4780" s="2" t="str">
        <f>"0947031X"</f>
        <v>0947031X</v>
      </c>
      <c r="D4780" s="2">
        <v>0.1</v>
      </c>
      <c r="E4780" s="2">
        <v>1</v>
      </c>
      <c r="F4780" s="2" t="s">
        <v>12</v>
      </c>
    </row>
    <row r="4781" spans="1:6" ht="25.5">
      <c r="A4781" s="2">
        <v>4778</v>
      </c>
      <c r="B4781" s="2" t="s">
        <v>4856</v>
      </c>
      <c r="C4781" s="2" t="str">
        <f>"1644387X"</f>
        <v>1644387X</v>
      </c>
      <c r="D4781" s="2">
        <v>0.122</v>
      </c>
      <c r="E4781" s="2">
        <v>3</v>
      </c>
      <c r="F4781" s="2" t="s">
        <v>169</v>
      </c>
    </row>
    <row r="4782" spans="1:6" ht="25.5">
      <c r="A4782" s="2">
        <v>4779</v>
      </c>
      <c r="B4782" s="2" t="s">
        <v>4857</v>
      </c>
      <c r="C4782" s="2" t="str">
        <f>"10883886"</f>
        <v>10883886</v>
      </c>
      <c r="D4782" s="2">
        <v>0.109</v>
      </c>
      <c r="E4782" s="2">
        <v>3</v>
      </c>
      <c r="F4782" s="2" t="s">
        <v>6</v>
      </c>
    </row>
    <row r="4783" spans="1:6" ht="25.5">
      <c r="A4783" s="2">
        <v>4780</v>
      </c>
      <c r="B4783" s="2" t="s">
        <v>4858</v>
      </c>
      <c r="C4783" s="2" t="str">
        <f>"00118524"</f>
        <v>00118524</v>
      </c>
      <c r="D4783" s="2">
        <v>0.13700000000000001</v>
      </c>
      <c r="E4783" s="2">
        <v>3</v>
      </c>
      <c r="F4783" s="2" t="s">
        <v>190</v>
      </c>
    </row>
    <row r="4784" spans="1:6" ht="25.5">
      <c r="A4784" s="2">
        <v>4781</v>
      </c>
      <c r="B4784" s="2" t="s">
        <v>4859</v>
      </c>
      <c r="C4784" s="2" t="str">
        <f>"00118532"</f>
        <v>00118532</v>
      </c>
      <c r="D4784" s="2">
        <v>0.48899999999999999</v>
      </c>
      <c r="E4784" s="2">
        <v>35</v>
      </c>
      <c r="F4784" s="2" t="s">
        <v>16</v>
      </c>
    </row>
    <row r="4785" spans="1:6" ht="25.5">
      <c r="A4785" s="2">
        <v>4782</v>
      </c>
      <c r="B4785" s="2" t="s">
        <v>4860</v>
      </c>
      <c r="C4785" s="2" t="str">
        <f>"10620346"</f>
        <v>10620346</v>
      </c>
      <c r="D4785" s="2">
        <v>0.11799999999999999</v>
      </c>
      <c r="E4785" s="2">
        <v>7</v>
      </c>
      <c r="F4785" s="2" t="s">
        <v>6</v>
      </c>
    </row>
    <row r="4786" spans="1:6" ht="25.5">
      <c r="A4786" s="2">
        <v>4783</v>
      </c>
      <c r="B4786" s="2" t="s">
        <v>4861</v>
      </c>
      <c r="C4786" s="2" t="str">
        <f>"01095641"</f>
        <v>01095641</v>
      </c>
      <c r="D4786" s="2">
        <v>1.4570000000000001</v>
      </c>
      <c r="E4786" s="2">
        <v>80</v>
      </c>
      <c r="F4786" s="2" t="s">
        <v>6</v>
      </c>
    </row>
    <row r="4787" spans="1:6" ht="25.5">
      <c r="A4787" s="2">
        <v>4784</v>
      </c>
      <c r="B4787" s="2" t="s">
        <v>4862</v>
      </c>
      <c r="C4787" s="2" t="str">
        <f>"02874547"</f>
        <v>02874547</v>
      </c>
      <c r="D4787" s="2">
        <v>0.40799999999999997</v>
      </c>
      <c r="E4787" s="2">
        <v>29</v>
      </c>
      <c r="F4787" s="2" t="s">
        <v>131</v>
      </c>
    </row>
    <row r="4788" spans="1:6" ht="25.5">
      <c r="A4788" s="2">
        <v>4785</v>
      </c>
      <c r="B4788" s="2" t="s">
        <v>4863</v>
      </c>
      <c r="C4788" s="2" t="str">
        <f>"21776709"</f>
        <v>21776709</v>
      </c>
      <c r="D4788" s="2">
        <v>0.186</v>
      </c>
      <c r="E4788" s="2">
        <v>3</v>
      </c>
      <c r="F4788" s="2" t="s">
        <v>159</v>
      </c>
    </row>
    <row r="4789" spans="1:6" ht="25.5">
      <c r="A4789" s="2">
        <v>4786</v>
      </c>
      <c r="B4789" s="2" t="s">
        <v>4864</v>
      </c>
      <c r="C4789" s="2" t="str">
        <f>"16009657"</f>
        <v>16009657</v>
      </c>
      <c r="D4789" s="2">
        <v>0.55200000000000005</v>
      </c>
      <c r="E4789" s="2">
        <v>48</v>
      </c>
      <c r="F4789" s="2" t="s">
        <v>163</v>
      </c>
    </row>
    <row r="4790" spans="1:6" ht="25.5">
      <c r="A4790" s="2">
        <v>4787</v>
      </c>
      <c r="B4790" s="2" t="s">
        <v>4865</v>
      </c>
      <c r="C4790" s="2" t="str">
        <f>"03055000"</f>
        <v>03055000</v>
      </c>
      <c r="D4790" s="2">
        <v>0.223</v>
      </c>
      <c r="E4790" s="2">
        <v>18</v>
      </c>
      <c r="F4790" s="2" t="s">
        <v>16</v>
      </c>
    </row>
    <row r="4791" spans="1:6" ht="25.5">
      <c r="A4791" s="2">
        <v>4788</v>
      </c>
      <c r="B4791" s="2" t="s">
        <v>4866</v>
      </c>
      <c r="C4791" s="2" t="str">
        <f>"87502186"</f>
        <v>87502186</v>
      </c>
      <c r="D4791" s="2">
        <v>0.151</v>
      </c>
      <c r="E4791" s="2">
        <v>13</v>
      </c>
      <c r="F4791" s="2" t="s">
        <v>6</v>
      </c>
    </row>
    <row r="4792" spans="1:6" ht="25.5">
      <c r="A4792" s="2">
        <v>4789</v>
      </c>
      <c r="B4792" s="2" t="s">
        <v>4867</v>
      </c>
      <c r="C4792" s="2" t="str">
        <f>"1476542X"</f>
        <v>1476542X</v>
      </c>
      <c r="D4792" s="2">
        <v>0.67500000000000004</v>
      </c>
      <c r="E4792" s="2">
        <v>44</v>
      </c>
      <c r="F4792" s="2" t="s">
        <v>16</v>
      </c>
    </row>
    <row r="4793" spans="1:6" ht="25.5">
      <c r="A4793" s="2">
        <v>4790</v>
      </c>
      <c r="B4793" s="2" t="s">
        <v>4868</v>
      </c>
      <c r="C4793" s="2" t="str">
        <f>"08839409"</f>
        <v>08839409</v>
      </c>
      <c r="D4793" s="2">
        <v>0.25900000000000001</v>
      </c>
      <c r="E4793" s="2">
        <v>9</v>
      </c>
      <c r="F4793" s="2" t="s">
        <v>6</v>
      </c>
    </row>
    <row r="4794" spans="1:6" ht="25.5">
      <c r="A4794" s="2">
        <v>4791</v>
      </c>
      <c r="B4794" s="2" t="s">
        <v>4869</v>
      </c>
      <c r="C4794" s="2" t="str">
        <f>"15206394"</f>
        <v>15206394</v>
      </c>
      <c r="D4794" s="2">
        <v>1.885</v>
      </c>
      <c r="E4794" s="2">
        <v>61</v>
      </c>
      <c r="F4794" s="2" t="s">
        <v>16</v>
      </c>
    </row>
    <row r="4795" spans="1:6" ht="25.5">
      <c r="A4795" s="2">
        <v>4792</v>
      </c>
      <c r="B4795" s="2" t="s">
        <v>4870</v>
      </c>
      <c r="C4795" s="2" t="str">
        <f>"2090133X"</f>
        <v>2090133X</v>
      </c>
      <c r="D4795" s="2">
        <v>0.23499999999999999</v>
      </c>
      <c r="E4795" s="2">
        <v>4</v>
      </c>
      <c r="F4795" s="2" t="s">
        <v>523</v>
      </c>
    </row>
    <row r="4796" spans="1:6" ht="25.5">
      <c r="A4796" s="2">
        <v>4793</v>
      </c>
      <c r="B4796" s="2" t="s">
        <v>4871</v>
      </c>
      <c r="C4796" s="2" t="str">
        <f>"1432055X"</f>
        <v>1432055X</v>
      </c>
      <c r="D4796" s="2">
        <v>0.27600000000000002</v>
      </c>
      <c r="E4796" s="2">
        <v>34</v>
      </c>
      <c r="F4796" s="2" t="s">
        <v>12</v>
      </c>
    </row>
    <row r="4797" spans="1:6" ht="25.5">
      <c r="A4797" s="2">
        <v>4794</v>
      </c>
      <c r="B4797" s="2" t="s">
        <v>4872</v>
      </c>
      <c r="C4797" s="2" t="str">
        <f>"14330385"</f>
        <v>14330385</v>
      </c>
      <c r="D4797" s="2">
        <v>0.223</v>
      </c>
      <c r="E4797" s="2">
        <v>37</v>
      </c>
      <c r="F4797" s="2" t="s">
        <v>12</v>
      </c>
    </row>
    <row r="4798" spans="1:6" ht="25.5">
      <c r="A4798" s="2">
        <v>4795</v>
      </c>
      <c r="B4798" s="2" t="s">
        <v>4873</v>
      </c>
      <c r="C4798" s="2" t="str">
        <f>"00175994"</f>
        <v>00175994</v>
      </c>
      <c r="D4798" s="2">
        <v>0.115</v>
      </c>
      <c r="E4798" s="2">
        <v>10</v>
      </c>
      <c r="F4798" s="2" t="s">
        <v>12</v>
      </c>
    </row>
    <row r="4799" spans="1:6" ht="25.5">
      <c r="A4799" s="2">
        <v>4796</v>
      </c>
      <c r="B4799" s="2" t="s">
        <v>4874</v>
      </c>
      <c r="C4799" s="2" t="str">
        <f>"14321173"</f>
        <v>14321173</v>
      </c>
      <c r="D4799" s="2">
        <v>0.25800000000000001</v>
      </c>
      <c r="E4799" s="2">
        <v>28</v>
      </c>
      <c r="F4799" s="2" t="s">
        <v>12</v>
      </c>
    </row>
    <row r="4800" spans="1:6" ht="25.5">
      <c r="A4800" s="2">
        <v>4797</v>
      </c>
      <c r="B4800" s="2" t="s">
        <v>4875</v>
      </c>
      <c r="C4800" s="2" t="str">
        <f>"1019214X"</f>
        <v>1019214X</v>
      </c>
      <c r="D4800" s="2">
        <v>0.121</v>
      </c>
      <c r="E4800" s="2">
        <v>4</v>
      </c>
      <c r="F4800" s="2" t="s">
        <v>345</v>
      </c>
    </row>
    <row r="4801" spans="1:6" ht="25.5">
      <c r="A4801" s="2">
        <v>4798</v>
      </c>
      <c r="B4801" s="2" t="s">
        <v>4876</v>
      </c>
      <c r="C4801" s="2" t="str">
        <f>"14321289"</f>
        <v>14321289</v>
      </c>
      <c r="D4801" s="2">
        <v>0.16500000000000001</v>
      </c>
      <c r="E4801" s="2">
        <v>13</v>
      </c>
      <c r="F4801" s="2" t="s">
        <v>12</v>
      </c>
    </row>
    <row r="4802" spans="1:6" ht="25.5">
      <c r="A4802" s="2">
        <v>4799</v>
      </c>
      <c r="B4802" s="2" t="s">
        <v>4877</v>
      </c>
      <c r="C4802" s="2" t="str">
        <f>"18649718"</f>
        <v>18649718</v>
      </c>
      <c r="D4802" s="2">
        <v>0.158</v>
      </c>
      <c r="E4802" s="2">
        <v>5</v>
      </c>
      <c r="F4802" s="2" t="s">
        <v>12</v>
      </c>
    </row>
    <row r="4803" spans="1:6" ht="25.5">
      <c r="A4803" s="2">
        <v>4800</v>
      </c>
      <c r="B4803" s="2" t="s">
        <v>4878</v>
      </c>
      <c r="C4803" s="2" t="str">
        <f>"17103568"</f>
        <v>17103568</v>
      </c>
      <c r="D4803" s="2">
        <v>0.38300000000000001</v>
      </c>
      <c r="E4803" s="2">
        <v>35</v>
      </c>
      <c r="F4803" s="2" t="s">
        <v>64</v>
      </c>
    </row>
    <row r="4804" spans="1:6" ht="25.5">
      <c r="A4804" s="2">
        <v>4801</v>
      </c>
      <c r="B4804" s="2" t="s">
        <v>4879</v>
      </c>
      <c r="C4804" s="2" t="str">
        <f>"16654390"</f>
        <v>16654390</v>
      </c>
      <c r="D4804" s="2">
        <v>0.125</v>
      </c>
      <c r="E4804" s="2">
        <v>3</v>
      </c>
      <c r="F4804" s="2" t="s">
        <v>200</v>
      </c>
    </row>
    <row r="4805" spans="1:6" ht="25.5">
      <c r="A4805" s="2">
        <v>4802</v>
      </c>
      <c r="B4805" s="2" t="s">
        <v>4880</v>
      </c>
      <c r="C4805" s="2" t="str">
        <f>"17307201"</f>
        <v>17307201</v>
      </c>
      <c r="D4805" s="2">
        <v>0.14000000000000001</v>
      </c>
      <c r="E4805" s="2">
        <v>5</v>
      </c>
      <c r="F4805" s="2" t="s">
        <v>169</v>
      </c>
    </row>
    <row r="4806" spans="1:6" ht="25.5">
      <c r="A4806" s="2">
        <v>4803</v>
      </c>
      <c r="B4806" s="2" t="s">
        <v>4881</v>
      </c>
      <c r="C4806" s="2" t="str">
        <f>"01854038"</f>
        <v>01854038</v>
      </c>
      <c r="D4806" s="2">
        <v>0.11899999999999999</v>
      </c>
      <c r="E4806" s="2">
        <v>5</v>
      </c>
      <c r="F4806" s="2" t="s">
        <v>200</v>
      </c>
    </row>
    <row r="4807" spans="1:6" ht="25.5">
      <c r="A4807" s="2">
        <v>4804</v>
      </c>
      <c r="B4807" s="2" t="s">
        <v>4882</v>
      </c>
      <c r="C4807" s="2" t="str">
        <f>"10278117"</f>
        <v>10278117</v>
      </c>
      <c r="D4807" s="2">
        <v>0.114</v>
      </c>
      <c r="E4807" s="2">
        <v>3</v>
      </c>
      <c r="F4807" s="2" t="s">
        <v>75</v>
      </c>
    </row>
    <row r="4808" spans="1:6" ht="25.5">
      <c r="A4808" s="2">
        <v>4805</v>
      </c>
      <c r="B4808" s="2" t="s">
        <v>4883</v>
      </c>
      <c r="C4808" s="2" t="str">
        <f>"07338635"</f>
        <v>07338635</v>
      </c>
      <c r="D4808" s="2">
        <v>0.61099999999999999</v>
      </c>
      <c r="E4808" s="2">
        <v>45</v>
      </c>
      <c r="F4808" s="2" t="s">
        <v>16</v>
      </c>
    </row>
    <row r="4809" spans="1:6" ht="25.5">
      <c r="A4809" s="2">
        <v>4806</v>
      </c>
      <c r="B4809" s="2" t="s">
        <v>4884</v>
      </c>
      <c r="C4809" s="2" t="str">
        <f>"15244725"</f>
        <v>15244725</v>
      </c>
      <c r="D4809" s="2">
        <v>0.95599999999999996</v>
      </c>
      <c r="E4809" s="2">
        <v>82</v>
      </c>
      <c r="F4809" s="2" t="s">
        <v>16</v>
      </c>
    </row>
    <row r="4810" spans="1:6" ht="25.5">
      <c r="A4810" s="2">
        <v>4807</v>
      </c>
      <c r="B4810" s="2" t="s">
        <v>4885</v>
      </c>
      <c r="C4810" s="2" t="str">
        <f>"15298019"</f>
        <v>15298019</v>
      </c>
      <c r="D4810" s="2">
        <v>0.85399999999999998</v>
      </c>
      <c r="E4810" s="2">
        <v>35</v>
      </c>
      <c r="F4810" s="2" t="s">
        <v>16</v>
      </c>
    </row>
    <row r="4811" spans="1:6" ht="25.5">
      <c r="A4811" s="2">
        <v>4808</v>
      </c>
      <c r="B4811" s="2" t="s">
        <v>4886</v>
      </c>
      <c r="C4811" s="2" t="str">
        <f>"16167090"</f>
        <v>16167090</v>
      </c>
      <c r="D4811" s="2">
        <v>0.23400000000000001</v>
      </c>
      <c r="E4811" s="2">
        <v>12</v>
      </c>
      <c r="F4811" s="2" t="s">
        <v>12</v>
      </c>
    </row>
    <row r="4812" spans="1:6" ht="25.5">
      <c r="A4812" s="2">
        <v>4809</v>
      </c>
      <c r="B4812" s="2" t="s">
        <v>4887</v>
      </c>
      <c r="C4812" s="2" t="str">
        <f>"14219832"</f>
        <v>14219832</v>
      </c>
      <c r="D4812" s="2">
        <v>1.095</v>
      </c>
      <c r="E4812" s="2">
        <v>60</v>
      </c>
      <c r="F4812" s="2" t="s">
        <v>31</v>
      </c>
    </row>
    <row r="4813" spans="1:6" ht="25.5">
      <c r="A4813" s="2">
        <v>4810</v>
      </c>
      <c r="B4813" s="2" t="s">
        <v>4888</v>
      </c>
      <c r="C4813" s="2" t="str">
        <f>"21909172"</f>
        <v>21909172</v>
      </c>
      <c r="D4813" s="2">
        <v>0.10299999999999999</v>
      </c>
      <c r="E4813" s="2">
        <v>0</v>
      </c>
      <c r="F4813" s="2" t="s">
        <v>12</v>
      </c>
    </row>
    <row r="4814" spans="1:6" ht="25.5">
      <c r="A4814" s="2">
        <v>4811</v>
      </c>
      <c r="B4814" s="2" t="s">
        <v>4889</v>
      </c>
      <c r="C4814" s="2" t="str">
        <f>"10872108"</f>
        <v>10872108</v>
      </c>
      <c r="D4814" s="2">
        <v>0.29699999999999999</v>
      </c>
      <c r="E4814" s="2">
        <v>22</v>
      </c>
      <c r="F4814" s="2" t="s">
        <v>6</v>
      </c>
    </row>
    <row r="4815" spans="1:6" ht="25.5">
      <c r="A4815" s="2">
        <v>4812</v>
      </c>
      <c r="B4815" s="2" t="s">
        <v>4890</v>
      </c>
      <c r="C4815" s="2" t="str">
        <f>"16876113"</f>
        <v>16876113</v>
      </c>
      <c r="D4815" s="2">
        <v>0</v>
      </c>
      <c r="E4815" s="2">
        <v>2</v>
      </c>
      <c r="F4815" s="2" t="s">
        <v>523</v>
      </c>
    </row>
    <row r="4816" spans="1:6" ht="25.5">
      <c r="A4816" s="2">
        <v>4813</v>
      </c>
      <c r="B4816" s="2" t="s">
        <v>4891</v>
      </c>
      <c r="C4816" s="2" t="str">
        <f>"14330407"</f>
        <v>14330407</v>
      </c>
      <c r="D4816" s="2">
        <v>0.23400000000000001</v>
      </c>
      <c r="E4816" s="2">
        <v>33</v>
      </c>
      <c r="F4816" s="2" t="s">
        <v>12</v>
      </c>
    </row>
    <row r="4817" spans="1:6" ht="25.5">
      <c r="A4817" s="2">
        <v>4814</v>
      </c>
      <c r="B4817" s="2" t="s">
        <v>4892</v>
      </c>
      <c r="C4817" s="2" t="str">
        <f>"0941293X"</f>
        <v>0941293X</v>
      </c>
      <c r="D4817" s="2">
        <v>0.36299999999999999</v>
      </c>
      <c r="E4817" s="2">
        <v>29</v>
      </c>
      <c r="F4817" s="2" t="s">
        <v>12</v>
      </c>
    </row>
    <row r="4818" spans="1:6" ht="25.5">
      <c r="A4818" s="2">
        <v>4815</v>
      </c>
      <c r="B4818" s="2" t="s">
        <v>4893</v>
      </c>
      <c r="C4818" s="2" t="str">
        <f>"14330431"</f>
        <v>14330431</v>
      </c>
      <c r="D4818" s="2">
        <v>0.26200000000000001</v>
      </c>
      <c r="E4818" s="2">
        <v>32</v>
      </c>
      <c r="F4818" s="2" t="s">
        <v>12</v>
      </c>
    </row>
    <row r="4819" spans="1:6" ht="25.5">
      <c r="A4819" s="2">
        <v>4816</v>
      </c>
      <c r="B4819" s="2" t="s">
        <v>4894</v>
      </c>
      <c r="C4819" s="2" t="str">
        <f>"14321963"</f>
        <v>14321963</v>
      </c>
      <c r="D4819" s="2">
        <v>0.19600000000000001</v>
      </c>
      <c r="E4819" s="2">
        <v>18</v>
      </c>
      <c r="F4819" s="2" t="s">
        <v>12</v>
      </c>
    </row>
    <row r="4820" spans="1:6" ht="25.5">
      <c r="A4820" s="2">
        <v>4817</v>
      </c>
      <c r="B4820" s="2" t="s">
        <v>4895</v>
      </c>
      <c r="C4820" s="2" t="str">
        <f>"0975413X"</f>
        <v>0975413X</v>
      </c>
      <c r="D4820" s="2">
        <v>0.20200000000000001</v>
      </c>
      <c r="E4820" s="2">
        <v>8</v>
      </c>
      <c r="F4820" s="2" t="s">
        <v>488</v>
      </c>
    </row>
    <row r="4821" spans="1:6" ht="25.5">
      <c r="A4821" s="2">
        <v>4818</v>
      </c>
      <c r="B4821" s="2" t="s">
        <v>4896</v>
      </c>
      <c r="C4821" s="2" t="str">
        <f>"14322102"</f>
        <v>14322102</v>
      </c>
      <c r="D4821" s="2">
        <v>0.17599999999999999</v>
      </c>
      <c r="E4821" s="2">
        <v>27</v>
      </c>
      <c r="F4821" s="2" t="s">
        <v>12</v>
      </c>
    </row>
    <row r="4822" spans="1:6" ht="25.5">
      <c r="A4822" s="2">
        <v>4819</v>
      </c>
      <c r="B4822" s="2" t="s">
        <v>4897</v>
      </c>
      <c r="C4822" s="2" t="str">
        <f>"1433044X"</f>
        <v>1433044X</v>
      </c>
      <c r="D4822" s="2">
        <v>0.307</v>
      </c>
      <c r="E4822" s="2">
        <v>38</v>
      </c>
      <c r="F4822" s="2" t="s">
        <v>12</v>
      </c>
    </row>
    <row r="4823" spans="1:6" ht="25.5">
      <c r="A4823" s="2">
        <v>4820</v>
      </c>
      <c r="B4823" s="2" t="s">
        <v>4898</v>
      </c>
      <c r="C4823" s="2" t="str">
        <f>"00119164"</f>
        <v>00119164</v>
      </c>
      <c r="D4823" s="2">
        <v>1.3520000000000001</v>
      </c>
      <c r="E4823" s="2">
        <v>73</v>
      </c>
      <c r="F4823" s="2" t="s">
        <v>75</v>
      </c>
    </row>
    <row r="4824" spans="1:6" ht="25.5">
      <c r="A4824" s="2">
        <v>4821</v>
      </c>
      <c r="B4824" s="2" t="s">
        <v>4899</v>
      </c>
      <c r="C4824" s="2" t="str">
        <f>"19443994"</f>
        <v>19443994</v>
      </c>
      <c r="D4824" s="2">
        <v>0.375</v>
      </c>
      <c r="E4824" s="2">
        <v>14</v>
      </c>
      <c r="F4824" s="2" t="s">
        <v>6</v>
      </c>
    </row>
    <row r="4825" spans="1:6" ht="25.5">
      <c r="A4825" s="2">
        <v>4822</v>
      </c>
      <c r="B4825" s="2" t="s">
        <v>4900</v>
      </c>
      <c r="C4825" s="2" t="str">
        <f>"0046001X"</f>
        <v>0046001X</v>
      </c>
      <c r="D4825" s="2">
        <v>0.1</v>
      </c>
      <c r="E4825" s="2">
        <v>7</v>
      </c>
      <c r="F4825" s="2" t="s">
        <v>192</v>
      </c>
    </row>
    <row r="4826" spans="1:6" ht="25.5">
      <c r="A4826" s="2">
        <v>4823</v>
      </c>
      <c r="B4826" s="2" t="s">
        <v>4901</v>
      </c>
      <c r="C4826" s="2" t="str">
        <f>"0382909X"</f>
        <v>0382909X</v>
      </c>
      <c r="D4826" s="2">
        <v>0.1</v>
      </c>
      <c r="E4826" s="2">
        <v>0</v>
      </c>
      <c r="F4826" s="2" t="s">
        <v>64</v>
      </c>
    </row>
    <row r="4827" spans="1:6" ht="25.5">
      <c r="A4827" s="2">
        <v>4824</v>
      </c>
      <c r="B4827" s="2" t="s">
        <v>4902</v>
      </c>
      <c r="C4827" s="2" t="str">
        <f>"15728080"</f>
        <v>15728080</v>
      </c>
      <c r="D4827" s="2">
        <v>0.20699999999999999</v>
      </c>
      <c r="E4827" s="2">
        <v>20</v>
      </c>
      <c r="F4827" s="2" t="s">
        <v>75</v>
      </c>
    </row>
    <row r="4828" spans="1:6" ht="25.5">
      <c r="A4828" s="2">
        <v>4825</v>
      </c>
      <c r="B4828" s="2" t="s">
        <v>4903</v>
      </c>
      <c r="C4828" s="2" t="str">
        <f>"1385772X"</f>
        <v>1385772X</v>
      </c>
      <c r="D4828" s="2">
        <v>0.41499999999999998</v>
      </c>
      <c r="E4828" s="2">
        <v>19</v>
      </c>
      <c r="F4828" s="2" t="s">
        <v>16</v>
      </c>
    </row>
    <row r="4829" spans="1:6" ht="25.5">
      <c r="A4829" s="2">
        <v>4826</v>
      </c>
      <c r="B4829" s="2" t="s">
        <v>4904</v>
      </c>
      <c r="C4829" s="2" t="str">
        <f>"07479360"</f>
        <v>07479360</v>
      </c>
      <c r="D4829" s="2">
        <v>0.16300000000000001</v>
      </c>
      <c r="E4829" s="2">
        <v>11</v>
      </c>
      <c r="F4829" s="2" t="s">
        <v>6</v>
      </c>
    </row>
    <row r="4830" spans="1:6" ht="25.5">
      <c r="A4830" s="2">
        <v>4827</v>
      </c>
      <c r="B4830" s="2" t="s">
        <v>4905</v>
      </c>
      <c r="C4830" s="2" t="str">
        <f>"14606925"</f>
        <v>14606925</v>
      </c>
      <c r="D4830" s="2">
        <v>0.13100000000000001</v>
      </c>
      <c r="E4830" s="2">
        <v>5</v>
      </c>
      <c r="F4830" s="2" t="s">
        <v>16</v>
      </c>
    </row>
    <row r="4831" spans="1:6" ht="25.5">
      <c r="A4831" s="2">
        <v>4828</v>
      </c>
      <c r="B4831" s="2" t="s">
        <v>4906</v>
      </c>
      <c r="C4831" s="2" t="str">
        <f>"18331874"</f>
        <v>18331874</v>
      </c>
      <c r="D4831" s="2">
        <v>0.10100000000000001</v>
      </c>
      <c r="E4831" s="2">
        <v>1</v>
      </c>
      <c r="F4831" s="2" t="s">
        <v>6</v>
      </c>
    </row>
    <row r="4832" spans="1:6" ht="25.5">
      <c r="A4832" s="2">
        <v>4829</v>
      </c>
      <c r="B4832" s="2" t="s">
        <v>4907</v>
      </c>
      <c r="C4832" s="2" t="str">
        <f>"15737586"</f>
        <v>15737586</v>
      </c>
      <c r="D4832" s="2">
        <v>0.96899999999999997</v>
      </c>
      <c r="E4832" s="2">
        <v>33</v>
      </c>
      <c r="F4832" s="2" t="s">
        <v>75</v>
      </c>
    </row>
    <row r="4833" spans="1:6" ht="25.5">
      <c r="A4833" s="2">
        <v>4830</v>
      </c>
      <c r="B4833" s="2" t="s">
        <v>4908</v>
      </c>
      <c r="C4833" s="2" t="str">
        <f>"0142694X"</f>
        <v>0142694X</v>
      </c>
      <c r="D4833" s="2">
        <v>1.079</v>
      </c>
      <c r="E4833" s="2">
        <v>46</v>
      </c>
      <c r="F4833" s="2" t="s">
        <v>16</v>
      </c>
    </row>
    <row r="4834" spans="1:6" ht="25.5">
      <c r="A4834" s="2">
        <v>4831</v>
      </c>
      <c r="B4834" s="2" t="s">
        <v>4909</v>
      </c>
      <c r="C4834" s="2" t="str">
        <f>"0939334X"</f>
        <v>0939334X</v>
      </c>
      <c r="D4834" s="2">
        <v>0.10299999999999999</v>
      </c>
      <c r="E4834" s="2">
        <v>7</v>
      </c>
      <c r="F4834" s="2" t="s">
        <v>12</v>
      </c>
    </row>
    <row r="4835" spans="1:6" ht="25.5">
      <c r="A4835" s="2">
        <v>4832</v>
      </c>
      <c r="B4835" s="2" t="s">
        <v>4910</v>
      </c>
      <c r="C4835" s="2" t="str">
        <f>"00120413"</f>
        <v>00120413</v>
      </c>
      <c r="D4835" s="2">
        <v>0.17100000000000001</v>
      </c>
      <c r="E4835" s="2">
        <v>18</v>
      </c>
      <c r="F4835" s="2" t="s">
        <v>12</v>
      </c>
    </row>
    <row r="4836" spans="1:6" ht="25.5">
      <c r="A4836" s="2">
        <v>4833</v>
      </c>
      <c r="B4836" s="2" t="s">
        <v>4911</v>
      </c>
      <c r="C4836" s="2" t="str">
        <f>"30021472"</f>
        <v>30021472</v>
      </c>
      <c r="D4836" s="2">
        <v>0.17499999999999999</v>
      </c>
      <c r="E4836" s="2">
        <v>29</v>
      </c>
      <c r="F4836" s="2" t="s">
        <v>12</v>
      </c>
    </row>
    <row r="4837" spans="1:6" ht="25.5">
      <c r="A4837" s="2">
        <v>4834</v>
      </c>
      <c r="B4837" s="2" t="s">
        <v>4912</v>
      </c>
      <c r="C4837" s="2" t="str">
        <f>"00121223"</f>
        <v>00121223</v>
      </c>
      <c r="D4837" s="2">
        <v>0.1</v>
      </c>
      <c r="E4837" s="2">
        <v>2</v>
      </c>
      <c r="F4837" s="2" t="s">
        <v>12</v>
      </c>
    </row>
    <row r="4838" spans="1:6" ht="25.5">
      <c r="A4838" s="2">
        <v>4835</v>
      </c>
      <c r="B4838" s="2" t="s">
        <v>4913</v>
      </c>
      <c r="C4838" s="2" t="str">
        <f>"00121207"</f>
        <v>00121207</v>
      </c>
      <c r="D4838" s="2">
        <v>0.42799999999999999</v>
      </c>
      <c r="E4838" s="2">
        <v>23</v>
      </c>
      <c r="F4838" s="2" t="s">
        <v>12</v>
      </c>
    </row>
    <row r="4839" spans="1:6" ht="25.5">
      <c r="A4839" s="2">
        <v>4836</v>
      </c>
      <c r="B4839" s="2" t="s">
        <v>4914</v>
      </c>
      <c r="C4839" s="2" t="str">
        <f>"18660452"</f>
        <v>18660452</v>
      </c>
      <c r="D4839" s="2">
        <v>0.114</v>
      </c>
      <c r="E4839" s="2">
        <v>3</v>
      </c>
      <c r="F4839" s="2" t="s">
        <v>12</v>
      </c>
    </row>
    <row r="4840" spans="1:6" ht="25.5">
      <c r="A4840" s="2">
        <v>4837</v>
      </c>
      <c r="B4840" s="2" t="s">
        <v>4915</v>
      </c>
      <c r="C4840" s="2" t="str">
        <f>"03409341"</f>
        <v>03409341</v>
      </c>
      <c r="D4840" s="2">
        <v>0.108</v>
      </c>
      <c r="E4840" s="2">
        <v>4</v>
      </c>
      <c r="F4840" s="2" t="s">
        <v>12</v>
      </c>
    </row>
    <row r="4841" spans="1:6" ht="25.5">
      <c r="A4841" s="2">
        <v>4838</v>
      </c>
      <c r="B4841" s="2" t="s">
        <v>4916</v>
      </c>
      <c r="C4841" s="2" t="str">
        <f>"00120936"</f>
        <v>00120936</v>
      </c>
      <c r="D4841" s="2">
        <v>0.11</v>
      </c>
      <c r="E4841" s="2">
        <v>3</v>
      </c>
      <c r="F4841" s="2" t="s">
        <v>12</v>
      </c>
    </row>
    <row r="4842" spans="1:6" ht="25.5">
      <c r="A4842" s="2">
        <v>4839</v>
      </c>
      <c r="B4842" s="2" t="s">
        <v>4917</v>
      </c>
      <c r="C4842" s="2" t="str">
        <f>"14394359"</f>
        <v>14394359</v>
      </c>
      <c r="D4842" s="2">
        <v>0.19900000000000001</v>
      </c>
      <c r="E4842" s="2">
        <v>8</v>
      </c>
      <c r="F4842" s="2" t="s">
        <v>12</v>
      </c>
    </row>
    <row r="4843" spans="1:6" ht="25.5">
      <c r="A4843" s="2">
        <v>4840</v>
      </c>
      <c r="B4843" s="2" t="s">
        <v>4918</v>
      </c>
      <c r="C4843" s="2" t="str">
        <f>"16175891"</f>
        <v>16175891</v>
      </c>
      <c r="D4843" s="2">
        <v>0.10199999999999999</v>
      </c>
      <c r="E4843" s="2">
        <v>7</v>
      </c>
      <c r="F4843" s="2" t="s">
        <v>12</v>
      </c>
    </row>
    <row r="4844" spans="1:6" ht="25.5">
      <c r="A4844" s="2">
        <v>4841</v>
      </c>
      <c r="B4844" s="2" t="s">
        <v>4919</v>
      </c>
      <c r="C4844" s="2" t="str">
        <f>"00121045"</f>
        <v>00121045</v>
      </c>
      <c r="D4844" s="2">
        <v>0.123</v>
      </c>
      <c r="E4844" s="2">
        <v>5</v>
      </c>
      <c r="F4844" s="2" t="s">
        <v>12</v>
      </c>
    </row>
    <row r="4845" spans="1:6" ht="25.5">
      <c r="A4845" s="2">
        <v>4842</v>
      </c>
      <c r="B4845" s="2" t="s">
        <v>4920</v>
      </c>
      <c r="C4845" s="2" t="str">
        <f>"03445925"</f>
        <v>03445925</v>
      </c>
      <c r="D4845" s="2">
        <v>0.2</v>
      </c>
      <c r="E4845" s="2">
        <v>12</v>
      </c>
      <c r="F4845" s="2" t="s">
        <v>12</v>
      </c>
    </row>
    <row r="4846" spans="1:6" ht="25.5">
      <c r="A4846" s="2">
        <v>4843</v>
      </c>
      <c r="B4846" s="2" t="s">
        <v>4921</v>
      </c>
      <c r="C4846" s="2" t="str">
        <f>"17461049"</f>
        <v>17461049</v>
      </c>
      <c r="D4846" s="2">
        <v>0.17499999999999999</v>
      </c>
      <c r="E4846" s="2">
        <v>12</v>
      </c>
      <c r="F4846" s="2" t="s">
        <v>16</v>
      </c>
    </row>
    <row r="4847" spans="1:6" ht="25.5">
      <c r="A4847" s="2">
        <v>4844</v>
      </c>
      <c r="B4847" s="2" t="s">
        <v>4922</v>
      </c>
      <c r="C4847" s="2" t="str">
        <f>"14718847"</f>
        <v>14718847</v>
      </c>
      <c r="D4847" s="2">
        <v>0.28299999999999997</v>
      </c>
      <c r="E4847" s="2">
        <v>13</v>
      </c>
      <c r="F4847" s="2" t="s">
        <v>16</v>
      </c>
    </row>
    <row r="4848" spans="1:6" ht="25.5">
      <c r="A4848" s="2">
        <v>4845</v>
      </c>
      <c r="B4848" s="2" t="s">
        <v>4923</v>
      </c>
      <c r="C4848" s="2" t="str">
        <f>"10116370"</f>
        <v>10116370</v>
      </c>
      <c r="D4848" s="2">
        <v>0.17599999999999999</v>
      </c>
      <c r="E4848" s="2">
        <v>14</v>
      </c>
      <c r="F4848" s="2" t="s">
        <v>16</v>
      </c>
    </row>
    <row r="4849" spans="1:6" ht="25.5">
      <c r="A4849" s="2">
        <v>4846</v>
      </c>
      <c r="B4849" s="2" t="s">
        <v>4923</v>
      </c>
      <c r="C4849" s="2" t="str">
        <f>"14779129"</f>
        <v>14779129</v>
      </c>
      <c r="D4849" s="2">
        <v>4.5019999999999998</v>
      </c>
      <c r="E4849" s="2">
        <v>226</v>
      </c>
      <c r="F4849" s="2" t="s">
        <v>16</v>
      </c>
    </row>
    <row r="4850" spans="1:6" ht="25.5">
      <c r="A4850" s="2">
        <v>4847</v>
      </c>
      <c r="B4850" s="2" t="s">
        <v>4924</v>
      </c>
      <c r="C4850" s="2" t="str">
        <f>"0145305X"</f>
        <v>0145305X</v>
      </c>
      <c r="D4850" s="2">
        <v>0.97399999999999998</v>
      </c>
      <c r="E4850" s="2">
        <v>65</v>
      </c>
      <c r="F4850" s="2" t="s">
        <v>16</v>
      </c>
    </row>
    <row r="4851" spans="1:6" ht="25.5">
      <c r="A4851" s="2">
        <v>4848</v>
      </c>
      <c r="B4851" s="2" t="s">
        <v>4925</v>
      </c>
      <c r="C4851" s="2" t="str">
        <f>"1095564X"</f>
        <v>1095564X</v>
      </c>
      <c r="D4851" s="2">
        <v>2.3290000000000002</v>
      </c>
      <c r="E4851" s="2">
        <v>159</v>
      </c>
      <c r="F4851" s="2" t="s">
        <v>6</v>
      </c>
    </row>
    <row r="4852" spans="1:6" ht="25.5">
      <c r="A4852" s="2">
        <v>4849</v>
      </c>
      <c r="B4852" s="2" t="s">
        <v>4926</v>
      </c>
      <c r="C4852" s="2" t="str">
        <f>"15345807"</f>
        <v>15345807</v>
      </c>
      <c r="D4852" s="2">
        <v>7.7149999999999999</v>
      </c>
      <c r="E4852" s="2">
        <v>160</v>
      </c>
      <c r="F4852" s="2" t="s">
        <v>6</v>
      </c>
    </row>
    <row r="4853" spans="1:6" ht="25.5">
      <c r="A4853" s="2">
        <v>4850</v>
      </c>
      <c r="B4853" s="2" t="s">
        <v>4927</v>
      </c>
      <c r="C4853" s="2" t="str">
        <f>"18789293"</f>
        <v>18789293</v>
      </c>
      <c r="D4853" s="2">
        <v>1.6439999999999999</v>
      </c>
      <c r="E4853" s="2">
        <v>8</v>
      </c>
      <c r="F4853" s="2" t="s">
        <v>75</v>
      </c>
    </row>
    <row r="4854" spans="1:6" ht="25.5">
      <c r="A4854" s="2">
        <v>4851</v>
      </c>
      <c r="B4854" s="2" t="s">
        <v>4928</v>
      </c>
      <c r="C4854" s="2" t="str">
        <f>"19405529"</f>
        <v>19405529</v>
      </c>
      <c r="D4854" s="2">
        <v>1.2689999999999999</v>
      </c>
      <c r="E4854" s="2">
        <v>60</v>
      </c>
      <c r="F4854" s="2" t="s">
        <v>6</v>
      </c>
    </row>
    <row r="4855" spans="1:6" ht="25.5">
      <c r="A4855" s="2">
        <v>4852</v>
      </c>
      <c r="B4855" s="2" t="s">
        <v>4929</v>
      </c>
      <c r="C4855" s="2" t="str">
        <f>"10970177"</f>
        <v>10970177</v>
      </c>
      <c r="D4855" s="2">
        <v>1.4419999999999999</v>
      </c>
      <c r="E4855" s="2">
        <v>96</v>
      </c>
      <c r="F4855" s="2" t="s">
        <v>6</v>
      </c>
    </row>
    <row r="4856" spans="1:6" ht="25.5">
      <c r="A4856" s="2">
        <v>4853</v>
      </c>
      <c r="B4856" s="2" t="s">
        <v>4930</v>
      </c>
      <c r="C4856" s="2" t="str">
        <f>"14698749"</f>
        <v>14698749</v>
      </c>
      <c r="D4856" s="2">
        <v>1.101</v>
      </c>
      <c r="E4856" s="2">
        <v>85</v>
      </c>
      <c r="F4856" s="2" t="s">
        <v>16</v>
      </c>
    </row>
    <row r="4857" spans="1:6" ht="25.5">
      <c r="A4857" s="2">
        <v>4854</v>
      </c>
      <c r="B4857" s="2" t="s">
        <v>4931</v>
      </c>
      <c r="C4857" s="2" t="str">
        <f>"1932846X"</f>
        <v>1932846X</v>
      </c>
      <c r="D4857" s="2">
        <v>1.85</v>
      </c>
      <c r="E4857" s="2">
        <v>94</v>
      </c>
      <c r="F4857" s="2" t="s">
        <v>6</v>
      </c>
    </row>
    <row r="4858" spans="1:6" ht="25.5">
      <c r="A4858" s="2">
        <v>4855</v>
      </c>
      <c r="B4858" s="2" t="s">
        <v>4932</v>
      </c>
      <c r="C4858" s="2" t="str">
        <f>"87565641"</f>
        <v>87565641</v>
      </c>
      <c r="D4858" s="2">
        <v>1.272</v>
      </c>
      <c r="E4858" s="2">
        <v>58</v>
      </c>
      <c r="F4858" s="2" t="s">
        <v>16</v>
      </c>
    </row>
    <row r="4859" spans="1:6" ht="25.5">
      <c r="A4859" s="2">
        <v>4856</v>
      </c>
      <c r="B4859" s="2" t="s">
        <v>4933</v>
      </c>
      <c r="C4859" s="2" t="str">
        <f>"17518423"</f>
        <v>17518423</v>
      </c>
      <c r="D4859" s="2">
        <v>0.55200000000000005</v>
      </c>
      <c r="E4859" s="2">
        <v>28</v>
      </c>
      <c r="F4859" s="2" t="s">
        <v>16</v>
      </c>
    </row>
    <row r="4860" spans="1:6" ht="25.5">
      <c r="A4860" s="2">
        <v>4857</v>
      </c>
      <c r="B4860" s="2" t="s">
        <v>4934</v>
      </c>
      <c r="C4860" s="2" t="str">
        <f>"14219859"</f>
        <v>14219859</v>
      </c>
      <c r="D4860" s="2">
        <v>1.385</v>
      </c>
      <c r="E4860" s="2">
        <v>55</v>
      </c>
      <c r="F4860" s="2" t="s">
        <v>31</v>
      </c>
    </row>
    <row r="4861" spans="1:6" ht="25.5">
      <c r="A4861" s="2">
        <v>4858</v>
      </c>
      <c r="B4861" s="2" t="s">
        <v>4935</v>
      </c>
      <c r="C4861" s="2" t="str">
        <f>"10982302"</f>
        <v>10982302</v>
      </c>
      <c r="D4861" s="2">
        <v>0.97</v>
      </c>
      <c r="E4861" s="2">
        <v>54</v>
      </c>
      <c r="F4861" s="2" t="s">
        <v>6</v>
      </c>
    </row>
    <row r="4862" spans="1:6" ht="25.5">
      <c r="A4862" s="2">
        <v>4859</v>
      </c>
      <c r="B4862" s="2" t="s">
        <v>4936</v>
      </c>
      <c r="C4862" s="2" t="str">
        <f>"00121649"</f>
        <v>00121649</v>
      </c>
      <c r="D4862" s="2">
        <v>2.0209999999999999</v>
      </c>
      <c r="E4862" s="2">
        <v>117</v>
      </c>
      <c r="F4862" s="2" t="s">
        <v>6</v>
      </c>
    </row>
    <row r="4863" spans="1:6" ht="25.5">
      <c r="A4863" s="2">
        <v>4860</v>
      </c>
      <c r="B4863" s="2" t="s">
        <v>4937</v>
      </c>
      <c r="C4863" s="2" t="str">
        <f>"10902406"</f>
        <v>10902406</v>
      </c>
      <c r="D4863" s="2">
        <v>1.7709999999999999</v>
      </c>
      <c r="E4863" s="2">
        <v>45</v>
      </c>
      <c r="F4863" s="2" t="s">
        <v>6</v>
      </c>
    </row>
    <row r="4864" spans="1:6" ht="25.5">
      <c r="A4864" s="2">
        <v>4861</v>
      </c>
      <c r="B4864" s="2" t="s">
        <v>4938</v>
      </c>
      <c r="C4864" s="2" t="str">
        <f>"14677687"</f>
        <v>14677687</v>
      </c>
      <c r="D4864" s="2">
        <v>2.65</v>
      </c>
      <c r="E4864" s="2">
        <v>61</v>
      </c>
      <c r="F4864" s="2" t="s">
        <v>16</v>
      </c>
    </row>
    <row r="4865" spans="1:6" ht="25.5">
      <c r="A4865" s="2">
        <v>4862</v>
      </c>
      <c r="B4865" s="2" t="s">
        <v>4939</v>
      </c>
      <c r="C4865" s="2" t="str">
        <f>"14677660"</f>
        <v>14677660</v>
      </c>
      <c r="D4865" s="2">
        <v>1.1060000000000001</v>
      </c>
      <c r="E4865" s="2">
        <v>41</v>
      </c>
      <c r="F4865" s="2" t="s">
        <v>16</v>
      </c>
    </row>
    <row r="4866" spans="1:6" ht="25.5">
      <c r="A4866" s="2">
        <v>4863</v>
      </c>
      <c r="B4866" s="2" t="s">
        <v>4940</v>
      </c>
      <c r="C4866" s="2" t="str">
        <f>"14777282"</f>
        <v>14777282</v>
      </c>
      <c r="D4866" s="2">
        <v>0.128</v>
      </c>
      <c r="E4866" s="2">
        <v>5</v>
      </c>
      <c r="F4866" s="2" t="s">
        <v>16</v>
      </c>
    </row>
    <row r="4867" spans="1:6" ht="25.5">
      <c r="A4867" s="2">
        <v>4864</v>
      </c>
      <c r="B4867" s="2" t="s">
        <v>4941</v>
      </c>
      <c r="C4867" s="2" t="str">
        <f>"14692198"</f>
        <v>14692198</v>
      </c>
      <c r="D4867" s="2">
        <v>2.6179999999999999</v>
      </c>
      <c r="E4867" s="2">
        <v>96</v>
      </c>
      <c r="F4867" s="2" t="s">
        <v>16</v>
      </c>
    </row>
    <row r="4868" spans="1:6" ht="25.5">
      <c r="A4868" s="2">
        <v>4865</v>
      </c>
      <c r="B4868" s="2" t="s">
        <v>4942</v>
      </c>
      <c r="C4868" s="2" t="str">
        <f>"03452328"</f>
        <v>03452328</v>
      </c>
      <c r="D4868" s="2">
        <v>0.21199999999999999</v>
      </c>
      <c r="E4868" s="2">
        <v>5</v>
      </c>
      <c r="F4868" s="2" t="s">
        <v>151</v>
      </c>
    </row>
    <row r="4869" spans="1:6" ht="25.5">
      <c r="A4869" s="2">
        <v>4866</v>
      </c>
      <c r="B4869" s="2" t="s">
        <v>4943</v>
      </c>
      <c r="C4869" s="2" t="str">
        <f>"1432041X"</f>
        <v>1432041X</v>
      </c>
      <c r="D4869" s="2">
        <v>0.85399999999999998</v>
      </c>
      <c r="E4869" s="2">
        <v>53</v>
      </c>
      <c r="F4869" s="2" t="s">
        <v>12</v>
      </c>
    </row>
    <row r="4870" spans="1:6" ht="25.5">
      <c r="A4870" s="2">
        <v>4867</v>
      </c>
      <c r="B4870" s="2" t="s">
        <v>4944</v>
      </c>
      <c r="C4870" s="2" t="str">
        <f>"1440169X"</f>
        <v>1440169X</v>
      </c>
      <c r="D4870" s="2">
        <v>1.1519999999999999</v>
      </c>
      <c r="E4870" s="2">
        <v>42</v>
      </c>
      <c r="F4870" s="2" t="s">
        <v>16</v>
      </c>
    </row>
    <row r="4871" spans="1:6" ht="25.5">
      <c r="A4871" s="2">
        <v>4868</v>
      </c>
      <c r="B4871" s="2" t="s">
        <v>4945</v>
      </c>
      <c r="C4871" s="2" t="str">
        <f>"13649213"</f>
        <v>13649213</v>
      </c>
      <c r="D4871" s="2">
        <v>0.38900000000000001</v>
      </c>
      <c r="E4871" s="2">
        <v>18</v>
      </c>
      <c r="F4871" s="2" t="s">
        <v>16</v>
      </c>
    </row>
    <row r="4872" spans="1:6" ht="25.5">
      <c r="A4872" s="2">
        <v>4869</v>
      </c>
      <c r="B4872" s="2" t="s">
        <v>4946</v>
      </c>
      <c r="C4872" s="2" t="str">
        <f>"14677679"</f>
        <v>14677679</v>
      </c>
      <c r="D4872" s="2">
        <v>0.76800000000000002</v>
      </c>
      <c r="E4872" s="2">
        <v>26</v>
      </c>
      <c r="F4872" s="2" t="s">
        <v>16</v>
      </c>
    </row>
    <row r="4873" spans="1:6" ht="25.5">
      <c r="A4873" s="2">
        <v>4870</v>
      </c>
      <c r="B4873" s="2" t="s">
        <v>4947</v>
      </c>
      <c r="C4873" s="2" t="str">
        <f>"14246074"</f>
        <v>14246074</v>
      </c>
      <c r="D4873" s="2">
        <v>0.126</v>
      </c>
      <c r="E4873" s="2">
        <v>33</v>
      </c>
      <c r="F4873" s="2" t="s">
        <v>31</v>
      </c>
    </row>
    <row r="4874" spans="1:6" ht="25.5">
      <c r="A4874" s="2">
        <v>4871</v>
      </c>
      <c r="B4874" s="2" t="s">
        <v>4948</v>
      </c>
      <c r="C4874" s="2" t="str">
        <f>"15724352"</f>
        <v>15724352</v>
      </c>
      <c r="D4874" s="2">
        <v>0</v>
      </c>
      <c r="E4874" s="2">
        <v>12</v>
      </c>
      <c r="F4874" s="2" t="s">
        <v>75</v>
      </c>
    </row>
    <row r="4875" spans="1:6" ht="25.5">
      <c r="A4875" s="2">
        <v>4872</v>
      </c>
      <c r="B4875" s="2" t="s">
        <v>4949</v>
      </c>
      <c r="C4875" s="2" t="str">
        <f>"15719197"</f>
        <v>15719197</v>
      </c>
      <c r="D4875" s="2">
        <v>0</v>
      </c>
      <c r="E4875" s="2">
        <v>6</v>
      </c>
      <c r="F4875" s="2" t="s">
        <v>75</v>
      </c>
    </row>
    <row r="4876" spans="1:6" ht="25.5">
      <c r="A4876" s="2">
        <v>4873</v>
      </c>
      <c r="B4876" s="2" t="s">
        <v>4950</v>
      </c>
      <c r="C4876" s="2" t="str">
        <f>"09282025"</f>
        <v>09282025</v>
      </c>
      <c r="D4876" s="2">
        <v>0.125</v>
      </c>
      <c r="E4876" s="2">
        <v>3</v>
      </c>
      <c r="F4876" s="2" t="s">
        <v>75</v>
      </c>
    </row>
    <row r="4877" spans="1:6" ht="25.5">
      <c r="A4877" s="2">
        <v>4874</v>
      </c>
      <c r="B4877" s="2" t="s">
        <v>4951</v>
      </c>
      <c r="C4877" s="2" t="str">
        <f>"01678892"</f>
        <v>01678892</v>
      </c>
      <c r="D4877" s="2">
        <v>0.126</v>
      </c>
      <c r="E4877" s="2">
        <v>1</v>
      </c>
      <c r="F4877" s="2" t="s">
        <v>75</v>
      </c>
    </row>
    <row r="4878" spans="1:6" ht="25.5">
      <c r="A4878" s="2">
        <v>4875</v>
      </c>
      <c r="B4878" s="2" t="s">
        <v>4952</v>
      </c>
      <c r="C4878" s="2" t="str">
        <f>"14748177"</f>
        <v>14748177</v>
      </c>
      <c r="D4878" s="2">
        <v>0.251</v>
      </c>
      <c r="E4878" s="2">
        <v>6</v>
      </c>
      <c r="F4878" s="2" t="s">
        <v>16</v>
      </c>
    </row>
    <row r="4879" spans="1:6" ht="25.5">
      <c r="A4879" s="2">
        <v>4876</v>
      </c>
      <c r="B4879" s="2" t="s">
        <v>4953</v>
      </c>
      <c r="C4879" s="2" t="str">
        <f>"09274987"</f>
        <v>09274987</v>
      </c>
      <c r="D4879" s="2">
        <v>0.126</v>
      </c>
      <c r="E4879" s="2">
        <v>4</v>
      </c>
      <c r="F4879" s="2" t="s">
        <v>75</v>
      </c>
    </row>
    <row r="4880" spans="1:6" ht="25.5">
      <c r="A4880" s="2">
        <v>4877</v>
      </c>
      <c r="B4880" s="2" t="s">
        <v>4954</v>
      </c>
      <c r="C4880" s="2" t="str">
        <f>"13892177"</f>
        <v>13892177</v>
      </c>
      <c r="D4880" s="2">
        <v>0.251</v>
      </c>
      <c r="E4880" s="2">
        <v>5</v>
      </c>
      <c r="F4880" s="2" t="s">
        <v>12</v>
      </c>
    </row>
    <row r="4881" spans="1:6" ht="25.5">
      <c r="A4881" s="2">
        <v>4878</v>
      </c>
      <c r="B4881" s="2" t="s">
        <v>4955</v>
      </c>
      <c r="C4881" s="2" t="str">
        <f>"02503751"</f>
        <v>02503751</v>
      </c>
      <c r="D4881" s="2">
        <v>0.81699999999999995</v>
      </c>
      <c r="E4881" s="2">
        <v>18</v>
      </c>
      <c r="F4881" s="2" t="s">
        <v>31</v>
      </c>
    </row>
    <row r="4882" spans="1:6" ht="25.5">
      <c r="A4882" s="2">
        <v>4879</v>
      </c>
      <c r="B4882" s="2" t="s">
        <v>4956</v>
      </c>
      <c r="C4882" s="2" t="str">
        <f>"09205446"</f>
        <v>09205446</v>
      </c>
      <c r="D4882" s="2">
        <v>0</v>
      </c>
      <c r="E4882" s="2">
        <v>8</v>
      </c>
      <c r="F4882" s="2" t="s">
        <v>75</v>
      </c>
    </row>
    <row r="4883" spans="1:6" ht="25.5">
      <c r="A4883" s="2">
        <v>4880</v>
      </c>
      <c r="B4883" s="2" t="s">
        <v>4957</v>
      </c>
      <c r="C4883" s="2" t="str">
        <f>"03767361"</f>
        <v>03767361</v>
      </c>
      <c r="D4883" s="2">
        <v>0.13700000000000001</v>
      </c>
      <c r="E4883" s="2">
        <v>4</v>
      </c>
      <c r="F4883" s="2" t="s">
        <v>75</v>
      </c>
    </row>
    <row r="4884" spans="1:6" ht="25.5">
      <c r="A4884" s="2">
        <v>4881</v>
      </c>
      <c r="B4884" s="2" t="s">
        <v>4958</v>
      </c>
      <c r="C4884" s="2" t="str">
        <f>"15710866"</f>
        <v>15710866</v>
      </c>
      <c r="D4884" s="2">
        <v>0.254</v>
      </c>
      <c r="E4884" s="2">
        <v>11</v>
      </c>
      <c r="F4884" s="2" t="s">
        <v>16</v>
      </c>
    </row>
    <row r="4885" spans="1:6" ht="25.5">
      <c r="A4885" s="2">
        <v>4882</v>
      </c>
      <c r="B4885" s="2" t="s">
        <v>4959</v>
      </c>
      <c r="C4885" s="2" t="str">
        <f>"00704571"</f>
        <v>00704571</v>
      </c>
      <c r="D4885" s="2">
        <v>0.74199999999999999</v>
      </c>
      <c r="E4885" s="2">
        <v>11</v>
      </c>
      <c r="F4885" s="2" t="s">
        <v>75</v>
      </c>
    </row>
    <row r="4886" spans="1:6" ht="25.5">
      <c r="A4886" s="2">
        <v>4883</v>
      </c>
      <c r="B4886" s="2" t="s">
        <v>4960</v>
      </c>
      <c r="C4886" s="2" t="str">
        <f>"14703637"</f>
        <v>14703637</v>
      </c>
      <c r="D4886" s="2">
        <v>0.26</v>
      </c>
      <c r="E4886" s="2">
        <v>18</v>
      </c>
      <c r="F4886" s="2" t="s">
        <v>16</v>
      </c>
    </row>
    <row r="4887" spans="1:6" ht="25.5">
      <c r="A4887" s="2">
        <v>4884</v>
      </c>
      <c r="B4887" s="2" t="s">
        <v>4961</v>
      </c>
      <c r="C4887" s="2" t="str">
        <f>"10158154"</f>
        <v>10158154</v>
      </c>
      <c r="D4887" s="2">
        <v>0.21299999999999999</v>
      </c>
      <c r="E4887" s="2">
        <v>6</v>
      </c>
      <c r="F4887" s="2" t="s">
        <v>31</v>
      </c>
    </row>
    <row r="4888" spans="1:6" ht="25.5">
      <c r="A4888" s="2">
        <v>4885</v>
      </c>
      <c r="B4888" s="2" t="s">
        <v>4962</v>
      </c>
      <c r="C4888" s="2" t="str">
        <f>"03787931"</f>
        <v>03787931</v>
      </c>
      <c r="D4888" s="2">
        <v>0.14799999999999999</v>
      </c>
      <c r="E4888" s="2">
        <v>5</v>
      </c>
      <c r="F4888" s="2" t="s">
        <v>31</v>
      </c>
    </row>
    <row r="4889" spans="1:6" ht="25.5">
      <c r="A4889" s="2">
        <v>4886</v>
      </c>
      <c r="B4889" s="2" t="s">
        <v>4963</v>
      </c>
      <c r="C4889" s="2" t="str">
        <f>"15210456"</f>
        <v>15210456</v>
      </c>
      <c r="D4889" s="2">
        <v>0.45200000000000001</v>
      </c>
      <c r="E4889" s="2">
        <v>26</v>
      </c>
      <c r="F4889" s="2" t="s">
        <v>16</v>
      </c>
    </row>
    <row r="4890" spans="1:6" ht="25.5">
      <c r="A4890" s="2">
        <v>4887</v>
      </c>
      <c r="B4890" s="2" t="s">
        <v>4964</v>
      </c>
      <c r="C4890" s="2" t="str">
        <f>"14339013"</f>
        <v>14339013</v>
      </c>
      <c r="D4890" s="2">
        <v>0</v>
      </c>
      <c r="E4890" s="2">
        <v>0</v>
      </c>
      <c r="F4890" s="2" t="s">
        <v>6</v>
      </c>
    </row>
    <row r="4891" spans="1:6" ht="25.5">
      <c r="A4891" s="2">
        <v>4888</v>
      </c>
      <c r="B4891" s="2" t="s">
        <v>4965</v>
      </c>
      <c r="C4891" s="2" t="str">
        <f>"18161839"</f>
        <v>18161839</v>
      </c>
      <c r="D4891" s="2">
        <v>0.184</v>
      </c>
      <c r="E4891" s="2">
        <v>6</v>
      </c>
      <c r="F4891" s="2" t="s">
        <v>2282</v>
      </c>
    </row>
    <row r="4892" spans="1:6" ht="25.5">
      <c r="A4892" s="2">
        <v>4889</v>
      </c>
      <c r="B4892" s="2" t="s">
        <v>4966</v>
      </c>
      <c r="C4892" s="2" t="str">
        <f>"00121797"</f>
        <v>00121797</v>
      </c>
      <c r="D4892" s="2">
        <v>3.81</v>
      </c>
      <c r="E4892" s="2">
        <v>227</v>
      </c>
      <c r="F4892" s="2" t="s">
        <v>6</v>
      </c>
    </row>
    <row r="4893" spans="1:6" ht="25.5">
      <c r="A4893" s="2">
        <v>4890</v>
      </c>
      <c r="B4893" s="2" t="s">
        <v>4967</v>
      </c>
      <c r="C4893" s="2" t="str">
        <f>"18616089"</f>
        <v>18616089</v>
      </c>
      <c r="D4893" s="2">
        <v>0.1</v>
      </c>
      <c r="E4893" s="2">
        <v>1</v>
      </c>
      <c r="F4893" s="2" t="s">
        <v>12</v>
      </c>
    </row>
    <row r="4894" spans="1:6" ht="25.5">
      <c r="A4894" s="2">
        <v>4891</v>
      </c>
      <c r="B4894" s="2" t="s">
        <v>4968</v>
      </c>
      <c r="C4894" s="2" t="str">
        <f>"18714021"</f>
        <v>18714021</v>
      </c>
      <c r="D4894" s="2">
        <v>0.17699999999999999</v>
      </c>
      <c r="E4894" s="2">
        <v>9</v>
      </c>
      <c r="F4894" s="2" t="s">
        <v>75</v>
      </c>
    </row>
    <row r="4895" spans="1:6" ht="25.5">
      <c r="A4895" s="2">
        <v>4892</v>
      </c>
      <c r="B4895" s="2" t="s">
        <v>4969</v>
      </c>
      <c r="C4895" s="2" t="str">
        <f>"12623636"</f>
        <v>12623636</v>
      </c>
      <c r="D4895" s="2">
        <v>0.871</v>
      </c>
      <c r="E4895" s="2">
        <v>56</v>
      </c>
      <c r="F4895" s="2" t="s">
        <v>66</v>
      </c>
    </row>
    <row r="4896" spans="1:6" ht="25.5">
      <c r="A4896" s="2">
        <v>4893</v>
      </c>
      <c r="B4896" s="2" t="s">
        <v>4970</v>
      </c>
      <c r="C4896" s="2" t="str">
        <f>"14791641"</f>
        <v>14791641</v>
      </c>
      <c r="D4896" s="2">
        <v>0.70899999999999996</v>
      </c>
      <c r="E4896" s="2">
        <v>28</v>
      </c>
      <c r="F4896" s="2" t="s">
        <v>16</v>
      </c>
    </row>
    <row r="4897" spans="1:6" ht="25.5">
      <c r="A4897" s="2">
        <v>4894</v>
      </c>
      <c r="B4897" s="2" t="s">
        <v>4971</v>
      </c>
      <c r="C4897" s="2" t="str">
        <f>"19355548"</f>
        <v>19355548</v>
      </c>
      <c r="D4897" s="2">
        <v>3.758</v>
      </c>
      <c r="E4897" s="2">
        <v>231</v>
      </c>
      <c r="F4897" s="2" t="s">
        <v>6</v>
      </c>
    </row>
    <row r="4898" spans="1:6" ht="25.5">
      <c r="A4898" s="2">
        <v>4895</v>
      </c>
      <c r="B4898" s="2" t="s">
        <v>4972</v>
      </c>
      <c r="C4898" s="2" t="str">
        <f>"15546063"</f>
        <v>15546063</v>
      </c>
      <c r="D4898" s="2">
        <v>1.1519999999999999</v>
      </c>
      <c r="E4898" s="2">
        <v>41</v>
      </c>
      <c r="F4898" s="2" t="s">
        <v>6</v>
      </c>
    </row>
    <row r="4899" spans="1:6" ht="25.5">
      <c r="A4899" s="2">
        <v>4896</v>
      </c>
      <c r="B4899" s="2" t="s">
        <v>4973</v>
      </c>
      <c r="C4899" s="2" t="str">
        <f>"00958301"</f>
        <v>00958301</v>
      </c>
      <c r="D4899" s="2">
        <v>0.1</v>
      </c>
      <c r="E4899" s="2">
        <v>3</v>
      </c>
      <c r="F4899" s="2" t="s">
        <v>6</v>
      </c>
    </row>
    <row r="4900" spans="1:6" ht="25.5">
      <c r="A4900" s="2">
        <v>4897</v>
      </c>
      <c r="B4900" s="2" t="s">
        <v>4974</v>
      </c>
      <c r="C4900" s="2" t="str">
        <f>"11787007"</f>
        <v>11787007</v>
      </c>
      <c r="D4900" s="2">
        <v>0.377</v>
      </c>
      <c r="E4900" s="2">
        <v>6</v>
      </c>
      <c r="F4900" s="2" t="s">
        <v>503</v>
      </c>
    </row>
    <row r="4901" spans="1:6" ht="25.5">
      <c r="A4901" s="2">
        <v>4898</v>
      </c>
      <c r="B4901" s="2" t="s">
        <v>4975</v>
      </c>
      <c r="C4901" s="2" t="str">
        <f>"15207560"</f>
        <v>15207560</v>
      </c>
      <c r="D4901" s="2">
        <v>0.98099999999999998</v>
      </c>
      <c r="E4901" s="2">
        <v>69</v>
      </c>
      <c r="F4901" s="2" t="s">
        <v>16</v>
      </c>
    </row>
    <row r="4902" spans="1:6" ht="25.5">
      <c r="A4902" s="2">
        <v>4899</v>
      </c>
      <c r="B4902" s="2" t="s">
        <v>4976</v>
      </c>
      <c r="C4902" s="2" t="str">
        <f>"14631326"</f>
        <v>14631326</v>
      </c>
      <c r="D4902" s="2">
        <v>1.526</v>
      </c>
      <c r="E4902" s="2">
        <v>64</v>
      </c>
      <c r="F4902" s="2" t="s">
        <v>16</v>
      </c>
    </row>
    <row r="4903" spans="1:6" ht="25.5">
      <c r="A4903" s="2">
        <v>4900</v>
      </c>
      <c r="B4903" s="2" t="s">
        <v>4977</v>
      </c>
      <c r="C4903" s="2" t="str">
        <f>"14657740"</f>
        <v>14657740</v>
      </c>
      <c r="D4903" s="2">
        <v>0</v>
      </c>
      <c r="E4903" s="2">
        <v>4</v>
      </c>
      <c r="F4903" s="2" t="s">
        <v>16</v>
      </c>
    </row>
    <row r="4904" spans="1:6" ht="25.5">
      <c r="A4904" s="2">
        <v>4901</v>
      </c>
      <c r="B4904" s="2" t="s">
        <v>4978</v>
      </c>
      <c r="C4904" s="2" t="str">
        <f>"14668955"</f>
        <v>14668955</v>
      </c>
      <c r="D4904" s="2">
        <v>0.126</v>
      </c>
      <c r="E4904" s="2">
        <v>3</v>
      </c>
      <c r="F4904" s="2" t="s">
        <v>16</v>
      </c>
    </row>
    <row r="4905" spans="1:6" ht="25.5">
      <c r="A4905" s="2">
        <v>4902</v>
      </c>
      <c r="B4905" s="2" t="s">
        <v>4979</v>
      </c>
      <c r="C4905" s="2" t="str">
        <f>"01688227"</f>
        <v>01688227</v>
      </c>
      <c r="D4905" s="2">
        <v>0.84399999999999997</v>
      </c>
      <c r="E4905" s="2">
        <v>66</v>
      </c>
      <c r="F4905" s="2" t="s">
        <v>732</v>
      </c>
    </row>
    <row r="4906" spans="1:6" ht="25.5">
      <c r="A4906" s="2">
        <v>4903</v>
      </c>
      <c r="B4906" s="2" t="s">
        <v>4980</v>
      </c>
      <c r="C4906" s="2" t="str">
        <f>"07416253"</f>
        <v>07416253</v>
      </c>
      <c r="D4906" s="2">
        <v>0.1</v>
      </c>
      <c r="E4906" s="2">
        <v>3</v>
      </c>
      <c r="F4906" s="2" t="s">
        <v>6</v>
      </c>
    </row>
    <row r="4907" spans="1:6" ht="25.5">
      <c r="A4907" s="2">
        <v>4904</v>
      </c>
      <c r="B4907" s="2" t="s">
        <v>4981</v>
      </c>
      <c r="C4907" s="2" t="str">
        <f>"10409165"</f>
        <v>10409165</v>
      </c>
      <c r="D4907" s="2">
        <v>0.252</v>
      </c>
      <c r="E4907" s="2">
        <v>13</v>
      </c>
      <c r="F4907" s="2" t="s">
        <v>6</v>
      </c>
    </row>
    <row r="4908" spans="1:6" ht="25.5">
      <c r="A4908" s="2">
        <v>4905</v>
      </c>
      <c r="B4908" s="2" t="s">
        <v>4982</v>
      </c>
      <c r="C4908" s="2" t="str">
        <f>"18617603"</f>
        <v>18617603</v>
      </c>
      <c r="D4908" s="2">
        <v>0.11700000000000001</v>
      </c>
      <c r="E4908" s="2">
        <v>12</v>
      </c>
      <c r="F4908" s="2" t="s">
        <v>12</v>
      </c>
    </row>
    <row r="4909" spans="1:6" ht="25.5">
      <c r="A4909" s="2">
        <v>4906</v>
      </c>
      <c r="B4909" s="2" t="s">
        <v>4983</v>
      </c>
      <c r="C4909" s="2" t="str">
        <f>"15209156"</f>
        <v>15209156</v>
      </c>
      <c r="D4909" s="2">
        <v>0.68200000000000005</v>
      </c>
      <c r="E4909" s="2">
        <v>47</v>
      </c>
      <c r="F4909" s="2" t="s">
        <v>6</v>
      </c>
    </row>
    <row r="4910" spans="1:6" ht="25.5">
      <c r="A4910" s="2">
        <v>4907</v>
      </c>
      <c r="B4910" s="2" t="s">
        <v>4984</v>
      </c>
      <c r="C4910" s="2" t="str">
        <f>"18696961"</f>
        <v>18696961</v>
      </c>
      <c r="D4910" s="2">
        <v>0.192</v>
      </c>
      <c r="E4910" s="2">
        <v>2</v>
      </c>
      <c r="F4910" s="2" t="s">
        <v>6</v>
      </c>
    </row>
    <row r="4911" spans="1:6" ht="25.5">
      <c r="A4911" s="2">
        <v>4908</v>
      </c>
      <c r="B4911" s="2" t="s">
        <v>4985</v>
      </c>
      <c r="C4911" s="2" t="str">
        <f>"17572428"</f>
        <v>17572428</v>
      </c>
      <c r="D4911" s="2">
        <v>0.10100000000000001</v>
      </c>
      <c r="E4911" s="2">
        <v>1</v>
      </c>
      <c r="F4911" s="2" t="s">
        <v>16</v>
      </c>
    </row>
    <row r="4912" spans="1:6" ht="25.5">
      <c r="A4912" s="2">
        <v>4909</v>
      </c>
      <c r="B4912" s="2" t="s">
        <v>4986</v>
      </c>
      <c r="C4912" s="2" t="str">
        <f>"14645491"</f>
        <v>14645491</v>
      </c>
      <c r="D4912" s="2">
        <v>1.337</v>
      </c>
      <c r="E4912" s="2">
        <v>96</v>
      </c>
      <c r="F4912" s="2" t="s">
        <v>16</v>
      </c>
    </row>
    <row r="4913" spans="1:6" ht="25.5">
      <c r="A4913" s="2">
        <v>4910</v>
      </c>
      <c r="B4913" s="2" t="s">
        <v>4987</v>
      </c>
      <c r="C4913" s="2" t="str">
        <f>"18609716"</f>
        <v>18609716</v>
      </c>
      <c r="D4913" s="2">
        <v>0.122</v>
      </c>
      <c r="E4913" s="2">
        <v>5</v>
      </c>
      <c r="F4913" s="2" t="s">
        <v>12</v>
      </c>
    </row>
    <row r="4914" spans="1:6" ht="25.5">
      <c r="A4914" s="2">
        <v>4911</v>
      </c>
      <c r="B4914" s="2" t="s">
        <v>4988</v>
      </c>
      <c r="C4914" s="2" t="str">
        <f>"14320428"</f>
        <v>14320428</v>
      </c>
      <c r="D4914" s="2">
        <v>2.5960000000000001</v>
      </c>
      <c r="E4914" s="2">
        <v>150</v>
      </c>
      <c r="F4914" s="2" t="s">
        <v>12</v>
      </c>
    </row>
    <row r="4915" spans="1:6" ht="25.5">
      <c r="A4915" s="2">
        <v>4912</v>
      </c>
      <c r="B4915" s="2" t="s">
        <v>4989</v>
      </c>
      <c r="C4915" s="2" t="str">
        <f>"03510042"</f>
        <v>03510042</v>
      </c>
      <c r="D4915" s="2">
        <v>0.24099999999999999</v>
      </c>
      <c r="E4915" s="2">
        <v>6</v>
      </c>
      <c r="F4915" s="2" t="s">
        <v>149</v>
      </c>
    </row>
    <row r="4916" spans="1:6" ht="25.5">
      <c r="A4916" s="2">
        <v>4913</v>
      </c>
      <c r="B4916" s="2" t="s">
        <v>4990</v>
      </c>
      <c r="C4916" s="2" t="str">
        <f>"16433165"</f>
        <v>16433165</v>
      </c>
      <c r="D4916" s="2">
        <v>0.10100000000000001</v>
      </c>
      <c r="E4916" s="2">
        <v>4</v>
      </c>
      <c r="F4916" s="2" t="s">
        <v>169</v>
      </c>
    </row>
    <row r="4917" spans="1:6" ht="25.5">
      <c r="A4917" s="2">
        <v>4914</v>
      </c>
      <c r="B4917" s="2" t="s">
        <v>4991</v>
      </c>
      <c r="C4917" s="2" t="str">
        <f>"12126853"</f>
        <v>12126853</v>
      </c>
      <c r="D4917" s="2">
        <v>0.112</v>
      </c>
      <c r="E4917" s="2">
        <v>4</v>
      </c>
      <c r="F4917" s="2" t="s">
        <v>208</v>
      </c>
    </row>
    <row r="4918" spans="1:6" ht="25.5">
      <c r="A4918" s="2">
        <v>4915</v>
      </c>
      <c r="B4918" s="2" t="s">
        <v>4992</v>
      </c>
      <c r="C4918" s="2" t="str">
        <f>"18619002"</f>
        <v>18619002</v>
      </c>
      <c r="D4918" s="2">
        <v>0.24399999999999999</v>
      </c>
      <c r="E4918" s="2">
        <v>6</v>
      </c>
      <c r="F4918" s="2" t="s">
        <v>12</v>
      </c>
    </row>
    <row r="4919" spans="1:6" ht="25.5">
      <c r="A4919" s="2">
        <v>4916</v>
      </c>
      <c r="B4919" s="2" t="s">
        <v>4993</v>
      </c>
      <c r="C4919" s="2" t="str">
        <f>"17585996"</f>
        <v>17585996</v>
      </c>
      <c r="D4919" s="2">
        <v>0.57199999999999995</v>
      </c>
      <c r="E4919" s="2">
        <v>10</v>
      </c>
      <c r="F4919" s="2" t="s">
        <v>16</v>
      </c>
    </row>
    <row r="4920" spans="1:6" ht="25.5">
      <c r="A4920" s="2">
        <v>4917</v>
      </c>
      <c r="B4920" s="2" t="s">
        <v>4994</v>
      </c>
      <c r="C4920" s="2" t="str">
        <f>"15699714"</f>
        <v>15699714</v>
      </c>
      <c r="D4920" s="2">
        <v>0.30099999999999999</v>
      </c>
      <c r="E4920" s="2">
        <v>6</v>
      </c>
      <c r="F4920" s="2" t="s">
        <v>75</v>
      </c>
    </row>
    <row r="4921" spans="1:6" ht="25.5">
      <c r="A4921" s="2">
        <v>4918</v>
      </c>
      <c r="B4921" s="2" t="s">
        <v>4995</v>
      </c>
      <c r="C4921" s="2" t="str">
        <f>"10806539"</f>
        <v>10806539</v>
      </c>
      <c r="D4921" s="2">
        <v>0.10100000000000001</v>
      </c>
      <c r="E4921" s="2">
        <v>8</v>
      </c>
      <c r="F4921" s="2" t="s">
        <v>6</v>
      </c>
    </row>
    <row r="4922" spans="1:6" ht="25.5">
      <c r="A4922" s="2">
        <v>4919</v>
      </c>
      <c r="B4922" s="2" t="s">
        <v>4996</v>
      </c>
      <c r="C4922" s="2" t="str">
        <f>"00121924"</f>
        <v>00121924</v>
      </c>
      <c r="D4922" s="2">
        <v>0.373</v>
      </c>
      <c r="E4922" s="2">
        <v>27</v>
      </c>
      <c r="F4922" s="2" t="s">
        <v>6</v>
      </c>
    </row>
    <row r="4923" spans="1:6" ht="25.5">
      <c r="A4923" s="2">
        <v>4920</v>
      </c>
      <c r="B4923" s="2" t="s">
        <v>4997</v>
      </c>
      <c r="C4923" s="2" t="str">
        <f>"22115684"</f>
        <v>22115684</v>
      </c>
      <c r="D4923" s="2">
        <v>0</v>
      </c>
      <c r="E4923" s="2">
        <v>2</v>
      </c>
      <c r="F4923" s="2" t="s">
        <v>66</v>
      </c>
    </row>
    <row r="4924" spans="1:6" ht="25.5">
      <c r="A4924" s="2">
        <v>4921</v>
      </c>
      <c r="B4924" s="2" t="s">
        <v>4998</v>
      </c>
      <c r="C4924" s="2" t="str">
        <f>"13053825"</f>
        <v>13053825</v>
      </c>
      <c r="D4924" s="2">
        <v>0.432</v>
      </c>
      <c r="E4924" s="2">
        <v>19</v>
      </c>
      <c r="F4924" s="2" t="s">
        <v>345</v>
      </c>
    </row>
    <row r="4925" spans="1:6" ht="25.5">
      <c r="A4925" s="2">
        <v>4922</v>
      </c>
      <c r="B4925" s="2" t="s">
        <v>4999</v>
      </c>
      <c r="C4925" s="2" t="str">
        <f>"10703608"</f>
        <v>10703608</v>
      </c>
      <c r="D4925" s="2">
        <v>0.371</v>
      </c>
      <c r="E4925" s="2">
        <v>13</v>
      </c>
      <c r="F4925" s="2" t="s">
        <v>6</v>
      </c>
    </row>
    <row r="4926" spans="1:6" ht="25.5">
      <c r="A4926" s="2">
        <v>4923</v>
      </c>
      <c r="B4926" s="2" t="s">
        <v>5000</v>
      </c>
      <c r="C4926" s="2" t="str">
        <f>"87551039"</f>
        <v>87551039</v>
      </c>
      <c r="D4926" s="2">
        <v>0.40899999999999997</v>
      </c>
      <c r="E4926" s="2">
        <v>43</v>
      </c>
      <c r="F4926" s="2" t="s">
        <v>6</v>
      </c>
    </row>
    <row r="4927" spans="1:6" ht="25.5">
      <c r="A4927" s="2">
        <v>4924</v>
      </c>
      <c r="B4927" s="2" t="s">
        <v>5001</v>
      </c>
      <c r="C4927" s="2" t="str">
        <f>"17562317"</f>
        <v>17562317</v>
      </c>
      <c r="D4927" s="2">
        <v>0.192</v>
      </c>
      <c r="E4927" s="2">
        <v>14</v>
      </c>
      <c r="F4927" s="2" t="s">
        <v>75</v>
      </c>
    </row>
    <row r="4928" spans="1:6" ht="25.5">
      <c r="A4928" s="2">
        <v>4925</v>
      </c>
      <c r="B4928" s="2" t="s">
        <v>5002</v>
      </c>
      <c r="C4928" s="2" t="str">
        <f>"07328893"</f>
        <v>07328893</v>
      </c>
      <c r="D4928" s="2">
        <v>0.97099999999999997</v>
      </c>
      <c r="E4928" s="2">
        <v>66</v>
      </c>
      <c r="F4928" s="2" t="s">
        <v>6</v>
      </c>
    </row>
    <row r="4929" spans="1:6" ht="25.5">
      <c r="A4929" s="2">
        <v>4926</v>
      </c>
      <c r="B4929" s="2" t="s">
        <v>5003</v>
      </c>
      <c r="C4929" s="2" t="str">
        <f>"15334066"</f>
        <v>15334066</v>
      </c>
      <c r="D4929" s="2">
        <v>0.82</v>
      </c>
      <c r="E4929" s="2">
        <v>40</v>
      </c>
      <c r="F4929" s="2" t="s">
        <v>6</v>
      </c>
    </row>
    <row r="4930" spans="1:6" ht="25.5">
      <c r="A4930" s="2">
        <v>4927</v>
      </c>
      <c r="B4930" s="2" t="s">
        <v>5004</v>
      </c>
      <c r="C4930" s="2" t="str">
        <f>"21734127"</f>
        <v>21734127</v>
      </c>
      <c r="D4930" s="2">
        <v>0.10299999999999999</v>
      </c>
      <c r="E4930" s="2">
        <v>1</v>
      </c>
      <c r="F4930" s="2" t="s">
        <v>351</v>
      </c>
    </row>
    <row r="4931" spans="1:6" ht="25.5">
      <c r="A4931" s="2">
        <v>4928</v>
      </c>
      <c r="B4931" s="2" t="s">
        <v>5005</v>
      </c>
      <c r="C4931" s="2" t="str">
        <f>"17461596"</f>
        <v>17461596</v>
      </c>
      <c r="D4931" s="2">
        <v>0.51100000000000001</v>
      </c>
      <c r="E4931" s="2">
        <v>19</v>
      </c>
      <c r="F4931" s="2" t="s">
        <v>16</v>
      </c>
    </row>
    <row r="4932" spans="1:6" ht="25.5">
      <c r="A4932" s="2">
        <v>4929</v>
      </c>
      <c r="B4932" s="2" t="s">
        <v>5006</v>
      </c>
      <c r="C4932" s="2" t="str">
        <f>"17468361"</f>
        <v>17468361</v>
      </c>
      <c r="D4932" s="2">
        <v>0.23899999999999999</v>
      </c>
      <c r="E4932" s="2">
        <v>10</v>
      </c>
      <c r="F4932" s="2" t="s">
        <v>16</v>
      </c>
    </row>
    <row r="4933" spans="1:6" ht="25.5">
      <c r="A4933" s="2">
        <v>4930</v>
      </c>
      <c r="B4933" s="2" t="s">
        <v>5007</v>
      </c>
      <c r="C4933" s="2" t="str">
        <f>"15730786"</f>
        <v>15730786</v>
      </c>
      <c r="D4933" s="2">
        <v>0.109</v>
      </c>
      <c r="E4933" s="2">
        <v>7</v>
      </c>
      <c r="F4933" s="2" t="s">
        <v>75</v>
      </c>
    </row>
    <row r="4934" spans="1:6" ht="25.5">
      <c r="A4934" s="2">
        <v>4931</v>
      </c>
      <c r="B4934" s="2" t="s">
        <v>5008</v>
      </c>
      <c r="C4934" s="2" t="str">
        <f>"20132247"</f>
        <v>20132247</v>
      </c>
      <c r="D4934" s="2">
        <v>0.11799999999999999</v>
      </c>
      <c r="E4934" s="2">
        <v>2</v>
      </c>
      <c r="F4934" s="2" t="s">
        <v>351</v>
      </c>
    </row>
    <row r="4935" spans="1:6" ht="25.5">
      <c r="A4935" s="2">
        <v>4932</v>
      </c>
      <c r="B4935" s="2" t="s">
        <v>5009</v>
      </c>
      <c r="C4935" s="2" t="str">
        <f>"09424040"</f>
        <v>09424040</v>
      </c>
      <c r="D4935" s="2">
        <v>0.13700000000000001</v>
      </c>
      <c r="E4935" s="2">
        <v>1</v>
      </c>
      <c r="F4935" s="2" t="s">
        <v>12</v>
      </c>
    </row>
    <row r="4936" spans="1:6" ht="25.5">
      <c r="A4936" s="2">
        <v>4933</v>
      </c>
      <c r="B4936" s="2" t="s">
        <v>5010</v>
      </c>
      <c r="C4936" s="2" t="str">
        <f>"18862845"</f>
        <v>18862845</v>
      </c>
      <c r="D4936" s="2">
        <v>0.13700000000000001</v>
      </c>
      <c r="E4936" s="2">
        <v>4</v>
      </c>
      <c r="F4936" s="2" t="s">
        <v>351</v>
      </c>
    </row>
    <row r="4937" spans="1:6" ht="25.5">
      <c r="A4937" s="2">
        <v>4934</v>
      </c>
      <c r="B4937" s="2" t="s">
        <v>5011</v>
      </c>
      <c r="C4937" s="2" t="str">
        <f>"00122033"</f>
        <v>00122033</v>
      </c>
      <c r="D4937" s="2">
        <v>0.125</v>
      </c>
      <c r="E4937" s="2">
        <v>1</v>
      </c>
      <c r="F4937" s="2" t="s">
        <v>6</v>
      </c>
    </row>
    <row r="4938" spans="1:6" ht="25.5">
      <c r="A4938" s="2">
        <v>4935</v>
      </c>
      <c r="B4938" s="2" t="s">
        <v>5012</v>
      </c>
      <c r="C4938" s="2" t="str">
        <f>"14159945"</f>
        <v>14159945</v>
      </c>
      <c r="D4938" s="2">
        <v>0</v>
      </c>
      <c r="E4938" s="2">
        <v>0</v>
      </c>
      <c r="F4938" s="2" t="s">
        <v>159</v>
      </c>
    </row>
    <row r="4939" spans="1:6" ht="25.5">
      <c r="A4939" s="2">
        <v>4936</v>
      </c>
      <c r="B4939" s="2" t="s">
        <v>5013</v>
      </c>
      <c r="C4939" s="2" t="str">
        <f>"02428962"</f>
        <v>02428962</v>
      </c>
      <c r="D4939" s="2">
        <v>0.10100000000000001</v>
      </c>
      <c r="E4939" s="2">
        <v>4</v>
      </c>
      <c r="F4939" s="2" t="s">
        <v>274</v>
      </c>
    </row>
    <row r="4940" spans="1:6" ht="25.5">
      <c r="A4940" s="2">
        <v>4937</v>
      </c>
      <c r="B4940" s="2" t="s">
        <v>5014</v>
      </c>
      <c r="C4940" s="2" t="str">
        <f>"00122173"</f>
        <v>00122173</v>
      </c>
      <c r="D4940" s="2">
        <v>0.10199999999999999</v>
      </c>
      <c r="E4940" s="2">
        <v>3</v>
      </c>
      <c r="F4940" s="2" t="s">
        <v>64</v>
      </c>
    </row>
    <row r="4941" spans="1:6" ht="25.5">
      <c r="A4941" s="2">
        <v>4938</v>
      </c>
      <c r="B4941" s="2" t="s">
        <v>5015</v>
      </c>
      <c r="C4941" s="2" t="str">
        <f>"1955270X"</f>
        <v>1955270X</v>
      </c>
      <c r="D4941" s="2">
        <v>0.10100000000000001</v>
      </c>
      <c r="E4941" s="2">
        <v>2</v>
      </c>
      <c r="F4941" s="2" t="s">
        <v>66</v>
      </c>
    </row>
    <row r="4942" spans="1:6" ht="25.5">
      <c r="A4942" s="2">
        <v>4939</v>
      </c>
      <c r="B4942" s="2" t="s">
        <v>5016</v>
      </c>
      <c r="C4942" s="2" t="str">
        <f>"12729949"</f>
        <v>12729949</v>
      </c>
      <c r="D4942" s="2">
        <v>0.17199999999999999</v>
      </c>
      <c r="E4942" s="2">
        <v>5</v>
      </c>
      <c r="F4942" s="2" t="s">
        <v>66</v>
      </c>
    </row>
    <row r="4943" spans="1:6" ht="25.5">
      <c r="A4943" s="2">
        <v>4940</v>
      </c>
      <c r="B4943" s="2" t="s">
        <v>5017</v>
      </c>
      <c r="C4943" s="2" t="str">
        <f>"12948322"</f>
        <v>12948322</v>
      </c>
      <c r="D4943" s="2">
        <v>1.41</v>
      </c>
      <c r="E4943" s="2">
        <v>29</v>
      </c>
      <c r="F4943" s="2" t="s">
        <v>66</v>
      </c>
    </row>
    <row r="4944" spans="1:6" ht="25.5">
      <c r="A4944" s="2">
        <v>4941</v>
      </c>
      <c r="B4944" s="2" t="s">
        <v>5018</v>
      </c>
      <c r="C4944" s="2" t="str">
        <f>"00902934"</f>
        <v>00902934</v>
      </c>
      <c r="D4944" s="2">
        <v>0.14199999999999999</v>
      </c>
      <c r="E4944" s="2">
        <v>14</v>
      </c>
      <c r="F4944" s="2" t="s">
        <v>6</v>
      </c>
    </row>
    <row r="4945" spans="1:6" ht="25.5">
      <c r="A4945" s="2">
        <v>4942</v>
      </c>
      <c r="B4945" s="2" t="s">
        <v>5019</v>
      </c>
      <c r="C4945" s="2" t="str">
        <f>"17335566"</f>
        <v>17335566</v>
      </c>
      <c r="D4945" s="2">
        <v>0.10100000000000001</v>
      </c>
      <c r="E4945" s="2">
        <v>1</v>
      </c>
      <c r="F4945" s="2" t="s">
        <v>169</v>
      </c>
    </row>
    <row r="4946" spans="1:6" ht="25.5">
      <c r="A4946" s="2">
        <v>4943</v>
      </c>
      <c r="B4946" s="2" t="s">
        <v>5020</v>
      </c>
      <c r="C4946" s="2" t="str">
        <f>"09259635"</f>
        <v>09259635</v>
      </c>
      <c r="D4946" s="2">
        <v>0.89200000000000002</v>
      </c>
      <c r="E4946" s="2">
        <v>70</v>
      </c>
      <c r="F4946" s="2" t="s">
        <v>75</v>
      </c>
    </row>
    <row r="4947" spans="1:6" ht="25.5">
      <c r="A4947" s="2">
        <v>4944</v>
      </c>
      <c r="B4947" s="2" t="s">
        <v>5021</v>
      </c>
      <c r="C4947" s="2" t="str">
        <f>"10050388"</f>
        <v>10050388</v>
      </c>
      <c r="D4947" s="2">
        <v>0.247</v>
      </c>
      <c r="E4947" s="2">
        <v>15</v>
      </c>
      <c r="F4947" s="2" t="s">
        <v>46</v>
      </c>
    </row>
    <row r="4948" spans="1:6" ht="25.5">
      <c r="A4948" s="2">
        <v>4945</v>
      </c>
      <c r="B4948" s="2" t="s">
        <v>5022</v>
      </c>
      <c r="C4948" s="2" t="str">
        <f>"10006753"</f>
        <v>10006753</v>
      </c>
      <c r="D4948" s="2">
        <v>0.55600000000000005</v>
      </c>
      <c r="E4948" s="2">
        <v>22</v>
      </c>
      <c r="F4948" s="2" t="s">
        <v>46</v>
      </c>
    </row>
    <row r="4949" spans="1:6" ht="25.5">
      <c r="A4949" s="2">
        <v>4946</v>
      </c>
      <c r="B4949" s="2" t="s">
        <v>5023</v>
      </c>
      <c r="C4949" s="2" t="str">
        <f>"1007449X"</f>
        <v>1007449X</v>
      </c>
      <c r="D4949" s="2">
        <v>0.39400000000000002</v>
      </c>
      <c r="E4949" s="2">
        <v>10</v>
      </c>
      <c r="F4949" s="2" t="s">
        <v>46</v>
      </c>
    </row>
    <row r="4950" spans="1:6" ht="25.5">
      <c r="A4950" s="2">
        <v>4947</v>
      </c>
      <c r="B4950" s="2" t="s">
        <v>5024</v>
      </c>
      <c r="C4950" s="2" t="str">
        <f>"16743415"</f>
        <v>16743415</v>
      </c>
      <c r="D4950" s="2">
        <v>0.34499999999999997</v>
      </c>
      <c r="E4950" s="2">
        <v>15</v>
      </c>
      <c r="F4950" s="2" t="s">
        <v>46</v>
      </c>
    </row>
    <row r="4951" spans="1:6" ht="25.5">
      <c r="A4951" s="2">
        <v>4948</v>
      </c>
      <c r="B4951" s="2" t="s">
        <v>5025</v>
      </c>
      <c r="C4951" s="2" t="str">
        <f>"10001026"</f>
        <v>10001026</v>
      </c>
      <c r="D4951" s="2">
        <v>0.82599999999999996</v>
      </c>
      <c r="E4951" s="2">
        <v>39</v>
      </c>
      <c r="F4951" s="2" t="s">
        <v>46</v>
      </c>
    </row>
    <row r="4952" spans="1:6" ht="25.5">
      <c r="A4952" s="2">
        <v>4949</v>
      </c>
      <c r="B4952" s="2" t="s">
        <v>5026</v>
      </c>
      <c r="C4952" s="2" t="str">
        <f>"10066047"</f>
        <v>10066047</v>
      </c>
      <c r="D4952" s="2">
        <v>0.42199999999999999</v>
      </c>
      <c r="E4952" s="2">
        <v>14</v>
      </c>
      <c r="F4952" s="2" t="s">
        <v>46</v>
      </c>
    </row>
    <row r="4953" spans="1:6" ht="25.5">
      <c r="A4953" s="2">
        <v>4950</v>
      </c>
      <c r="B4953" s="2" t="s">
        <v>5027</v>
      </c>
      <c r="C4953" s="2" t="str">
        <f>"10010548"</f>
        <v>10010548</v>
      </c>
      <c r="D4953" s="2">
        <v>0.16200000000000001</v>
      </c>
      <c r="E4953" s="2">
        <v>9</v>
      </c>
      <c r="F4953" s="2" t="s">
        <v>46</v>
      </c>
    </row>
    <row r="4954" spans="1:6" ht="25.5">
      <c r="A4954" s="2">
        <v>4951</v>
      </c>
      <c r="B4954" s="2" t="s">
        <v>5028</v>
      </c>
      <c r="C4954" s="2" t="str">
        <f>"10095896"</f>
        <v>10095896</v>
      </c>
      <c r="D4954" s="2">
        <v>0.29499999999999998</v>
      </c>
      <c r="E4954" s="2">
        <v>13</v>
      </c>
      <c r="F4954" s="2" t="s">
        <v>46</v>
      </c>
    </row>
    <row r="4955" spans="1:6" ht="25.5">
      <c r="A4955" s="2">
        <v>4952</v>
      </c>
      <c r="B4955" s="2" t="s">
        <v>5029</v>
      </c>
      <c r="C4955" s="2" t="str">
        <f>"15595692"</f>
        <v>15595692</v>
      </c>
      <c r="D4955" s="2">
        <v>0.13400000000000001</v>
      </c>
      <c r="E4955" s="2">
        <v>2</v>
      </c>
      <c r="F4955" s="2" t="s">
        <v>16</v>
      </c>
    </row>
    <row r="4956" spans="1:6" ht="25.5">
      <c r="A4956" s="2">
        <v>4953</v>
      </c>
      <c r="B4956" s="2" t="s">
        <v>5030</v>
      </c>
      <c r="C4956" s="2" t="str">
        <f>"0269249X"</f>
        <v>0269249X</v>
      </c>
      <c r="D4956" s="2">
        <v>0.44900000000000001</v>
      </c>
      <c r="E4956" s="2">
        <v>19</v>
      </c>
      <c r="F4956" s="2" t="s">
        <v>16</v>
      </c>
    </row>
    <row r="4957" spans="1:6" ht="25.5">
      <c r="A4957" s="2">
        <v>4954</v>
      </c>
      <c r="B4957" s="2" t="s">
        <v>5031</v>
      </c>
      <c r="C4957" s="2" t="str">
        <f>"07425473"</f>
        <v>07425473</v>
      </c>
      <c r="D4957" s="2">
        <v>0.1</v>
      </c>
      <c r="E4957" s="2">
        <v>2</v>
      </c>
      <c r="F4957" s="2" t="s">
        <v>6</v>
      </c>
    </row>
    <row r="4958" spans="1:6" ht="25.5">
      <c r="A4958" s="2">
        <v>4955</v>
      </c>
      <c r="B4958" s="2" t="s">
        <v>5032</v>
      </c>
      <c r="C4958" s="2" t="str">
        <f>"00139998"</f>
        <v>00139998</v>
      </c>
      <c r="D4958" s="2">
        <v>0.40100000000000002</v>
      </c>
      <c r="E4958" s="2">
        <v>12</v>
      </c>
      <c r="F4958" s="2" t="s">
        <v>12</v>
      </c>
    </row>
    <row r="4959" spans="1:6" ht="25.5">
      <c r="A4959" s="2">
        <v>4956</v>
      </c>
      <c r="B4959" s="2" t="s">
        <v>5033</v>
      </c>
      <c r="C4959" s="2" t="str">
        <f>"00258512"</f>
        <v>00258512</v>
      </c>
      <c r="D4959" s="2">
        <v>0.106</v>
      </c>
      <c r="E4959" s="2">
        <v>8</v>
      </c>
      <c r="F4959" s="2" t="s">
        <v>12</v>
      </c>
    </row>
    <row r="4960" spans="1:6" ht="25.5">
      <c r="A4960" s="2">
        <v>4957</v>
      </c>
      <c r="B4960" s="2" t="s">
        <v>5034</v>
      </c>
      <c r="C4960" s="2" t="str">
        <f>"14321904"</f>
        <v>14321904</v>
      </c>
      <c r="D4960" s="2">
        <v>0.89400000000000002</v>
      </c>
      <c r="E4960" s="2">
        <v>60</v>
      </c>
      <c r="F4960" s="2" t="s">
        <v>12</v>
      </c>
    </row>
    <row r="4961" spans="1:6" ht="25.5">
      <c r="A4961" s="2">
        <v>4958</v>
      </c>
      <c r="B4961" s="2" t="s">
        <v>5035</v>
      </c>
      <c r="C4961" s="2" t="str">
        <f>"00317144"</f>
        <v>00317144</v>
      </c>
      <c r="D4961" s="2">
        <v>0.318</v>
      </c>
      <c r="E4961" s="2">
        <v>40</v>
      </c>
      <c r="F4961" s="2" t="s">
        <v>12</v>
      </c>
    </row>
    <row r="4962" spans="1:6" ht="25.5">
      <c r="A4962" s="2">
        <v>4959</v>
      </c>
      <c r="B4962" s="2" t="s">
        <v>5036</v>
      </c>
      <c r="C4962" s="2" t="str">
        <f>"14391309"</f>
        <v>14391309</v>
      </c>
      <c r="D4962" s="2">
        <v>0.27200000000000002</v>
      </c>
      <c r="E4962" s="2">
        <v>23</v>
      </c>
      <c r="F4962" s="2" t="s">
        <v>12</v>
      </c>
    </row>
    <row r="4963" spans="1:6" ht="25.5">
      <c r="A4963" s="2">
        <v>4960</v>
      </c>
      <c r="B4963" s="2" t="s">
        <v>5037</v>
      </c>
      <c r="C4963" s="2" t="str">
        <f>"15700607"</f>
        <v>15700607</v>
      </c>
      <c r="D4963" s="2">
        <v>0.17899999999999999</v>
      </c>
      <c r="E4963" s="2">
        <v>6</v>
      </c>
      <c r="F4963" s="2" t="s">
        <v>75</v>
      </c>
    </row>
    <row r="4964" spans="1:6" ht="25.5">
      <c r="A4964" s="2">
        <v>4961</v>
      </c>
      <c r="B4964" s="2" t="s">
        <v>5038</v>
      </c>
      <c r="C4964" s="2" t="str">
        <f>"10407391"</f>
        <v>10407391</v>
      </c>
      <c r="D4964" s="2">
        <v>0.17</v>
      </c>
      <c r="E4964" s="2">
        <v>10</v>
      </c>
      <c r="F4964" s="2" t="s">
        <v>6</v>
      </c>
    </row>
    <row r="4965" spans="1:6" ht="25.5">
      <c r="A4965" s="2">
        <v>4962</v>
      </c>
      <c r="B4965" s="2" t="s">
        <v>5039</v>
      </c>
      <c r="C4965" s="2" t="str">
        <f>"16083083"</f>
        <v>16083083</v>
      </c>
      <c r="D4965" s="2">
        <v>0.28000000000000003</v>
      </c>
      <c r="E4965" s="2">
        <v>14</v>
      </c>
      <c r="F4965" s="2" t="s">
        <v>129</v>
      </c>
    </row>
    <row r="4966" spans="1:6" ht="25.5">
      <c r="A4966" s="2">
        <v>4963</v>
      </c>
      <c r="B4966" s="2" t="s">
        <v>5040</v>
      </c>
      <c r="C4966" s="2" t="str">
        <f>"09713514"</f>
        <v>09713514</v>
      </c>
      <c r="D4966" s="2">
        <v>0.33700000000000002</v>
      </c>
      <c r="E4966" s="2">
        <v>5</v>
      </c>
      <c r="F4966" s="2" t="s">
        <v>488</v>
      </c>
    </row>
    <row r="4967" spans="1:6" ht="25.5">
      <c r="A4967" s="2">
        <v>4964</v>
      </c>
      <c r="B4967" s="2" t="s">
        <v>5041</v>
      </c>
      <c r="C4967" s="2" t="str">
        <f>"18726984"</f>
        <v>18726984</v>
      </c>
      <c r="D4967" s="2">
        <v>0.57799999999999996</v>
      </c>
      <c r="E4967" s="2">
        <v>19</v>
      </c>
      <c r="F4967" s="2" t="s">
        <v>75</v>
      </c>
    </row>
    <row r="4968" spans="1:6" ht="25.5">
      <c r="A4968" s="2">
        <v>4965</v>
      </c>
      <c r="B4968" s="2" t="s">
        <v>5042</v>
      </c>
      <c r="C4968" s="2" t="str">
        <f>"14320436"</f>
        <v>14320436</v>
      </c>
      <c r="D4968" s="2">
        <v>1.1279999999999999</v>
      </c>
      <c r="E4968" s="2">
        <v>68</v>
      </c>
      <c r="F4968" s="2" t="s">
        <v>75</v>
      </c>
    </row>
    <row r="4969" spans="1:6" ht="25.5">
      <c r="A4969" s="2">
        <v>4966</v>
      </c>
      <c r="B4969" s="2" t="s">
        <v>5043</v>
      </c>
      <c r="C4969" s="2" t="str">
        <f>"10120394"</f>
        <v>10120394</v>
      </c>
      <c r="D4969" s="2">
        <v>0.221</v>
      </c>
      <c r="E4969" s="2">
        <v>21</v>
      </c>
      <c r="F4969" s="2" t="s">
        <v>12</v>
      </c>
    </row>
    <row r="4970" spans="1:6" ht="25.5">
      <c r="A4970" s="2">
        <v>4967</v>
      </c>
      <c r="B4970" s="2" t="s">
        <v>5044</v>
      </c>
      <c r="C4970" s="2" t="str">
        <f>"14219867"</f>
        <v>14219867</v>
      </c>
      <c r="D4970" s="2">
        <v>0.83299999999999996</v>
      </c>
      <c r="E4970" s="2">
        <v>54</v>
      </c>
      <c r="F4970" s="2" t="s">
        <v>31</v>
      </c>
    </row>
    <row r="4971" spans="1:6" ht="25.5">
      <c r="A4971" s="2">
        <v>4968</v>
      </c>
      <c r="B4971" s="2" t="s">
        <v>5045</v>
      </c>
      <c r="C4971" s="2" t="str">
        <f>"15908658"</f>
        <v>15908658</v>
      </c>
      <c r="D4971" s="2">
        <v>0.86199999999999999</v>
      </c>
      <c r="E4971" s="2">
        <v>52</v>
      </c>
      <c r="F4971" s="2" t="s">
        <v>75</v>
      </c>
    </row>
    <row r="4972" spans="1:6" ht="25.5">
      <c r="A4972" s="2">
        <v>4969</v>
      </c>
      <c r="B4972" s="2" t="s">
        <v>5046</v>
      </c>
      <c r="C4972" s="2" t="str">
        <f>"15945804"</f>
        <v>15945804</v>
      </c>
      <c r="D4972" s="2">
        <v>0.128</v>
      </c>
      <c r="E4972" s="2">
        <v>4</v>
      </c>
      <c r="F4972" s="2" t="s">
        <v>75</v>
      </c>
    </row>
    <row r="4973" spans="1:6" ht="25.5">
      <c r="A4973" s="2">
        <v>4970</v>
      </c>
      <c r="B4973" s="2" t="s">
        <v>5047</v>
      </c>
      <c r="C4973" s="2" t="str">
        <f>"14219875"</f>
        <v>14219875</v>
      </c>
      <c r="D4973" s="2">
        <v>0.90500000000000003</v>
      </c>
      <c r="E4973" s="2">
        <v>39</v>
      </c>
      <c r="F4973" s="2" t="s">
        <v>31</v>
      </c>
    </row>
    <row r="4974" spans="1:6" ht="25.5">
      <c r="A4974" s="2">
        <v>4971</v>
      </c>
      <c r="B4974" s="2" t="s">
        <v>5048</v>
      </c>
      <c r="C4974" s="2" t="str">
        <f>"15732568"</f>
        <v>15732568</v>
      </c>
      <c r="D4974" s="2">
        <v>0.80300000000000005</v>
      </c>
      <c r="E4974" s="2">
        <v>84</v>
      </c>
      <c r="F4974" s="2" t="s">
        <v>6</v>
      </c>
    </row>
    <row r="4975" spans="1:6" ht="25.5">
      <c r="A4975" s="2">
        <v>4972</v>
      </c>
      <c r="B4975" s="2" t="s">
        <v>5049</v>
      </c>
      <c r="C4975" s="2" t="str">
        <f>"14431661"</f>
        <v>14431661</v>
      </c>
      <c r="D4975" s="2">
        <v>0.79100000000000004</v>
      </c>
      <c r="E4975" s="2">
        <v>24</v>
      </c>
      <c r="F4975" s="2" t="s">
        <v>16</v>
      </c>
    </row>
    <row r="4976" spans="1:6" ht="25.5">
      <c r="A4976" s="2">
        <v>4973</v>
      </c>
      <c r="B4976" s="2" t="s">
        <v>5050</v>
      </c>
      <c r="C4976" s="2" t="str">
        <f>"14219883"</f>
        <v>14219883</v>
      </c>
      <c r="D4976" s="2">
        <v>0.70699999999999996</v>
      </c>
      <c r="E4976" s="2">
        <v>45</v>
      </c>
      <c r="F4976" s="2" t="s">
        <v>31</v>
      </c>
    </row>
    <row r="4977" spans="1:6" ht="25.5">
      <c r="A4977" s="2">
        <v>4974</v>
      </c>
      <c r="B4977" s="2" t="s">
        <v>5051</v>
      </c>
      <c r="C4977" s="2" t="str">
        <f>"18423582"</f>
        <v>18423582</v>
      </c>
      <c r="D4977" s="2">
        <v>0.34300000000000003</v>
      </c>
      <c r="E4977" s="2">
        <v>14</v>
      </c>
      <c r="F4977" s="2" t="s">
        <v>19</v>
      </c>
    </row>
    <row r="4978" spans="1:6" ht="25.5">
      <c r="A4978" s="2">
        <v>4975</v>
      </c>
      <c r="B4978" s="2" t="s">
        <v>5052</v>
      </c>
      <c r="C4978" s="2" t="str">
        <f>"10972633"</f>
        <v>10972633</v>
      </c>
      <c r="D4978" s="2">
        <v>1.27</v>
      </c>
      <c r="E4978" s="2">
        <v>28</v>
      </c>
      <c r="F4978" s="2" t="s">
        <v>6</v>
      </c>
    </row>
    <row r="4979" spans="1:6" ht="25.5">
      <c r="A4979" s="2">
        <v>4976</v>
      </c>
      <c r="B4979" s="2" t="s">
        <v>5053</v>
      </c>
      <c r="C4979" s="2" t="str">
        <f>"0747668X"</f>
        <v>0747668X</v>
      </c>
      <c r="D4979" s="2">
        <v>0.17299999999999999</v>
      </c>
      <c r="E4979" s="2">
        <v>13</v>
      </c>
      <c r="F4979" s="2" t="s">
        <v>6</v>
      </c>
    </row>
    <row r="4980" spans="1:6" ht="25.5">
      <c r="A4980" s="2">
        <v>4977</v>
      </c>
      <c r="B4980" s="2" t="s">
        <v>5054</v>
      </c>
      <c r="C4980" s="2" t="str">
        <f>"0"</f>
        <v>0</v>
      </c>
      <c r="D4980" s="2">
        <v>0.114</v>
      </c>
      <c r="E4980" s="2">
        <v>13</v>
      </c>
      <c r="F4980" s="2" t="s">
        <v>6</v>
      </c>
    </row>
    <row r="4981" spans="1:6" ht="25.5">
      <c r="A4981" s="2">
        <v>4978</v>
      </c>
      <c r="B4981" s="2" t="s">
        <v>5055</v>
      </c>
      <c r="C4981" s="2" t="str">
        <f>"01936530"</f>
        <v>01936530</v>
      </c>
      <c r="D4981" s="2">
        <v>4.452</v>
      </c>
      <c r="E4981" s="2">
        <v>52</v>
      </c>
      <c r="F4981" s="2" t="s">
        <v>6</v>
      </c>
    </row>
    <row r="4982" spans="1:6" ht="25.5">
      <c r="A4982" s="2">
        <v>4979</v>
      </c>
      <c r="B4982" s="2" t="s">
        <v>5056</v>
      </c>
      <c r="C4982" s="2" t="str">
        <f>"07431562"</f>
        <v>07431562</v>
      </c>
      <c r="D4982" s="2">
        <v>0.874</v>
      </c>
      <c r="E4982" s="2">
        <v>33</v>
      </c>
      <c r="F4982" s="2" t="s">
        <v>6</v>
      </c>
    </row>
    <row r="4983" spans="1:6" ht="25.5">
      <c r="A4983" s="2">
        <v>4980</v>
      </c>
      <c r="B4983" s="2" t="s">
        <v>5057</v>
      </c>
      <c r="C4983" s="2" t="str">
        <f>"17443806"</f>
        <v>17443806</v>
      </c>
      <c r="D4983" s="2">
        <v>0.16300000000000001</v>
      </c>
      <c r="E4983" s="2">
        <v>7</v>
      </c>
      <c r="F4983" s="2" t="s">
        <v>16</v>
      </c>
    </row>
    <row r="4984" spans="1:6" ht="25.5">
      <c r="A4984" s="2">
        <v>4981</v>
      </c>
      <c r="B4984" s="2" t="s">
        <v>5058</v>
      </c>
      <c r="C4984" s="2" t="str">
        <f>"17422876"</f>
        <v>17422876</v>
      </c>
      <c r="D4984" s="2">
        <v>0.59199999999999997</v>
      </c>
      <c r="E4984" s="2">
        <v>19</v>
      </c>
      <c r="F4984" s="2" t="s">
        <v>16</v>
      </c>
    </row>
    <row r="4985" spans="1:6" ht="25.5">
      <c r="A4985" s="2">
        <v>4982</v>
      </c>
      <c r="B4985" s="2" t="s">
        <v>5059</v>
      </c>
      <c r="C4985" s="2" t="str">
        <f>"10954333"</f>
        <v>10954333</v>
      </c>
      <c r="D4985" s="2">
        <v>1.181</v>
      </c>
      <c r="E4985" s="2">
        <v>31</v>
      </c>
      <c r="F4985" s="2" t="s">
        <v>6</v>
      </c>
    </row>
    <row r="4986" spans="1:6" ht="25.5">
      <c r="A4986" s="2">
        <v>4983</v>
      </c>
      <c r="B4986" s="2" t="s">
        <v>5060</v>
      </c>
      <c r="C4986" s="2" t="str">
        <f>"17421128"</f>
        <v>17421128</v>
      </c>
      <c r="D4986" s="2">
        <v>0.1</v>
      </c>
      <c r="E4986" s="2">
        <v>2</v>
      </c>
      <c r="F4986" s="2" t="s">
        <v>16</v>
      </c>
    </row>
    <row r="4987" spans="1:6" ht="25.5">
      <c r="A4987" s="2">
        <v>4984</v>
      </c>
      <c r="B4987" s="2" t="s">
        <v>5061</v>
      </c>
      <c r="C4987" s="2" t="str">
        <f>"2040266X"</f>
        <v>2040266X</v>
      </c>
      <c r="D4987" s="2">
        <v>0.1</v>
      </c>
      <c r="E4987" s="2">
        <v>1</v>
      </c>
      <c r="F4987" s="2" t="s">
        <v>16</v>
      </c>
    </row>
    <row r="4988" spans="1:6" ht="25.5">
      <c r="A4988" s="2">
        <v>4985</v>
      </c>
      <c r="B4988" s="2" t="s">
        <v>5062</v>
      </c>
      <c r="C4988" s="2" t="str">
        <f>"07304625"</f>
        <v>07304625</v>
      </c>
      <c r="D4988" s="2">
        <v>0.23200000000000001</v>
      </c>
      <c r="E4988" s="2">
        <v>17</v>
      </c>
      <c r="F4988" s="2" t="s">
        <v>6</v>
      </c>
    </row>
    <row r="4989" spans="1:6" ht="25.5">
      <c r="A4989" s="2">
        <v>4986</v>
      </c>
      <c r="B4989" s="2" t="s">
        <v>5063</v>
      </c>
      <c r="C4989" s="2" t="str">
        <f>"14677695"</f>
        <v>14677695</v>
      </c>
      <c r="D4989" s="2">
        <v>0.11899999999999999</v>
      </c>
      <c r="E4989" s="2">
        <v>7</v>
      </c>
      <c r="F4989" s="2" t="s">
        <v>16</v>
      </c>
    </row>
    <row r="4990" spans="1:6" ht="25.5">
      <c r="A4990" s="2">
        <v>4987</v>
      </c>
      <c r="B4990" s="2" t="s">
        <v>5064</v>
      </c>
      <c r="C4990" s="2" t="str">
        <f>"1557301X"</f>
        <v>1557301X</v>
      </c>
      <c r="D4990" s="2">
        <v>0.14699999999999999</v>
      </c>
      <c r="E4990" s="2">
        <v>3</v>
      </c>
      <c r="F4990" s="2" t="s">
        <v>16</v>
      </c>
    </row>
    <row r="4991" spans="1:6" ht="25.5">
      <c r="A4991" s="2">
        <v>4988</v>
      </c>
      <c r="B4991" s="2" t="s">
        <v>5065</v>
      </c>
      <c r="C4991" s="2" t="str">
        <f>"14677709"</f>
        <v>14677709</v>
      </c>
      <c r="D4991" s="2">
        <v>0.189</v>
      </c>
      <c r="E4991" s="2">
        <v>12</v>
      </c>
      <c r="F4991" s="2" t="s">
        <v>16</v>
      </c>
    </row>
    <row r="4992" spans="1:6" ht="25.5">
      <c r="A4992" s="2">
        <v>4989</v>
      </c>
      <c r="B4992" s="2" t="s">
        <v>5066</v>
      </c>
      <c r="C4992" s="2" t="str">
        <f>"10002383"</f>
        <v>10002383</v>
      </c>
      <c r="D4992" s="2">
        <v>0.33</v>
      </c>
      <c r="E4992" s="2">
        <v>17</v>
      </c>
      <c r="F4992" s="2" t="s">
        <v>46</v>
      </c>
    </row>
    <row r="4993" spans="1:6" ht="25.5">
      <c r="A4993" s="2">
        <v>4990</v>
      </c>
      <c r="B4993" s="2" t="s">
        <v>5067</v>
      </c>
      <c r="C4993" s="2" t="str">
        <f>"21716323"</f>
        <v>21716323</v>
      </c>
      <c r="D4993" s="2">
        <v>0.10100000000000001</v>
      </c>
      <c r="E4993" s="2">
        <v>1</v>
      </c>
      <c r="F4993" s="2" t="s">
        <v>351</v>
      </c>
    </row>
    <row r="4994" spans="1:6" ht="25.5">
      <c r="A4994" s="2">
        <v>4991</v>
      </c>
      <c r="B4994" s="2" t="s">
        <v>5068</v>
      </c>
      <c r="C4994" s="2" t="str">
        <f>"19366574"</f>
        <v>19366574</v>
      </c>
      <c r="D4994" s="2">
        <v>0.51800000000000002</v>
      </c>
      <c r="E4994" s="2">
        <v>9</v>
      </c>
      <c r="F4994" s="2" t="s">
        <v>6</v>
      </c>
    </row>
    <row r="4995" spans="1:6" ht="25.5">
      <c r="A4995" s="2">
        <v>4992</v>
      </c>
      <c r="B4995" s="2" t="s">
        <v>5069</v>
      </c>
      <c r="C4995" s="2" t="str">
        <f>"09638288"</f>
        <v>09638288</v>
      </c>
      <c r="D4995" s="2">
        <v>0.66200000000000003</v>
      </c>
      <c r="E4995" s="2">
        <v>62</v>
      </c>
      <c r="F4995" s="2" t="s">
        <v>16</v>
      </c>
    </row>
    <row r="4996" spans="1:6" ht="25.5">
      <c r="A4996" s="2">
        <v>4993</v>
      </c>
      <c r="B4996" s="2" t="s">
        <v>5070</v>
      </c>
      <c r="C4996" s="2" t="str">
        <f>"17483115"</f>
        <v>17483115</v>
      </c>
      <c r="D4996" s="2">
        <v>0.39600000000000002</v>
      </c>
      <c r="E4996" s="2">
        <v>13</v>
      </c>
      <c r="F4996" s="2" t="s">
        <v>16</v>
      </c>
    </row>
    <row r="4997" spans="1:6" ht="25.5">
      <c r="A4997" s="2">
        <v>4994</v>
      </c>
      <c r="B4997" s="2" t="s">
        <v>5071</v>
      </c>
      <c r="C4997" s="2" t="str">
        <f>"13600508"</f>
        <v>13600508</v>
      </c>
      <c r="D4997" s="2">
        <v>0.51800000000000002</v>
      </c>
      <c r="E4997" s="2">
        <v>36</v>
      </c>
      <c r="F4997" s="2" t="s">
        <v>16</v>
      </c>
    </row>
    <row r="4998" spans="1:6" ht="25.5">
      <c r="A4998" s="2">
        <v>4995</v>
      </c>
      <c r="B4998" s="2" t="s">
        <v>5072</v>
      </c>
      <c r="C4998" s="2" t="str">
        <f>"0974262X"</f>
        <v>0974262X</v>
      </c>
      <c r="D4998" s="2">
        <v>0.317</v>
      </c>
      <c r="E4998" s="2">
        <v>6</v>
      </c>
      <c r="F4998" s="2" t="s">
        <v>488</v>
      </c>
    </row>
    <row r="4999" spans="1:6" ht="25.5">
      <c r="A4999" s="2">
        <v>4996</v>
      </c>
      <c r="B4999" s="2" t="s">
        <v>5073</v>
      </c>
      <c r="C4999" s="2" t="str">
        <f>"1938744X"</f>
        <v>1938744X</v>
      </c>
      <c r="D4999" s="2">
        <v>0.59299999999999997</v>
      </c>
      <c r="E4999" s="2">
        <v>15</v>
      </c>
      <c r="F4999" s="2" t="s">
        <v>6</v>
      </c>
    </row>
    <row r="5000" spans="1:6" ht="25.5">
      <c r="A5000" s="2">
        <v>4997</v>
      </c>
      <c r="B5000" s="2" t="s">
        <v>5074</v>
      </c>
      <c r="C5000" s="2" t="str">
        <f>"09653562"</f>
        <v>09653562</v>
      </c>
      <c r="D5000" s="2">
        <v>0.28299999999999997</v>
      </c>
      <c r="E5000" s="2">
        <v>21</v>
      </c>
      <c r="F5000" s="2" t="s">
        <v>16</v>
      </c>
    </row>
    <row r="5001" spans="1:6" ht="25.5">
      <c r="A5001" s="2">
        <v>4998</v>
      </c>
      <c r="B5001" s="2" t="s">
        <v>5075</v>
      </c>
      <c r="C5001" s="2" t="str">
        <f>"14677717"</f>
        <v>14677717</v>
      </c>
      <c r="D5001" s="2">
        <v>0.51500000000000001</v>
      </c>
      <c r="E5001" s="2">
        <v>28</v>
      </c>
      <c r="F5001" s="2" t="s">
        <v>16</v>
      </c>
    </row>
    <row r="5002" spans="1:6" ht="25.5">
      <c r="A5002" s="2">
        <v>4999</v>
      </c>
      <c r="B5002" s="2" t="s">
        <v>5076</v>
      </c>
      <c r="C5002" s="2" t="str">
        <f>"14693739"</f>
        <v>14693739</v>
      </c>
      <c r="D5002" s="2">
        <v>0.69399999999999995</v>
      </c>
      <c r="E5002" s="2">
        <v>13</v>
      </c>
      <c r="F5002" s="2" t="s">
        <v>16</v>
      </c>
    </row>
    <row r="5003" spans="1:6" ht="25.5">
      <c r="A5003" s="2">
        <v>5000</v>
      </c>
      <c r="B5003" s="2" t="s">
        <v>5077</v>
      </c>
      <c r="C5003" s="2" t="str">
        <f>"17504813"</f>
        <v>17504813</v>
      </c>
      <c r="D5003" s="2">
        <v>0.52800000000000002</v>
      </c>
      <c r="E5003" s="2">
        <v>5</v>
      </c>
      <c r="F5003" s="2" t="s">
        <v>16</v>
      </c>
    </row>
    <row r="5004" spans="1:6" ht="25.5">
      <c r="A5004" s="2">
        <v>5001</v>
      </c>
      <c r="B5004" s="2" t="s">
        <v>5078</v>
      </c>
      <c r="C5004" s="2" t="str">
        <f>"09579265"</f>
        <v>09579265</v>
      </c>
      <c r="D5004" s="2">
        <v>0.95599999999999996</v>
      </c>
      <c r="E5004" s="2">
        <v>33</v>
      </c>
      <c r="F5004" s="2" t="s">
        <v>16</v>
      </c>
    </row>
    <row r="5005" spans="1:6" ht="25.5">
      <c r="A5005" s="2">
        <v>5002</v>
      </c>
      <c r="B5005" s="2" t="s">
        <v>5079</v>
      </c>
      <c r="C5005" s="2" t="str">
        <f>"22116958"</f>
        <v>22116958</v>
      </c>
      <c r="D5005" s="2">
        <v>0</v>
      </c>
      <c r="E5005" s="2">
        <v>1</v>
      </c>
      <c r="F5005" s="2" t="s">
        <v>75</v>
      </c>
    </row>
    <row r="5006" spans="1:6" ht="25.5">
      <c r="A5006" s="2">
        <v>5003</v>
      </c>
      <c r="B5006" s="2" t="s">
        <v>5080</v>
      </c>
      <c r="C5006" s="2" t="str">
        <f>"15326950"</f>
        <v>15326950</v>
      </c>
      <c r="D5006" s="2">
        <v>0.64200000000000002</v>
      </c>
      <c r="E5006" s="2">
        <v>28</v>
      </c>
      <c r="F5006" s="2" t="s">
        <v>16</v>
      </c>
    </row>
    <row r="5007" spans="1:6" ht="25.5">
      <c r="A5007" s="2">
        <v>5004</v>
      </c>
      <c r="B5007" s="2" t="s">
        <v>5081</v>
      </c>
      <c r="C5007" s="2" t="str">
        <f>"14617080"</f>
        <v>14617080</v>
      </c>
      <c r="D5007" s="2">
        <v>0.65</v>
      </c>
      <c r="E5007" s="2">
        <v>19</v>
      </c>
      <c r="F5007" s="2" t="s">
        <v>16</v>
      </c>
    </row>
    <row r="5008" spans="1:6" ht="25.5">
      <c r="A5008" s="2">
        <v>5005</v>
      </c>
      <c r="B5008" s="2" t="s">
        <v>5082</v>
      </c>
      <c r="C5008" s="2" t="str">
        <f>"15396509"</f>
        <v>15396509</v>
      </c>
      <c r="D5008" s="2">
        <v>0.91400000000000003</v>
      </c>
      <c r="E5008" s="2">
        <v>15</v>
      </c>
      <c r="F5008" s="2" t="s">
        <v>6</v>
      </c>
    </row>
    <row r="5009" spans="1:6" ht="25.5">
      <c r="A5009" s="2">
        <v>5006</v>
      </c>
      <c r="B5009" s="2" t="s">
        <v>5083</v>
      </c>
      <c r="C5009" s="2" t="str">
        <f>"14320444"</f>
        <v>14320444</v>
      </c>
      <c r="D5009" s="2">
        <v>1.0880000000000001</v>
      </c>
      <c r="E5009" s="2">
        <v>37</v>
      </c>
      <c r="F5009" s="2" t="s">
        <v>6</v>
      </c>
    </row>
    <row r="5010" spans="1:6" ht="25.5">
      <c r="A5010" s="2">
        <v>5007</v>
      </c>
      <c r="B5010" s="2" t="s">
        <v>5084</v>
      </c>
      <c r="C5010" s="2" t="str">
        <f>"10780947"</f>
        <v>10780947</v>
      </c>
      <c r="D5010" s="2">
        <v>1.5469999999999999</v>
      </c>
      <c r="E5010" s="2">
        <v>33</v>
      </c>
      <c r="F5010" s="2" t="s">
        <v>6</v>
      </c>
    </row>
    <row r="5011" spans="1:6" ht="25.5">
      <c r="A5011" s="2">
        <v>5008</v>
      </c>
      <c r="B5011" s="2" t="s">
        <v>5085</v>
      </c>
      <c r="C5011" s="2" t="str">
        <f>"15313492"</f>
        <v>15313492</v>
      </c>
      <c r="D5011" s="2">
        <v>0.85599999999999998</v>
      </c>
      <c r="E5011" s="2">
        <v>25</v>
      </c>
      <c r="F5011" s="2" t="s">
        <v>6</v>
      </c>
    </row>
    <row r="5012" spans="1:6" ht="25.5">
      <c r="A5012" s="2">
        <v>5009</v>
      </c>
      <c r="B5012" s="2" t="s">
        <v>5086</v>
      </c>
      <c r="C5012" s="2" t="str">
        <f>"0166218X"</f>
        <v>0166218X</v>
      </c>
      <c r="D5012" s="2">
        <v>1.014</v>
      </c>
      <c r="E5012" s="2">
        <v>49</v>
      </c>
      <c r="F5012" s="2" t="s">
        <v>75</v>
      </c>
    </row>
    <row r="5013" spans="1:6" ht="25.5">
      <c r="A5013" s="2">
        <v>5010</v>
      </c>
      <c r="B5013" s="2" t="s">
        <v>5087</v>
      </c>
      <c r="C5013" s="2" t="str">
        <f>"1607887X"</f>
        <v>1607887X</v>
      </c>
      <c r="D5013" s="2">
        <v>0.372</v>
      </c>
      <c r="E5013" s="2">
        <v>18</v>
      </c>
      <c r="F5013" s="2" t="s">
        <v>6</v>
      </c>
    </row>
    <row r="5014" spans="1:6" ht="25.5">
      <c r="A5014" s="2">
        <v>5011</v>
      </c>
      <c r="B5014" s="2" t="s">
        <v>5088</v>
      </c>
      <c r="C5014" s="2" t="str">
        <f>"15737594"</f>
        <v>15737594</v>
      </c>
      <c r="D5014" s="2">
        <v>1.028</v>
      </c>
      <c r="E5014" s="2">
        <v>30</v>
      </c>
      <c r="F5014" s="2" t="s">
        <v>75</v>
      </c>
    </row>
    <row r="5015" spans="1:6" ht="25.5">
      <c r="A5015" s="2">
        <v>5012</v>
      </c>
      <c r="B5015" s="2" t="s">
        <v>5089</v>
      </c>
      <c r="C5015" s="2" t="str">
        <f>"0012365X"</f>
        <v>0012365X</v>
      </c>
      <c r="D5015" s="2">
        <v>1</v>
      </c>
      <c r="E5015" s="2">
        <v>44</v>
      </c>
      <c r="F5015" s="2" t="s">
        <v>75</v>
      </c>
    </row>
    <row r="5016" spans="1:6" ht="25.5">
      <c r="A5016" s="2">
        <v>5013</v>
      </c>
      <c r="B5016" s="2" t="s">
        <v>5090</v>
      </c>
      <c r="C5016" s="2" t="str">
        <f>"15693929"</f>
        <v>15693929</v>
      </c>
      <c r="D5016" s="2">
        <v>0.248</v>
      </c>
      <c r="E5016" s="2">
        <v>7</v>
      </c>
      <c r="F5016" s="2" t="s">
        <v>12</v>
      </c>
    </row>
    <row r="5017" spans="1:6" ht="25.5">
      <c r="A5017" s="2">
        <v>5014</v>
      </c>
      <c r="B5017" s="2" t="s">
        <v>5091</v>
      </c>
      <c r="C5017" s="2" t="str">
        <f>"13658050"</f>
        <v>13658050</v>
      </c>
      <c r="D5017" s="2">
        <v>0.54500000000000004</v>
      </c>
      <c r="E5017" s="2">
        <v>12</v>
      </c>
      <c r="F5017" s="2" t="s">
        <v>66</v>
      </c>
    </row>
    <row r="5018" spans="1:6" ht="25.5">
      <c r="A5018" s="2">
        <v>5015</v>
      </c>
      <c r="B5018" s="2" t="s">
        <v>5092</v>
      </c>
      <c r="C5018" s="2" t="str">
        <f>"15725286"</f>
        <v>15725286</v>
      </c>
      <c r="D5018" s="2">
        <v>1.1719999999999999</v>
      </c>
      <c r="E5018" s="2">
        <v>14</v>
      </c>
      <c r="F5018" s="2" t="s">
        <v>75</v>
      </c>
    </row>
    <row r="5019" spans="1:6" ht="25.5">
      <c r="A5019" s="2">
        <v>5016</v>
      </c>
      <c r="B5019" s="2" t="s">
        <v>5093</v>
      </c>
      <c r="C5019" s="2" t="str">
        <f>"12343099"</f>
        <v>12343099</v>
      </c>
      <c r="D5019" s="2">
        <v>0.503</v>
      </c>
      <c r="E5019" s="2">
        <v>4</v>
      </c>
      <c r="F5019" s="2" t="s">
        <v>169</v>
      </c>
    </row>
    <row r="5020" spans="1:6" ht="25.5">
      <c r="A5020" s="2">
        <v>5017</v>
      </c>
      <c r="B5020" s="2" t="s">
        <v>5094</v>
      </c>
      <c r="C5020" s="2" t="str">
        <f>"00115029"</f>
        <v>00115029</v>
      </c>
      <c r="D5020" s="2">
        <v>0.26800000000000002</v>
      </c>
      <c r="E5020" s="2">
        <v>22</v>
      </c>
      <c r="F5020" s="2" t="s">
        <v>6</v>
      </c>
    </row>
    <row r="5021" spans="1:6" ht="25.5">
      <c r="A5021" s="2">
        <v>5018</v>
      </c>
      <c r="B5021" s="2" t="s">
        <v>5095</v>
      </c>
      <c r="C5021" s="2" t="str">
        <f>"02780240"</f>
        <v>02780240</v>
      </c>
      <c r="D5021" s="2">
        <v>0.70299999999999996</v>
      </c>
      <c r="E5021" s="2">
        <v>39</v>
      </c>
      <c r="F5021" s="2" t="s">
        <v>75</v>
      </c>
    </row>
    <row r="5022" spans="1:6" ht="25.5">
      <c r="A5022" s="2">
        <v>5019</v>
      </c>
      <c r="B5022" s="2" t="s">
        <v>5096</v>
      </c>
      <c r="C5022" s="2" t="str">
        <f>"01775103"</f>
        <v>01775103</v>
      </c>
      <c r="D5022" s="2">
        <v>0.77800000000000002</v>
      </c>
      <c r="E5022" s="2">
        <v>63</v>
      </c>
      <c r="F5022" s="2" t="s">
        <v>12</v>
      </c>
    </row>
    <row r="5023" spans="1:6" ht="25.5">
      <c r="A5023" s="2">
        <v>5020</v>
      </c>
      <c r="B5023" s="2" t="s">
        <v>5097</v>
      </c>
      <c r="C5023" s="2" t="str">
        <f>"15300358"</f>
        <v>15300358</v>
      </c>
      <c r="D5023" s="2">
        <v>1.7629999999999999</v>
      </c>
      <c r="E5023" s="2">
        <v>110</v>
      </c>
      <c r="F5023" s="2" t="s">
        <v>6</v>
      </c>
    </row>
    <row r="5024" spans="1:6" ht="25.5">
      <c r="A5024" s="2">
        <v>5021</v>
      </c>
      <c r="B5024" s="2" t="s">
        <v>5098</v>
      </c>
      <c r="C5024" s="2" t="str">
        <f>"14422050"</f>
        <v>14422050</v>
      </c>
      <c r="D5024" s="2">
        <v>0.63600000000000001</v>
      </c>
      <c r="E5024" s="2">
        <v>38</v>
      </c>
      <c r="F5024" s="2" t="s">
        <v>16</v>
      </c>
    </row>
    <row r="5025" spans="1:6" ht="25.5">
      <c r="A5025" s="2">
        <v>5022</v>
      </c>
      <c r="B5025" s="2" t="s">
        <v>5099</v>
      </c>
      <c r="C5025" s="2" t="str">
        <f>"01419382"</f>
        <v>01419382</v>
      </c>
      <c r="D5025" s="2">
        <v>0.45200000000000001</v>
      </c>
      <c r="E5025" s="2">
        <v>34</v>
      </c>
      <c r="F5025" s="2" t="s">
        <v>75</v>
      </c>
    </row>
    <row r="5026" spans="1:6" ht="25.5">
      <c r="A5026" s="2">
        <v>5023</v>
      </c>
      <c r="B5026" s="2" t="s">
        <v>5100</v>
      </c>
      <c r="C5026" s="2" t="str">
        <f>"0873626X"</f>
        <v>0873626X</v>
      </c>
      <c r="D5026" s="2">
        <v>0.10299999999999999</v>
      </c>
      <c r="E5026" s="2">
        <v>1</v>
      </c>
      <c r="F5026" s="2" t="s">
        <v>306</v>
      </c>
    </row>
    <row r="5027" spans="1:6" ht="25.5">
      <c r="A5027" s="2">
        <v>5024</v>
      </c>
      <c r="B5027" s="2" t="s">
        <v>5101</v>
      </c>
      <c r="C5027" s="2" t="str">
        <f>"00123846"</f>
        <v>00123846</v>
      </c>
      <c r="D5027" s="2">
        <v>0.104</v>
      </c>
      <c r="E5027" s="2">
        <v>7</v>
      </c>
      <c r="F5027" s="2" t="s">
        <v>6</v>
      </c>
    </row>
    <row r="5028" spans="1:6" ht="25.5">
      <c r="A5028" s="2">
        <v>5025</v>
      </c>
      <c r="B5028" s="2" t="s">
        <v>5102</v>
      </c>
      <c r="C5028" s="2" t="str">
        <f>"17306310"</f>
        <v>17306310</v>
      </c>
      <c r="D5028" s="2">
        <v>0.11</v>
      </c>
      <c r="E5028" s="2">
        <v>1</v>
      </c>
      <c r="F5028" s="2" t="s">
        <v>169</v>
      </c>
    </row>
    <row r="5029" spans="1:6" ht="25.5">
      <c r="A5029" s="2">
        <v>5026</v>
      </c>
      <c r="B5029" s="2" t="s">
        <v>5103</v>
      </c>
      <c r="C5029" s="2" t="str">
        <f>"1521298X"</f>
        <v>1521298X</v>
      </c>
      <c r="D5029" s="2">
        <v>0.41499999999999998</v>
      </c>
      <c r="E5029" s="2">
        <v>7</v>
      </c>
      <c r="F5029" s="2" t="s">
        <v>6</v>
      </c>
    </row>
    <row r="5030" spans="1:6" ht="25.5">
      <c r="A5030" s="2">
        <v>5027</v>
      </c>
      <c r="B5030" s="2" t="s">
        <v>5104</v>
      </c>
      <c r="C5030" s="2" t="str">
        <f>"14750198"</f>
        <v>14750198</v>
      </c>
      <c r="D5030" s="2">
        <v>0.64100000000000001</v>
      </c>
      <c r="E5030" s="2">
        <v>17</v>
      </c>
      <c r="F5030" s="2" t="s">
        <v>16</v>
      </c>
    </row>
    <row r="5031" spans="1:6" ht="25.5">
      <c r="A5031" s="2">
        <v>5028</v>
      </c>
      <c r="B5031" s="2" t="s">
        <v>5105</v>
      </c>
      <c r="C5031" s="2" t="str">
        <f>"19650167"</f>
        <v>19650167</v>
      </c>
      <c r="D5031" s="2">
        <v>0.126</v>
      </c>
      <c r="E5031" s="2">
        <v>2</v>
      </c>
      <c r="F5031" s="2" t="s">
        <v>66</v>
      </c>
    </row>
    <row r="5032" spans="1:6" ht="25.5">
      <c r="A5032" s="2">
        <v>5029</v>
      </c>
      <c r="B5032" s="2" t="s">
        <v>5106</v>
      </c>
      <c r="C5032" s="2" t="str">
        <f>"15737578"</f>
        <v>15737578</v>
      </c>
      <c r="D5032" s="2">
        <v>0.82</v>
      </c>
      <c r="E5032" s="2">
        <v>29</v>
      </c>
      <c r="F5032" s="2" t="s">
        <v>75</v>
      </c>
    </row>
    <row r="5033" spans="1:6" ht="25.5">
      <c r="A5033" s="2">
        <v>5030</v>
      </c>
      <c r="B5033" s="2" t="s">
        <v>5107</v>
      </c>
      <c r="C5033" s="2" t="str">
        <f>"14320452"</f>
        <v>14320452</v>
      </c>
      <c r="D5033" s="2">
        <v>1.361</v>
      </c>
      <c r="E5033" s="2">
        <v>29</v>
      </c>
      <c r="F5033" s="2" t="s">
        <v>12</v>
      </c>
    </row>
    <row r="5034" spans="1:6" ht="25.5">
      <c r="A5034" s="2">
        <v>5031</v>
      </c>
      <c r="B5034" s="2" t="s">
        <v>5108</v>
      </c>
      <c r="C5034" s="2" t="str">
        <f>"21566550"</f>
        <v>21566550</v>
      </c>
      <c r="D5034" s="2">
        <v>0.129</v>
      </c>
      <c r="E5034" s="2">
        <v>3</v>
      </c>
      <c r="F5034" s="2" t="s">
        <v>6</v>
      </c>
    </row>
    <row r="5035" spans="1:6" ht="25.5">
      <c r="A5035" s="2">
        <v>5032</v>
      </c>
      <c r="B5035" s="2" t="s">
        <v>5109</v>
      </c>
      <c r="C5035" s="2" t="str">
        <f>"08625409"</f>
        <v>08625409</v>
      </c>
      <c r="D5035" s="2">
        <v>0</v>
      </c>
      <c r="E5035" s="2">
        <v>0</v>
      </c>
      <c r="F5035" s="2" t="s">
        <v>208</v>
      </c>
    </row>
    <row r="5036" spans="1:6" ht="25.5">
      <c r="A5036" s="2">
        <v>5033</v>
      </c>
      <c r="B5036" s="2" t="s">
        <v>5110</v>
      </c>
      <c r="C5036" s="2" t="str">
        <f>"14724642"</f>
        <v>14724642</v>
      </c>
      <c r="D5036" s="2">
        <v>2.8109999999999999</v>
      </c>
      <c r="E5036" s="2">
        <v>60</v>
      </c>
      <c r="F5036" s="2" t="s">
        <v>16</v>
      </c>
    </row>
    <row r="5037" spans="1:6" ht="25.5">
      <c r="A5037" s="2">
        <v>5034</v>
      </c>
      <c r="B5037" s="2" t="s">
        <v>5111</v>
      </c>
      <c r="C5037" s="2" t="str">
        <f>"18333516"</f>
        <v>18333516</v>
      </c>
      <c r="D5037" s="2">
        <v>0.27200000000000002</v>
      </c>
      <c r="E5037" s="2">
        <v>10</v>
      </c>
      <c r="F5037" s="2" t="s">
        <v>127</v>
      </c>
    </row>
    <row r="5038" spans="1:6" ht="25.5">
      <c r="A5038" s="2">
        <v>5035</v>
      </c>
      <c r="B5038" s="2" t="s">
        <v>5112</v>
      </c>
      <c r="C5038" s="2" t="str">
        <f>"00706760"</f>
        <v>00706760</v>
      </c>
      <c r="D5038" s="2">
        <v>0.11</v>
      </c>
      <c r="E5038" s="2">
        <v>2</v>
      </c>
      <c r="F5038" s="2" t="s">
        <v>66</v>
      </c>
    </row>
    <row r="5039" spans="1:6" ht="25.5">
      <c r="A5039" s="2">
        <v>5036</v>
      </c>
      <c r="B5039" s="2" t="s">
        <v>5113</v>
      </c>
      <c r="C5039" s="2" t="str">
        <f>"19696965"</f>
        <v>19696965</v>
      </c>
      <c r="D5039" s="2">
        <v>0.16200000000000001</v>
      </c>
      <c r="E5039" s="2">
        <v>2</v>
      </c>
      <c r="F5039" s="2" t="s">
        <v>66</v>
      </c>
    </row>
    <row r="5040" spans="1:6" ht="25.5">
      <c r="A5040" s="2">
        <v>5037</v>
      </c>
      <c r="B5040" s="2" t="s">
        <v>5114</v>
      </c>
      <c r="C5040" s="2" t="str">
        <f>"02534967"</f>
        <v>02534967</v>
      </c>
      <c r="D5040" s="2">
        <v>0.19800000000000001</v>
      </c>
      <c r="E5040" s="2">
        <v>17</v>
      </c>
      <c r="F5040" s="2" t="s">
        <v>46</v>
      </c>
    </row>
    <row r="5041" spans="1:6" ht="25.5">
      <c r="A5041" s="2">
        <v>5038</v>
      </c>
      <c r="B5041" s="2" t="s">
        <v>5115</v>
      </c>
      <c r="C5041" s="2" t="str">
        <f>"10829873"</f>
        <v>10829873</v>
      </c>
      <c r="D5041" s="2">
        <v>0.39200000000000002</v>
      </c>
      <c r="E5041" s="2">
        <v>32</v>
      </c>
      <c r="F5041" s="2" t="s">
        <v>6</v>
      </c>
    </row>
    <row r="5042" spans="1:6" ht="25.5">
      <c r="A5042" s="2">
        <v>5039</v>
      </c>
      <c r="B5042" s="2" t="s">
        <v>5116</v>
      </c>
      <c r="C5042" s="2" t="str">
        <f>"14348454"</f>
        <v>14348454</v>
      </c>
      <c r="D5042" s="2">
        <v>0.1</v>
      </c>
      <c r="E5042" s="2">
        <v>5</v>
      </c>
      <c r="F5042" s="2" t="s">
        <v>12</v>
      </c>
    </row>
    <row r="5043" spans="1:6" ht="25.5">
      <c r="A5043" s="2">
        <v>5040</v>
      </c>
      <c r="B5043" s="2" t="s">
        <v>5117</v>
      </c>
      <c r="C5043" s="2" t="str">
        <f>"01167111"</f>
        <v>01167111</v>
      </c>
      <c r="D5043" s="2">
        <v>0.11</v>
      </c>
      <c r="E5043" s="2">
        <v>2</v>
      </c>
      <c r="F5043" s="2" t="s">
        <v>304</v>
      </c>
    </row>
    <row r="5044" spans="1:6" ht="25.5">
      <c r="A5044" s="2">
        <v>5041</v>
      </c>
      <c r="B5044" s="2" t="s">
        <v>5118</v>
      </c>
      <c r="C5044" s="2" t="str">
        <f>"17548411"</f>
        <v>17548411</v>
      </c>
      <c r="D5044" s="2">
        <v>2.395</v>
      </c>
      <c r="E5044" s="2">
        <v>23</v>
      </c>
      <c r="F5044" s="2" t="s">
        <v>16</v>
      </c>
    </row>
    <row r="5045" spans="1:6" ht="25.5">
      <c r="A5045" s="2">
        <v>5042</v>
      </c>
      <c r="B5045" s="2" t="s">
        <v>5119</v>
      </c>
      <c r="C5045" s="2" t="str">
        <f>"10445498"</f>
        <v>10445498</v>
      </c>
      <c r="D5045" s="2">
        <v>0.55800000000000005</v>
      </c>
      <c r="E5045" s="2">
        <v>55</v>
      </c>
      <c r="F5045" s="2" t="s">
        <v>6</v>
      </c>
    </row>
    <row r="5046" spans="1:6" ht="25.5">
      <c r="A5046" s="2">
        <v>5043</v>
      </c>
      <c r="B5046" s="2" t="s">
        <v>5120</v>
      </c>
      <c r="C5046" s="2" t="str">
        <f>"15687864"</f>
        <v>15687864</v>
      </c>
      <c r="D5046" s="2">
        <v>2.8330000000000002</v>
      </c>
      <c r="E5046" s="2">
        <v>75</v>
      </c>
      <c r="F5046" s="2" t="s">
        <v>75</v>
      </c>
    </row>
    <row r="5047" spans="1:6">
      <c r="A5047" s="2">
        <v>5044</v>
      </c>
      <c r="B5047" s="2" t="s">
        <v>5121</v>
      </c>
      <c r="C5047" s="2" t="str">
        <f>"0"</f>
        <v>0</v>
      </c>
      <c r="D5047" s="2">
        <v>0.1</v>
      </c>
      <c r="E5047" s="2">
        <v>1</v>
      </c>
      <c r="F5047" s="2" t="s">
        <v>6</v>
      </c>
    </row>
    <row r="5048" spans="1:6" ht="25.5">
      <c r="A5048" s="2">
        <v>5045</v>
      </c>
      <c r="B5048" s="2" t="s">
        <v>5122</v>
      </c>
      <c r="C5048" s="2" t="str">
        <f>"17561663"</f>
        <v>17561663</v>
      </c>
      <c r="D5048" s="2">
        <v>2.024</v>
      </c>
      <c r="E5048" s="2">
        <v>64</v>
      </c>
      <c r="F5048" s="2" t="s">
        <v>16</v>
      </c>
    </row>
    <row r="5049" spans="1:6" ht="25.5">
      <c r="A5049" s="2">
        <v>5046</v>
      </c>
      <c r="B5049" s="2" t="s">
        <v>5123</v>
      </c>
      <c r="C5049" s="2" t="str">
        <f>"18794122"</f>
        <v>18794122</v>
      </c>
      <c r="D5049" s="2">
        <v>0.1</v>
      </c>
      <c r="E5049" s="2">
        <v>0</v>
      </c>
      <c r="F5049" s="2" t="s">
        <v>12</v>
      </c>
    </row>
    <row r="5050" spans="1:6" ht="25.5">
      <c r="A5050" s="2">
        <v>5047</v>
      </c>
      <c r="B5050" s="2" t="s">
        <v>5124</v>
      </c>
      <c r="C5050" s="2" t="str">
        <f>"00124508"</f>
        <v>00124508</v>
      </c>
      <c r="D5050" s="2">
        <v>0.13500000000000001</v>
      </c>
      <c r="E5050" s="2">
        <v>3</v>
      </c>
      <c r="F5050" s="2" t="s">
        <v>66</v>
      </c>
    </row>
    <row r="5051" spans="1:6" ht="25.5">
      <c r="A5051" s="2">
        <v>5048</v>
      </c>
      <c r="B5051" s="2" t="s">
        <v>5125</v>
      </c>
      <c r="C5051" s="2" t="str">
        <f>"14310635"</f>
        <v>14310635</v>
      </c>
      <c r="D5051" s="2">
        <v>0.501</v>
      </c>
      <c r="E5051" s="2">
        <v>14</v>
      </c>
      <c r="F5051" s="2" t="s">
        <v>12</v>
      </c>
    </row>
    <row r="5052" spans="1:6" ht="25.5">
      <c r="A5052" s="2">
        <v>5049</v>
      </c>
      <c r="B5052" s="2" t="s">
        <v>5126</v>
      </c>
      <c r="C5052" s="2" t="str">
        <f>"15732622"</f>
        <v>15732622</v>
      </c>
      <c r="D5052" s="2">
        <v>1.4179999999999999</v>
      </c>
      <c r="E5052" s="2">
        <v>37</v>
      </c>
      <c r="F5052" s="2" t="s">
        <v>75</v>
      </c>
    </row>
    <row r="5053" spans="1:6" ht="25.5">
      <c r="A5053" s="2">
        <v>5050</v>
      </c>
      <c r="B5053" s="2" t="s">
        <v>5127</v>
      </c>
      <c r="C5053" s="2" t="str">
        <f>"1408967X"</f>
        <v>1408967X</v>
      </c>
      <c r="D5053" s="2">
        <v>0.222</v>
      </c>
      <c r="E5053" s="2">
        <v>2</v>
      </c>
      <c r="F5053" s="2" t="s">
        <v>154</v>
      </c>
    </row>
    <row r="5054" spans="1:6" ht="25.5">
      <c r="A5054" s="2">
        <v>5051</v>
      </c>
      <c r="B5054" s="2" t="s">
        <v>5128</v>
      </c>
      <c r="C5054" s="2" t="str">
        <f>"09237771"</f>
        <v>09237771</v>
      </c>
      <c r="D5054" s="2">
        <v>0.106</v>
      </c>
      <c r="E5054" s="2">
        <v>0</v>
      </c>
      <c r="F5054" s="2" t="s">
        <v>75</v>
      </c>
    </row>
    <row r="5055" spans="1:6" ht="25.5">
      <c r="A5055" s="2">
        <v>5052</v>
      </c>
      <c r="B5055" s="2" t="s">
        <v>5129</v>
      </c>
      <c r="C5055" s="2" t="str">
        <f>"19631014"</f>
        <v>19631014</v>
      </c>
      <c r="D5055" s="2">
        <v>0.11</v>
      </c>
      <c r="E5055" s="2">
        <v>3</v>
      </c>
      <c r="F5055" s="2" t="s">
        <v>66</v>
      </c>
    </row>
    <row r="5056" spans="1:6" ht="25.5">
      <c r="A5056" s="2">
        <v>5053</v>
      </c>
      <c r="B5056" s="2" t="s">
        <v>5130</v>
      </c>
      <c r="C5056" s="2" t="str">
        <f>"02121573"</f>
        <v>02121573</v>
      </c>
      <c r="D5056" s="2">
        <v>0.13800000000000001</v>
      </c>
      <c r="E5056" s="2">
        <v>6</v>
      </c>
      <c r="F5056" s="2" t="s">
        <v>351</v>
      </c>
    </row>
    <row r="5057" spans="1:6" ht="25.5">
      <c r="A5057" s="2">
        <v>5054</v>
      </c>
      <c r="B5057" s="2" t="s">
        <v>5131</v>
      </c>
      <c r="C5057" s="2" t="str">
        <f>"13036106"</f>
        <v>13036106</v>
      </c>
      <c r="D5057" s="2">
        <v>0.33600000000000002</v>
      </c>
      <c r="E5057" s="2">
        <v>21</v>
      </c>
      <c r="F5057" s="2" t="s">
        <v>345</v>
      </c>
    </row>
    <row r="5058" spans="1:6" ht="25.5">
      <c r="A5058" s="2">
        <v>5055</v>
      </c>
      <c r="B5058" s="2" t="s">
        <v>5132</v>
      </c>
      <c r="C5058" s="2" t="str">
        <f>"03855023"</f>
        <v>03855023</v>
      </c>
      <c r="D5058" s="2">
        <v>0.10299999999999999</v>
      </c>
      <c r="E5058" s="2">
        <v>5</v>
      </c>
      <c r="F5058" s="2" t="s">
        <v>131</v>
      </c>
    </row>
    <row r="5059" spans="1:6" ht="25.5">
      <c r="A5059" s="2">
        <v>5056</v>
      </c>
      <c r="B5059" s="2" t="s">
        <v>5133</v>
      </c>
      <c r="C5059" s="2" t="str">
        <f>"16083091"</f>
        <v>16083091</v>
      </c>
      <c r="D5059" s="2">
        <v>0.18</v>
      </c>
      <c r="E5059" s="2">
        <v>8</v>
      </c>
      <c r="F5059" s="2" t="s">
        <v>129</v>
      </c>
    </row>
    <row r="5060" spans="1:6" ht="25.5">
      <c r="A5060" s="2">
        <v>5057</v>
      </c>
      <c r="B5060" s="2" t="s">
        <v>5134</v>
      </c>
      <c r="C5060" s="2" t="str">
        <f>"16083105"</f>
        <v>16083105</v>
      </c>
      <c r="D5060" s="2">
        <v>0.193</v>
      </c>
      <c r="E5060" s="2">
        <v>9</v>
      </c>
      <c r="F5060" s="2" t="s">
        <v>129</v>
      </c>
    </row>
    <row r="5061" spans="1:6" ht="25.5">
      <c r="A5061" s="2">
        <v>5058</v>
      </c>
      <c r="B5061" s="2" t="s">
        <v>5135</v>
      </c>
      <c r="C5061" s="2" t="str">
        <f>"16083113"</f>
        <v>16083113</v>
      </c>
      <c r="D5061" s="2">
        <v>0.26100000000000001</v>
      </c>
      <c r="E5061" s="2">
        <v>11</v>
      </c>
      <c r="F5061" s="2" t="s">
        <v>129</v>
      </c>
    </row>
    <row r="5062" spans="1:6" ht="25.5">
      <c r="A5062" s="2">
        <v>5059</v>
      </c>
      <c r="B5062" s="2" t="s">
        <v>5136</v>
      </c>
      <c r="C5062" s="2" t="str">
        <f>"1028334X"</f>
        <v>1028334X</v>
      </c>
      <c r="D5062" s="2">
        <v>0.38600000000000001</v>
      </c>
      <c r="E5062" s="2">
        <v>15</v>
      </c>
      <c r="F5062" s="2" t="s">
        <v>129</v>
      </c>
    </row>
    <row r="5063" spans="1:6" ht="25.5">
      <c r="A5063" s="2">
        <v>5060</v>
      </c>
      <c r="B5063" s="2" t="s">
        <v>5137</v>
      </c>
      <c r="C5063" s="2" t="str">
        <f>"10645624"</f>
        <v>10645624</v>
      </c>
      <c r="D5063" s="2">
        <v>0.29899999999999999</v>
      </c>
      <c r="E5063" s="2">
        <v>12</v>
      </c>
      <c r="F5063" s="2" t="s">
        <v>129</v>
      </c>
    </row>
    <row r="5064" spans="1:6" ht="25.5">
      <c r="A5064" s="2">
        <v>5061</v>
      </c>
      <c r="B5064" s="2" t="s">
        <v>5138</v>
      </c>
      <c r="C5064" s="2" t="str">
        <f>"16083121"</f>
        <v>16083121</v>
      </c>
      <c r="D5064" s="2">
        <v>0.316</v>
      </c>
      <c r="E5064" s="2">
        <v>10</v>
      </c>
      <c r="F5064" s="2" t="s">
        <v>129</v>
      </c>
    </row>
    <row r="5065" spans="1:6" ht="25.5">
      <c r="A5065" s="2">
        <v>5062</v>
      </c>
      <c r="B5065" s="2" t="s">
        <v>5139</v>
      </c>
      <c r="C5065" s="2" t="str">
        <f>"15626903"</f>
        <v>15626903</v>
      </c>
      <c r="D5065" s="2">
        <v>0.27400000000000002</v>
      </c>
      <c r="E5065" s="2">
        <v>14</v>
      </c>
      <c r="F5065" s="2" t="s">
        <v>129</v>
      </c>
    </row>
    <row r="5066" spans="1:6" ht="25.5">
      <c r="A5066" s="2">
        <v>5063</v>
      </c>
      <c r="B5066" s="2" t="s">
        <v>5140</v>
      </c>
      <c r="C5066" s="2" t="str">
        <f>"02140659"</f>
        <v>02140659</v>
      </c>
      <c r="D5066" s="2">
        <v>0.11600000000000001</v>
      </c>
      <c r="E5066" s="2">
        <v>4</v>
      </c>
      <c r="F5066" s="2" t="s">
        <v>351</v>
      </c>
    </row>
    <row r="5067" spans="1:6" ht="25.5">
      <c r="A5067" s="2">
        <v>5064</v>
      </c>
      <c r="B5067" s="2" t="s">
        <v>5141</v>
      </c>
      <c r="C5067" s="2" t="str">
        <f>"07397240"</f>
        <v>07397240</v>
      </c>
      <c r="D5067" s="2">
        <v>0.75</v>
      </c>
      <c r="E5067" s="2">
        <v>50</v>
      </c>
      <c r="F5067" s="2" t="s">
        <v>6</v>
      </c>
    </row>
    <row r="5068" spans="1:6" ht="25.5">
      <c r="A5068" s="2">
        <v>5065</v>
      </c>
      <c r="B5068" s="2" t="s">
        <v>5142</v>
      </c>
      <c r="C5068" s="2" t="str">
        <f>"0973614X"</f>
        <v>0973614X</v>
      </c>
      <c r="D5068" s="2">
        <v>0.11700000000000001</v>
      </c>
      <c r="E5068" s="2">
        <v>9</v>
      </c>
      <c r="F5068" s="2" t="s">
        <v>488</v>
      </c>
    </row>
    <row r="5069" spans="1:6" ht="25.5">
      <c r="A5069" s="2">
        <v>5066</v>
      </c>
      <c r="B5069" s="2" t="s">
        <v>5143</v>
      </c>
      <c r="C5069" s="2" t="str">
        <f>"10053026"</f>
        <v>10053026</v>
      </c>
      <c r="D5069" s="2">
        <v>0.18099999999999999</v>
      </c>
      <c r="E5069" s="2">
        <v>11</v>
      </c>
      <c r="F5069" s="2" t="s">
        <v>6</v>
      </c>
    </row>
    <row r="5070" spans="1:6" ht="25.5">
      <c r="A5070" s="2">
        <v>5067</v>
      </c>
      <c r="B5070" s="2" t="s">
        <v>5144</v>
      </c>
      <c r="C5070" s="2" t="str">
        <f>"16747607"</f>
        <v>16747607</v>
      </c>
      <c r="D5070" s="2">
        <v>0.25</v>
      </c>
      <c r="E5070" s="2">
        <v>5</v>
      </c>
      <c r="F5070" s="2" t="s">
        <v>46</v>
      </c>
    </row>
    <row r="5071" spans="1:6" ht="25.5">
      <c r="A5071" s="2">
        <v>5068</v>
      </c>
      <c r="B5071" s="2" t="s">
        <v>5145</v>
      </c>
      <c r="C5071" s="2" t="str">
        <f>"10010505"</f>
        <v>10010505</v>
      </c>
      <c r="D5071" s="2">
        <v>0.188</v>
      </c>
      <c r="E5071" s="2">
        <v>12</v>
      </c>
      <c r="F5071" s="2" t="s">
        <v>46</v>
      </c>
    </row>
    <row r="5072" spans="1:6" ht="25.5">
      <c r="A5072" s="2">
        <v>5069</v>
      </c>
      <c r="B5072" s="2" t="s">
        <v>5146</v>
      </c>
      <c r="C5072" s="2" t="str">
        <f>"15593258"</f>
        <v>15593258</v>
      </c>
      <c r="D5072" s="2">
        <v>0.56699999999999995</v>
      </c>
      <c r="E5072" s="2">
        <v>13</v>
      </c>
      <c r="F5072" s="2" t="s">
        <v>6</v>
      </c>
    </row>
    <row r="5073" spans="1:6" ht="25.5">
      <c r="A5073" s="2">
        <v>5070</v>
      </c>
      <c r="B5073" s="2" t="s">
        <v>5147</v>
      </c>
      <c r="C5073" s="2" t="str">
        <f>"1011288X"</f>
        <v>1011288X</v>
      </c>
      <c r="D5073" s="2">
        <v>0.13500000000000001</v>
      </c>
      <c r="E5073" s="2">
        <v>5</v>
      </c>
      <c r="F5073" s="2" t="s">
        <v>66</v>
      </c>
    </row>
    <row r="5074" spans="1:6" ht="25.5">
      <c r="A5074" s="2">
        <v>5071</v>
      </c>
      <c r="B5074" s="2" t="s">
        <v>5148</v>
      </c>
      <c r="C5074" s="2" t="str">
        <f>"16245687"</f>
        <v>16245687</v>
      </c>
      <c r="D5074" s="2">
        <v>0.152</v>
      </c>
      <c r="E5074" s="2">
        <v>6</v>
      </c>
      <c r="F5074" s="2" t="s">
        <v>66</v>
      </c>
    </row>
    <row r="5075" spans="1:6" ht="25.5">
      <c r="A5075" s="2">
        <v>5072</v>
      </c>
      <c r="B5075" s="2" t="s">
        <v>5149</v>
      </c>
      <c r="C5075" s="2" t="str">
        <f>"00125768"</f>
        <v>00125768</v>
      </c>
      <c r="D5075" s="2">
        <v>0.1</v>
      </c>
      <c r="E5075" s="2">
        <v>1</v>
      </c>
      <c r="F5075" s="2" t="s">
        <v>6</v>
      </c>
    </row>
    <row r="5076" spans="1:6" ht="25.5">
      <c r="A5076" s="2">
        <v>5073</v>
      </c>
      <c r="B5076" s="2" t="s">
        <v>5150</v>
      </c>
      <c r="C5076" s="2" t="str">
        <f>"14791617"</f>
        <v>14791617</v>
      </c>
      <c r="D5076" s="2">
        <v>0.10100000000000001</v>
      </c>
      <c r="E5076" s="2">
        <v>1</v>
      </c>
      <c r="F5076" s="2" t="s">
        <v>16</v>
      </c>
    </row>
    <row r="5077" spans="1:6" ht="25.5">
      <c r="A5077" s="2">
        <v>5074</v>
      </c>
      <c r="B5077" s="2" t="s">
        <v>5151</v>
      </c>
      <c r="C5077" s="2" t="str">
        <f>"10530797"</f>
        <v>10530797</v>
      </c>
      <c r="D5077" s="2">
        <v>0.22600000000000001</v>
      </c>
      <c r="E5077" s="2">
        <v>21</v>
      </c>
      <c r="F5077" s="2" t="s">
        <v>6</v>
      </c>
    </row>
    <row r="5078" spans="1:6">
      <c r="A5078" s="2">
        <v>5075</v>
      </c>
      <c r="B5078" s="2" t="s">
        <v>5152</v>
      </c>
      <c r="C5078" s="2" t="str">
        <f>"0"</f>
        <v>0</v>
      </c>
      <c r="D5078" s="2">
        <v>0</v>
      </c>
      <c r="E5078" s="2">
        <v>0</v>
      </c>
      <c r="F5078" s="2" t="s">
        <v>6</v>
      </c>
    </row>
    <row r="5079" spans="1:6" ht="25.5">
      <c r="A5079" s="2">
        <v>5076</v>
      </c>
      <c r="B5079" s="2" t="s">
        <v>5153</v>
      </c>
      <c r="C5079" s="2" t="str">
        <f>"10015620"</f>
        <v>10015620</v>
      </c>
      <c r="D5079" s="2">
        <v>0.109</v>
      </c>
      <c r="E5079" s="2">
        <v>4</v>
      </c>
      <c r="F5079" s="2" t="s">
        <v>46</v>
      </c>
    </row>
    <row r="5080" spans="1:6" ht="25.5">
      <c r="A5080" s="2">
        <v>5077</v>
      </c>
      <c r="B5080" s="2" t="s">
        <v>5154</v>
      </c>
      <c r="C5080" s="2" t="str">
        <f>"16296583"</f>
        <v>16296583</v>
      </c>
      <c r="D5080" s="2">
        <v>0.1</v>
      </c>
      <c r="E5080" s="2">
        <v>1</v>
      </c>
      <c r="F5080" s="2" t="s">
        <v>66</v>
      </c>
    </row>
    <row r="5081" spans="1:6" ht="25.5">
      <c r="A5081" s="2">
        <v>5078</v>
      </c>
      <c r="B5081" s="2" t="s">
        <v>5155</v>
      </c>
      <c r="C5081" s="2" t="str">
        <f>"19696973"</f>
        <v>19696973</v>
      </c>
      <c r="D5081" s="2">
        <v>0.19900000000000001</v>
      </c>
      <c r="E5081" s="2">
        <v>5</v>
      </c>
      <c r="F5081" s="2" t="s">
        <v>66</v>
      </c>
    </row>
    <row r="5082" spans="1:6" ht="25.5">
      <c r="A5082" s="2">
        <v>5079</v>
      </c>
      <c r="B5082" s="2" t="s">
        <v>5156</v>
      </c>
      <c r="C5082" s="2" t="str">
        <f>"03768716"</f>
        <v>03768716</v>
      </c>
      <c r="D5082" s="2">
        <v>1.421</v>
      </c>
      <c r="E5082" s="2">
        <v>99</v>
      </c>
      <c r="F5082" s="2" t="s">
        <v>732</v>
      </c>
    </row>
    <row r="5083" spans="1:6" ht="25.5">
      <c r="A5083" s="2">
        <v>5080</v>
      </c>
      <c r="B5083" s="2" t="s">
        <v>5157</v>
      </c>
      <c r="C5083" s="2" t="str">
        <f>"09595236"</f>
        <v>09595236</v>
      </c>
      <c r="D5083" s="2">
        <v>0.80800000000000005</v>
      </c>
      <c r="E5083" s="2">
        <v>41</v>
      </c>
      <c r="F5083" s="2" t="s">
        <v>16</v>
      </c>
    </row>
    <row r="5084" spans="1:6" ht="25.5">
      <c r="A5084" s="2">
        <v>5081</v>
      </c>
      <c r="B5084" s="2" t="s">
        <v>5158</v>
      </c>
      <c r="C5084" s="2" t="str">
        <f>"15256014"</f>
        <v>15256014</v>
      </c>
      <c r="D5084" s="2">
        <v>0.36799999999999999</v>
      </c>
      <c r="E5084" s="2">
        <v>26</v>
      </c>
      <c r="F5084" s="2" t="s">
        <v>16</v>
      </c>
    </row>
    <row r="5085" spans="1:6" ht="25.5">
      <c r="A5085" s="2">
        <v>5082</v>
      </c>
      <c r="B5085" s="2" t="s">
        <v>5159</v>
      </c>
      <c r="C5085" s="2" t="str">
        <f>"00126543"</f>
        <v>00126543</v>
      </c>
      <c r="D5085" s="2">
        <v>0.19700000000000001</v>
      </c>
      <c r="E5085" s="2">
        <v>12</v>
      </c>
      <c r="F5085" s="2" t="s">
        <v>16</v>
      </c>
    </row>
    <row r="5086" spans="1:6" ht="25.5">
      <c r="A5086" s="2">
        <v>5083</v>
      </c>
      <c r="B5086" s="2" t="s">
        <v>5160</v>
      </c>
      <c r="C5086" s="2" t="str">
        <f>"21903948"</f>
        <v>21903948</v>
      </c>
      <c r="D5086" s="2">
        <v>0.624</v>
      </c>
      <c r="E5086" s="2">
        <v>6</v>
      </c>
      <c r="F5086" s="2" t="s">
        <v>6</v>
      </c>
    </row>
    <row r="5087" spans="1:6" ht="25.5">
      <c r="A5087" s="2">
        <v>5084</v>
      </c>
      <c r="B5087" s="2" t="s">
        <v>5161</v>
      </c>
      <c r="C5087" s="2" t="str">
        <f>"15210464"</f>
        <v>15210464</v>
      </c>
      <c r="D5087" s="2">
        <v>0.58099999999999996</v>
      </c>
      <c r="E5087" s="2">
        <v>32</v>
      </c>
      <c r="F5087" s="2" t="s">
        <v>16</v>
      </c>
    </row>
    <row r="5088" spans="1:6" ht="25.5">
      <c r="A5088" s="2">
        <v>5085</v>
      </c>
      <c r="B5088" s="2" t="s">
        <v>5162</v>
      </c>
      <c r="C5088" s="2" t="str">
        <f>"09135006"</f>
        <v>09135006</v>
      </c>
      <c r="D5088" s="2">
        <v>0.111</v>
      </c>
      <c r="E5088" s="2">
        <v>1</v>
      </c>
      <c r="F5088" s="2" t="s">
        <v>131</v>
      </c>
    </row>
    <row r="5089" spans="1:6" ht="25.5">
      <c r="A5089" s="2">
        <v>5086</v>
      </c>
      <c r="B5089" s="2" t="s">
        <v>5163</v>
      </c>
      <c r="C5089" s="2" t="str">
        <f>"11778881"</f>
        <v>11778881</v>
      </c>
      <c r="D5089" s="2">
        <v>0.89300000000000002</v>
      </c>
      <c r="E5089" s="2">
        <v>13</v>
      </c>
      <c r="F5089" s="2" t="s">
        <v>503</v>
      </c>
    </row>
    <row r="5090" spans="1:6" ht="25.5">
      <c r="A5090" s="2">
        <v>5087</v>
      </c>
      <c r="B5090" s="2" t="s">
        <v>5164</v>
      </c>
      <c r="C5090" s="2" t="str">
        <f>"15205762"</f>
        <v>15205762</v>
      </c>
      <c r="D5090" s="2">
        <v>0.68</v>
      </c>
      <c r="E5090" s="2">
        <v>55</v>
      </c>
      <c r="F5090" s="2" t="s">
        <v>16</v>
      </c>
    </row>
    <row r="5091" spans="1:6" ht="25.5">
      <c r="A5091" s="2">
        <v>5088</v>
      </c>
      <c r="B5091" s="2" t="s">
        <v>5165</v>
      </c>
      <c r="C5091" s="2" t="str">
        <f>"10982299"</f>
        <v>10982299</v>
      </c>
      <c r="D5091" s="2">
        <v>0.307</v>
      </c>
      <c r="E5091" s="2">
        <v>40</v>
      </c>
      <c r="F5091" s="2" t="s">
        <v>6</v>
      </c>
    </row>
    <row r="5092" spans="1:6" ht="25.5">
      <c r="A5092" s="2">
        <v>5089</v>
      </c>
      <c r="B5092" s="2" t="s">
        <v>5166</v>
      </c>
      <c r="C5092" s="2" t="str">
        <f>"18785832"</f>
        <v>18785832</v>
      </c>
      <c r="D5092" s="2">
        <v>1.621</v>
      </c>
      <c r="E5092" s="2">
        <v>101</v>
      </c>
      <c r="F5092" s="2" t="s">
        <v>16</v>
      </c>
    </row>
    <row r="5093" spans="1:6" ht="25.5">
      <c r="A5093" s="2">
        <v>5090</v>
      </c>
      <c r="B5093" s="2" t="s">
        <v>5167</v>
      </c>
      <c r="C5093" s="2" t="str">
        <f>"17406765"</f>
        <v>17406765</v>
      </c>
      <c r="D5093" s="2">
        <v>0.51200000000000001</v>
      </c>
      <c r="E5093" s="2">
        <v>12</v>
      </c>
      <c r="F5093" s="2" t="s">
        <v>16</v>
      </c>
    </row>
    <row r="5094" spans="1:6" ht="25.5">
      <c r="A5094" s="2">
        <v>5091</v>
      </c>
      <c r="B5094" s="2" t="s">
        <v>5168</v>
      </c>
      <c r="C5094" s="2" t="str">
        <f>"17406757"</f>
        <v>17406757</v>
      </c>
      <c r="D5094" s="2">
        <v>0.17699999999999999</v>
      </c>
      <c r="E5094" s="2">
        <v>11</v>
      </c>
      <c r="F5094" s="2" t="s">
        <v>16</v>
      </c>
    </row>
    <row r="5095" spans="1:6" ht="25.5">
      <c r="A5095" s="2">
        <v>5092</v>
      </c>
      <c r="B5095" s="2" t="s">
        <v>5169</v>
      </c>
      <c r="C5095" s="2" t="str">
        <f>"17406749"</f>
        <v>17406749</v>
      </c>
      <c r="D5095" s="2">
        <v>0.47</v>
      </c>
      <c r="E5095" s="2">
        <v>23</v>
      </c>
      <c r="F5095" s="2" t="s">
        <v>16</v>
      </c>
    </row>
    <row r="5096" spans="1:6" ht="25.5">
      <c r="A5096" s="2">
        <v>5093</v>
      </c>
      <c r="B5096" s="2" t="s">
        <v>5170</v>
      </c>
      <c r="C5096" s="2" t="str">
        <f>"17406773"</f>
        <v>17406773</v>
      </c>
      <c r="D5096" s="2">
        <v>0.52700000000000002</v>
      </c>
      <c r="E5096" s="2">
        <v>15</v>
      </c>
      <c r="F5096" s="2" t="s">
        <v>16</v>
      </c>
    </row>
    <row r="5097" spans="1:6" ht="25.5">
      <c r="A5097" s="2">
        <v>5094</v>
      </c>
      <c r="B5097" s="2" t="s">
        <v>5171</v>
      </c>
      <c r="C5097" s="2" t="str">
        <f>"14694344"</f>
        <v>14694344</v>
      </c>
      <c r="D5097" s="2">
        <v>0.122</v>
      </c>
      <c r="E5097" s="2">
        <v>8</v>
      </c>
      <c r="F5097" s="2" t="s">
        <v>16</v>
      </c>
    </row>
    <row r="5098" spans="1:6" ht="25.5">
      <c r="A5098" s="2">
        <v>5095</v>
      </c>
      <c r="B5098" s="2" t="s">
        <v>5172</v>
      </c>
      <c r="C5098" s="2" t="str">
        <f>"11791365"</f>
        <v>11791365</v>
      </c>
      <c r="D5098" s="2">
        <v>0.311</v>
      </c>
      <c r="E5098" s="2">
        <v>5</v>
      </c>
      <c r="F5098" s="2" t="s">
        <v>6</v>
      </c>
    </row>
    <row r="5099" spans="1:6" ht="25.5">
      <c r="A5099" s="2">
        <v>5096</v>
      </c>
      <c r="B5099" s="2" t="s">
        <v>5173</v>
      </c>
      <c r="C5099" s="2" t="str">
        <f>"00928615"</f>
        <v>00928615</v>
      </c>
      <c r="D5099" s="2">
        <v>0.29099999999999998</v>
      </c>
      <c r="E5099" s="2">
        <v>29</v>
      </c>
      <c r="F5099" s="2" t="s">
        <v>6</v>
      </c>
    </row>
    <row r="5100" spans="1:6" ht="25.5">
      <c r="A5100" s="2">
        <v>5097</v>
      </c>
      <c r="B5100" s="2" t="s">
        <v>5174</v>
      </c>
      <c r="C5100" s="2" t="str">
        <f>"09757619"</f>
        <v>09757619</v>
      </c>
      <c r="D5100" s="2">
        <v>0</v>
      </c>
      <c r="E5100" s="2">
        <v>2</v>
      </c>
      <c r="F5100" s="2" t="s">
        <v>488</v>
      </c>
    </row>
    <row r="5101" spans="1:6" ht="25.5">
      <c r="A5101" s="2">
        <v>5098</v>
      </c>
      <c r="B5101" s="2" t="s">
        <v>5175</v>
      </c>
      <c r="C5101" s="2" t="str">
        <f>"1521009X"</f>
        <v>1521009X</v>
      </c>
      <c r="D5101" s="2">
        <v>1.351</v>
      </c>
      <c r="E5101" s="2">
        <v>115</v>
      </c>
      <c r="F5101" s="2" t="s">
        <v>6</v>
      </c>
    </row>
    <row r="5102" spans="1:6" ht="25.5">
      <c r="A5102" s="2">
        <v>5099</v>
      </c>
      <c r="B5102" s="2" t="s">
        <v>5176</v>
      </c>
      <c r="C5102" s="2" t="str">
        <f>"07925077"</f>
        <v>07925077</v>
      </c>
      <c r="D5102" s="2">
        <v>0.254</v>
      </c>
      <c r="E5102" s="2">
        <v>21</v>
      </c>
      <c r="F5102" s="2" t="s">
        <v>12</v>
      </c>
    </row>
    <row r="5103" spans="1:6" ht="25.5">
      <c r="A5103" s="2">
        <v>5100</v>
      </c>
      <c r="B5103" s="2" t="s">
        <v>5177</v>
      </c>
      <c r="C5103" s="2" t="str">
        <f>"13474367"</f>
        <v>13474367</v>
      </c>
      <c r="D5103" s="2">
        <v>0.77</v>
      </c>
      <c r="E5103" s="2">
        <v>38</v>
      </c>
      <c r="F5103" s="2" t="s">
        <v>131</v>
      </c>
    </row>
    <row r="5104" spans="1:6" ht="25.5">
      <c r="A5104" s="2">
        <v>5101</v>
      </c>
      <c r="B5104" s="2" t="s">
        <v>5178</v>
      </c>
      <c r="C5104" s="2" t="str">
        <f>"18723128"</f>
        <v>18723128</v>
      </c>
      <c r="D5104" s="2">
        <v>0.32900000000000001</v>
      </c>
      <c r="E5104" s="2">
        <v>12</v>
      </c>
      <c r="F5104" s="2" t="s">
        <v>75</v>
      </c>
    </row>
    <row r="5105" spans="1:6" ht="25.5">
      <c r="A5105" s="2">
        <v>5102</v>
      </c>
      <c r="B5105" s="2" t="s">
        <v>5179</v>
      </c>
      <c r="C5105" s="2" t="str">
        <f>"10979883"</f>
        <v>10979883</v>
      </c>
      <c r="D5105" s="2">
        <v>1.369</v>
      </c>
      <c r="E5105" s="2">
        <v>64</v>
      </c>
      <c r="F5105" s="2" t="s">
        <v>16</v>
      </c>
    </row>
    <row r="5106" spans="1:6" ht="25.5">
      <c r="A5106" s="2">
        <v>5103</v>
      </c>
      <c r="B5106" s="2" t="s">
        <v>5180</v>
      </c>
      <c r="C5106" s="2" t="str">
        <f>"15322084"</f>
        <v>15322084</v>
      </c>
      <c r="D5106" s="2">
        <v>2.6619999999999999</v>
      </c>
      <c r="E5106" s="2">
        <v>63</v>
      </c>
      <c r="F5106" s="2" t="s">
        <v>6</v>
      </c>
    </row>
    <row r="5107" spans="1:6" ht="25.5">
      <c r="A5107" s="2">
        <v>5104</v>
      </c>
      <c r="B5107" s="2" t="s">
        <v>5181</v>
      </c>
      <c r="C5107" s="2" t="str">
        <f>"00126667"</f>
        <v>00126667</v>
      </c>
      <c r="D5107" s="2">
        <v>1.3109999999999999</v>
      </c>
      <c r="E5107" s="2">
        <v>120</v>
      </c>
      <c r="F5107" s="2" t="s">
        <v>16</v>
      </c>
    </row>
    <row r="5108" spans="1:6" ht="25.5">
      <c r="A5108" s="2">
        <v>5105</v>
      </c>
      <c r="B5108" s="2" t="s">
        <v>5182</v>
      </c>
      <c r="C5108" s="2" t="str">
        <f>"01145916"</f>
        <v>01145916</v>
      </c>
      <c r="D5108" s="2">
        <v>1.415</v>
      </c>
      <c r="E5108" s="2">
        <v>84</v>
      </c>
      <c r="F5108" s="2" t="s">
        <v>16</v>
      </c>
    </row>
    <row r="5109" spans="1:6" ht="25.5">
      <c r="A5109" s="2">
        <v>5106</v>
      </c>
      <c r="B5109" s="2" t="s">
        <v>5183</v>
      </c>
      <c r="C5109" s="2" t="str">
        <f>"1170229X"</f>
        <v>1170229X</v>
      </c>
      <c r="D5109" s="2">
        <v>0.81200000000000006</v>
      </c>
      <c r="E5109" s="2">
        <v>62</v>
      </c>
      <c r="F5109" s="2" t="s">
        <v>16</v>
      </c>
    </row>
    <row r="5110" spans="1:6" ht="25.5">
      <c r="A5110" s="2">
        <v>5107</v>
      </c>
      <c r="B5110" s="2" t="s">
        <v>5184</v>
      </c>
      <c r="C5110" s="2" t="str">
        <f>"17459265"</f>
        <v>17459265</v>
      </c>
      <c r="D5110" s="2">
        <v>0</v>
      </c>
      <c r="E5110" s="2">
        <v>1</v>
      </c>
      <c r="F5110" s="2" t="s">
        <v>16</v>
      </c>
    </row>
    <row r="5111" spans="1:6" ht="25.5">
      <c r="A5111" s="2">
        <v>5108</v>
      </c>
      <c r="B5111" s="2" t="s">
        <v>5185</v>
      </c>
      <c r="C5111" s="2" t="str">
        <f>"11720360"</f>
        <v>11720360</v>
      </c>
      <c r="D5111" s="2">
        <v>0.1</v>
      </c>
      <c r="E5111" s="2">
        <v>3</v>
      </c>
      <c r="F5111" s="2" t="s">
        <v>16</v>
      </c>
    </row>
    <row r="5112" spans="1:6" ht="25.5">
      <c r="A5112" s="2">
        <v>5109</v>
      </c>
      <c r="B5112" s="2" t="s">
        <v>5186</v>
      </c>
      <c r="C5112" s="2" t="str">
        <f>"09687637"</f>
        <v>09687637</v>
      </c>
      <c r="D5112" s="2">
        <v>0.34599999999999997</v>
      </c>
      <c r="E5112" s="2">
        <v>21</v>
      </c>
      <c r="F5112" s="2" t="s">
        <v>16</v>
      </c>
    </row>
    <row r="5113" spans="1:6" ht="25.5">
      <c r="A5113" s="2">
        <v>5110</v>
      </c>
      <c r="B5113" s="2" t="s">
        <v>5187</v>
      </c>
      <c r="C5113" s="2" t="str">
        <f>"17451981"</f>
        <v>17451981</v>
      </c>
      <c r="D5113" s="2">
        <v>0</v>
      </c>
      <c r="E5113" s="2">
        <v>1</v>
      </c>
      <c r="F5113" s="2" t="s">
        <v>16</v>
      </c>
    </row>
    <row r="5114" spans="1:6" ht="25.5">
      <c r="A5114" s="2">
        <v>5111</v>
      </c>
      <c r="B5114" s="2" t="s">
        <v>5188</v>
      </c>
      <c r="C5114" s="2" t="str">
        <f>"11745886"</f>
        <v>11745886</v>
      </c>
      <c r="D5114" s="2">
        <v>0.25800000000000001</v>
      </c>
      <c r="E5114" s="2">
        <v>26</v>
      </c>
      <c r="F5114" s="2" t="s">
        <v>16</v>
      </c>
    </row>
    <row r="5115" spans="1:6" ht="25.5">
      <c r="A5115" s="2">
        <v>5112</v>
      </c>
      <c r="B5115" s="2" t="s">
        <v>5189</v>
      </c>
      <c r="C5115" s="2" t="str">
        <f>"03778282"</f>
        <v>03778282</v>
      </c>
      <c r="D5115" s="2">
        <v>0.22700000000000001</v>
      </c>
      <c r="E5115" s="2">
        <v>33</v>
      </c>
      <c r="F5115" s="2" t="s">
        <v>351</v>
      </c>
    </row>
    <row r="5116" spans="1:6" ht="25.5">
      <c r="A5116" s="2">
        <v>5113</v>
      </c>
      <c r="B5116" s="2" t="s">
        <v>5190</v>
      </c>
      <c r="C5116" s="2" t="str">
        <f>"00257656"</f>
        <v>00257656</v>
      </c>
      <c r="D5116" s="2">
        <v>0.35899999999999999</v>
      </c>
      <c r="E5116" s="2">
        <v>36</v>
      </c>
      <c r="F5116" s="2" t="s">
        <v>351</v>
      </c>
    </row>
    <row r="5117" spans="1:6" ht="25.5">
      <c r="A5117" s="2">
        <v>5114</v>
      </c>
      <c r="B5117" s="2" t="s">
        <v>5191</v>
      </c>
      <c r="C5117" s="2" t="str">
        <f>"11773928"</f>
        <v>11773928</v>
      </c>
      <c r="D5117" s="2">
        <v>0.251</v>
      </c>
      <c r="E5117" s="2">
        <v>2</v>
      </c>
      <c r="F5117" s="2" t="s">
        <v>503</v>
      </c>
    </row>
    <row r="5118" spans="1:6" ht="25.5">
      <c r="A5118" s="2">
        <v>5115</v>
      </c>
      <c r="B5118" s="2" t="s">
        <v>5192</v>
      </c>
      <c r="C5118" s="2" t="str">
        <f>"19427611"</f>
        <v>19427611</v>
      </c>
      <c r="D5118" s="2">
        <v>0.70099999999999996</v>
      </c>
      <c r="E5118" s="2">
        <v>15</v>
      </c>
      <c r="F5118" s="2" t="s">
        <v>16</v>
      </c>
    </row>
    <row r="5119" spans="1:6" ht="25.5">
      <c r="A5119" s="2">
        <v>5116</v>
      </c>
      <c r="B5119" s="2" t="s">
        <v>5193</v>
      </c>
      <c r="C5119" s="2" t="str">
        <f>"00126616"</f>
        <v>00126616</v>
      </c>
      <c r="D5119" s="2">
        <v>0.111</v>
      </c>
      <c r="E5119" s="2">
        <v>6</v>
      </c>
      <c r="F5119" s="2" t="s">
        <v>6</v>
      </c>
    </row>
    <row r="5120" spans="1:6" ht="25.5">
      <c r="A5120" s="2">
        <v>5117</v>
      </c>
      <c r="B5120" s="2" t="s">
        <v>5194</v>
      </c>
      <c r="C5120" s="2" t="str">
        <f>"13300288"</f>
        <v>13300288</v>
      </c>
      <c r="D5120" s="2">
        <v>0.20100000000000001</v>
      </c>
      <c r="E5120" s="2">
        <v>9</v>
      </c>
      <c r="F5120" s="2" t="s">
        <v>149</v>
      </c>
    </row>
    <row r="5121" spans="1:6" ht="25.5">
      <c r="A5121" s="2">
        <v>5118</v>
      </c>
      <c r="B5121" s="2" t="s">
        <v>5195</v>
      </c>
      <c r="C5121" s="2" t="str">
        <f>"00126772"</f>
        <v>00126772</v>
      </c>
      <c r="D5121" s="2">
        <v>0.223</v>
      </c>
      <c r="E5121" s="2">
        <v>4</v>
      </c>
      <c r="F5121" s="2" t="s">
        <v>149</v>
      </c>
    </row>
    <row r="5122" spans="1:6" ht="25.5">
      <c r="A5122" s="2">
        <v>5119</v>
      </c>
      <c r="B5122" s="2" t="s">
        <v>5196</v>
      </c>
      <c r="C5122" s="2" t="str">
        <f>"15322300"</f>
        <v>15322300</v>
      </c>
      <c r="D5122" s="2">
        <v>0.52700000000000002</v>
      </c>
      <c r="E5122" s="2">
        <v>45</v>
      </c>
      <c r="F5122" s="2" t="s">
        <v>16</v>
      </c>
    </row>
    <row r="5123" spans="1:6" ht="25.5">
      <c r="A5123" s="2">
        <v>5120</v>
      </c>
      <c r="B5123" s="2" t="s">
        <v>5197</v>
      </c>
      <c r="C5123" s="2" t="str">
        <f>"10643958"</f>
        <v>10643958</v>
      </c>
      <c r="D5123" s="2">
        <v>0.191</v>
      </c>
      <c r="E5123" s="2">
        <v>9</v>
      </c>
      <c r="F5123" s="2" t="s">
        <v>6</v>
      </c>
    </row>
    <row r="5124" spans="1:6" ht="25.5">
      <c r="A5124" s="2">
        <v>5121</v>
      </c>
      <c r="B5124" s="2" t="s">
        <v>5198</v>
      </c>
      <c r="C5124" s="2" t="str">
        <f>"00127086"</f>
        <v>00127086</v>
      </c>
      <c r="D5124" s="2">
        <v>1.264</v>
      </c>
      <c r="E5124" s="2">
        <v>17</v>
      </c>
      <c r="F5124" s="2" t="s">
        <v>6</v>
      </c>
    </row>
    <row r="5125" spans="1:6" ht="25.5">
      <c r="A5125" s="2">
        <v>5122</v>
      </c>
      <c r="B5125" s="2" t="s">
        <v>5199</v>
      </c>
      <c r="C5125" s="2" t="str">
        <f>"00127094"</f>
        <v>00127094</v>
      </c>
      <c r="D5125" s="2">
        <v>4.0750000000000002</v>
      </c>
      <c r="E5125" s="2">
        <v>45</v>
      </c>
      <c r="F5125" s="2" t="s">
        <v>6</v>
      </c>
    </row>
    <row r="5126" spans="1:6">
      <c r="A5126" s="2">
        <v>5123</v>
      </c>
      <c r="B5126" s="2" t="s">
        <v>5200</v>
      </c>
      <c r="C5126" s="2" t="str">
        <f>"0"</f>
        <v>0</v>
      </c>
      <c r="D5126" s="2">
        <v>0.1</v>
      </c>
      <c r="E5126" s="2">
        <v>2</v>
      </c>
      <c r="F5126" s="2" t="s">
        <v>6</v>
      </c>
    </row>
    <row r="5127" spans="1:6" ht="25.5">
      <c r="A5127" s="2">
        <v>5124</v>
      </c>
      <c r="B5127" s="2" t="s">
        <v>5201</v>
      </c>
      <c r="C5127" s="2" t="str">
        <f>"00127183"</f>
        <v>00127183</v>
      </c>
      <c r="D5127" s="2">
        <v>0.109</v>
      </c>
      <c r="E5127" s="2">
        <v>4</v>
      </c>
      <c r="F5127" s="2" t="s">
        <v>751</v>
      </c>
    </row>
    <row r="5128" spans="1:6" ht="25.5">
      <c r="A5128" s="2">
        <v>5125</v>
      </c>
      <c r="B5128" s="2" t="s">
        <v>5202</v>
      </c>
      <c r="C5128" s="2" t="str">
        <f>"17522307"</f>
        <v>17522307</v>
      </c>
      <c r="D5128" s="2">
        <v>0.115</v>
      </c>
      <c r="E5128" s="2">
        <v>1</v>
      </c>
      <c r="F5128" s="2" t="s">
        <v>16</v>
      </c>
    </row>
    <row r="5129" spans="1:6" ht="25.5">
      <c r="A5129" s="2">
        <v>5126</v>
      </c>
      <c r="B5129" s="2" t="s">
        <v>5203</v>
      </c>
      <c r="C5129" s="2" t="str">
        <f>"13095749"</f>
        <v>13095749</v>
      </c>
      <c r="D5129" s="2">
        <v>0.13900000000000001</v>
      </c>
      <c r="E5129" s="2">
        <v>2</v>
      </c>
      <c r="F5129" s="2" t="s">
        <v>345</v>
      </c>
    </row>
    <row r="5130" spans="1:6" ht="25.5">
      <c r="A5130" s="2">
        <v>5127</v>
      </c>
      <c r="B5130" s="2" t="s">
        <v>5204</v>
      </c>
      <c r="C5130" s="2" t="str">
        <f>"03096564"</f>
        <v>03096564</v>
      </c>
      <c r="D5130" s="2">
        <v>0.10100000000000001</v>
      </c>
      <c r="E5130" s="2">
        <v>0</v>
      </c>
      <c r="F5130" s="2" t="s">
        <v>16</v>
      </c>
    </row>
    <row r="5131" spans="1:6" ht="25.5">
      <c r="A5131" s="2">
        <v>5128</v>
      </c>
      <c r="B5131" s="2" t="s">
        <v>5205</v>
      </c>
      <c r="C5131" s="2" t="str">
        <f>"1307671X"</f>
        <v>1307671X</v>
      </c>
      <c r="D5131" s="2">
        <v>0.10100000000000001</v>
      </c>
      <c r="E5131" s="2">
        <v>1</v>
      </c>
      <c r="F5131" s="2" t="s">
        <v>345</v>
      </c>
    </row>
    <row r="5132" spans="1:6" ht="25.5">
      <c r="A5132" s="2">
        <v>5129</v>
      </c>
      <c r="B5132" s="2" t="s">
        <v>5206</v>
      </c>
      <c r="C5132" s="2" t="str">
        <f>"00126837"</f>
        <v>00126837</v>
      </c>
      <c r="D5132" s="2">
        <v>0.1</v>
      </c>
      <c r="E5132" s="2">
        <v>0</v>
      </c>
      <c r="F5132" s="2" t="s">
        <v>31</v>
      </c>
    </row>
    <row r="5133" spans="1:6" ht="25.5">
      <c r="A5133" s="2">
        <v>5130</v>
      </c>
      <c r="B5133" s="2" t="s">
        <v>5207</v>
      </c>
      <c r="C5133" s="2" t="str">
        <f>"15811212"</f>
        <v>15811212</v>
      </c>
      <c r="D5133" s="2">
        <v>0.185</v>
      </c>
      <c r="E5133" s="2">
        <v>3</v>
      </c>
      <c r="F5133" s="2" t="s">
        <v>154</v>
      </c>
    </row>
    <row r="5134" spans="1:6" ht="25.5">
      <c r="A5134" s="2">
        <v>5131</v>
      </c>
      <c r="B5134" s="2" t="s">
        <v>5208</v>
      </c>
      <c r="C5134" s="2" t="str">
        <f>"01437208"</f>
        <v>01437208</v>
      </c>
      <c r="D5134" s="2">
        <v>0.88</v>
      </c>
      <c r="E5134" s="2">
        <v>67</v>
      </c>
      <c r="F5134" s="2" t="s">
        <v>75</v>
      </c>
    </row>
    <row r="5135" spans="1:6" ht="25.5">
      <c r="A5135" s="2">
        <v>5132</v>
      </c>
      <c r="B5135" s="2" t="s">
        <v>5209</v>
      </c>
      <c r="C5135" s="2" t="str">
        <f>"00127353"</f>
        <v>00127353</v>
      </c>
      <c r="D5135" s="2">
        <v>0.20699999999999999</v>
      </c>
      <c r="E5135" s="2">
        <v>5</v>
      </c>
      <c r="F5135" s="2" t="s">
        <v>184</v>
      </c>
    </row>
    <row r="5136" spans="1:6">
      <c r="A5136" s="2">
        <v>5133</v>
      </c>
      <c r="B5136" s="2" t="s">
        <v>5210</v>
      </c>
      <c r="C5136" s="2" t="str">
        <f>"0"</f>
        <v>0</v>
      </c>
      <c r="D5136" s="2">
        <v>0.10100000000000001</v>
      </c>
      <c r="E5136" s="2">
        <v>3</v>
      </c>
      <c r="F5136" s="2" t="s">
        <v>6</v>
      </c>
    </row>
    <row r="5137" spans="1:6" ht="25.5">
      <c r="A5137" s="2">
        <v>5134</v>
      </c>
      <c r="B5137" s="2" t="s">
        <v>5211</v>
      </c>
      <c r="C5137" s="2" t="str">
        <f>"14689367"</f>
        <v>14689367</v>
      </c>
      <c r="D5137" s="2">
        <v>0.68400000000000005</v>
      </c>
      <c r="E5137" s="2">
        <v>20</v>
      </c>
      <c r="F5137" s="2" t="s">
        <v>16</v>
      </c>
    </row>
    <row r="5138" spans="1:6" ht="25.5">
      <c r="A5138" s="2">
        <v>5135</v>
      </c>
      <c r="B5138" s="2" t="s">
        <v>5212</v>
      </c>
      <c r="C5138" s="2" t="str">
        <f>"17467594"</f>
        <v>17467594</v>
      </c>
      <c r="D5138" s="2">
        <v>0.109</v>
      </c>
      <c r="E5138" s="2">
        <v>2</v>
      </c>
      <c r="F5138" s="2" t="s">
        <v>6</v>
      </c>
    </row>
    <row r="5139" spans="1:6" ht="25.5">
      <c r="A5139" s="2">
        <v>5136</v>
      </c>
      <c r="B5139" s="2" t="s">
        <v>5213</v>
      </c>
      <c r="C5139" s="2" t="str">
        <f>"03770265"</f>
        <v>03770265</v>
      </c>
      <c r="D5139" s="2">
        <v>1.37</v>
      </c>
      <c r="E5139" s="2">
        <v>27</v>
      </c>
      <c r="F5139" s="2" t="s">
        <v>75</v>
      </c>
    </row>
    <row r="5140" spans="1:6" ht="25.5">
      <c r="A5140" s="2">
        <v>5137</v>
      </c>
      <c r="B5140" s="2" t="s">
        <v>5214</v>
      </c>
      <c r="C5140" s="2" t="str">
        <f>"12013390"</f>
        <v>12013390</v>
      </c>
      <c r="D5140" s="2">
        <v>0.35199999999999998</v>
      </c>
      <c r="E5140" s="2">
        <v>13</v>
      </c>
      <c r="F5140" s="2" t="s">
        <v>64</v>
      </c>
    </row>
    <row r="5141" spans="1:6" ht="25.5">
      <c r="A5141" s="2">
        <v>5138</v>
      </c>
      <c r="B5141" s="2" t="s">
        <v>5215</v>
      </c>
      <c r="C5141" s="2" t="str">
        <f>"14928760"</f>
        <v>14928760</v>
      </c>
      <c r="D5141" s="2">
        <v>0.311</v>
      </c>
      <c r="E5141" s="2">
        <v>18</v>
      </c>
      <c r="F5141" s="2" t="s">
        <v>64</v>
      </c>
    </row>
    <row r="5142" spans="1:6" ht="25.5">
      <c r="A5142" s="2">
        <v>5139</v>
      </c>
      <c r="B5142" s="2" t="s">
        <v>5216</v>
      </c>
      <c r="C5142" s="2" t="str">
        <f>"1548159X"</f>
        <v>1548159X</v>
      </c>
      <c r="D5142" s="2">
        <v>1.093</v>
      </c>
      <c r="E5142" s="2">
        <v>8</v>
      </c>
      <c r="F5142" s="2" t="s">
        <v>6</v>
      </c>
    </row>
    <row r="5143" spans="1:6" ht="25.5">
      <c r="A5143" s="2">
        <v>5140</v>
      </c>
      <c r="B5143" s="2" t="s">
        <v>5217</v>
      </c>
      <c r="C5143" s="2" t="str">
        <f>"14973715"</f>
        <v>14973715</v>
      </c>
      <c r="D5143" s="2">
        <v>0.122</v>
      </c>
      <c r="E5143" s="2">
        <v>7</v>
      </c>
      <c r="F5143" s="2" t="s">
        <v>64</v>
      </c>
    </row>
    <row r="5144" spans="1:6" ht="25.5">
      <c r="A5144" s="2">
        <v>5141</v>
      </c>
      <c r="B5144" s="2" t="s">
        <v>5218</v>
      </c>
      <c r="C5144" s="2" t="str">
        <f>"10562176"</f>
        <v>10562176</v>
      </c>
      <c r="D5144" s="2">
        <v>0.47599999999999998</v>
      </c>
      <c r="E5144" s="2">
        <v>13</v>
      </c>
      <c r="F5144" s="2" t="s">
        <v>6</v>
      </c>
    </row>
    <row r="5145" spans="1:6" ht="25.5">
      <c r="A5145" s="2">
        <v>5142</v>
      </c>
      <c r="B5145" s="2" t="s">
        <v>5219</v>
      </c>
      <c r="C5145" s="2" t="str">
        <f>"0012740X"</f>
        <v>0012740X</v>
      </c>
      <c r="D5145" s="2">
        <v>0.10100000000000001</v>
      </c>
      <c r="E5145" s="2">
        <v>6</v>
      </c>
      <c r="F5145" s="2" t="s">
        <v>12</v>
      </c>
    </row>
    <row r="5146" spans="1:6" ht="25.5">
      <c r="A5146" s="2">
        <v>5143</v>
      </c>
      <c r="B5146" s="2" t="s">
        <v>5220</v>
      </c>
      <c r="C5146" s="2" t="str">
        <f>"02119536"</f>
        <v>02119536</v>
      </c>
      <c r="D5146" s="2">
        <v>0.11899999999999999</v>
      </c>
      <c r="E5146" s="2">
        <v>5</v>
      </c>
      <c r="F5146" s="2" t="s">
        <v>351</v>
      </c>
    </row>
    <row r="5147" spans="1:6" ht="25.5">
      <c r="A5147" s="2">
        <v>5144</v>
      </c>
      <c r="B5147" s="2" t="s">
        <v>5221</v>
      </c>
      <c r="C5147" s="2" t="str">
        <f>"00127361"</f>
        <v>00127361</v>
      </c>
      <c r="D5147" s="2">
        <v>0</v>
      </c>
      <c r="E5147" s="2">
        <v>0</v>
      </c>
      <c r="F5147" s="2" t="s">
        <v>351</v>
      </c>
    </row>
    <row r="5148" spans="1:6" ht="25.5">
      <c r="A5148" s="2">
        <v>5145</v>
      </c>
      <c r="B5148" s="2" t="s">
        <v>5222</v>
      </c>
      <c r="C5148" s="2" t="str">
        <f>"10990909"</f>
        <v>10990909</v>
      </c>
      <c r="D5148" s="2">
        <v>0.54100000000000004</v>
      </c>
      <c r="E5148" s="2">
        <v>27</v>
      </c>
      <c r="F5148" s="2" t="s">
        <v>16</v>
      </c>
    </row>
    <row r="5149" spans="1:6" ht="25.5">
      <c r="A5149" s="2">
        <v>5146</v>
      </c>
      <c r="B5149" s="2" t="s">
        <v>5223</v>
      </c>
      <c r="C5149" s="2" t="str">
        <f>"14320460"</f>
        <v>14320460</v>
      </c>
      <c r="D5149" s="2">
        <v>0.68400000000000005</v>
      </c>
      <c r="E5149" s="2">
        <v>46</v>
      </c>
      <c r="F5149" s="2" t="s">
        <v>6</v>
      </c>
    </row>
    <row r="5150" spans="1:6" ht="25.5">
      <c r="A5150" s="2">
        <v>5147</v>
      </c>
      <c r="B5150" s="2" t="s">
        <v>5224</v>
      </c>
      <c r="C5150" s="2" t="str">
        <f>"00712477"</f>
        <v>00712477</v>
      </c>
      <c r="D5150" s="2">
        <v>0.115</v>
      </c>
      <c r="E5150" s="2">
        <v>2</v>
      </c>
      <c r="F5150" s="2" t="s">
        <v>75</v>
      </c>
    </row>
    <row r="5151" spans="1:6" ht="25.5">
      <c r="A5151" s="2">
        <v>5148</v>
      </c>
      <c r="B5151" s="2" t="s">
        <v>5225</v>
      </c>
      <c r="C5151" s="2" t="str">
        <f>"12123609"</f>
        <v>12123609</v>
      </c>
      <c r="D5151" s="2">
        <v>0.29499999999999998</v>
      </c>
      <c r="E5151" s="2">
        <v>7</v>
      </c>
      <c r="F5151" s="2" t="s">
        <v>208</v>
      </c>
    </row>
    <row r="5152" spans="1:6" ht="25.5">
      <c r="A5152" s="2">
        <v>5149</v>
      </c>
      <c r="B5152" s="2" t="s">
        <v>5226</v>
      </c>
      <c r="C5152" s="2" t="str">
        <f>"15384667"</f>
        <v>15384667</v>
      </c>
      <c r="D5152" s="2">
        <v>1.7190000000000001</v>
      </c>
      <c r="E5152" s="2">
        <v>63</v>
      </c>
      <c r="F5152" s="2" t="s">
        <v>6</v>
      </c>
    </row>
    <row r="5153" spans="1:6" ht="25.5">
      <c r="A5153" s="2">
        <v>5150</v>
      </c>
      <c r="B5153" s="2" t="s">
        <v>5227</v>
      </c>
      <c r="C5153" s="2" t="str">
        <f>"1534147X"</f>
        <v>1534147X</v>
      </c>
      <c r="D5153" s="2">
        <v>0.21</v>
      </c>
      <c r="E5153" s="2">
        <v>5</v>
      </c>
      <c r="F5153" s="2" t="s">
        <v>6</v>
      </c>
    </row>
    <row r="5154" spans="1:6" ht="25.5">
      <c r="A5154" s="2">
        <v>5151</v>
      </c>
      <c r="B5154" s="2" t="s">
        <v>5228</v>
      </c>
      <c r="C5154" s="2" t="str">
        <f>"14768275"</f>
        <v>14768275</v>
      </c>
      <c r="D5154" s="2">
        <v>0.28599999999999998</v>
      </c>
      <c r="E5154" s="2">
        <v>7</v>
      </c>
      <c r="F5154" s="2" t="s">
        <v>16</v>
      </c>
    </row>
    <row r="5155" spans="1:6" ht="25.5">
      <c r="A5155" s="2">
        <v>5152</v>
      </c>
      <c r="B5155" s="2" t="s">
        <v>5229</v>
      </c>
      <c r="C5155" s="2" t="str">
        <f>"15731707"</f>
        <v>15731707</v>
      </c>
      <c r="D5155" s="2">
        <v>0.36699999999999999</v>
      </c>
      <c r="E5155" s="2">
        <v>12</v>
      </c>
      <c r="F5155" s="2" t="s">
        <v>75</v>
      </c>
    </row>
    <row r="5156" spans="1:6" ht="25.5">
      <c r="A5156" s="2">
        <v>5153</v>
      </c>
      <c r="B5156" s="2" t="s">
        <v>5230</v>
      </c>
      <c r="C5156" s="2" t="str">
        <f>"15245039"</f>
        <v>15245039</v>
      </c>
      <c r="D5156" s="2">
        <v>0.219</v>
      </c>
      <c r="E5156" s="2">
        <v>12</v>
      </c>
      <c r="F5156" s="2" t="s">
        <v>6</v>
      </c>
    </row>
    <row r="5157" spans="1:6" ht="25.5">
      <c r="A5157" s="2">
        <v>5154</v>
      </c>
      <c r="B5157" s="2" t="s">
        <v>5231</v>
      </c>
      <c r="C5157" s="2" t="str">
        <f>"08852006"</f>
        <v>08852006</v>
      </c>
      <c r="D5157" s="2">
        <v>1.823</v>
      </c>
      <c r="E5157" s="2">
        <v>43</v>
      </c>
      <c r="F5157" s="2" t="s">
        <v>16</v>
      </c>
    </row>
    <row r="5158" spans="1:6" ht="25.5">
      <c r="A5158" s="2">
        <v>5155</v>
      </c>
      <c r="B5158" s="2" t="s">
        <v>5232</v>
      </c>
      <c r="C5158" s="2" t="str">
        <f>"10409289"</f>
        <v>10409289</v>
      </c>
      <c r="D5158" s="2">
        <v>0.84</v>
      </c>
      <c r="E5158" s="2">
        <v>17</v>
      </c>
      <c r="F5158" s="2" t="s">
        <v>16</v>
      </c>
    </row>
    <row r="5159" spans="1:6" ht="25.5">
      <c r="A5159" s="2">
        <v>5156</v>
      </c>
      <c r="B5159" s="2" t="s">
        <v>5233</v>
      </c>
      <c r="C5159" s="2" t="str">
        <f>"03783782"</f>
        <v>03783782</v>
      </c>
      <c r="D5159" s="2">
        <v>0.89</v>
      </c>
      <c r="E5159" s="2">
        <v>56</v>
      </c>
      <c r="F5159" s="2" t="s">
        <v>732</v>
      </c>
    </row>
    <row r="5160" spans="1:6" ht="25.5">
      <c r="A5160" s="2">
        <v>5157</v>
      </c>
      <c r="B5160" s="2" t="s">
        <v>5234</v>
      </c>
      <c r="C5160" s="2" t="str">
        <f>"17517885"</f>
        <v>17517885</v>
      </c>
      <c r="D5160" s="2">
        <v>0.69399999999999995</v>
      </c>
      <c r="E5160" s="2">
        <v>13</v>
      </c>
      <c r="F5160" s="2" t="s">
        <v>16</v>
      </c>
    </row>
    <row r="5161" spans="1:6" ht="25.5">
      <c r="A5161" s="2">
        <v>5158</v>
      </c>
      <c r="B5161" s="2" t="s">
        <v>5235</v>
      </c>
      <c r="C5161" s="2" t="str">
        <f>"14680254"</f>
        <v>14680254</v>
      </c>
      <c r="D5161" s="2">
        <v>0.129</v>
      </c>
      <c r="E5161" s="2">
        <v>8</v>
      </c>
      <c r="F5161" s="2" t="s">
        <v>16</v>
      </c>
    </row>
    <row r="5162" spans="1:6" ht="25.5">
      <c r="A5162" s="2">
        <v>5159</v>
      </c>
      <c r="B5162" s="2" t="s">
        <v>5236</v>
      </c>
      <c r="C5162" s="2" t="str">
        <f>"19330065"</f>
        <v>19330065</v>
      </c>
      <c r="D5162" s="2">
        <v>0.10100000000000001</v>
      </c>
      <c r="E5162" s="2">
        <v>1</v>
      </c>
      <c r="F5162" s="2" t="s">
        <v>6</v>
      </c>
    </row>
    <row r="5163" spans="1:6" ht="25.5">
      <c r="A5163" s="2">
        <v>5160</v>
      </c>
      <c r="B5163" s="2" t="s">
        <v>5237</v>
      </c>
      <c r="C5163" s="2" t="str">
        <f>"17417260"</f>
        <v>17417260</v>
      </c>
      <c r="D5163" s="2">
        <v>0.14199999999999999</v>
      </c>
      <c r="E5163" s="2">
        <v>7</v>
      </c>
      <c r="F5163" s="2" t="s">
        <v>16</v>
      </c>
    </row>
    <row r="5164" spans="1:6" ht="25.5">
      <c r="A5164" s="2">
        <v>5161</v>
      </c>
      <c r="B5164" s="2" t="s">
        <v>5238</v>
      </c>
      <c r="C5164" s="2" t="str">
        <f>"14740559"</f>
        <v>14740559</v>
      </c>
      <c r="D5164" s="2">
        <v>0.105</v>
      </c>
      <c r="E5164" s="2">
        <v>6</v>
      </c>
      <c r="F5164" s="2" t="s">
        <v>16</v>
      </c>
    </row>
    <row r="5165" spans="1:6" ht="25.5">
      <c r="A5165" s="2">
        <v>5162</v>
      </c>
      <c r="B5165" s="2" t="s">
        <v>5239</v>
      </c>
      <c r="C5165" s="2" t="str">
        <f>"17460654"</f>
        <v>17460654</v>
      </c>
      <c r="D5165" s="2">
        <v>0.13400000000000001</v>
      </c>
      <c r="E5165" s="2">
        <v>2</v>
      </c>
      <c r="F5165" s="2" t="s">
        <v>16</v>
      </c>
    </row>
    <row r="5166" spans="1:6" ht="25.5">
      <c r="A5166" s="2">
        <v>5163</v>
      </c>
      <c r="B5166" s="2" t="s">
        <v>5240</v>
      </c>
      <c r="C5166" s="2" t="str">
        <f>"15733823"</f>
        <v>15733823</v>
      </c>
      <c r="D5166" s="2">
        <v>0.13</v>
      </c>
      <c r="E5166" s="2">
        <v>7</v>
      </c>
      <c r="F5166" s="2" t="s">
        <v>75</v>
      </c>
    </row>
    <row r="5167" spans="1:6" ht="25.5">
      <c r="A5167" s="2">
        <v>5164</v>
      </c>
      <c r="B5167" s="2" t="s">
        <v>5241</v>
      </c>
      <c r="C5167" s="2" t="str">
        <f>"01455613"</f>
        <v>01455613</v>
      </c>
      <c r="D5167" s="2">
        <v>0.217</v>
      </c>
      <c r="E5167" s="2">
        <v>33</v>
      </c>
      <c r="F5167" s="2" t="s">
        <v>6</v>
      </c>
    </row>
    <row r="5168" spans="1:6" ht="25.5">
      <c r="A5168" s="2">
        <v>5165</v>
      </c>
      <c r="B5168" s="2" t="s">
        <v>5242</v>
      </c>
      <c r="C5168" s="2" t="str">
        <f>"1943345X"</f>
        <v>1943345X</v>
      </c>
      <c r="D5168" s="2">
        <v>0.10199999999999999</v>
      </c>
      <c r="E5168" s="2">
        <v>9</v>
      </c>
      <c r="F5168" s="2" t="s">
        <v>6</v>
      </c>
    </row>
    <row r="5169" spans="1:6" ht="25.5">
      <c r="A5169" s="2">
        <v>5166</v>
      </c>
      <c r="B5169" s="2" t="s">
        <v>5243</v>
      </c>
      <c r="C5169" s="2" t="str">
        <f>"17556910"</f>
        <v>17556910</v>
      </c>
      <c r="D5169" s="2">
        <v>0.68100000000000005</v>
      </c>
      <c r="E5169" s="2">
        <v>34</v>
      </c>
      <c r="F5169" s="2" t="s">
        <v>16</v>
      </c>
    </row>
    <row r="5170" spans="1:6" ht="25.5">
      <c r="A5170" s="2">
        <v>5167</v>
      </c>
      <c r="B5170" s="2" t="s">
        <v>5244</v>
      </c>
      <c r="C5170" s="2" t="str">
        <f>"1385013X"</f>
        <v>1385013X</v>
      </c>
      <c r="D5170" s="2">
        <v>2.895</v>
      </c>
      <c r="E5170" s="2">
        <v>137</v>
      </c>
      <c r="F5170" s="2" t="s">
        <v>75</v>
      </c>
    </row>
    <row r="5171" spans="1:6" ht="25.5">
      <c r="A5171" s="2">
        <v>5168</v>
      </c>
      <c r="B5171" s="2" t="s">
        <v>5245</v>
      </c>
      <c r="C5171" s="2" t="str">
        <f>"10873562"</f>
        <v>10873562</v>
      </c>
      <c r="D5171" s="2">
        <v>0.82299999999999995</v>
      </c>
      <c r="E5171" s="2">
        <v>17</v>
      </c>
      <c r="F5171" s="2" t="s">
        <v>6</v>
      </c>
    </row>
    <row r="5172" spans="1:6" ht="25.5">
      <c r="A5172" s="2">
        <v>5169</v>
      </c>
      <c r="B5172" s="2" t="s">
        <v>5246</v>
      </c>
      <c r="C5172" s="2" t="str">
        <f>"15730794"</f>
        <v>15730794</v>
      </c>
      <c r="D5172" s="2">
        <v>0.436</v>
      </c>
      <c r="E5172" s="2">
        <v>28</v>
      </c>
      <c r="F5172" s="2" t="s">
        <v>75</v>
      </c>
    </row>
    <row r="5173" spans="1:6" ht="25.5">
      <c r="A5173" s="2">
        <v>5170</v>
      </c>
      <c r="B5173" s="2" t="s">
        <v>5247</v>
      </c>
      <c r="C5173" s="2" t="str">
        <f>"13438832"</f>
        <v>13438832</v>
      </c>
      <c r="D5173" s="2">
        <v>1.895</v>
      </c>
      <c r="E5173" s="2">
        <v>40</v>
      </c>
      <c r="F5173" s="2" t="s">
        <v>131</v>
      </c>
    </row>
    <row r="5174" spans="1:6" ht="25.5">
      <c r="A5174" s="2">
        <v>5171</v>
      </c>
      <c r="B5174" s="2" t="s">
        <v>5248</v>
      </c>
      <c r="C5174" s="2" t="str">
        <f>"10003274"</f>
        <v>10003274</v>
      </c>
      <c r="D5174" s="2">
        <v>0.152</v>
      </c>
      <c r="E5174" s="2">
        <v>7</v>
      </c>
      <c r="F5174" s="2" t="s">
        <v>46</v>
      </c>
    </row>
    <row r="5175" spans="1:6" ht="25.5">
      <c r="A5175" s="2">
        <v>5172</v>
      </c>
      <c r="B5175" s="2" t="s">
        <v>5249</v>
      </c>
      <c r="C5175" s="2" t="str">
        <f>"10001301"</f>
        <v>10001301</v>
      </c>
      <c r="D5175" s="2">
        <v>0.433</v>
      </c>
      <c r="E5175" s="2">
        <v>17</v>
      </c>
      <c r="F5175" s="2" t="s">
        <v>46</v>
      </c>
    </row>
    <row r="5176" spans="1:6" ht="25.5">
      <c r="A5176" s="2">
        <v>5173</v>
      </c>
      <c r="B5176" s="2" t="s">
        <v>5250</v>
      </c>
      <c r="C5176" s="2" t="str">
        <f>"10969845"</f>
        <v>10969845</v>
      </c>
      <c r="D5176" s="2">
        <v>2.3050000000000002</v>
      </c>
      <c r="E5176" s="2">
        <v>61</v>
      </c>
      <c r="F5176" s="2" t="s">
        <v>16</v>
      </c>
    </row>
    <row r="5177" spans="1:6" ht="25.5">
      <c r="A5177" s="2">
        <v>5174</v>
      </c>
      <c r="B5177" s="2" t="s">
        <v>5251</v>
      </c>
      <c r="C5177" s="2" t="str">
        <f>"16744519"</f>
        <v>16744519</v>
      </c>
      <c r="D5177" s="2">
        <v>0.48599999999999999</v>
      </c>
      <c r="E5177" s="2">
        <v>7</v>
      </c>
      <c r="F5177" s="2" t="s">
        <v>46</v>
      </c>
    </row>
    <row r="5178" spans="1:6" ht="25.5">
      <c r="A5178" s="2">
        <v>5175</v>
      </c>
      <c r="B5178" s="2" t="s">
        <v>5252</v>
      </c>
      <c r="C5178" s="2" t="str">
        <f>"87552930"</f>
        <v>87552930</v>
      </c>
      <c r="D5178" s="2">
        <v>0.89</v>
      </c>
      <c r="E5178" s="2">
        <v>44</v>
      </c>
      <c r="F5178" s="2" t="s">
        <v>6</v>
      </c>
    </row>
    <row r="5179" spans="1:6" ht="25.5">
      <c r="A5179" s="2">
        <v>5176</v>
      </c>
      <c r="B5179" s="2" t="s">
        <v>5253</v>
      </c>
      <c r="C5179" s="2" t="str">
        <f>"18650473"</f>
        <v>18650473</v>
      </c>
      <c r="D5179" s="2">
        <v>0.245</v>
      </c>
      <c r="E5179" s="2">
        <v>5</v>
      </c>
      <c r="F5179" s="2" t="s">
        <v>12</v>
      </c>
    </row>
    <row r="5180" spans="1:6" ht="25.5">
      <c r="A5180" s="2">
        <v>5177</v>
      </c>
      <c r="B5180" s="2" t="s">
        <v>5254</v>
      </c>
      <c r="C5180" s="2" t="str">
        <f>"00128252"</f>
        <v>00128252</v>
      </c>
      <c r="D5180" s="2">
        <v>3.5529999999999999</v>
      </c>
      <c r="E5180" s="2">
        <v>96</v>
      </c>
      <c r="F5180" s="2" t="s">
        <v>75</v>
      </c>
    </row>
    <row r="5181" spans="1:6" ht="25.5">
      <c r="A5181" s="2">
        <v>5178</v>
      </c>
      <c r="B5181" s="2" t="s">
        <v>5255</v>
      </c>
      <c r="C5181" s="2" t="str">
        <f>"0736623X"</f>
        <v>0736623X</v>
      </c>
      <c r="D5181" s="2">
        <v>0.17</v>
      </c>
      <c r="E5181" s="2">
        <v>5</v>
      </c>
      <c r="F5181" s="2" t="s">
        <v>6</v>
      </c>
    </row>
    <row r="5182" spans="1:6" ht="25.5">
      <c r="A5182" s="2">
        <v>5179</v>
      </c>
      <c r="B5182" s="2" t="s">
        <v>5256</v>
      </c>
      <c r="C5182" s="2" t="str">
        <f>"17946190"</f>
        <v>17946190</v>
      </c>
      <c r="D5182" s="2">
        <v>0.129</v>
      </c>
      <c r="E5182" s="2">
        <v>3</v>
      </c>
      <c r="F5182" s="2" t="s">
        <v>184</v>
      </c>
    </row>
    <row r="5183" spans="1:6" ht="25.5">
      <c r="A5183" s="2">
        <v>5180</v>
      </c>
      <c r="B5183" s="2" t="s">
        <v>5257</v>
      </c>
      <c r="C5183" s="2" t="str">
        <f>"15607496"</f>
        <v>15607496</v>
      </c>
      <c r="D5183" s="2">
        <v>0.11799999999999999</v>
      </c>
      <c r="E5183" s="2">
        <v>5</v>
      </c>
      <c r="F5183" s="2" t="s">
        <v>129</v>
      </c>
    </row>
    <row r="5184" spans="1:6" ht="25.5">
      <c r="A5184" s="2">
        <v>5181</v>
      </c>
      <c r="B5184" s="2" t="s">
        <v>5258</v>
      </c>
      <c r="C5184" s="2" t="str">
        <f>"01979337"</f>
        <v>01979337</v>
      </c>
      <c r="D5184" s="2">
        <v>1.1459999999999999</v>
      </c>
      <c r="E5184" s="2">
        <v>62</v>
      </c>
      <c r="F5184" s="2" t="s">
        <v>16</v>
      </c>
    </row>
    <row r="5185" spans="1:6" ht="25.5">
      <c r="A5185" s="2">
        <v>5182</v>
      </c>
      <c r="B5185" s="2" t="s">
        <v>5259</v>
      </c>
      <c r="C5185" s="2" t="str">
        <f>"21904987"</f>
        <v>21904987</v>
      </c>
      <c r="D5185" s="2">
        <v>0.76500000000000001</v>
      </c>
      <c r="E5185" s="2">
        <v>4</v>
      </c>
      <c r="F5185" s="2" t="s">
        <v>12</v>
      </c>
    </row>
    <row r="5186" spans="1:6" ht="25.5">
      <c r="A5186" s="2">
        <v>5183</v>
      </c>
      <c r="B5186" s="2" t="s">
        <v>5260</v>
      </c>
      <c r="C5186" s="2" t="str">
        <f>"10682678"</f>
        <v>10682678</v>
      </c>
      <c r="D5186" s="2">
        <v>0.10100000000000001</v>
      </c>
      <c r="E5186" s="2">
        <v>5</v>
      </c>
      <c r="F5186" s="2" t="s">
        <v>6</v>
      </c>
    </row>
    <row r="5187" spans="1:6" ht="25.5">
      <c r="A5187" s="2">
        <v>5184</v>
      </c>
      <c r="B5187" s="2" t="s">
        <v>5261</v>
      </c>
      <c r="C5187" s="2" t="str">
        <f>"16381963"</f>
        <v>16381963</v>
      </c>
      <c r="D5187" s="2">
        <v>0.18</v>
      </c>
      <c r="E5187" s="2">
        <v>8</v>
      </c>
      <c r="F5187" s="2" t="s">
        <v>66</v>
      </c>
    </row>
    <row r="5188" spans="1:6" ht="25.5">
      <c r="A5188" s="2">
        <v>5185</v>
      </c>
      <c r="B5188" s="2" t="s">
        <v>5262</v>
      </c>
      <c r="C5188" s="2" t="str">
        <f>"08568960"</f>
        <v>08568960</v>
      </c>
      <c r="D5188" s="2">
        <v>0.16200000000000001</v>
      </c>
      <c r="E5188" s="2">
        <v>8</v>
      </c>
      <c r="F5188" s="2" t="s">
        <v>5263</v>
      </c>
    </row>
    <row r="5189" spans="1:6" ht="25.5">
      <c r="A5189" s="2">
        <v>5186</v>
      </c>
      <c r="B5189" s="2" t="s">
        <v>5264</v>
      </c>
      <c r="C5189" s="2" t="str">
        <f>"10966838"</f>
        <v>10966838</v>
      </c>
      <c r="D5189" s="2">
        <v>0.16500000000000001</v>
      </c>
      <c r="E5189" s="2">
        <v>9</v>
      </c>
      <c r="F5189" s="2" t="s">
        <v>75</v>
      </c>
    </row>
    <row r="5190" spans="1:6" ht="25.5">
      <c r="A5190" s="2">
        <v>5187</v>
      </c>
      <c r="B5190" s="2" t="s">
        <v>5265</v>
      </c>
      <c r="C5190" s="2" t="str">
        <f>"20789947"</f>
        <v>20789947</v>
      </c>
      <c r="D5190" s="2">
        <v>0.14000000000000001</v>
      </c>
      <c r="E5190" s="2">
        <v>2</v>
      </c>
      <c r="F5190" s="2" t="s">
        <v>46</v>
      </c>
    </row>
    <row r="5191" spans="1:6" ht="25.5">
      <c r="A5191" s="2">
        <v>5188</v>
      </c>
      <c r="B5191" s="2" t="s">
        <v>5266</v>
      </c>
      <c r="C5191" s="2" t="str">
        <f>"18752160"</f>
        <v>18752160</v>
      </c>
      <c r="D5191" s="2">
        <v>0.23400000000000001</v>
      </c>
      <c r="E5191" s="2">
        <v>3</v>
      </c>
      <c r="F5191" s="2" t="s">
        <v>6</v>
      </c>
    </row>
    <row r="5192" spans="1:6" ht="25.5">
      <c r="A5192" s="2">
        <v>5189</v>
      </c>
      <c r="B5192" s="2" t="s">
        <v>5267</v>
      </c>
      <c r="C5192" s="2" t="str">
        <f>"00943037"</f>
        <v>00943037</v>
      </c>
      <c r="D5192" s="2">
        <v>0.106</v>
      </c>
      <c r="E5192" s="2">
        <v>2</v>
      </c>
      <c r="F5192" s="2" t="s">
        <v>75</v>
      </c>
    </row>
    <row r="5193" spans="1:6" ht="25.5">
      <c r="A5193" s="2">
        <v>5190</v>
      </c>
      <c r="B5193" s="2" t="s">
        <v>5268</v>
      </c>
      <c r="C5193" s="2" t="str">
        <f>"00128686"</f>
        <v>00128686</v>
      </c>
      <c r="D5193" s="2">
        <v>0.10100000000000001</v>
      </c>
      <c r="E5193" s="2">
        <v>0</v>
      </c>
      <c r="F5193" s="2" t="s">
        <v>488</v>
      </c>
    </row>
    <row r="5194" spans="1:6" ht="25.5">
      <c r="A5194" s="2">
        <v>5191</v>
      </c>
      <c r="B5194" s="2" t="s">
        <v>5269</v>
      </c>
      <c r="C5194" s="2" t="str">
        <f>"19394632"</f>
        <v>19394632</v>
      </c>
      <c r="D5194" s="2">
        <v>0.153</v>
      </c>
      <c r="E5194" s="2">
        <v>8</v>
      </c>
      <c r="F5194" s="2" t="s">
        <v>16</v>
      </c>
    </row>
    <row r="5195" spans="1:6" ht="25.5">
      <c r="A5195" s="2">
        <v>5192</v>
      </c>
      <c r="B5195" s="2" t="s">
        <v>5270</v>
      </c>
      <c r="C5195" s="2" t="str">
        <f>"12328855"</f>
        <v>12328855</v>
      </c>
      <c r="D5195" s="2">
        <v>0.14399999999999999</v>
      </c>
      <c r="E5195" s="2">
        <v>1</v>
      </c>
      <c r="F5195" s="2" t="s">
        <v>169</v>
      </c>
    </row>
    <row r="5196" spans="1:6" ht="25.5">
      <c r="A5196" s="2">
        <v>5193</v>
      </c>
      <c r="B5196" s="2" t="s">
        <v>5271</v>
      </c>
      <c r="C5196" s="2" t="str">
        <f>"00128775"</f>
        <v>00128775</v>
      </c>
      <c r="D5196" s="2">
        <v>0.21199999999999999</v>
      </c>
      <c r="E5196" s="2">
        <v>10</v>
      </c>
      <c r="F5196" s="2" t="s">
        <v>6</v>
      </c>
    </row>
    <row r="5197" spans="1:6" ht="25.5">
      <c r="A5197" s="2">
        <v>5194</v>
      </c>
      <c r="B5197" s="2" t="s">
        <v>5272</v>
      </c>
      <c r="C5197" s="2" t="str">
        <f>"13010883"</f>
        <v>13010883</v>
      </c>
      <c r="D5197" s="2">
        <v>0.112</v>
      </c>
      <c r="E5197" s="2">
        <v>4</v>
      </c>
      <c r="F5197" s="2" t="s">
        <v>345</v>
      </c>
    </row>
    <row r="5198" spans="1:6" ht="25.5">
      <c r="A5198" s="2">
        <v>5195</v>
      </c>
      <c r="B5198" s="2" t="s">
        <v>5273</v>
      </c>
      <c r="C5198" s="2" t="str">
        <f>"10203397"</f>
        <v>10203397</v>
      </c>
      <c r="D5198" s="2">
        <v>0.27100000000000002</v>
      </c>
      <c r="E5198" s="2">
        <v>26</v>
      </c>
      <c r="F5198" s="2" t="s">
        <v>31</v>
      </c>
    </row>
    <row r="5199" spans="1:6" ht="25.5">
      <c r="A5199" s="2">
        <v>5196</v>
      </c>
      <c r="B5199" s="2" t="s">
        <v>5274</v>
      </c>
      <c r="C5199" s="2" t="str">
        <f>"1743971X"</f>
        <v>1743971X</v>
      </c>
      <c r="D5199" s="2">
        <v>0.10100000000000001</v>
      </c>
      <c r="E5199" s="2">
        <v>1</v>
      </c>
      <c r="F5199" s="2" t="s">
        <v>16</v>
      </c>
    </row>
    <row r="5200" spans="1:6" ht="25.5">
      <c r="A5200" s="2">
        <v>5197</v>
      </c>
      <c r="B5200" s="2" t="s">
        <v>5275</v>
      </c>
      <c r="C5200" s="2" t="str">
        <f>"08883254"</f>
        <v>08883254</v>
      </c>
      <c r="D5200" s="2">
        <v>0.33900000000000002</v>
      </c>
      <c r="E5200" s="2">
        <v>18</v>
      </c>
      <c r="F5200" s="2" t="s">
        <v>6</v>
      </c>
    </row>
    <row r="5201" spans="1:6" ht="25.5">
      <c r="A5201" s="2">
        <v>5198</v>
      </c>
      <c r="B5201" s="2" t="s">
        <v>5276</v>
      </c>
      <c r="C5201" s="2" t="str">
        <f>"15901262"</f>
        <v>15901262</v>
      </c>
      <c r="D5201" s="2">
        <v>0.28899999999999998</v>
      </c>
      <c r="E5201" s="2">
        <v>23</v>
      </c>
      <c r="F5201" s="2" t="s">
        <v>190</v>
      </c>
    </row>
    <row r="5202" spans="1:6" ht="25.5">
      <c r="A5202" s="2">
        <v>5199</v>
      </c>
      <c r="B5202" s="2" t="s">
        <v>5277</v>
      </c>
      <c r="C5202" s="2" t="str">
        <f>"14710153"</f>
        <v>14710153</v>
      </c>
      <c r="D5202" s="2">
        <v>0.78100000000000003</v>
      </c>
      <c r="E5202" s="2">
        <v>31</v>
      </c>
      <c r="F5202" s="2" t="s">
        <v>16</v>
      </c>
    </row>
    <row r="5203" spans="1:6" ht="25.5">
      <c r="A5203" s="2">
        <v>5200</v>
      </c>
      <c r="B5203" s="2" t="s">
        <v>5278</v>
      </c>
      <c r="C5203" s="2" t="str">
        <f>"1532530X"</f>
        <v>1532530X</v>
      </c>
      <c r="D5203" s="2">
        <v>0.48399999999999999</v>
      </c>
      <c r="E5203" s="2">
        <v>23</v>
      </c>
      <c r="F5203" s="2" t="s">
        <v>16</v>
      </c>
    </row>
    <row r="5204" spans="1:6" ht="25.5">
      <c r="A5204" s="2">
        <v>5201</v>
      </c>
      <c r="B5204" s="2" t="s">
        <v>5279</v>
      </c>
      <c r="C5204" s="2" t="str">
        <f>"07555016"</f>
        <v>07555016</v>
      </c>
      <c r="D5204" s="2">
        <v>0.10299999999999999</v>
      </c>
      <c r="E5204" s="2">
        <v>4</v>
      </c>
      <c r="F5204" s="2" t="s">
        <v>66</v>
      </c>
    </row>
    <row r="5205" spans="1:6" ht="25.5">
      <c r="A5205" s="2">
        <v>5202</v>
      </c>
      <c r="B5205" s="2" t="s">
        <v>5280</v>
      </c>
      <c r="C5205" s="2" t="str">
        <f>"13690663"</f>
        <v>13690663</v>
      </c>
      <c r="D5205" s="2">
        <v>0.1</v>
      </c>
      <c r="E5205" s="2">
        <v>3</v>
      </c>
      <c r="F5205" s="2" t="s">
        <v>16</v>
      </c>
    </row>
    <row r="5206" spans="1:6" ht="25.5">
      <c r="A5206" s="2">
        <v>5203</v>
      </c>
      <c r="B5206" s="2" t="s">
        <v>5281</v>
      </c>
      <c r="C5206" s="2" t="str">
        <f>"0887137X"</f>
        <v>0887137X</v>
      </c>
      <c r="D5206" s="2">
        <v>0.156</v>
      </c>
      <c r="E5206" s="2">
        <v>5</v>
      </c>
      <c r="F5206" s="2" t="s">
        <v>6</v>
      </c>
    </row>
    <row r="5207" spans="1:6" ht="25.5">
      <c r="A5207" s="2">
        <v>5204</v>
      </c>
      <c r="B5207" s="2" t="s">
        <v>5282</v>
      </c>
      <c r="C5207" s="2" t="str">
        <f>"15408175"</f>
        <v>15408175</v>
      </c>
      <c r="D5207" s="2">
        <v>0.50600000000000001</v>
      </c>
      <c r="E5207" s="2">
        <v>39</v>
      </c>
      <c r="F5207" s="2" t="s">
        <v>16</v>
      </c>
    </row>
    <row r="5208" spans="1:6" ht="25.5">
      <c r="A5208" s="2">
        <v>5205</v>
      </c>
      <c r="B5208" s="2" t="s">
        <v>5283</v>
      </c>
      <c r="C5208" s="2" t="str">
        <f>"01004670"</f>
        <v>01004670</v>
      </c>
      <c r="D5208" s="2">
        <v>0.129</v>
      </c>
      <c r="E5208" s="2">
        <v>10</v>
      </c>
      <c r="F5208" s="2" t="s">
        <v>159</v>
      </c>
    </row>
    <row r="5209" spans="1:6" ht="25.5">
      <c r="A5209" s="2">
        <v>5206</v>
      </c>
      <c r="B5209" s="2" t="s">
        <v>5284</v>
      </c>
      <c r="C5209" s="2" t="str">
        <f>"16000587"</f>
        <v>16000587</v>
      </c>
      <c r="D5209" s="2">
        <v>2.87</v>
      </c>
      <c r="E5209" s="2">
        <v>72</v>
      </c>
      <c r="F5209" s="2" t="s">
        <v>16</v>
      </c>
    </row>
    <row r="5210" spans="1:6" ht="25.5">
      <c r="A5210" s="2">
        <v>5207</v>
      </c>
      <c r="B5210" s="2" t="s">
        <v>5285</v>
      </c>
      <c r="C5210" s="2" t="str">
        <f>"16129202"</f>
        <v>16129202</v>
      </c>
      <c r="D5210" s="2">
        <v>0.65100000000000002</v>
      </c>
      <c r="E5210" s="2">
        <v>22</v>
      </c>
      <c r="F5210" s="2" t="s">
        <v>6</v>
      </c>
    </row>
    <row r="5211" spans="1:6" ht="25.5">
      <c r="A5211" s="2">
        <v>5208</v>
      </c>
      <c r="B5211" s="2" t="s">
        <v>5286</v>
      </c>
      <c r="C5211" s="2" t="str">
        <f>"19360592"</f>
        <v>19360592</v>
      </c>
      <c r="D5211" s="2">
        <v>0.89700000000000002</v>
      </c>
      <c r="E5211" s="2">
        <v>13</v>
      </c>
      <c r="F5211" s="2" t="s">
        <v>16</v>
      </c>
    </row>
    <row r="5212" spans="1:6" ht="25.5">
      <c r="A5212" s="2">
        <v>5209</v>
      </c>
      <c r="B5212" s="2" t="s">
        <v>5287</v>
      </c>
      <c r="C5212" s="2" t="str">
        <f>"16423593"</f>
        <v>16423593</v>
      </c>
      <c r="D5212" s="2">
        <v>0.19700000000000001</v>
      </c>
      <c r="E5212" s="2">
        <v>12</v>
      </c>
      <c r="F5212" s="2" t="s">
        <v>169</v>
      </c>
    </row>
    <row r="5213" spans="1:6" ht="25.5">
      <c r="A5213" s="2">
        <v>5210</v>
      </c>
      <c r="B5213" s="2" t="s">
        <v>5288</v>
      </c>
      <c r="C5213" s="2" t="str">
        <f>"1667782X"</f>
        <v>1667782X</v>
      </c>
      <c r="D5213" s="2">
        <v>0.28999999999999998</v>
      </c>
      <c r="E5213" s="2">
        <v>19</v>
      </c>
      <c r="F5213" s="2" t="s">
        <v>192</v>
      </c>
    </row>
    <row r="5214" spans="1:6" ht="25.5">
      <c r="A5214" s="2">
        <v>5211</v>
      </c>
      <c r="B5214" s="2" t="s">
        <v>5289</v>
      </c>
      <c r="C5214" s="2" t="str">
        <f>"10510761"</f>
        <v>10510761</v>
      </c>
      <c r="D5214" s="2">
        <v>2.4060000000000001</v>
      </c>
      <c r="E5214" s="2">
        <v>132</v>
      </c>
      <c r="F5214" s="2" t="s">
        <v>6</v>
      </c>
    </row>
    <row r="5215" spans="1:6" ht="25.5">
      <c r="A5215" s="2">
        <v>5212</v>
      </c>
      <c r="B5215" s="2" t="s">
        <v>5290</v>
      </c>
      <c r="C5215" s="2" t="str">
        <f>"18986196"</f>
        <v>18986196</v>
      </c>
      <c r="D5215" s="2">
        <v>0.17599999999999999</v>
      </c>
      <c r="E5215" s="2">
        <v>5</v>
      </c>
      <c r="F5215" s="2" t="s">
        <v>16</v>
      </c>
    </row>
    <row r="5216" spans="1:6" ht="25.5">
      <c r="A5216" s="2">
        <v>5213</v>
      </c>
      <c r="B5216" s="2" t="s">
        <v>5291</v>
      </c>
      <c r="C5216" s="2" t="str">
        <f>"1476945X"</f>
        <v>1476945X</v>
      </c>
      <c r="D5216" s="2">
        <v>0.86199999999999999</v>
      </c>
      <c r="E5216" s="2">
        <v>24</v>
      </c>
      <c r="F5216" s="2" t="s">
        <v>75</v>
      </c>
    </row>
    <row r="5217" spans="1:6" ht="25.5">
      <c r="A5217" s="2">
        <v>5214</v>
      </c>
      <c r="B5217" s="2" t="s">
        <v>5292</v>
      </c>
      <c r="C5217" s="2" t="str">
        <f>"09218009"</f>
        <v>09218009</v>
      </c>
      <c r="D5217" s="2">
        <v>1.931</v>
      </c>
      <c r="E5217" s="2">
        <v>85</v>
      </c>
      <c r="F5217" s="2" t="s">
        <v>75</v>
      </c>
    </row>
    <row r="5218" spans="1:6" ht="25.5">
      <c r="A5218" s="2">
        <v>5215</v>
      </c>
      <c r="B5218" s="2" t="s">
        <v>5293</v>
      </c>
      <c r="C5218" s="2" t="str">
        <f>"09258574"</f>
        <v>09258574</v>
      </c>
      <c r="D5218" s="2">
        <v>1.425</v>
      </c>
      <c r="E5218" s="2">
        <v>61</v>
      </c>
      <c r="F5218" s="2" t="s">
        <v>75</v>
      </c>
    </row>
    <row r="5219" spans="1:6" ht="25.5">
      <c r="A5219" s="2">
        <v>5216</v>
      </c>
      <c r="B5219" s="2" t="s">
        <v>5294</v>
      </c>
      <c r="C5219" s="2" t="str">
        <f>"03076946"</f>
        <v>03076946</v>
      </c>
      <c r="D5219" s="2">
        <v>1.0289999999999999</v>
      </c>
      <c r="E5219" s="2">
        <v>52</v>
      </c>
      <c r="F5219" s="2" t="s">
        <v>16</v>
      </c>
    </row>
    <row r="5220" spans="1:6" ht="25.5">
      <c r="A5220" s="2">
        <v>5217</v>
      </c>
      <c r="B5220" s="2" t="s">
        <v>5295</v>
      </c>
      <c r="C5220" s="2" t="str">
        <f>"1470160X"</f>
        <v>1470160X</v>
      </c>
      <c r="D5220" s="2">
        <v>1.0189999999999999</v>
      </c>
      <c r="E5220" s="2">
        <v>39</v>
      </c>
      <c r="F5220" s="2" t="s">
        <v>75</v>
      </c>
    </row>
    <row r="5221" spans="1:6" ht="25.5">
      <c r="A5221" s="2">
        <v>5218</v>
      </c>
      <c r="B5221" s="2" t="s">
        <v>5296</v>
      </c>
      <c r="C5221" s="2" t="str">
        <f>"15749541"</f>
        <v>15749541</v>
      </c>
      <c r="D5221" s="2">
        <v>0.71199999999999997</v>
      </c>
      <c r="E5221" s="2">
        <v>18</v>
      </c>
      <c r="F5221" s="2" t="s">
        <v>75</v>
      </c>
    </row>
    <row r="5222" spans="1:6" ht="25.5">
      <c r="A5222" s="2">
        <v>5219</v>
      </c>
      <c r="B5222" s="2" t="s">
        <v>5297</v>
      </c>
      <c r="C5222" s="2" t="str">
        <f>"14427001"</f>
        <v>14427001</v>
      </c>
      <c r="D5222" s="2">
        <v>0.36899999999999999</v>
      </c>
      <c r="E5222" s="2">
        <v>23</v>
      </c>
      <c r="F5222" s="2" t="s">
        <v>16</v>
      </c>
    </row>
    <row r="5223" spans="1:6" ht="25.5">
      <c r="A5223" s="2">
        <v>5220</v>
      </c>
      <c r="B5223" s="2" t="s">
        <v>5298</v>
      </c>
      <c r="C5223" s="2" t="str">
        <f>"18727026"</f>
        <v>18727026</v>
      </c>
      <c r="D5223" s="2">
        <v>0.875</v>
      </c>
      <c r="E5223" s="2">
        <v>92</v>
      </c>
      <c r="F5223" s="2" t="s">
        <v>75</v>
      </c>
    </row>
    <row r="5224" spans="1:6" ht="25.5">
      <c r="A5224" s="2">
        <v>5221</v>
      </c>
      <c r="B5224" s="2" t="s">
        <v>5299</v>
      </c>
      <c r="C5224" s="2" t="str">
        <f>"00129615"</f>
        <v>00129615</v>
      </c>
      <c r="D5224" s="2">
        <v>5.21</v>
      </c>
      <c r="E5224" s="2">
        <v>98</v>
      </c>
      <c r="F5224" s="2" t="s">
        <v>6</v>
      </c>
    </row>
    <row r="5225" spans="1:6" ht="25.5">
      <c r="A5225" s="2">
        <v>5222</v>
      </c>
      <c r="B5225" s="2" t="s">
        <v>5300</v>
      </c>
      <c r="C5225" s="2" t="str">
        <f>"15326969"</f>
        <v>15326969</v>
      </c>
      <c r="D5225" s="2">
        <v>0.64100000000000001</v>
      </c>
      <c r="E5225" s="2">
        <v>29</v>
      </c>
      <c r="F5225" s="2" t="s">
        <v>16</v>
      </c>
    </row>
    <row r="5226" spans="1:6" ht="25.5">
      <c r="A5226" s="2">
        <v>5223</v>
      </c>
      <c r="B5226" s="2" t="s">
        <v>5301</v>
      </c>
      <c r="C5226" s="2" t="str">
        <f>"09123814"</f>
        <v>09123814</v>
      </c>
      <c r="D5226" s="2">
        <v>0.69799999999999995</v>
      </c>
      <c r="E5226" s="2">
        <v>38</v>
      </c>
      <c r="F5226" s="2" t="s">
        <v>131</v>
      </c>
    </row>
    <row r="5227" spans="1:6" ht="25.5">
      <c r="A5227" s="2">
        <v>5224</v>
      </c>
      <c r="B5227" s="2" t="s">
        <v>5302</v>
      </c>
      <c r="C5227" s="2" t="str">
        <f>"15434079"</f>
        <v>15434079</v>
      </c>
      <c r="D5227" s="2">
        <v>0.318</v>
      </c>
      <c r="E5227" s="2">
        <v>13</v>
      </c>
      <c r="F5227" s="2" t="s">
        <v>6</v>
      </c>
    </row>
    <row r="5228" spans="1:6" ht="25.5">
      <c r="A5228" s="2">
        <v>5225</v>
      </c>
      <c r="B5228" s="2" t="s">
        <v>5303</v>
      </c>
      <c r="C5228" s="2" t="str">
        <f>"00129658"</f>
        <v>00129658</v>
      </c>
      <c r="D5228" s="2">
        <v>3.246</v>
      </c>
      <c r="E5228" s="2">
        <v>172</v>
      </c>
      <c r="F5228" s="2" t="s">
        <v>6</v>
      </c>
    </row>
    <row r="5229" spans="1:6" ht="25.5">
      <c r="A5229" s="2">
        <v>5226</v>
      </c>
      <c r="B5229" s="2" t="s">
        <v>5304</v>
      </c>
      <c r="C5229" s="2" t="str">
        <f>"18825974"</f>
        <v>18825974</v>
      </c>
      <c r="D5229" s="2">
        <v>0.10299999999999999</v>
      </c>
      <c r="E5229" s="2">
        <v>1</v>
      </c>
      <c r="F5229" s="2" t="s">
        <v>131</v>
      </c>
    </row>
    <row r="5230" spans="1:6" ht="25.5">
      <c r="A5230" s="2">
        <v>5227</v>
      </c>
      <c r="B5230" s="2" t="s">
        <v>5305</v>
      </c>
      <c r="C5230" s="2" t="str">
        <f>"17083087"</f>
        <v>17083087</v>
      </c>
      <c r="D5230" s="2">
        <v>1.387</v>
      </c>
      <c r="E5230" s="2">
        <v>59</v>
      </c>
      <c r="F5230" s="2" t="s">
        <v>64</v>
      </c>
    </row>
    <row r="5231" spans="1:6" ht="25.5">
      <c r="A5231" s="2">
        <v>5228</v>
      </c>
      <c r="B5231" s="2" t="s">
        <v>5306</v>
      </c>
      <c r="C5231" s="2" t="str">
        <f>"0971765X"</f>
        <v>0971765X</v>
      </c>
      <c r="D5231" s="2">
        <v>0.17499999999999999</v>
      </c>
      <c r="E5231" s="2">
        <v>8</v>
      </c>
      <c r="F5231" s="2" t="s">
        <v>488</v>
      </c>
    </row>
    <row r="5232" spans="1:6" ht="25.5">
      <c r="A5232" s="2">
        <v>5229</v>
      </c>
      <c r="B5232" s="2" t="s">
        <v>5307</v>
      </c>
      <c r="C5232" s="2" t="str">
        <f>"00461121"</f>
        <v>00461121</v>
      </c>
      <c r="D5232" s="2">
        <v>0.41899999999999998</v>
      </c>
      <c r="E5232" s="2">
        <v>12</v>
      </c>
      <c r="F5232" s="2" t="s">
        <v>6</v>
      </c>
    </row>
    <row r="5233" spans="1:6" ht="25.5">
      <c r="A5233" s="2">
        <v>5230</v>
      </c>
      <c r="B5233" s="2" t="s">
        <v>5308</v>
      </c>
      <c r="C5233" s="2" t="str">
        <f>"14610248"</f>
        <v>14610248</v>
      </c>
      <c r="D5233" s="2">
        <v>7.9960000000000004</v>
      </c>
      <c r="E5233" s="2">
        <v>127</v>
      </c>
      <c r="F5233" s="2" t="s">
        <v>16</v>
      </c>
    </row>
    <row r="5234" spans="1:6" ht="25.5">
      <c r="A5234" s="2">
        <v>5231</v>
      </c>
      <c r="B5234" s="2" t="s">
        <v>5309</v>
      </c>
      <c r="C5234" s="2" t="str">
        <f>"15435237"</f>
        <v>15435237</v>
      </c>
      <c r="D5234" s="2">
        <v>0.32400000000000001</v>
      </c>
      <c r="E5234" s="2">
        <v>15</v>
      </c>
      <c r="F5234" s="2" t="s">
        <v>16</v>
      </c>
    </row>
    <row r="5235" spans="1:6" ht="25.5">
      <c r="A5235" s="2">
        <v>5232</v>
      </c>
      <c r="B5235" s="2" t="s">
        <v>5310</v>
      </c>
      <c r="C5235" s="2" t="str">
        <f>"09066691"</f>
        <v>09066691</v>
      </c>
      <c r="D5235" s="2">
        <v>0.92200000000000004</v>
      </c>
      <c r="E5235" s="2">
        <v>31</v>
      </c>
      <c r="F5235" s="2" t="s">
        <v>163</v>
      </c>
    </row>
    <row r="5236" spans="1:6" ht="25.5">
      <c r="A5236" s="2">
        <v>5233</v>
      </c>
      <c r="B5236" s="2" t="s">
        <v>5311</v>
      </c>
      <c r="C5236" s="2" t="str">
        <f>"20731558"</f>
        <v>20731558</v>
      </c>
      <c r="D5236" s="2">
        <v>0.14000000000000001</v>
      </c>
      <c r="E5236" s="2">
        <v>2</v>
      </c>
      <c r="F5236" s="2" t="s">
        <v>288</v>
      </c>
    </row>
    <row r="5237" spans="1:6" ht="25.5">
      <c r="A5237" s="2">
        <v>5234</v>
      </c>
      <c r="B5237" s="2" t="s">
        <v>5312</v>
      </c>
      <c r="C5237" s="2" t="str">
        <f>"1933527X"</f>
        <v>1933527X</v>
      </c>
      <c r="D5237" s="2">
        <v>0.23100000000000001</v>
      </c>
      <c r="E5237" s="2">
        <v>7</v>
      </c>
      <c r="F5237" s="2" t="s">
        <v>6</v>
      </c>
    </row>
    <row r="5238" spans="1:6" ht="25.5">
      <c r="A5238" s="2">
        <v>5235</v>
      </c>
      <c r="B5238" s="2" t="s">
        <v>5313</v>
      </c>
      <c r="C5238" s="2" t="str">
        <f>"14680262"</f>
        <v>14680262</v>
      </c>
      <c r="D5238" s="2">
        <v>15.095000000000001</v>
      </c>
      <c r="E5238" s="2">
        <v>103</v>
      </c>
      <c r="F5238" s="2" t="s">
        <v>16</v>
      </c>
    </row>
    <row r="5239" spans="1:6" ht="25.5">
      <c r="A5239" s="2">
        <v>5236</v>
      </c>
      <c r="B5239" s="2" t="s">
        <v>5314</v>
      </c>
      <c r="C5239" s="2" t="str">
        <f>"15324168"</f>
        <v>15324168</v>
      </c>
      <c r="D5239" s="2">
        <v>1.6459999999999999</v>
      </c>
      <c r="E5239" s="2">
        <v>20</v>
      </c>
      <c r="F5239" s="2" t="s">
        <v>16</v>
      </c>
    </row>
    <row r="5240" spans="1:6" ht="25.5">
      <c r="A5240" s="2">
        <v>5237</v>
      </c>
      <c r="B5240" s="2" t="s">
        <v>5315</v>
      </c>
      <c r="C5240" s="2" t="str">
        <f>"13684221"</f>
        <v>13684221</v>
      </c>
      <c r="D5240" s="2">
        <v>2.83</v>
      </c>
      <c r="E5240" s="2">
        <v>11</v>
      </c>
      <c r="F5240" s="2" t="s">
        <v>16</v>
      </c>
    </row>
    <row r="5241" spans="1:6" ht="25.5">
      <c r="A5241" s="2">
        <v>5238</v>
      </c>
      <c r="B5241" s="2" t="s">
        <v>5316</v>
      </c>
      <c r="C5241" s="2" t="str">
        <f>"14694360"</f>
        <v>14694360</v>
      </c>
      <c r="D5241" s="2">
        <v>5.1829999999999998</v>
      </c>
      <c r="E5241" s="2">
        <v>40</v>
      </c>
      <c r="F5241" s="2" t="s">
        <v>16</v>
      </c>
    </row>
    <row r="5242" spans="1:6" ht="25.5">
      <c r="A5242" s="2">
        <v>5239</v>
      </c>
      <c r="B5242" s="2" t="s">
        <v>5317</v>
      </c>
      <c r="C5242" s="2" t="str">
        <f>"15780732"</f>
        <v>15780732</v>
      </c>
      <c r="D5242" s="2">
        <v>0.108</v>
      </c>
      <c r="E5242" s="2">
        <v>1</v>
      </c>
      <c r="F5242" s="2" t="s">
        <v>351</v>
      </c>
    </row>
    <row r="5243" spans="1:6" ht="25.5">
      <c r="A5243" s="2">
        <v>5240</v>
      </c>
      <c r="B5243" s="2" t="s">
        <v>5318</v>
      </c>
      <c r="C5243" s="2" t="str">
        <f>"14138050"</f>
        <v>14138050</v>
      </c>
      <c r="D5243" s="2">
        <v>0.16200000000000001</v>
      </c>
      <c r="E5243" s="2">
        <v>4</v>
      </c>
      <c r="F5243" s="2" t="s">
        <v>159</v>
      </c>
    </row>
    <row r="5244" spans="1:6" ht="25.5">
      <c r="A5244" s="2">
        <v>5241</v>
      </c>
      <c r="B5244" s="2" t="s">
        <v>5319</v>
      </c>
      <c r="C5244" s="2" t="str">
        <f>"07173830"</f>
        <v>07173830</v>
      </c>
      <c r="D5244" s="2">
        <v>0.1</v>
      </c>
      <c r="E5244" s="2">
        <v>2</v>
      </c>
      <c r="F5244" s="2" t="s">
        <v>182</v>
      </c>
    </row>
    <row r="5245" spans="1:6" ht="25.5">
      <c r="A5245" s="2">
        <v>5242</v>
      </c>
      <c r="B5245" s="2" t="s">
        <v>5320</v>
      </c>
      <c r="C5245" s="2" t="str">
        <f>"19724950"</f>
        <v>19724950</v>
      </c>
      <c r="D5245" s="2">
        <v>0.10100000000000001</v>
      </c>
      <c r="E5245" s="2">
        <v>1</v>
      </c>
      <c r="F5245" s="2" t="s">
        <v>190</v>
      </c>
    </row>
    <row r="5246" spans="1:6" ht="25.5">
      <c r="A5246" s="2">
        <v>5243</v>
      </c>
      <c r="B5246" s="2" t="s">
        <v>5321</v>
      </c>
      <c r="C5246" s="2" t="str">
        <f>"01850458"</f>
        <v>01850458</v>
      </c>
      <c r="D5246" s="2">
        <v>0.10100000000000001</v>
      </c>
      <c r="E5246" s="2">
        <v>2</v>
      </c>
      <c r="F5246" s="2" t="s">
        <v>200</v>
      </c>
    </row>
    <row r="5247" spans="1:6" ht="25.5">
      <c r="A5247" s="2">
        <v>5244</v>
      </c>
      <c r="B5247" s="2" t="s">
        <v>5322</v>
      </c>
      <c r="C5247" s="2" t="str">
        <f>"11202890"</f>
        <v>11202890</v>
      </c>
      <c r="D5247" s="2">
        <v>0.14199999999999999</v>
      </c>
      <c r="E5247" s="2">
        <v>5</v>
      </c>
      <c r="F5247" s="2" t="s">
        <v>190</v>
      </c>
    </row>
    <row r="5248" spans="1:6" ht="25.5">
      <c r="A5248" s="2">
        <v>5245</v>
      </c>
      <c r="B5248" s="2" t="s">
        <v>5323</v>
      </c>
      <c r="C5248" s="2" t="str">
        <f>"14680335"</f>
        <v>14680335</v>
      </c>
      <c r="D5248" s="2">
        <v>0.92400000000000004</v>
      </c>
      <c r="E5248" s="2">
        <v>36</v>
      </c>
      <c r="F5248" s="2" t="s">
        <v>16</v>
      </c>
    </row>
    <row r="5249" spans="1:6" ht="25.5">
      <c r="A5249" s="2">
        <v>5246</v>
      </c>
      <c r="B5249" s="2" t="s">
        <v>5324</v>
      </c>
      <c r="C5249" s="2" t="str">
        <f>"14680270"</f>
        <v>14680270</v>
      </c>
      <c r="D5249" s="2">
        <v>0.13800000000000001</v>
      </c>
      <c r="E5249" s="2">
        <v>9</v>
      </c>
      <c r="F5249" s="2" t="s">
        <v>16</v>
      </c>
    </row>
    <row r="5250" spans="1:6" ht="25.5">
      <c r="A5250" s="2">
        <v>5247</v>
      </c>
      <c r="B5250" s="2" t="s">
        <v>5325</v>
      </c>
      <c r="C5250" s="2" t="str">
        <f>"0143831X"</f>
        <v>0143831X</v>
      </c>
      <c r="D5250" s="2">
        <v>0.35399999999999998</v>
      </c>
      <c r="E5250" s="2">
        <v>18</v>
      </c>
      <c r="F5250" s="2" t="s">
        <v>16</v>
      </c>
    </row>
    <row r="5251" spans="1:6" ht="25.5">
      <c r="A5251" s="2">
        <v>5248</v>
      </c>
      <c r="B5251" s="2" t="s">
        <v>5326</v>
      </c>
      <c r="C5251" s="2" t="str">
        <f>"17518326"</f>
        <v>17518326</v>
      </c>
      <c r="D5251" s="2">
        <v>0.11799999999999999</v>
      </c>
      <c r="E5251" s="2">
        <v>4</v>
      </c>
      <c r="F5251" s="2" t="s">
        <v>16</v>
      </c>
    </row>
    <row r="5252" spans="1:6" ht="25.5">
      <c r="A5252" s="2">
        <v>5249</v>
      </c>
      <c r="B5252" s="2" t="s">
        <v>5327</v>
      </c>
      <c r="C5252" s="2" t="str">
        <f>"10353046"</f>
        <v>10353046</v>
      </c>
      <c r="D5252" s="2">
        <v>0.122</v>
      </c>
      <c r="E5252" s="2">
        <v>3</v>
      </c>
      <c r="F5252" s="2" t="s">
        <v>127</v>
      </c>
    </row>
    <row r="5253" spans="1:6" ht="25.5">
      <c r="A5253" s="2">
        <v>5250</v>
      </c>
      <c r="B5253" s="2" t="s">
        <v>5328</v>
      </c>
      <c r="C5253" s="2" t="str">
        <f>"00129976"</f>
        <v>00129976</v>
      </c>
      <c r="D5253" s="2">
        <v>0.27400000000000002</v>
      </c>
      <c r="E5253" s="2">
        <v>12</v>
      </c>
      <c r="F5253" s="2" t="s">
        <v>488</v>
      </c>
    </row>
    <row r="5254" spans="1:6" ht="25.5">
      <c r="A5254" s="2">
        <v>5251</v>
      </c>
      <c r="B5254" s="2" t="s">
        <v>5329</v>
      </c>
      <c r="C5254" s="2" t="str">
        <f>"00129984"</f>
        <v>00129984</v>
      </c>
      <c r="D5254" s="2">
        <v>0.247</v>
      </c>
      <c r="E5254" s="2">
        <v>13</v>
      </c>
      <c r="F5254" s="2" t="s">
        <v>732</v>
      </c>
    </row>
    <row r="5255" spans="1:6" ht="25.5">
      <c r="A5255" s="2">
        <v>5252</v>
      </c>
      <c r="B5255" s="2" t="s">
        <v>5330</v>
      </c>
      <c r="C5255" s="2" t="str">
        <f>"00133264"</f>
        <v>00133264</v>
      </c>
      <c r="D5255" s="2">
        <v>0.159</v>
      </c>
      <c r="E5255" s="2">
        <v>3</v>
      </c>
      <c r="F5255" s="2" t="s">
        <v>212</v>
      </c>
    </row>
    <row r="5256" spans="1:6" ht="25.5">
      <c r="A5256" s="2">
        <v>5253</v>
      </c>
      <c r="B5256" s="2" t="s">
        <v>5331</v>
      </c>
      <c r="C5256" s="2" t="str">
        <f>"00130001"</f>
        <v>00130001</v>
      </c>
      <c r="D5256" s="2">
        <v>0.66600000000000004</v>
      </c>
      <c r="E5256" s="2">
        <v>40</v>
      </c>
      <c r="F5256" s="2" t="s">
        <v>6</v>
      </c>
    </row>
    <row r="5257" spans="1:6" ht="25.5">
      <c r="A5257" s="2">
        <v>5254</v>
      </c>
      <c r="B5257" s="2" t="s">
        <v>5332</v>
      </c>
      <c r="C5257" s="2" t="str">
        <f>"15740277"</f>
        <v>15740277</v>
      </c>
      <c r="D5257" s="2">
        <v>0.26300000000000001</v>
      </c>
      <c r="E5257" s="2">
        <v>6</v>
      </c>
      <c r="F5257" s="2" t="s">
        <v>75</v>
      </c>
    </row>
    <row r="5258" spans="1:6" ht="25.5">
      <c r="A5258" s="2">
        <v>5255</v>
      </c>
      <c r="B5258" s="2" t="s">
        <v>5333</v>
      </c>
      <c r="C5258" s="2" t="str">
        <f>"05857511"</f>
        <v>05857511</v>
      </c>
      <c r="D5258" s="2">
        <v>0.17899999999999999</v>
      </c>
      <c r="E5258" s="2">
        <v>6</v>
      </c>
      <c r="F5258" s="2" t="s">
        <v>19</v>
      </c>
    </row>
    <row r="5259" spans="1:6" ht="25.5">
      <c r="A5259" s="2">
        <v>5256</v>
      </c>
      <c r="B5259" s="2" t="s">
        <v>5334</v>
      </c>
      <c r="C5259" s="2" t="str">
        <f>"15392988"</f>
        <v>15392988</v>
      </c>
      <c r="D5259" s="2">
        <v>1.133</v>
      </c>
      <c r="E5259" s="2">
        <v>36</v>
      </c>
      <c r="F5259" s="2" t="s">
        <v>6</v>
      </c>
    </row>
    <row r="5260" spans="1:6" ht="25.5">
      <c r="A5260" s="2">
        <v>5257</v>
      </c>
      <c r="B5260" s="2" t="s">
        <v>5335</v>
      </c>
      <c r="C5260" s="2" t="str">
        <f>"15523543"</f>
        <v>15523543</v>
      </c>
      <c r="D5260" s="2">
        <v>0.59299999999999997</v>
      </c>
      <c r="E5260" s="2">
        <v>24</v>
      </c>
      <c r="F5260" s="2" t="s">
        <v>6</v>
      </c>
    </row>
    <row r="5261" spans="1:6" ht="25.5">
      <c r="A5261" s="2">
        <v>5258</v>
      </c>
      <c r="B5261" s="2" t="s">
        <v>5336</v>
      </c>
      <c r="C5261" s="2" t="str">
        <f>"00130095"</f>
        <v>00130095</v>
      </c>
      <c r="D5261" s="2">
        <v>2.76</v>
      </c>
      <c r="E5261" s="2">
        <v>44</v>
      </c>
      <c r="F5261" s="2" t="s">
        <v>6</v>
      </c>
    </row>
    <row r="5262" spans="1:6" ht="25.5">
      <c r="A5262" s="2">
        <v>5259</v>
      </c>
      <c r="B5262" s="2" t="s">
        <v>5337</v>
      </c>
      <c r="C5262" s="2" t="str">
        <f>"03610128"</f>
        <v>03610128</v>
      </c>
      <c r="D5262" s="2">
        <v>1.5369999999999999</v>
      </c>
      <c r="E5262" s="2">
        <v>55</v>
      </c>
      <c r="F5262" s="2" t="s">
        <v>6</v>
      </c>
    </row>
    <row r="5263" spans="1:6" ht="25.5">
      <c r="A5263" s="2">
        <v>5260</v>
      </c>
      <c r="B5263" s="2" t="s">
        <v>5338</v>
      </c>
      <c r="C5263" s="2" t="str">
        <f>"14680289"</f>
        <v>14680289</v>
      </c>
      <c r="D5263" s="2">
        <v>1.1830000000000001</v>
      </c>
      <c r="E5263" s="2">
        <v>22</v>
      </c>
      <c r="F5263" s="2" t="s">
        <v>16</v>
      </c>
    </row>
    <row r="5264" spans="1:6" ht="25.5">
      <c r="A5264" s="2">
        <v>5261</v>
      </c>
      <c r="B5264" s="2" t="s">
        <v>5339</v>
      </c>
      <c r="C5264" s="2" t="str">
        <f>"14657295"</f>
        <v>14657295</v>
      </c>
      <c r="D5264" s="2">
        <v>1.415</v>
      </c>
      <c r="E5264" s="2">
        <v>41</v>
      </c>
      <c r="F5264" s="2" t="s">
        <v>16</v>
      </c>
    </row>
    <row r="5265" spans="1:6" ht="25.5">
      <c r="A5265" s="2">
        <v>5262</v>
      </c>
      <c r="B5265" s="2" t="s">
        <v>5340</v>
      </c>
      <c r="C5265" s="2" t="str">
        <f>"14680297"</f>
        <v>14680297</v>
      </c>
      <c r="D5265" s="2">
        <v>3.4630000000000001</v>
      </c>
      <c r="E5265" s="2">
        <v>85</v>
      </c>
      <c r="F5265" s="2" t="s">
        <v>16</v>
      </c>
    </row>
    <row r="5266" spans="1:6" ht="25.5">
      <c r="A5266" s="2">
        <v>5263</v>
      </c>
      <c r="B5266" s="2" t="s">
        <v>5341</v>
      </c>
      <c r="C5266" s="2" t="str">
        <f>"02649993"</f>
        <v>02649993</v>
      </c>
      <c r="D5266" s="2">
        <v>0.48599999999999999</v>
      </c>
      <c r="E5266" s="2">
        <v>23</v>
      </c>
      <c r="F5266" s="2" t="s">
        <v>75</v>
      </c>
    </row>
    <row r="5267" spans="1:6" ht="25.5">
      <c r="A5267" s="2">
        <v>5264</v>
      </c>
      <c r="B5267" s="2" t="s">
        <v>5342</v>
      </c>
      <c r="C5267" s="2" t="str">
        <f>"14680300"</f>
        <v>14680300</v>
      </c>
      <c r="D5267" s="2">
        <v>0.23200000000000001</v>
      </c>
      <c r="E5267" s="2">
        <v>10</v>
      </c>
      <c r="F5267" s="2" t="s">
        <v>16</v>
      </c>
    </row>
    <row r="5268" spans="1:6" ht="25.5">
      <c r="A5268" s="2">
        <v>5265</v>
      </c>
      <c r="B5268" s="2" t="s">
        <v>5343</v>
      </c>
      <c r="C5268" s="2" t="str">
        <f>"14680319"</f>
        <v>14680319</v>
      </c>
      <c r="D5268" s="2">
        <v>0.1</v>
      </c>
      <c r="E5268" s="2">
        <v>3</v>
      </c>
      <c r="F5268" s="2" t="s">
        <v>16</v>
      </c>
    </row>
    <row r="5269" spans="1:6" ht="25.5">
      <c r="A5269" s="2">
        <v>5266</v>
      </c>
      <c r="B5269" s="2" t="s">
        <v>5344</v>
      </c>
      <c r="C5269" s="2" t="str">
        <f>"14680327"</f>
        <v>14680327</v>
      </c>
      <c r="D5269" s="2">
        <v>3.2789999999999999</v>
      </c>
      <c r="E5269" s="2">
        <v>38</v>
      </c>
      <c r="F5269" s="2" t="s">
        <v>16</v>
      </c>
    </row>
    <row r="5270" spans="1:6" ht="25.5">
      <c r="A5270" s="2">
        <v>5267</v>
      </c>
      <c r="B5270" s="2" t="s">
        <v>5345</v>
      </c>
      <c r="C5270" s="2" t="str">
        <f>"14754932"</f>
        <v>14754932</v>
      </c>
      <c r="D5270" s="2">
        <v>0.32300000000000001</v>
      </c>
      <c r="E5270" s="2">
        <v>23</v>
      </c>
      <c r="F5270" s="2" t="s">
        <v>16</v>
      </c>
    </row>
    <row r="5271" spans="1:6" ht="25.5">
      <c r="A5271" s="2">
        <v>5268</v>
      </c>
      <c r="B5271" s="2" t="s">
        <v>5346</v>
      </c>
      <c r="C5271" s="2" t="str">
        <f>"1570677X"</f>
        <v>1570677X</v>
      </c>
      <c r="D5271" s="2">
        <v>1.9359999999999999</v>
      </c>
      <c r="E5271" s="2">
        <v>25</v>
      </c>
      <c r="F5271" s="2" t="s">
        <v>75</v>
      </c>
    </row>
    <row r="5272" spans="1:6" ht="25.5">
      <c r="A5272" s="2">
        <v>5269</v>
      </c>
      <c r="B5272" s="2" t="s">
        <v>5347</v>
      </c>
      <c r="C5272" s="2" t="str">
        <f>"14740028"</f>
        <v>14740028</v>
      </c>
      <c r="D5272" s="2">
        <v>0.35499999999999998</v>
      </c>
      <c r="E5272" s="2">
        <v>13</v>
      </c>
      <c r="F5272" s="2" t="s">
        <v>16</v>
      </c>
    </row>
    <row r="5273" spans="1:6" ht="25.5">
      <c r="A5273" s="2">
        <v>5270</v>
      </c>
      <c r="B5273" s="2" t="s">
        <v>5348</v>
      </c>
      <c r="C5273" s="2" t="str">
        <f>"22807667"</f>
        <v>22807667</v>
      </c>
      <c r="D5273" s="2">
        <v>0.16</v>
      </c>
      <c r="E5273" s="2">
        <v>2</v>
      </c>
      <c r="F5273" s="2" t="s">
        <v>190</v>
      </c>
    </row>
    <row r="5274" spans="1:6" ht="25.5">
      <c r="A5274" s="2">
        <v>5271</v>
      </c>
      <c r="B5274" s="2" t="s">
        <v>5349</v>
      </c>
      <c r="C5274" s="2" t="str">
        <f>"14680343"</f>
        <v>14680343</v>
      </c>
      <c r="D5274" s="2">
        <v>0.61899999999999999</v>
      </c>
      <c r="E5274" s="2">
        <v>21</v>
      </c>
      <c r="F5274" s="2" t="s">
        <v>16</v>
      </c>
    </row>
    <row r="5275" spans="1:6" ht="25.5">
      <c r="A5275" s="2">
        <v>5272</v>
      </c>
      <c r="B5275" s="2" t="s">
        <v>5350</v>
      </c>
      <c r="C5275" s="2" t="str">
        <f>"15452921"</f>
        <v>15452921</v>
      </c>
      <c r="D5275" s="2">
        <v>0.18099999999999999</v>
      </c>
      <c r="E5275" s="2">
        <v>7</v>
      </c>
      <c r="F5275" s="2" t="s">
        <v>6</v>
      </c>
    </row>
    <row r="5276" spans="1:6" ht="25.5">
      <c r="A5276" s="2">
        <v>5273</v>
      </c>
      <c r="B5276" s="2" t="s">
        <v>5351</v>
      </c>
      <c r="C5276" s="2" t="str">
        <f>"01651765"</f>
        <v>01651765</v>
      </c>
      <c r="D5276" s="2">
        <v>0.80700000000000005</v>
      </c>
      <c r="E5276" s="2">
        <v>48</v>
      </c>
      <c r="F5276" s="2" t="s">
        <v>75</v>
      </c>
    </row>
    <row r="5277" spans="1:6" ht="25.5">
      <c r="A5277" s="2">
        <v>5274</v>
      </c>
      <c r="B5277" s="2" t="s">
        <v>5352</v>
      </c>
      <c r="C5277" s="2" t="str">
        <f>"02727757"</f>
        <v>02727757</v>
      </c>
      <c r="D5277" s="2">
        <v>1.0620000000000001</v>
      </c>
      <c r="E5277" s="2">
        <v>40</v>
      </c>
      <c r="F5277" s="2" t="s">
        <v>16</v>
      </c>
    </row>
    <row r="5278" spans="1:6" ht="25.5">
      <c r="A5278" s="2">
        <v>5275</v>
      </c>
      <c r="B5278" s="2" t="s">
        <v>5353</v>
      </c>
      <c r="C5278" s="2" t="str">
        <f>"14358131"</f>
        <v>14358131</v>
      </c>
      <c r="D5278" s="2">
        <v>0.36699999999999999</v>
      </c>
      <c r="E5278" s="2">
        <v>12</v>
      </c>
      <c r="F5278" s="2" t="s">
        <v>12</v>
      </c>
    </row>
    <row r="5279" spans="1:6" ht="25.5">
      <c r="A5279" s="2">
        <v>5276</v>
      </c>
      <c r="B5279" s="2" t="s">
        <v>5354</v>
      </c>
      <c r="C5279" s="2" t="str">
        <f>"14768364"</f>
        <v>14768364</v>
      </c>
      <c r="D5279" s="2">
        <v>0.54200000000000004</v>
      </c>
      <c r="E5279" s="2">
        <v>9</v>
      </c>
      <c r="F5279" s="2" t="s">
        <v>6</v>
      </c>
    </row>
    <row r="5280" spans="1:6" ht="25.5">
      <c r="A5280" s="2">
        <v>5277</v>
      </c>
      <c r="B5280" s="2" t="s">
        <v>5355</v>
      </c>
      <c r="C5280" s="2" t="str">
        <f>"14680351"</f>
        <v>14680351</v>
      </c>
      <c r="D5280" s="2">
        <v>0.746</v>
      </c>
      <c r="E5280" s="2">
        <v>30</v>
      </c>
      <c r="F5280" s="2" t="s">
        <v>16</v>
      </c>
    </row>
    <row r="5281" spans="1:6" ht="25.5">
      <c r="A5281" s="2">
        <v>5278</v>
      </c>
      <c r="B5281" s="2" t="s">
        <v>5356</v>
      </c>
      <c r="C5281" s="2" t="str">
        <f>"22120122"</f>
        <v>22120122</v>
      </c>
      <c r="D5281" s="2">
        <v>0</v>
      </c>
      <c r="E5281" s="2">
        <v>0</v>
      </c>
      <c r="F5281" s="2" t="s">
        <v>16</v>
      </c>
    </row>
    <row r="5282" spans="1:6" ht="25.5">
      <c r="A5282" s="2">
        <v>5279</v>
      </c>
      <c r="B5282" s="2" t="s">
        <v>5357</v>
      </c>
      <c r="C5282" s="2" t="str">
        <f>"09393625"</f>
        <v>09393625</v>
      </c>
      <c r="D5282" s="2">
        <v>0.59499999999999997</v>
      </c>
      <c r="E5282" s="2">
        <v>17</v>
      </c>
      <c r="F5282" s="2" t="s">
        <v>75</v>
      </c>
    </row>
    <row r="5283" spans="1:6" ht="25.5">
      <c r="A5283" s="2">
        <v>5280</v>
      </c>
      <c r="B5283" s="2" t="s">
        <v>5358</v>
      </c>
      <c r="C5283" s="2" t="str">
        <f>"14695758"</f>
        <v>14695758</v>
      </c>
      <c r="D5283" s="2">
        <v>1.3109999999999999</v>
      </c>
      <c r="E5283" s="2">
        <v>24</v>
      </c>
      <c r="F5283" s="2" t="s">
        <v>16</v>
      </c>
    </row>
    <row r="5284" spans="1:6" ht="25.5">
      <c r="A5284" s="2">
        <v>5281</v>
      </c>
      <c r="B5284" s="2" t="s">
        <v>5359</v>
      </c>
      <c r="C5284" s="2" t="str">
        <f>"14320479"</f>
        <v>14320479</v>
      </c>
      <c r="D5284" s="2">
        <v>1.857</v>
      </c>
      <c r="E5284" s="2">
        <v>31</v>
      </c>
      <c r="F5284" s="2" t="s">
        <v>6</v>
      </c>
    </row>
    <row r="5285" spans="1:6" ht="25.5">
      <c r="A5285" s="2">
        <v>5282</v>
      </c>
      <c r="B5285" s="2" t="s">
        <v>5360</v>
      </c>
      <c r="C5285" s="2" t="str">
        <f>"03361454"</f>
        <v>03361454</v>
      </c>
      <c r="D5285" s="2">
        <v>0.222</v>
      </c>
      <c r="E5285" s="2">
        <v>5</v>
      </c>
      <c r="F5285" s="2" t="s">
        <v>66</v>
      </c>
    </row>
    <row r="5286" spans="1:6" ht="25.5">
      <c r="A5286" s="2">
        <v>5283</v>
      </c>
      <c r="B5286" s="2" t="s">
        <v>5361</v>
      </c>
      <c r="C5286" s="2" t="str">
        <f>"17775582"</f>
        <v>17775582</v>
      </c>
      <c r="D5286" s="2">
        <v>0.21199999999999999</v>
      </c>
      <c r="E5286" s="2">
        <v>7</v>
      </c>
      <c r="F5286" s="2" t="s">
        <v>66</v>
      </c>
    </row>
    <row r="5287" spans="1:6" ht="25.5">
      <c r="A5287" s="2">
        <v>5284</v>
      </c>
      <c r="B5287" s="2" t="s">
        <v>5362</v>
      </c>
      <c r="C5287" s="2" t="str">
        <f>"00130567"</f>
        <v>00130567</v>
      </c>
      <c r="D5287" s="2">
        <v>0</v>
      </c>
      <c r="E5287" s="2">
        <v>0</v>
      </c>
      <c r="F5287" s="2" t="s">
        <v>66</v>
      </c>
    </row>
    <row r="5288" spans="1:6" ht="25.5">
      <c r="A5288" s="2">
        <v>5285</v>
      </c>
      <c r="B5288" s="2" t="s">
        <v>5363</v>
      </c>
      <c r="C5288" s="2" t="str">
        <f>"00130613"</f>
        <v>00130613</v>
      </c>
      <c r="D5288" s="2">
        <v>0.1</v>
      </c>
      <c r="E5288" s="2">
        <v>4</v>
      </c>
      <c r="F5288" s="2" t="s">
        <v>16</v>
      </c>
    </row>
    <row r="5289" spans="1:6" ht="25.5">
      <c r="A5289" s="2">
        <v>5286</v>
      </c>
      <c r="B5289" s="2" t="s">
        <v>5364</v>
      </c>
      <c r="C5289" s="2" t="str">
        <f>"15533832"</f>
        <v>15533832</v>
      </c>
      <c r="D5289" s="2">
        <v>0.23</v>
      </c>
      <c r="E5289" s="2">
        <v>9</v>
      </c>
      <c r="F5289" s="2" t="s">
        <v>6</v>
      </c>
    </row>
    <row r="5290" spans="1:6" ht="25.5">
      <c r="A5290" s="2">
        <v>5287</v>
      </c>
      <c r="B5290" s="2" t="s">
        <v>5365</v>
      </c>
      <c r="C5290" s="2" t="str">
        <f>"14695766"</f>
        <v>14695766</v>
      </c>
      <c r="D5290" s="2">
        <v>1.42</v>
      </c>
      <c r="E5290" s="2">
        <v>44</v>
      </c>
      <c r="F5290" s="2" t="s">
        <v>6</v>
      </c>
    </row>
    <row r="5291" spans="1:6" ht="25.5">
      <c r="A5291" s="2">
        <v>5288</v>
      </c>
      <c r="B5291" s="2" t="s">
        <v>5366</v>
      </c>
      <c r="C5291" s="2" t="str">
        <f>"19429347"</f>
        <v>19429347</v>
      </c>
      <c r="D5291" s="2">
        <v>0.27300000000000002</v>
      </c>
      <c r="E5291" s="2">
        <v>5</v>
      </c>
      <c r="F5291" s="2" t="s">
        <v>6</v>
      </c>
    </row>
    <row r="5292" spans="1:6" ht="25.5">
      <c r="A5292" s="2">
        <v>5289</v>
      </c>
      <c r="B5292" s="2" t="s">
        <v>5367</v>
      </c>
      <c r="C5292" s="2" t="str">
        <f>"01439073"</f>
        <v>01439073</v>
      </c>
      <c r="D5292" s="2">
        <v>0.16</v>
      </c>
      <c r="E5292" s="2">
        <v>5</v>
      </c>
      <c r="F5292" s="2" t="s">
        <v>16</v>
      </c>
    </row>
    <row r="5293" spans="1:6" ht="25.5">
      <c r="A5293" s="2">
        <v>5290</v>
      </c>
      <c r="B5293" s="2" t="s">
        <v>5368</v>
      </c>
      <c r="C5293" s="2" t="str">
        <f>"11956860"</f>
        <v>11956860</v>
      </c>
      <c r="D5293" s="2">
        <v>0.66800000000000004</v>
      </c>
      <c r="E5293" s="2">
        <v>46</v>
      </c>
      <c r="F5293" s="2" t="s">
        <v>64</v>
      </c>
    </row>
    <row r="5294" spans="1:6" ht="25.5">
      <c r="A5294" s="2">
        <v>5291</v>
      </c>
      <c r="B5294" s="2" t="s">
        <v>5369</v>
      </c>
      <c r="C5294" s="2" t="str">
        <f>"14350629"</f>
        <v>14350629</v>
      </c>
      <c r="D5294" s="2">
        <v>1.7929999999999999</v>
      </c>
      <c r="E5294" s="2">
        <v>83</v>
      </c>
      <c r="F5294" s="2" t="s">
        <v>6</v>
      </c>
    </row>
    <row r="5295" spans="1:6" ht="25.5">
      <c r="A5295" s="2">
        <v>5292</v>
      </c>
      <c r="B5295" s="2" t="s">
        <v>5370</v>
      </c>
      <c r="C5295" s="2" t="str">
        <f>"22120416"</f>
        <v>22120416</v>
      </c>
      <c r="D5295" s="2">
        <v>0</v>
      </c>
      <c r="E5295" s="2">
        <v>1</v>
      </c>
      <c r="F5295" s="2" t="s">
        <v>75</v>
      </c>
    </row>
    <row r="5296" spans="1:6" ht="25.5">
      <c r="A5296" s="2">
        <v>5293</v>
      </c>
      <c r="B5296" s="2" t="s">
        <v>5371</v>
      </c>
      <c r="C5296" s="2" t="str">
        <f>"15733017"</f>
        <v>15733017</v>
      </c>
      <c r="D5296" s="2">
        <v>1.0409999999999999</v>
      </c>
      <c r="E5296" s="2">
        <v>53</v>
      </c>
      <c r="F5296" s="2" t="s">
        <v>75</v>
      </c>
    </row>
    <row r="5297" spans="1:6" ht="25.5">
      <c r="A5297" s="2">
        <v>5294</v>
      </c>
      <c r="B5297" s="2" t="s">
        <v>5372</v>
      </c>
      <c r="C5297" s="2" t="str">
        <f>"10902414"</f>
        <v>10902414</v>
      </c>
      <c r="D5297" s="2">
        <v>0.91400000000000003</v>
      </c>
      <c r="E5297" s="2">
        <v>65</v>
      </c>
      <c r="F5297" s="2" t="s">
        <v>6</v>
      </c>
    </row>
    <row r="5298" spans="1:6" ht="25.5">
      <c r="A5298" s="2">
        <v>5295</v>
      </c>
      <c r="B5298" s="2" t="s">
        <v>5373</v>
      </c>
      <c r="C5298" s="2" t="str">
        <f>"09493026"</f>
        <v>09493026</v>
      </c>
      <c r="D5298" s="2">
        <v>0.13600000000000001</v>
      </c>
      <c r="E5298" s="2">
        <v>2</v>
      </c>
      <c r="F5298" s="2" t="s">
        <v>12</v>
      </c>
    </row>
    <row r="5299" spans="1:6" ht="25.5">
      <c r="A5299" s="2">
        <v>5296</v>
      </c>
      <c r="B5299" s="2" t="s">
        <v>5374</v>
      </c>
      <c r="C5299" s="2" t="str">
        <f>"19420773"</f>
        <v>19420773</v>
      </c>
      <c r="D5299" s="2">
        <v>0.14099999999999999</v>
      </c>
      <c r="E5299" s="2">
        <v>2</v>
      </c>
      <c r="F5299" s="2" t="s">
        <v>6</v>
      </c>
    </row>
    <row r="5300" spans="1:6" ht="25.5">
      <c r="A5300" s="2">
        <v>5297</v>
      </c>
      <c r="B5300" s="2" t="s">
        <v>5375</v>
      </c>
      <c r="C5300" s="2" t="str">
        <f>"00130796"</f>
        <v>00130796</v>
      </c>
      <c r="D5300" s="2">
        <v>0.11700000000000001</v>
      </c>
      <c r="E5300" s="2">
        <v>3</v>
      </c>
      <c r="F5300" s="2" t="s">
        <v>31</v>
      </c>
    </row>
    <row r="5301" spans="1:6" ht="25.5">
      <c r="A5301" s="2">
        <v>5298</v>
      </c>
      <c r="B5301" s="2" t="s">
        <v>5376</v>
      </c>
      <c r="C5301" s="2" t="str">
        <f>"02120429"</f>
        <v>02120429</v>
      </c>
      <c r="D5301" s="2">
        <v>0.10100000000000001</v>
      </c>
      <c r="E5301" s="2">
        <v>2</v>
      </c>
      <c r="F5301" s="2" t="s">
        <v>351</v>
      </c>
    </row>
    <row r="5302" spans="1:6" ht="25.5">
      <c r="A5302" s="2">
        <v>5299</v>
      </c>
      <c r="B5302" s="2" t="s">
        <v>5377</v>
      </c>
      <c r="C5302" s="2" t="str">
        <f>"14740036"</f>
        <v>14740036</v>
      </c>
      <c r="D5302" s="2">
        <v>0.28699999999999998</v>
      </c>
      <c r="E5302" s="2">
        <v>17</v>
      </c>
      <c r="F5302" s="2" t="s">
        <v>16</v>
      </c>
    </row>
    <row r="5303" spans="1:6" ht="25.5">
      <c r="A5303" s="2">
        <v>5300</v>
      </c>
      <c r="B5303" s="2" t="s">
        <v>5378</v>
      </c>
      <c r="C5303" s="2" t="str">
        <f>"10449167"</f>
        <v>10449167</v>
      </c>
      <c r="D5303" s="2">
        <v>0.11</v>
      </c>
      <c r="E5303" s="2">
        <v>4</v>
      </c>
      <c r="F5303" s="2" t="s">
        <v>6</v>
      </c>
    </row>
    <row r="5304" spans="1:6" ht="25.5">
      <c r="A5304" s="2">
        <v>5301</v>
      </c>
      <c r="B5304" s="2" t="s">
        <v>5379</v>
      </c>
      <c r="C5304" s="2" t="str">
        <f>"10964304"</f>
        <v>10964304</v>
      </c>
      <c r="D5304" s="2">
        <v>0.1</v>
      </c>
      <c r="E5304" s="2">
        <v>1</v>
      </c>
      <c r="F5304" s="2" t="s">
        <v>6</v>
      </c>
    </row>
    <row r="5305" spans="1:6" ht="25.5">
      <c r="A5305" s="2">
        <v>5302</v>
      </c>
      <c r="B5305" s="2" t="s">
        <v>5380</v>
      </c>
      <c r="C5305" s="2" t="str">
        <f>"15179702"</f>
        <v>15179702</v>
      </c>
      <c r="D5305" s="2">
        <v>0.20399999999999999</v>
      </c>
      <c r="E5305" s="2">
        <v>6</v>
      </c>
      <c r="F5305" s="2" t="s">
        <v>159</v>
      </c>
    </row>
    <row r="5306" spans="1:6" ht="25.5">
      <c r="A5306" s="2">
        <v>5303</v>
      </c>
      <c r="B5306" s="2" t="s">
        <v>5381</v>
      </c>
      <c r="C5306" s="2" t="str">
        <f>"01017330"</f>
        <v>01017330</v>
      </c>
      <c r="D5306" s="2">
        <v>0.16800000000000001</v>
      </c>
      <c r="E5306" s="2">
        <v>6</v>
      </c>
      <c r="F5306" s="2" t="s">
        <v>159</v>
      </c>
    </row>
    <row r="5307" spans="1:6" ht="25.5">
      <c r="A5307" s="2">
        <v>5304</v>
      </c>
      <c r="B5307" s="2" t="s">
        <v>5382</v>
      </c>
      <c r="C5307" s="2" t="str">
        <f>"15751813"</f>
        <v>15751813</v>
      </c>
      <c r="D5307" s="2">
        <v>0.151</v>
      </c>
      <c r="E5307" s="2">
        <v>5</v>
      </c>
      <c r="F5307" s="2" t="s">
        <v>351</v>
      </c>
    </row>
    <row r="5308" spans="1:6" ht="25.5">
      <c r="A5308" s="2">
        <v>5305</v>
      </c>
      <c r="B5308" s="2" t="s">
        <v>5383</v>
      </c>
      <c r="C5308" s="2" t="str">
        <f>"1139613X"</f>
        <v>1139613X</v>
      </c>
      <c r="D5308" s="2">
        <v>0.186</v>
      </c>
      <c r="E5308" s="2">
        <v>2</v>
      </c>
      <c r="F5308" s="2" t="s">
        <v>351</v>
      </c>
    </row>
    <row r="5309" spans="1:6" ht="25.5">
      <c r="A5309" s="2">
        <v>5306</v>
      </c>
      <c r="B5309" s="2" t="s">
        <v>5384</v>
      </c>
      <c r="C5309" s="2" t="str">
        <f>"17475074"</f>
        <v>17475074</v>
      </c>
      <c r="D5309" s="2">
        <v>0.432</v>
      </c>
      <c r="E5309" s="2">
        <v>8</v>
      </c>
      <c r="F5309" s="2" t="s">
        <v>16</v>
      </c>
    </row>
    <row r="5310" spans="1:6" ht="25.5">
      <c r="A5310" s="2">
        <v>5307</v>
      </c>
      <c r="B5310" s="2" t="s">
        <v>5385</v>
      </c>
      <c r="C5310" s="2" t="str">
        <f>"0013161X"</f>
        <v>0013161X</v>
      </c>
      <c r="D5310" s="2">
        <v>1.577</v>
      </c>
      <c r="E5310" s="2">
        <v>31</v>
      </c>
      <c r="F5310" s="2" t="s">
        <v>6</v>
      </c>
    </row>
    <row r="5311" spans="1:6" ht="25.5">
      <c r="A5311" s="2">
        <v>5308</v>
      </c>
      <c r="B5311" s="2" t="s">
        <v>5386</v>
      </c>
      <c r="C5311" s="2" t="str">
        <f>"02671611"</f>
        <v>02671611</v>
      </c>
      <c r="D5311" s="2">
        <v>0.104</v>
      </c>
      <c r="E5311" s="2">
        <v>1</v>
      </c>
      <c r="F5311" s="2" t="s">
        <v>16</v>
      </c>
    </row>
    <row r="5312" spans="1:6" ht="25.5">
      <c r="A5312" s="2">
        <v>5309</v>
      </c>
      <c r="B5312" s="2" t="s">
        <v>5387</v>
      </c>
      <c r="C5312" s="2" t="str">
        <f>"00131644"</f>
        <v>00131644</v>
      </c>
      <c r="D5312" s="2">
        <v>0.65900000000000003</v>
      </c>
      <c r="E5312" s="2">
        <v>50</v>
      </c>
      <c r="F5312" s="2" t="s">
        <v>6</v>
      </c>
    </row>
    <row r="5313" spans="1:6" ht="25.5">
      <c r="A5313" s="2">
        <v>5310</v>
      </c>
      <c r="B5313" s="2" t="s">
        <v>5388</v>
      </c>
      <c r="C5313" s="2" t="str">
        <f>"15326977"</f>
        <v>15326977</v>
      </c>
      <c r="D5313" s="2">
        <v>0.72799999999999998</v>
      </c>
      <c r="E5313" s="2">
        <v>11</v>
      </c>
      <c r="F5313" s="2" t="s">
        <v>16</v>
      </c>
    </row>
    <row r="5314" spans="1:6" ht="25.5">
      <c r="A5314" s="2">
        <v>5311</v>
      </c>
      <c r="B5314" s="2" t="s">
        <v>5389</v>
      </c>
      <c r="C5314" s="2" t="str">
        <f>"18748597"</f>
        <v>18748597</v>
      </c>
      <c r="D5314" s="2">
        <v>0.51900000000000002</v>
      </c>
      <c r="E5314" s="2">
        <v>14</v>
      </c>
      <c r="F5314" s="2" t="s">
        <v>75</v>
      </c>
    </row>
    <row r="5315" spans="1:6" ht="25.5">
      <c r="A5315" s="2">
        <v>5312</v>
      </c>
      <c r="B5315" s="2" t="s">
        <v>5390</v>
      </c>
      <c r="C5315" s="2" t="str">
        <f>"01623737"</f>
        <v>01623737</v>
      </c>
      <c r="D5315" s="2">
        <v>2.5049999999999999</v>
      </c>
      <c r="E5315" s="2">
        <v>38</v>
      </c>
      <c r="F5315" s="2" t="s">
        <v>6</v>
      </c>
    </row>
    <row r="5316" spans="1:6" ht="25.5">
      <c r="A5316" s="2">
        <v>5313</v>
      </c>
      <c r="B5316" s="2" t="s">
        <v>5391</v>
      </c>
      <c r="C5316" s="2" t="str">
        <f>"15210472"</f>
        <v>15210472</v>
      </c>
      <c r="D5316" s="2">
        <v>0.34200000000000003</v>
      </c>
      <c r="E5316" s="2">
        <v>25</v>
      </c>
      <c r="F5316" s="2" t="s">
        <v>16</v>
      </c>
    </row>
    <row r="5317" spans="1:6" ht="25.5">
      <c r="A5317" s="2">
        <v>5314</v>
      </c>
      <c r="B5317" s="2" t="s">
        <v>5392</v>
      </c>
      <c r="C5317" s="2" t="str">
        <f>"00131784"</f>
        <v>00131784</v>
      </c>
      <c r="D5317" s="2">
        <v>0.32100000000000001</v>
      </c>
      <c r="E5317" s="2">
        <v>27</v>
      </c>
      <c r="F5317" s="2" t="s">
        <v>6</v>
      </c>
    </row>
    <row r="5318" spans="1:6" ht="25.5">
      <c r="A5318" s="2">
        <v>5315</v>
      </c>
      <c r="B5318" s="2" t="s">
        <v>5393</v>
      </c>
      <c r="C5318" s="2" t="str">
        <f>"17411440"</f>
        <v>17411440</v>
      </c>
      <c r="D5318" s="2">
        <v>0.68300000000000005</v>
      </c>
      <c r="E5318" s="2">
        <v>14</v>
      </c>
      <c r="F5318" s="2" t="s">
        <v>16</v>
      </c>
    </row>
    <row r="5319" spans="1:6" ht="25.5">
      <c r="A5319" s="2">
        <v>5316</v>
      </c>
      <c r="B5319" s="2" t="s">
        <v>5394</v>
      </c>
      <c r="C5319" s="2" t="str">
        <f>"17453992"</f>
        <v>17453992</v>
      </c>
      <c r="D5319" s="2">
        <v>1.409</v>
      </c>
      <c r="E5319" s="2">
        <v>13</v>
      </c>
      <c r="F5319" s="2" t="s">
        <v>16</v>
      </c>
    </row>
    <row r="5320" spans="1:6" ht="25.5">
      <c r="A5320" s="2">
        <v>5317</v>
      </c>
      <c r="B5320" s="2" t="s">
        <v>5395</v>
      </c>
      <c r="C5320" s="2" t="str">
        <f>"00047597"</f>
        <v>00047597</v>
      </c>
      <c r="D5320" s="2">
        <v>0.43099999999999999</v>
      </c>
      <c r="E5320" s="2">
        <v>3</v>
      </c>
      <c r="F5320" s="2" t="s">
        <v>6</v>
      </c>
    </row>
    <row r="5321" spans="1:6" ht="25.5">
      <c r="A5321" s="2">
        <v>5318</v>
      </c>
      <c r="B5321" s="2" t="s">
        <v>5396</v>
      </c>
      <c r="C5321" s="2" t="str">
        <f>"00131857"</f>
        <v>00131857</v>
      </c>
      <c r="D5321" s="2">
        <v>0.34799999999999998</v>
      </c>
      <c r="E5321" s="2">
        <v>9</v>
      </c>
      <c r="F5321" s="2" t="s">
        <v>16</v>
      </c>
    </row>
    <row r="5322" spans="1:6" ht="25.5">
      <c r="A5322" s="2">
        <v>5319</v>
      </c>
      <c r="B5322" s="2" t="s">
        <v>5397</v>
      </c>
      <c r="C5322" s="2" t="str">
        <f>"08959048"</f>
        <v>08959048</v>
      </c>
      <c r="D5322" s="2">
        <v>0.81399999999999995</v>
      </c>
      <c r="E5322" s="2">
        <v>22</v>
      </c>
      <c r="F5322" s="2" t="s">
        <v>6</v>
      </c>
    </row>
    <row r="5323" spans="1:6" ht="25.5">
      <c r="A5323" s="2">
        <v>5320</v>
      </c>
      <c r="B5323" s="2" t="s">
        <v>5398</v>
      </c>
      <c r="C5323" s="2" t="str">
        <f>"15326985"</f>
        <v>15326985</v>
      </c>
      <c r="D5323" s="2">
        <v>3</v>
      </c>
      <c r="E5323" s="2">
        <v>62</v>
      </c>
      <c r="F5323" s="2" t="s">
        <v>16</v>
      </c>
    </row>
    <row r="5324" spans="1:6" ht="25.5">
      <c r="A5324" s="2">
        <v>5321</v>
      </c>
      <c r="B5324" s="2" t="s">
        <v>5399</v>
      </c>
      <c r="C5324" s="2" t="str">
        <f>"14695820"</f>
        <v>14695820</v>
      </c>
      <c r="D5324" s="2">
        <v>0.75700000000000001</v>
      </c>
      <c r="E5324" s="2">
        <v>24</v>
      </c>
      <c r="F5324" s="2" t="s">
        <v>16</v>
      </c>
    </row>
    <row r="5325" spans="1:6" ht="25.5">
      <c r="A5325" s="2">
        <v>5322</v>
      </c>
      <c r="B5325" s="2" t="s">
        <v>5400</v>
      </c>
      <c r="C5325" s="2" t="str">
        <f>"02667363"</f>
        <v>02667363</v>
      </c>
      <c r="D5325" s="2">
        <v>0.26500000000000001</v>
      </c>
      <c r="E5325" s="2">
        <v>4</v>
      </c>
      <c r="F5325" s="2" t="s">
        <v>16</v>
      </c>
    </row>
    <row r="5326" spans="1:6" ht="25.5">
      <c r="A5326" s="2">
        <v>5323</v>
      </c>
      <c r="B5326" s="2" t="s">
        <v>5401</v>
      </c>
      <c r="C5326" s="2" t="str">
        <f>"1573336X"</f>
        <v>1573336X</v>
      </c>
      <c r="D5326" s="2">
        <v>1.7809999999999999</v>
      </c>
      <c r="E5326" s="2">
        <v>52</v>
      </c>
      <c r="F5326" s="2" t="s">
        <v>6</v>
      </c>
    </row>
    <row r="5327" spans="1:6" ht="25.5">
      <c r="A5327" s="2">
        <v>5324</v>
      </c>
      <c r="B5327" s="2" t="s">
        <v>5402</v>
      </c>
      <c r="C5327" s="2" t="str">
        <f>"14695847"</f>
        <v>14695847</v>
      </c>
      <c r="D5327" s="2">
        <v>0.58799999999999997</v>
      </c>
      <c r="E5327" s="2">
        <v>25</v>
      </c>
      <c r="F5327" s="2" t="s">
        <v>6</v>
      </c>
    </row>
    <row r="5328" spans="1:6" ht="25.5">
      <c r="A5328" s="2">
        <v>5325</v>
      </c>
      <c r="B5328" s="2" t="s">
        <v>5403</v>
      </c>
      <c r="C5328" s="2" t="str">
        <f>"17444187"</f>
        <v>17444187</v>
      </c>
      <c r="D5328" s="2">
        <v>0.41099999999999998</v>
      </c>
      <c r="E5328" s="2">
        <v>12</v>
      </c>
      <c r="F5328" s="2" t="s">
        <v>16</v>
      </c>
    </row>
    <row r="5329" spans="1:6" ht="25.5">
      <c r="A5329" s="2">
        <v>5326</v>
      </c>
      <c r="B5329" s="2" t="s">
        <v>5404</v>
      </c>
      <c r="C5329" s="2" t="str">
        <f>"19903839"</f>
        <v>19903839</v>
      </c>
      <c r="D5329" s="2">
        <v>0.13300000000000001</v>
      </c>
      <c r="E5329" s="2">
        <v>3</v>
      </c>
      <c r="F5329" s="2" t="s">
        <v>698</v>
      </c>
    </row>
    <row r="5330" spans="1:6" ht="25.5">
      <c r="A5330" s="2">
        <v>5327</v>
      </c>
      <c r="B5330" s="2" t="s">
        <v>5405</v>
      </c>
      <c r="C5330" s="2" t="str">
        <f>"0013189X"</f>
        <v>0013189X</v>
      </c>
      <c r="D5330" s="2">
        <v>2.52</v>
      </c>
      <c r="E5330" s="2">
        <v>42</v>
      </c>
      <c r="F5330" s="2" t="s">
        <v>6</v>
      </c>
    </row>
    <row r="5331" spans="1:6" ht="25.5">
      <c r="A5331" s="2">
        <v>5328</v>
      </c>
      <c r="B5331" s="2" t="s">
        <v>5406</v>
      </c>
      <c r="C5331" s="2" t="str">
        <f>"15702081"</f>
        <v>15702081</v>
      </c>
      <c r="D5331" s="2">
        <v>0.21099999999999999</v>
      </c>
      <c r="E5331" s="2">
        <v>8</v>
      </c>
      <c r="F5331" s="2" t="s">
        <v>75</v>
      </c>
    </row>
    <row r="5332" spans="1:6" ht="25.5">
      <c r="A5332" s="2">
        <v>5329</v>
      </c>
      <c r="B5332" s="2" t="s">
        <v>5407</v>
      </c>
      <c r="C5332" s="2" t="str">
        <f>"1747938X"</f>
        <v>1747938X</v>
      </c>
      <c r="D5332" s="2">
        <v>1.6</v>
      </c>
      <c r="E5332" s="2">
        <v>16</v>
      </c>
      <c r="F5332" s="2" t="s">
        <v>16</v>
      </c>
    </row>
    <row r="5333" spans="1:6" ht="25.5">
      <c r="A5333" s="2">
        <v>5330</v>
      </c>
      <c r="B5333" s="2" t="s">
        <v>5408</v>
      </c>
      <c r="C5333" s="2" t="str">
        <f>"14653397"</f>
        <v>14653397</v>
      </c>
      <c r="D5333" s="2">
        <v>0.51200000000000001</v>
      </c>
      <c r="E5333" s="2">
        <v>20</v>
      </c>
      <c r="F5333" s="2" t="s">
        <v>16</v>
      </c>
    </row>
    <row r="5334" spans="1:6" ht="25.5">
      <c r="A5334" s="2">
        <v>5331</v>
      </c>
      <c r="B5334" s="2" t="s">
        <v>5409</v>
      </c>
      <c r="C5334" s="2" t="str">
        <f>"14653400"</f>
        <v>14653400</v>
      </c>
      <c r="D5334" s="2">
        <v>0.44900000000000001</v>
      </c>
      <c r="E5334" s="2">
        <v>19</v>
      </c>
      <c r="F5334" s="2" t="s">
        <v>16</v>
      </c>
    </row>
    <row r="5335" spans="1:6" ht="25.5">
      <c r="A5335" s="2">
        <v>5332</v>
      </c>
      <c r="B5335" s="2" t="s">
        <v>5410</v>
      </c>
      <c r="C5335" s="2" t="str">
        <f>"15730816"</f>
        <v>15730816</v>
      </c>
      <c r="D5335" s="2">
        <v>0.94599999999999995</v>
      </c>
      <c r="E5335" s="2">
        <v>27</v>
      </c>
      <c r="F5335" s="2" t="s">
        <v>75</v>
      </c>
    </row>
    <row r="5336" spans="1:6" ht="25.5">
      <c r="A5336" s="2">
        <v>5333</v>
      </c>
      <c r="B5336" s="2" t="s">
        <v>5411</v>
      </c>
      <c r="C5336" s="2" t="str">
        <f>"14364522"</f>
        <v>14364522</v>
      </c>
      <c r="D5336" s="2">
        <v>1.294</v>
      </c>
      <c r="E5336" s="2">
        <v>34</v>
      </c>
      <c r="F5336" s="2" t="s">
        <v>6</v>
      </c>
    </row>
    <row r="5337" spans="1:6" ht="25.5">
      <c r="A5337" s="2">
        <v>5334</v>
      </c>
      <c r="B5337" s="2" t="s">
        <v>5412</v>
      </c>
      <c r="C5337" s="2" t="str">
        <f>"10421629"</f>
        <v>10421629</v>
      </c>
      <c r="D5337" s="2">
        <v>1.1240000000000001</v>
      </c>
      <c r="E5337" s="2">
        <v>45</v>
      </c>
      <c r="F5337" s="2" t="s">
        <v>12</v>
      </c>
    </row>
    <row r="5338" spans="1:6" ht="25.5">
      <c r="A5338" s="2">
        <v>5335</v>
      </c>
      <c r="B5338" s="2" t="s">
        <v>5413</v>
      </c>
      <c r="C5338" s="2" t="str">
        <f>"00132004"</f>
        <v>00132004</v>
      </c>
      <c r="D5338" s="2">
        <v>0.35</v>
      </c>
      <c r="E5338" s="2">
        <v>20</v>
      </c>
      <c r="F5338" s="2" t="s">
        <v>16</v>
      </c>
    </row>
    <row r="5339" spans="1:6" ht="25.5">
      <c r="A5339" s="2">
        <v>5336</v>
      </c>
      <c r="B5339" s="2" t="s">
        <v>5414</v>
      </c>
      <c r="C5339" s="2" t="str">
        <f>"02651602"</f>
        <v>02651602</v>
      </c>
      <c r="D5339" s="2">
        <v>0.14299999999999999</v>
      </c>
      <c r="E5339" s="2">
        <v>4</v>
      </c>
      <c r="F5339" s="2" t="s">
        <v>16</v>
      </c>
    </row>
    <row r="5340" spans="1:6" ht="25.5">
      <c r="A5340" s="2">
        <v>5337</v>
      </c>
      <c r="B5340" s="2" t="s">
        <v>5415</v>
      </c>
      <c r="C5340" s="2" t="str">
        <f>"13602357"</f>
        <v>13602357</v>
      </c>
      <c r="D5340" s="2">
        <v>0.20699999999999999</v>
      </c>
      <c r="E5340" s="2">
        <v>15</v>
      </c>
      <c r="F5340" s="2" t="s">
        <v>75</v>
      </c>
    </row>
    <row r="5341" spans="1:6" ht="25.5">
      <c r="A5341" s="2">
        <v>5338</v>
      </c>
      <c r="B5341" s="2" t="s">
        <v>5416</v>
      </c>
      <c r="C5341" s="2" t="str">
        <f>"00400912"</f>
        <v>00400912</v>
      </c>
      <c r="D5341" s="2">
        <v>0.33800000000000002</v>
      </c>
      <c r="E5341" s="2">
        <v>18</v>
      </c>
      <c r="F5341" s="2" t="s">
        <v>16</v>
      </c>
    </row>
    <row r="5342" spans="1:6" ht="25.5">
      <c r="A5342" s="2">
        <v>5339</v>
      </c>
      <c r="B5342" s="2" t="s">
        <v>5417</v>
      </c>
      <c r="C5342" s="2" t="str">
        <f>"21541647"</f>
        <v>21541647</v>
      </c>
      <c r="D5342" s="2">
        <v>0.61399999999999999</v>
      </c>
      <c r="E5342" s="2">
        <v>25</v>
      </c>
      <c r="F5342" s="2" t="s">
        <v>6</v>
      </c>
    </row>
    <row r="5343" spans="1:6" ht="25.5">
      <c r="A5343" s="2">
        <v>5340</v>
      </c>
      <c r="B5343" s="2" t="s">
        <v>5418</v>
      </c>
      <c r="C5343" s="2" t="str">
        <f>"07488491"</f>
        <v>07488491</v>
      </c>
      <c r="D5343" s="2">
        <v>0.54500000000000004</v>
      </c>
      <c r="E5343" s="2">
        <v>15</v>
      </c>
      <c r="F5343" s="2" t="s">
        <v>6</v>
      </c>
    </row>
    <row r="5344" spans="1:6" ht="25.5">
      <c r="A5344" s="2">
        <v>5341</v>
      </c>
      <c r="B5344" s="2" t="s">
        <v>5419</v>
      </c>
      <c r="C5344" s="2" t="str">
        <f>"00131245"</f>
        <v>00131245</v>
      </c>
      <c r="D5344" s="2">
        <v>0.28899999999999998</v>
      </c>
      <c r="E5344" s="2">
        <v>19</v>
      </c>
      <c r="F5344" s="2" t="s">
        <v>6</v>
      </c>
    </row>
    <row r="5345" spans="1:6" ht="25.5">
      <c r="A5345" s="2">
        <v>5342</v>
      </c>
      <c r="B5345" s="2" t="s">
        <v>5420</v>
      </c>
      <c r="C5345" s="2" t="str">
        <f>"16823206"</f>
        <v>16823206</v>
      </c>
      <c r="D5345" s="2">
        <v>0.26500000000000001</v>
      </c>
      <c r="E5345" s="2">
        <v>4</v>
      </c>
      <c r="F5345" s="2" t="s">
        <v>16</v>
      </c>
    </row>
    <row r="5346" spans="1:6" ht="25.5">
      <c r="A5346" s="2">
        <v>5343</v>
      </c>
      <c r="B5346" s="2" t="s">
        <v>5421</v>
      </c>
      <c r="C5346" s="2" t="str">
        <f>"17537983"</f>
        <v>17537983</v>
      </c>
      <c r="D5346" s="2">
        <v>0</v>
      </c>
      <c r="E5346" s="2">
        <v>0</v>
      </c>
      <c r="F5346" s="2" t="s">
        <v>16</v>
      </c>
    </row>
    <row r="5347" spans="1:6" ht="25.5">
      <c r="A5347" s="2">
        <v>5344</v>
      </c>
      <c r="B5347" s="2" t="s">
        <v>5422</v>
      </c>
      <c r="C5347" s="2" t="str">
        <f>"17461987"</f>
        <v>17461987</v>
      </c>
      <c r="D5347" s="2">
        <v>0.435</v>
      </c>
      <c r="E5347" s="2">
        <v>6</v>
      </c>
      <c r="F5347" s="2" t="s">
        <v>16</v>
      </c>
    </row>
    <row r="5348" spans="1:6" ht="25.5">
      <c r="A5348" s="2">
        <v>5345</v>
      </c>
      <c r="B5348" s="2" t="s">
        <v>5423</v>
      </c>
      <c r="C5348" s="2" t="str">
        <f>"14695782"</f>
        <v>14695782</v>
      </c>
      <c r="D5348" s="2">
        <v>0.23799999999999999</v>
      </c>
      <c r="E5348" s="2">
        <v>16</v>
      </c>
      <c r="F5348" s="2" t="s">
        <v>16</v>
      </c>
    </row>
    <row r="5349" spans="1:6" ht="25.5">
      <c r="A5349" s="2">
        <v>5346</v>
      </c>
      <c r="B5349" s="2" t="s">
        <v>5424</v>
      </c>
      <c r="C5349" s="2" t="str">
        <f>"17821428"</f>
        <v>17821428</v>
      </c>
      <c r="D5349" s="2">
        <v>0.185</v>
      </c>
      <c r="E5349" s="2">
        <v>6</v>
      </c>
      <c r="F5349" s="2" t="s">
        <v>161</v>
      </c>
    </row>
    <row r="5350" spans="1:6" ht="25.5">
      <c r="A5350" s="2">
        <v>5347</v>
      </c>
      <c r="B5350" s="2" t="s">
        <v>5425</v>
      </c>
      <c r="C5350" s="2" t="str">
        <f>"15573079"</f>
        <v>15573079</v>
      </c>
      <c r="D5350" s="2">
        <v>1.6120000000000001</v>
      </c>
      <c r="E5350" s="2">
        <v>3</v>
      </c>
      <c r="F5350" s="2" t="s">
        <v>6</v>
      </c>
    </row>
    <row r="5351" spans="1:6" ht="25.5">
      <c r="A5351" s="2">
        <v>5348</v>
      </c>
      <c r="B5351" s="2" t="s">
        <v>5426</v>
      </c>
      <c r="C5351" s="2" t="str">
        <f>"17497728"</f>
        <v>17497728</v>
      </c>
      <c r="D5351" s="2">
        <v>0.52200000000000002</v>
      </c>
      <c r="E5351" s="2">
        <v>6</v>
      </c>
      <c r="F5351" s="2" t="s">
        <v>75</v>
      </c>
    </row>
    <row r="5352" spans="1:6" ht="25.5">
      <c r="A5352" s="2">
        <v>5349</v>
      </c>
      <c r="B5352" s="2" t="s">
        <v>5427</v>
      </c>
      <c r="C5352" s="2" t="str">
        <f>"14695804"</f>
        <v>14695804</v>
      </c>
      <c r="D5352" s="2">
        <v>0.22600000000000001</v>
      </c>
      <c r="E5352" s="2">
        <v>19</v>
      </c>
      <c r="F5352" s="2" t="s">
        <v>75</v>
      </c>
    </row>
    <row r="5353" spans="1:6" ht="25.5">
      <c r="A5353" s="2">
        <v>5350</v>
      </c>
      <c r="B5353" s="2" t="s">
        <v>5428</v>
      </c>
      <c r="C5353" s="2" t="str">
        <f>"01678329"</f>
        <v>01678329</v>
      </c>
      <c r="D5353" s="2">
        <v>0.187</v>
      </c>
      <c r="E5353" s="2">
        <v>12</v>
      </c>
      <c r="F5353" s="2" t="s">
        <v>75</v>
      </c>
    </row>
    <row r="5354" spans="1:6" ht="25.5">
      <c r="A5354" s="2">
        <v>5351</v>
      </c>
      <c r="B5354" s="2" t="s">
        <v>5429</v>
      </c>
      <c r="C5354" s="2" t="str">
        <f>"1475990X"</f>
        <v>1475990X</v>
      </c>
      <c r="D5354" s="2">
        <v>0.26700000000000002</v>
      </c>
      <c r="E5354" s="2">
        <v>12</v>
      </c>
      <c r="F5354" s="2" t="s">
        <v>16</v>
      </c>
    </row>
    <row r="5355" spans="1:6" ht="25.5">
      <c r="A5355" s="2">
        <v>5352</v>
      </c>
      <c r="B5355" s="2" t="s">
        <v>5430</v>
      </c>
      <c r="C5355" s="2" t="str">
        <f>"00131350"</f>
        <v>00131350</v>
      </c>
      <c r="D5355" s="2">
        <v>0.10199999999999999</v>
      </c>
      <c r="E5355" s="2">
        <v>2</v>
      </c>
      <c r="F5355" s="2" t="s">
        <v>16</v>
      </c>
    </row>
    <row r="5356" spans="1:6" ht="25.5">
      <c r="A5356" s="2">
        <v>5353</v>
      </c>
      <c r="B5356" s="2" t="s">
        <v>5431</v>
      </c>
      <c r="C5356" s="2" t="str">
        <f>"15399672"</f>
        <v>15399672</v>
      </c>
      <c r="D5356" s="2">
        <v>0.16500000000000001</v>
      </c>
      <c r="E5356" s="2">
        <v>7</v>
      </c>
      <c r="F5356" s="2" t="s">
        <v>6</v>
      </c>
    </row>
    <row r="5357" spans="1:6" ht="25.5">
      <c r="A5357" s="2">
        <v>5354</v>
      </c>
      <c r="B5357" s="2" t="s">
        <v>5432</v>
      </c>
      <c r="C5357" s="2" t="str">
        <f>"10682341"</f>
        <v>10682341</v>
      </c>
      <c r="D5357" s="2">
        <v>0.44700000000000001</v>
      </c>
      <c r="E5357" s="2">
        <v>27</v>
      </c>
      <c r="F5357" s="2" t="s">
        <v>6</v>
      </c>
    </row>
    <row r="5358" spans="1:6" ht="25.5">
      <c r="A5358" s="2">
        <v>5355</v>
      </c>
      <c r="B5358" s="2" t="s">
        <v>5433</v>
      </c>
      <c r="C5358" s="2" t="str">
        <f>"21000816"</f>
        <v>21000816</v>
      </c>
      <c r="D5358" s="2">
        <v>0.224</v>
      </c>
      <c r="E5358" s="2">
        <v>4</v>
      </c>
      <c r="F5358" s="2" t="s">
        <v>66</v>
      </c>
    </row>
    <row r="5359" spans="1:6" ht="25.5">
      <c r="A5359" s="2">
        <v>5356</v>
      </c>
      <c r="B5359" s="2" t="s">
        <v>5434</v>
      </c>
      <c r="C5359" s="2" t="str">
        <f>"1611311X"</f>
        <v>1611311X</v>
      </c>
      <c r="D5359" s="2">
        <v>0.27600000000000002</v>
      </c>
      <c r="E5359" s="2">
        <v>1</v>
      </c>
      <c r="F5359" s="2" t="s">
        <v>12</v>
      </c>
    </row>
    <row r="5360" spans="1:6" ht="25.5">
      <c r="A5360" s="2">
        <v>5357</v>
      </c>
      <c r="B5360" s="2" t="s">
        <v>5435</v>
      </c>
      <c r="C5360" s="2" t="str">
        <f>"17362563"</f>
        <v>17362563</v>
      </c>
      <c r="D5360" s="2">
        <v>0.20799999999999999</v>
      </c>
      <c r="E5360" s="2">
        <v>3</v>
      </c>
      <c r="F5360" s="2" t="s">
        <v>265</v>
      </c>
    </row>
    <row r="5361" spans="1:6" ht="25.5">
      <c r="A5361" s="2">
        <v>5358</v>
      </c>
      <c r="B5361" s="2" t="s">
        <v>5436</v>
      </c>
      <c r="C5361" s="2" t="str">
        <f>"19415540"</f>
        <v>19415540</v>
      </c>
      <c r="D5361" s="2">
        <v>0.191</v>
      </c>
      <c r="E5361" s="2">
        <v>1</v>
      </c>
      <c r="F5361" s="2" t="s">
        <v>16</v>
      </c>
    </row>
    <row r="5362" spans="1:6" ht="25.5">
      <c r="A5362" s="2">
        <v>5359</v>
      </c>
      <c r="B5362" s="2" t="s">
        <v>5437</v>
      </c>
      <c r="C5362" s="2" t="str">
        <f>"11336137"</f>
        <v>11336137</v>
      </c>
      <c r="D5362" s="2">
        <v>0.10100000000000001</v>
      </c>
      <c r="E5362" s="2">
        <v>0</v>
      </c>
      <c r="F5362" s="2" t="s">
        <v>351</v>
      </c>
    </row>
    <row r="5363" spans="1:6" ht="25.5">
      <c r="A5363" s="2">
        <v>5360</v>
      </c>
      <c r="B5363" s="2" t="s">
        <v>5438</v>
      </c>
      <c r="C5363" s="2" t="str">
        <f>"1302597X"</f>
        <v>1302597X</v>
      </c>
      <c r="D5363" s="2">
        <v>0.25700000000000001</v>
      </c>
      <c r="E5363" s="2">
        <v>5</v>
      </c>
      <c r="F5363" s="2" t="s">
        <v>345</v>
      </c>
    </row>
    <row r="5364" spans="1:6" ht="25.5">
      <c r="A5364" s="2">
        <v>5361</v>
      </c>
      <c r="B5364" s="2" t="s">
        <v>5439</v>
      </c>
      <c r="C5364" s="2" t="str">
        <f>"11108665"</f>
        <v>11108665</v>
      </c>
      <c r="D5364" s="2">
        <v>0.29399999999999998</v>
      </c>
      <c r="E5364" s="2">
        <v>4</v>
      </c>
      <c r="F5364" s="2" t="s">
        <v>75</v>
      </c>
    </row>
    <row r="5365" spans="1:6" ht="25.5">
      <c r="A5365" s="2">
        <v>5362</v>
      </c>
      <c r="B5365" s="2" t="s">
        <v>5440</v>
      </c>
      <c r="C5365" s="2" t="str">
        <f>"11101849"</f>
        <v>11101849</v>
      </c>
      <c r="D5365" s="2">
        <v>0.11</v>
      </c>
      <c r="E5365" s="2">
        <v>5</v>
      </c>
      <c r="F5365" s="2" t="s">
        <v>523</v>
      </c>
    </row>
    <row r="5366" spans="1:6" ht="25.5">
      <c r="A5366" s="2">
        <v>5363</v>
      </c>
      <c r="B5366" s="2" t="s">
        <v>5441</v>
      </c>
      <c r="C5366" s="2" t="str">
        <f>"11101768"</f>
        <v>11101768</v>
      </c>
      <c r="D5366" s="2">
        <v>0.129</v>
      </c>
      <c r="E5366" s="2">
        <v>3</v>
      </c>
      <c r="F5366" s="2" t="s">
        <v>523</v>
      </c>
    </row>
    <row r="5367" spans="1:6" ht="25.5">
      <c r="A5367" s="2">
        <v>5364</v>
      </c>
      <c r="B5367" s="2" t="s">
        <v>5442</v>
      </c>
      <c r="C5367" s="2" t="str">
        <f>"04492285"</f>
        <v>04492285</v>
      </c>
      <c r="D5367" s="2">
        <v>0.10199999999999999</v>
      </c>
      <c r="E5367" s="2">
        <v>6</v>
      </c>
      <c r="F5367" s="2" t="s">
        <v>523</v>
      </c>
    </row>
    <row r="5368" spans="1:6" ht="25.5">
      <c r="A5368" s="2">
        <v>5365</v>
      </c>
      <c r="B5368" s="2" t="s">
        <v>5443</v>
      </c>
      <c r="C5368" s="2" t="str">
        <f>"11100559"</f>
        <v>11100559</v>
      </c>
      <c r="D5368" s="2">
        <v>0</v>
      </c>
      <c r="E5368" s="2">
        <v>0</v>
      </c>
      <c r="F5368" s="2" t="s">
        <v>6</v>
      </c>
    </row>
    <row r="5369" spans="1:6" ht="25.5">
      <c r="A5369" s="2">
        <v>5366</v>
      </c>
      <c r="B5369" s="2" t="s">
        <v>5444</v>
      </c>
      <c r="C5369" s="2" t="str">
        <f>"11104902"</f>
        <v>11104902</v>
      </c>
      <c r="D5369" s="2">
        <v>0.105</v>
      </c>
      <c r="E5369" s="2">
        <v>8</v>
      </c>
      <c r="F5369" s="2" t="s">
        <v>523</v>
      </c>
    </row>
    <row r="5370" spans="1:6" ht="25.5">
      <c r="A5370" s="2">
        <v>5367</v>
      </c>
      <c r="B5370" s="2" t="s">
        <v>5445</v>
      </c>
      <c r="C5370" s="2" t="str">
        <f>"16878329"</f>
        <v>16878329</v>
      </c>
      <c r="D5370" s="2">
        <v>0.11700000000000001</v>
      </c>
      <c r="E5370" s="2">
        <v>2</v>
      </c>
      <c r="F5370" s="2" t="s">
        <v>523</v>
      </c>
    </row>
    <row r="5371" spans="1:6" ht="25.5">
      <c r="A5371" s="2">
        <v>5368</v>
      </c>
      <c r="B5371" s="2" t="s">
        <v>5446</v>
      </c>
      <c r="C5371" s="2" t="str">
        <f>"0378603X"</f>
        <v>0378603X</v>
      </c>
      <c r="D5371" s="2">
        <v>0.10199999999999999</v>
      </c>
      <c r="E5371" s="2">
        <v>1</v>
      </c>
      <c r="F5371" s="2" t="s">
        <v>75</v>
      </c>
    </row>
    <row r="5372" spans="1:6" ht="25.5">
      <c r="A5372" s="2">
        <v>5369</v>
      </c>
      <c r="B5372" s="2" t="s">
        <v>5447</v>
      </c>
      <c r="C5372" s="2" t="str">
        <f>"11109823"</f>
        <v>11109823</v>
      </c>
      <c r="D5372" s="2">
        <v>0.10199999999999999</v>
      </c>
      <c r="E5372" s="2">
        <v>2</v>
      </c>
      <c r="F5372" s="2" t="s">
        <v>75</v>
      </c>
    </row>
    <row r="5373" spans="1:6" ht="25.5">
      <c r="A5373" s="2">
        <v>5370</v>
      </c>
      <c r="B5373" s="2" t="s">
        <v>5448</v>
      </c>
      <c r="C5373" s="2" t="str">
        <f>"19350201"</f>
        <v>19350201</v>
      </c>
      <c r="D5373" s="2">
        <v>0.11</v>
      </c>
      <c r="E5373" s="2">
        <v>3</v>
      </c>
      <c r="F5373" s="2" t="s">
        <v>6</v>
      </c>
    </row>
    <row r="5374" spans="1:6" ht="25.5">
      <c r="A5374" s="2">
        <v>5371</v>
      </c>
      <c r="B5374" s="2" t="s">
        <v>5449</v>
      </c>
      <c r="C5374" s="2" t="str">
        <f>"08406286"</f>
        <v>08406286</v>
      </c>
      <c r="D5374" s="2">
        <v>0.13600000000000001</v>
      </c>
      <c r="E5374" s="2">
        <v>4</v>
      </c>
      <c r="F5374" s="2" t="s">
        <v>64</v>
      </c>
    </row>
    <row r="5375" spans="1:6" ht="25.5">
      <c r="A5375" s="2">
        <v>5372</v>
      </c>
      <c r="B5375" s="2" t="s">
        <v>5450</v>
      </c>
      <c r="C5375" s="2" t="str">
        <f>"07907915"</f>
        <v>07907915</v>
      </c>
      <c r="D5375" s="2">
        <v>0.10100000000000001</v>
      </c>
      <c r="E5375" s="2">
        <v>3</v>
      </c>
      <c r="F5375" s="2" t="s">
        <v>732</v>
      </c>
    </row>
    <row r="5376" spans="1:6" ht="25.5">
      <c r="A5376" s="2">
        <v>5373</v>
      </c>
      <c r="B5376" s="2" t="s">
        <v>5451</v>
      </c>
      <c r="C5376" s="2" t="str">
        <f>"00982601"</f>
        <v>00982601</v>
      </c>
      <c r="D5376" s="2">
        <v>0.13300000000000001</v>
      </c>
      <c r="E5376" s="2">
        <v>5</v>
      </c>
      <c r="F5376" s="2" t="s">
        <v>6</v>
      </c>
    </row>
    <row r="5377" spans="1:6" ht="25.5">
      <c r="A5377" s="2">
        <v>5374</v>
      </c>
      <c r="B5377" s="2" t="s">
        <v>5452</v>
      </c>
      <c r="C5377" s="2" t="str">
        <f>"1086315X"</f>
        <v>1086315X</v>
      </c>
      <c r="D5377" s="2">
        <v>0.13600000000000001</v>
      </c>
      <c r="E5377" s="2">
        <v>7</v>
      </c>
      <c r="F5377" s="2" t="s">
        <v>6</v>
      </c>
    </row>
    <row r="5378" spans="1:6" ht="25.5">
      <c r="A5378" s="2">
        <v>5375</v>
      </c>
      <c r="B5378" s="2" t="s">
        <v>5453</v>
      </c>
      <c r="C5378" s="2" t="str">
        <f>"11218819"</f>
        <v>11218819</v>
      </c>
      <c r="D5378" s="2">
        <v>0.10100000000000001</v>
      </c>
      <c r="E5378" s="2">
        <v>1</v>
      </c>
      <c r="F5378" s="2" t="s">
        <v>190</v>
      </c>
    </row>
    <row r="5379" spans="1:6" ht="25.5">
      <c r="A5379" s="2">
        <v>5376</v>
      </c>
      <c r="B5379" s="2" t="s">
        <v>5454</v>
      </c>
      <c r="C5379" s="2" t="str">
        <f>"16794508"</f>
        <v>16794508</v>
      </c>
      <c r="D5379" s="2">
        <v>0</v>
      </c>
      <c r="E5379" s="2">
        <v>0</v>
      </c>
      <c r="F5379" s="2" t="s">
        <v>159</v>
      </c>
    </row>
    <row r="5380" spans="1:6" ht="25.5">
      <c r="A5380" s="2">
        <v>5377</v>
      </c>
      <c r="B5380" s="2" t="s">
        <v>5455</v>
      </c>
      <c r="C5380" s="2" t="str">
        <f>"00132683"</f>
        <v>00132683</v>
      </c>
      <c r="D5380" s="2">
        <v>0.14199999999999999</v>
      </c>
      <c r="E5380" s="2">
        <v>5</v>
      </c>
      <c r="F5380" s="2" t="s">
        <v>6</v>
      </c>
    </row>
    <row r="5381" spans="1:6" ht="25.5">
      <c r="A5381" s="2">
        <v>5378</v>
      </c>
      <c r="B5381" s="2" t="s">
        <v>5456</v>
      </c>
      <c r="C5381" s="2" t="str">
        <f>"00461628"</f>
        <v>00461628</v>
      </c>
      <c r="D5381" s="2">
        <v>0.10100000000000001</v>
      </c>
      <c r="E5381" s="2">
        <v>2</v>
      </c>
      <c r="F5381" s="2" t="s">
        <v>208</v>
      </c>
    </row>
    <row r="5382" spans="1:6" ht="25.5">
      <c r="A5382" s="2">
        <v>5379</v>
      </c>
      <c r="B5382" s="2" t="s">
        <v>5457</v>
      </c>
      <c r="C5382" s="2" t="str">
        <f>"09734945"</f>
        <v>09734945</v>
      </c>
      <c r="D5382" s="2">
        <v>0.3</v>
      </c>
      <c r="E5382" s="2">
        <v>17</v>
      </c>
      <c r="F5382" s="2" t="s">
        <v>6</v>
      </c>
    </row>
    <row r="5383" spans="1:6" ht="25.5">
      <c r="A5383" s="2">
        <v>5380</v>
      </c>
      <c r="B5383" s="2" t="s">
        <v>5458</v>
      </c>
      <c r="C5383" s="2" t="str">
        <f>"16456432"</f>
        <v>16456432</v>
      </c>
      <c r="D5383" s="2">
        <v>0.10100000000000001</v>
      </c>
      <c r="E5383" s="2">
        <v>1</v>
      </c>
      <c r="F5383" s="2" t="s">
        <v>6</v>
      </c>
    </row>
    <row r="5384" spans="1:6" ht="25.5">
      <c r="A5384" s="2">
        <v>5381</v>
      </c>
      <c r="B5384" s="2" t="s">
        <v>5459</v>
      </c>
      <c r="C5384" s="2" t="str">
        <f>"13480391"</f>
        <v>13480391</v>
      </c>
      <c r="D5384" s="2">
        <v>0.30399999999999999</v>
      </c>
      <c r="E5384" s="2">
        <v>12</v>
      </c>
      <c r="F5384" s="2" t="s">
        <v>131</v>
      </c>
    </row>
    <row r="5385" spans="1:6" ht="25.5">
      <c r="A5385" s="2">
        <v>5382</v>
      </c>
      <c r="B5385" s="2" t="s">
        <v>5460</v>
      </c>
      <c r="C5385" s="2" t="str">
        <f>"15333167"</f>
        <v>15333167</v>
      </c>
      <c r="D5385" s="2">
        <v>0.13700000000000001</v>
      </c>
      <c r="E5385" s="2">
        <v>4</v>
      </c>
      <c r="F5385" s="2" t="s">
        <v>75</v>
      </c>
    </row>
    <row r="5386" spans="1:6" ht="25.5">
      <c r="A5386" s="2">
        <v>5383</v>
      </c>
      <c r="B5386" s="2" t="s">
        <v>5461</v>
      </c>
      <c r="C5386" s="2" t="str">
        <f>"13058282"</f>
        <v>13058282</v>
      </c>
      <c r="D5386" s="2">
        <v>0.32200000000000001</v>
      </c>
      <c r="E5386" s="2">
        <v>5</v>
      </c>
      <c r="F5386" s="2" t="s">
        <v>345</v>
      </c>
    </row>
    <row r="5387" spans="1:6" ht="25.5">
      <c r="A5387" s="2">
        <v>5384</v>
      </c>
      <c r="B5387" s="2" t="s">
        <v>5462</v>
      </c>
      <c r="C5387" s="2" t="str">
        <f>"1335342X"</f>
        <v>1335342X</v>
      </c>
      <c r="D5387" s="2">
        <v>0.2</v>
      </c>
      <c r="E5387" s="2">
        <v>13</v>
      </c>
      <c r="F5387" s="2" t="s">
        <v>241</v>
      </c>
    </row>
    <row r="5388" spans="1:6" ht="25.5">
      <c r="A5388" s="2">
        <v>5385</v>
      </c>
      <c r="B5388" s="2" t="s">
        <v>5463</v>
      </c>
      <c r="C5388" s="2" t="str">
        <f>"13001361"</f>
        <v>13001361</v>
      </c>
      <c r="D5388" s="2">
        <v>0.25800000000000001</v>
      </c>
      <c r="E5388" s="2">
        <v>8</v>
      </c>
      <c r="F5388" s="2" t="s">
        <v>345</v>
      </c>
    </row>
    <row r="5389" spans="1:6" ht="25.5">
      <c r="A5389" s="2">
        <v>5386</v>
      </c>
      <c r="B5389" s="2" t="s">
        <v>5464</v>
      </c>
      <c r="C5389" s="2" t="str">
        <f>"00133035"</f>
        <v>00133035</v>
      </c>
      <c r="D5389" s="2">
        <v>0.224</v>
      </c>
      <c r="E5389" s="2">
        <v>7</v>
      </c>
      <c r="F5389" s="2" t="s">
        <v>241</v>
      </c>
    </row>
    <row r="5390" spans="1:6" ht="25.5">
      <c r="A5390" s="2">
        <v>5387</v>
      </c>
      <c r="B5390" s="2" t="s">
        <v>5465</v>
      </c>
      <c r="C5390" s="2" t="str">
        <f>"00133183"</f>
        <v>00133183</v>
      </c>
      <c r="D5390" s="2">
        <v>0.111</v>
      </c>
      <c r="E5390" s="2">
        <v>2</v>
      </c>
      <c r="F5390" s="2" t="s">
        <v>751</v>
      </c>
    </row>
    <row r="5391" spans="1:6" ht="25.5">
      <c r="A5391" s="2">
        <v>5388</v>
      </c>
      <c r="B5391" s="2" t="s">
        <v>5466</v>
      </c>
      <c r="C5391" s="2" t="str">
        <f>"1331677X"</f>
        <v>1331677X</v>
      </c>
      <c r="D5391" s="2">
        <v>0.17399999999999999</v>
      </c>
      <c r="E5391" s="2">
        <v>3</v>
      </c>
      <c r="F5391" s="2" t="s">
        <v>149</v>
      </c>
    </row>
    <row r="5392" spans="1:6" ht="25.5">
      <c r="A5392" s="2">
        <v>5389</v>
      </c>
      <c r="B5392" s="2" t="s">
        <v>5467</v>
      </c>
      <c r="C5392" s="2" t="str">
        <f>"04247558"</f>
        <v>04247558</v>
      </c>
      <c r="D5392" s="2">
        <v>0.191</v>
      </c>
      <c r="E5392" s="2">
        <v>4</v>
      </c>
      <c r="F5392" s="2" t="s">
        <v>149</v>
      </c>
    </row>
    <row r="5393" spans="1:6" ht="25.5">
      <c r="A5393" s="2">
        <v>5390</v>
      </c>
      <c r="B5393" s="2" t="s">
        <v>5468</v>
      </c>
      <c r="C5393" s="2" t="str">
        <f>"16828658"</f>
        <v>16828658</v>
      </c>
      <c r="D5393" s="2">
        <v>0.105</v>
      </c>
      <c r="E5393" s="2">
        <v>3</v>
      </c>
      <c r="F5393" s="2" t="s">
        <v>129</v>
      </c>
    </row>
    <row r="5394" spans="1:6" ht="25.5">
      <c r="A5394" s="2">
        <v>5391</v>
      </c>
      <c r="B5394" s="2" t="s">
        <v>5469</v>
      </c>
      <c r="C5394" s="2" t="str">
        <f>"08692092"</f>
        <v>08692092</v>
      </c>
      <c r="D5394" s="2">
        <v>0.11700000000000001</v>
      </c>
      <c r="E5394" s="2">
        <v>10</v>
      </c>
      <c r="F5394" s="2" t="s">
        <v>129</v>
      </c>
    </row>
    <row r="5395" spans="1:6" ht="25.5">
      <c r="A5395" s="2">
        <v>5392</v>
      </c>
      <c r="B5395" s="2" t="s">
        <v>5470</v>
      </c>
      <c r="C5395" s="2" t="str">
        <f>"02043564"</f>
        <v>02043564</v>
      </c>
      <c r="D5395" s="2">
        <v>0.47699999999999998</v>
      </c>
      <c r="E5395" s="2">
        <v>21</v>
      </c>
      <c r="F5395" s="2" t="s">
        <v>438</v>
      </c>
    </row>
    <row r="5396" spans="1:6" ht="25.5">
      <c r="A5396" s="2">
        <v>5393</v>
      </c>
      <c r="B5396" s="2" t="s">
        <v>5471</v>
      </c>
      <c r="C5396" s="2" t="str">
        <f>"15072711"</f>
        <v>15072711</v>
      </c>
      <c r="D5396" s="2">
        <v>0.215</v>
      </c>
      <c r="E5396" s="2">
        <v>6</v>
      </c>
      <c r="F5396" s="2" t="s">
        <v>169</v>
      </c>
    </row>
    <row r="5397" spans="1:6" ht="25.5">
      <c r="A5397" s="2">
        <v>5394</v>
      </c>
      <c r="B5397" s="2" t="s">
        <v>5472</v>
      </c>
      <c r="C5397" s="2" t="str">
        <f>"17418887"</f>
        <v>17418887</v>
      </c>
      <c r="D5397" s="2">
        <v>0.151</v>
      </c>
      <c r="E5397" s="2">
        <v>4</v>
      </c>
      <c r="F5397" s="2" t="s">
        <v>16</v>
      </c>
    </row>
    <row r="5398" spans="1:6" ht="25.5">
      <c r="A5398" s="2">
        <v>5395</v>
      </c>
      <c r="B5398" s="2" t="s">
        <v>5473</v>
      </c>
      <c r="C5398" s="2" t="str">
        <f>"02613794"</f>
        <v>02613794</v>
      </c>
      <c r="D5398" s="2">
        <v>1.482</v>
      </c>
      <c r="E5398" s="2">
        <v>27</v>
      </c>
      <c r="F5398" s="2" t="s">
        <v>75</v>
      </c>
    </row>
    <row r="5399" spans="1:6" ht="25.5">
      <c r="A5399" s="2">
        <v>5396</v>
      </c>
      <c r="B5399" s="2" t="s">
        <v>5474</v>
      </c>
      <c r="C5399" s="2" t="str">
        <f>"03614395"</f>
        <v>03614395</v>
      </c>
      <c r="D5399" s="2">
        <v>0.10100000000000001</v>
      </c>
      <c r="E5399" s="2">
        <v>4</v>
      </c>
      <c r="F5399" s="2" t="s">
        <v>6</v>
      </c>
    </row>
    <row r="5400" spans="1:6" ht="25.5">
      <c r="A5400" s="2">
        <v>5397</v>
      </c>
      <c r="B5400" s="2" t="s">
        <v>5475</v>
      </c>
      <c r="C5400" s="2" t="str">
        <f>"09487921"</f>
        <v>09487921</v>
      </c>
      <c r="D5400" s="2">
        <v>0.35199999999999998</v>
      </c>
      <c r="E5400" s="2">
        <v>17</v>
      </c>
      <c r="F5400" s="2" t="s">
        <v>12</v>
      </c>
    </row>
    <row r="5401" spans="1:6" ht="25.5">
      <c r="A5401" s="2">
        <v>5398</v>
      </c>
      <c r="B5401" s="2" t="s">
        <v>5476</v>
      </c>
      <c r="C5401" s="2" t="str">
        <f>"15206416"</f>
        <v>15206416</v>
      </c>
      <c r="D5401" s="2">
        <v>0.125</v>
      </c>
      <c r="E5401" s="2">
        <v>15</v>
      </c>
      <c r="F5401" s="2" t="s">
        <v>6</v>
      </c>
    </row>
    <row r="5402" spans="1:6" ht="25.5">
      <c r="A5402" s="2">
        <v>5399</v>
      </c>
      <c r="B5402" s="2" t="s">
        <v>5477</v>
      </c>
      <c r="C5402" s="2" t="str">
        <f>"10406190"</f>
        <v>10406190</v>
      </c>
      <c r="D5402" s="2">
        <v>0.51600000000000001</v>
      </c>
      <c r="E5402" s="2">
        <v>21</v>
      </c>
      <c r="F5402" s="2" t="s">
        <v>6</v>
      </c>
    </row>
    <row r="5403" spans="1:6" ht="25.5">
      <c r="A5403" s="2">
        <v>5400</v>
      </c>
      <c r="B5403" s="2" t="s">
        <v>5478</v>
      </c>
      <c r="C5403" s="2" t="str">
        <f>"15325008"</f>
        <v>15325008</v>
      </c>
      <c r="D5403" s="2">
        <v>0.49</v>
      </c>
      <c r="E5403" s="2">
        <v>23</v>
      </c>
      <c r="F5403" s="2" t="s">
        <v>16</v>
      </c>
    </row>
    <row r="5404" spans="1:6" ht="25.5">
      <c r="A5404" s="2">
        <v>5401</v>
      </c>
      <c r="B5404" s="2" t="s">
        <v>5479</v>
      </c>
      <c r="C5404" s="2" t="str">
        <f>"03787796"</f>
        <v>03787796</v>
      </c>
      <c r="D5404" s="2">
        <v>1.7809999999999999</v>
      </c>
      <c r="E5404" s="2">
        <v>54</v>
      </c>
      <c r="F5404" s="2" t="s">
        <v>75</v>
      </c>
    </row>
    <row r="5405" spans="1:6" ht="25.5">
      <c r="A5405" s="2">
        <v>5402</v>
      </c>
      <c r="B5405" s="2" t="s">
        <v>5480</v>
      </c>
      <c r="C5405" s="2" t="str">
        <f>"15214109"</f>
        <v>15214109</v>
      </c>
      <c r="D5405" s="2">
        <v>0.95</v>
      </c>
      <c r="E5405" s="2">
        <v>84</v>
      </c>
      <c r="F5405" s="2" t="s">
        <v>12</v>
      </c>
    </row>
    <row r="5406" spans="1:6" ht="25.5">
      <c r="A5406" s="2">
        <v>5403</v>
      </c>
      <c r="B5406" s="2" t="s">
        <v>5481</v>
      </c>
      <c r="C5406" s="2" t="str">
        <f>"18685994"</f>
        <v>18685994</v>
      </c>
      <c r="D5406" s="2">
        <v>0.54200000000000004</v>
      </c>
      <c r="E5406" s="2">
        <v>7</v>
      </c>
      <c r="F5406" s="2" t="s">
        <v>6</v>
      </c>
    </row>
    <row r="5407" spans="1:6" ht="25.5">
      <c r="A5407" s="2">
        <v>5404</v>
      </c>
      <c r="B5407" s="2" t="s">
        <v>5482</v>
      </c>
      <c r="C5407" s="2" t="str">
        <f>"10990062"</f>
        <v>10990062</v>
      </c>
      <c r="D5407" s="2">
        <v>0.91900000000000004</v>
      </c>
      <c r="E5407" s="2">
        <v>91</v>
      </c>
      <c r="F5407" s="2" t="s">
        <v>6</v>
      </c>
    </row>
    <row r="5408" spans="1:6" ht="25.5">
      <c r="A5408" s="2">
        <v>5405</v>
      </c>
      <c r="B5408" s="2" t="s">
        <v>5483</v>
      </c>
      <c r="C5408" s="2" t="str">
        <f>"10648208"</f>
        <v>10648208</v>
      </c>
      <c r="D5408" s="2">
        <v>0.36199999999999999</v>
      </c>
      <c r="E5408" s="2">
        <v>22</v>
      </c>
      <c r="F5408" s="2" t="s">
        <v>6</v>
      </c>
    </row>
    <row r="5409" spans="1:6" ht="25.5">
      <c r="A5409" s="2">
        <v>5406</v>
      </c>
      <c r="B5409" s="2" t="s">
        <v>5484</v>
      </c>
      <c r="C5409" s="2" t="str">
        <f>"13443542"</f>
        <v>13443542</v>
      </c>
      <c r="D5409" s="2">
        <v>0.377</v>
      </c>
      <c r="E5409" s="2">
        <v>27</v>
      </c>
      <c r="F5409" s="2" t="s">
        <v>131</v>
      </c>
    </row>
    <row r="5410" spans="1:6" ht="25.5">
      <c r="A5410" s="2">
        <v>5407</v>
      </c>
      <c r="B5410" s="2" t="s">
        <v>5485</v>
      </c>
      <c r="C5410" s="2" t="str">
        <f>"13882481"</f>
        <v>13882481</v>
      </c>
      <c r="D5410" s="2">
        <v>1.98</v>
      </c>
      <c r="E5410" s="2">
        <v>100</v>
      </c>
      <c r="F5410" s="2" t="s">
        <v>6</v>
      </c>
    </row>
    <row r="5411" spans="1:6" ht="25.5">
      <c r="A5411" s="2">
        <v>5408</v>
      </c>
      <c r="B5411" s="2" t="s">
        <v>5486</v>
      </c>
      <c r="C5411" s="2" t="str">
        <f>"00134686"</f>
        <v>00134686</v>
      </c>
      <c r="D5411" s="2">
        <v>1.415</v>
      </c>
      <c r="E5411" s="2">
        <v>129</v>
      </c>
      <c r="F5411" s="2" t="s">
        <v>16</v>
      </c>
    </row>
    <row r="5412" spans="1:6" ht="25.5">
      <c r="A5412" s="2">
        <v>5409</v>
      </c>
      <c r="B5412" s="2" t="s">
        <v>5487</v>
      </c>
      <c r="C5412" s="2" t="str">
        <f>"17385997"</f>
        <v>17385997</v>
      </c>
      <c r="D5412" s="2">
        <v>0.17399999999999999</v>
      </c>
      <c r="E5412" s="2">
        <v>3</v>
      </c>
      <c r="F5412" s="2" t="s">
        <v>274</v>
      </c>
    </row>
    <row r="5413" spans="1:6" ht="25.5">
      <c r="A5413" s="2">
        <v>5410</v>
      </c>
      <c r="B5413" s="2" t="s">
        <v>5488</v>
      </c>
      <c r="C5413" s="2" t="str">
        <f>"15368386"</f>
        <v>15368386</v>
      </c>
      <c r="D5413" s="2">
        <v>0.22900000000000001</v>
      </c>
      <c r="E5413" s="2">
        <v>20</v>
      </c>
      <c r="F5413" s="2" t="s">
        <v>16</v>
      </c>
    </row>
    <row r="5414" spans="1:6" ht="25.5">
      <c r="A5414" s="2">
        <v>5411</v>
      </c>
      <c r="B5414" s="2" t="s">
        <v>5489</v>
      </c>
      <c r="C5414" s="2" t="str">
        <f>"1532527X"</f>
        <v>1532527X</v>
      </c>
      <c r="D5414" s="2">
        <v>0.32500000000000001</v>
      </c>
      <c r="E5414" s="2">
        <v>21</v>
      </c>
      <c r="F5414" s="2" t="s">
        <v>16</v>
      </c>
    </row>
    <row r="5415" spans="1:6" ht="25.5">
      <c r="A5415" s="2">
        <v>5412</v>
      </c>
      <c r="B5415" s="2" t="s">
        <v>5490</v>
      </c>
      <c r="C5415" s="2" t="str">
        <f>"13895753"</f>
        <v>13895753</v>
      </c>
      <c r="D5415" s="2">
        <v>0.63600000000000001</v>
      </c>
      <c r="E5415" s="2">
        <v>14</v>
      </c>
      <c r="F5415" s="2" t="s">
        <v>75</v>
      </c>
    </row>
    <row r="5416" spans="1:6" ht="25.5">
      <c r="A5416" s="2">
        <v>5413</v>
      </c>
      <c r="B5416" s="2" t="s">
        <v>5491</v>
      </c>
      <c r="C5416" s="2" t="str">
        <f>"15674223"</f>
        <v>15674223</v>
      </c>
      <c r="D5416" s="2">
        <v>1.0649999999999999</v>
      </c>
      <c r="E5416" s="2">
        <v>32</v>
      </c>
      <c r="F5416" s="2" t="s">
        <v>75</v>
      </c>
    </row>
    <row r="5417" spans="1:6" ht="25.5">
      <c r="A5417" s="2">
        <v>5414</v>
      </c>
      <c r="B5417" s="2" t="s">
        <v>5492</v>
      </c>
      <c r="C5417" s="2" t="str">
        <f>"1083589X"</f>
        <v>1083589X</v>
      </c>
      <c r="D5417" s="2">
        <v>0.70699999999999996</v>
      </c>
      <c r="E5417" s="2">
        <v>18</v>
      </c>
      <c r="F5417" s="2" t="s">
        <v>6</v>
      </c>
    </row>
    <row r="5418" spans="1:6" ht="25.5">
      <c r="A5418" s="2">
        <v>5415</v>
      </c>
      <c r="B5418" s="2" t="s">
        <v>5493</v>
      </c>
      <c r="C5418" s="2" t="str">
        <f>"15370755"</f>
        <v>15370755</v>
      </c>
      <c r="D5418" s="2">
        <v>0.11899999999999999</v>
      </c>
      <c r="E5418" s="2">
        <v>4</v>
      </c>
      <c r="F5418" s="2" t="s">
        <v>6</v>
      </c>
    </row>
    <row r="5419" spans="1:6" ht="25.5">
      <c r="A5419" s="2">
        <v>5416</v>
      </c>
      <c r="B5419" s="2" t="s">
        <v>5494</v>
      </c>
      <c r="C5419" s="2" t="str">
        <f>"17407508"</f>
        <v>17407508</v>
      </c>
      <c r="D5419" s="2">
        <v>0.26900000000000002</v>
      </c>
      <c r="E5419" s="2">
        <v>15</v>
      </c>
      <c r="F5419" s="2" t="s">
        <v>16</v>
      </c>
    </row>
    <row r="5420" spans="1:6" ht="25.5">
      <c r="A5420" s="2">
        <v>5417</v>
      </c>
      <c r="B5420" s="2" t="s">
        <v>5495</v>
      </c>
      <c r="C5420" s="2" t="str">
        <f>"10767975"</f>
        <v>10767975</v>
      </c>
      <c r="D5420" s="2">
        <v>0.111</v>
      </c>
      <c r="E5420" s="2">
        <v>5</v>
      </c>
      <c r="F5420" s="2" t="s">
        <v>6</v>
      </c>
    </row>
    <row r="5421" spans="1:6" ht="25.5">
      <c r="A5421" s="2">
        <v>5418</v>
      </c>
      <c r="B5421" s="2" t="s">
        <v>5496</v>
      </c>
      <c r="C5421" s="2" t="str">
        <f>"20705948"</f>
        <v>20705948</v>
      </c>
      <c r="D5421" s="2">
        <v>0</v>
      </c>
      <c r="E5421" s="2">
        <v>0</v>
      </c>
      <c r="F5421" s="2" t="s">
        <v>190</v>
      </c>
    </row>
    <row r="5422" spans="1:6" ht="25.5">
      <c r="A5422" s="2">
        <v>5419</v>
      </c>
      <c r="B5422" s="2" t="s">
        <v>5497</v>
      </c>
      <c r="C5422" s="2" t="str">
        <f>"07173458"</f>
        <v>07173458</v>
      </c>
      <c r="D5422" s="2">
        <v>0.315</v>
      </c>
      <c r="E5422" s="2">
        <v>27</v>
      </c>
      <c r="F5422" s="2" t="s">
        <v>182</v>
      </c>
    </row>
    <row r="5423" spans="1:6" ht="25.5">
      <c r="A5423" s="2">
        <v>5420</v>
      </c>
      <c r="B5423" s="2" t="s">
        <v>5498</v>
      </c>
      <c r="C5423" s="2" t="str">
        <f>"10971440"</f>
        <v>10971440</v>
      </c>
      <c r="D5423" s="2">
        <v>0.77900000000000003</v>
      </c>
      <c r="E5423" s="2">
        <v>26</v>
      </c>
      <c r="F5423" s="2" t="s">
        <v>6</v>
      </c>
    </row>
    <row r="5424" spans="1:6" ht="25.5">
      <c r="A5424" s="2">
        <v>5421</v>
      </c>
      <c r="B5424" s="2" t="s">
        <v>5499</v>
      </c>
      <c r="C5424" s="2" t="str">
        <f>"15506150"</f>
        <v>15506150</v>
      </c>
      <c r="D5424" s="2">
        <v>0.49099999999999999</v>
      </c>
      <c r="E5424" s="2">
        <v>24</v>
      </c>
      <c r="F5424" s="2" t="s">
        <v>6</v>
      </c>
    </row>
    <row r="5425" spans="1:6" ht="25.5">
      <c r="A5425" s="2">
        <v>5422</v>
      </c>
      <c r="B5425" s="2" t="s">
        <v>5500</v>
      </c>
      <c r="C5425" s="2" t="str">
        <f>"14794403"</f>
        <v>14794403</v>
      </c>
      <c r="D5425" s="2">
        <v>0.108</v>
      </c>
      <c r="E5425" s="2">
        <v>2</v>
      </c>
      <c r="F5425" s="2" t="s">
        <v>16</v>
      </c>
    </row>
    <row r="5426" spans="1:6" ht="25.5">
      <c r="A5426" s="2">
        <v>5423</v>
      </c>
      <c r="B5426" s="2" t="s">
        <v>5501</v>
      </c>
      <c r="C5426" s="2" t="str">
        <f>"15794377"</f>
        <v>15794377</v>
      </c>
      <c r="D5426" s="2">
        <v>0.23300000000000001</v>
      </c>
      <c r="E5426" s="2">
        <v>10</v>
      </c>
      <c r="F5426" s="2" t="s">
        <v>351</v>
      </c>
    </row>
    <row r="5427" spans="1:6" ht="25.5">
      <c r="A5427" s="2">
        <v>5424</v>
      </c>
      <c r="B5427" s="2" t="s">
        <v>5502</v>
      </c>
      <c r="C5427" s="2" t="str">
        <f>"02199874"</f>
        <v>02199874</v>
      </c>
      <c r="D5427" s="2">
        <v>0.10199999999999999</v>
      </c>
      <c r="E5427" s="2">
        <v>1</v>
      </c>
      <c r="F5427" s="2" t="s">
        <v>543</v>
      </c>
    </row>
    <row r="5428" spans="1:6" ht="25.5">
      <c r="A5428" s="2">
        <v>5425</v>
      </c>
      <c r="B5428" s="2" t="s">
        <v>5503</v>
      </c>
      <c r="C5428" s="2" t="str">
        <f>"10893032"</f>
        <v>10893032</v>
      </c>
      <c r="D5428" s="2">
        <v>0.20799999999999999</v>
      </c>
      <c r="E5428" s="2">
        <v>10</v>
      </c>
      <c r="F5428" s="2" t="s">
        <v>6</v>
      </c>
    </row>
    <row r="5429" spans="1:6" ht="25.5">
      <c r="A5429" s="2">
        <v>5426</v>
      </c>
      <c r="B5429" s="2" t="s">
        <v>5504</v>
      </c>
      <c r="C5429" s="2" t="str">
        <f>"15455556"</f>
        <v>15455556</v>
      </c>
      <c r="D5429" s="2">
        <v>0.104</v>
      </c>
      <c r="E5429" s="2">
        <v>5</v>
      </c>
      <c r="F5429" s="2" t="s">
        <v>6</v>
      </c>
    </row>
    <row r="5430" spans="1:6" ht="25.5">
      <c r="A5430" s="2">
        <v>5427</v>
      </c>
      <c r="B5430" s="2" t="s">
        <v>5505</v>
      </c>
      <c r="C5430" s="2" t="str">
        <f>"16814835"</f>
        <v>16814835</v>
      </c>
      <c r="D5430" s="2">
        <v>0</v>
      </c>
      <c r="E5430" s="2">
        <v>1</v>
      </c>
      <c r="F5430" s="2" t="s">
        <v>46</v>
      </c>
    </row>
    <row r="5431" spans="1:6" ht="25.5">
      <c r="A5431" s="2">
        <v>5428</v>
      </c>
      <c r="B5431" s="2" t="s">
        <v>5506</v>
      </c>
      <c r="C5431" s="2" t="str">
        <f>"14036835"</f>
        <v>14036835</v>
      </c>
      <c r="D5431" s="2">
        <v>0.36099999999999999</v>
      </c>
      <c r="E5431" s="2">
        <v>20</v>
      </c>
      <c r="F5431" s="2" t="s">
        <v>151</v>
      </c>
    </row>
    <row r="5432" spans="1:6" ht="25.5">
      <c r="A5432" s="2">
        <v>5429</v>
      </c>
      <c r="B5432" s="2" t="s">
        <v>5507</v>
      </c>
      <c r="C5432" s="2" t="str">
        <f>"10813810"</f>
        <v>10813810</v>
      </c>
      <c r="D5432" s="2">
        <v>0.63400000000000001</v>
      </c>
      <c r="E5432" s="2">
        <v>14</v>
      </c>
      <c r="F5432" s="2" t="s">
        <v>6</v>
      </c>
    </row>
    <row r="5433" spans="1:6" ht="25.5">
      <c r="A5433" s="2">
        <v>5430</v>
      </c>
      <c r="B5433" s="2" t="s">
        <v>5508</v>
      </c>
      <c r="C5433" s="2" t="str">
        <f>"10836489"</f>
        <v>10836489</v>
      </c>
      <c r="D5433" s="2">
        <v>1.06</v>
      </c>
      <c r="E5433" s="2">
        <v>21</v>
      </c>
      <c r="F5433" s="2" t="s">
        <v>6</v>
      </c>
    </row>
    <row r="5434" spans="1:6" ht="25.5">
      <c r="A5434" s="2">
        <v>5431</v>
      </c>
      <c r="B5434" s="2" t="s">
        <v>5509</v>
      </c>
      <c r="C5434" s="2" t="str">
        <f>"14173875"</f>
        <v>14173875</v>
      </c>
      <c r="D5434" s="2">
        <v>0.56799999999999995</v>
      </c>
      <c r="E5434" s="2">
        <v>13</v>
      </c>
      <c r="F5434" s="2" t="s">
        <v>135</v>
      </c>
    </row>
    <row r="5435" spans="1:6" ht="25.5">
      <c r="A5435" s="2">
        <v>5432</v>
      </c>
      <c r="B5435" s="2" t="s">
        <v>5510</v>
      </c>
      <c r="C5435" s="2" t="str">
        <f>"16995880"</f>
        <v>16995880</v>
      </c>
      <c r="D5435" s="2">
        <v>0.26300000000000001</v>
      </c>
      <c r="E5435" s="2">
        <v>6</v>
      </c>
      <c r="F5435" s="2" t="s">
        <v>351</v>
      </c>
    </row>
    <row r="5436" spans="1:6" ht="25.5">
      <c r="A5436" s="2">
        <v>5433</v>
      </c>
      <c r="B5436" s="2" t="s">
        <v>5511</v>
      </c>
      <c r="C5436" s="2" t="str">
        <f>"19357524"</f>
        <v>19357524</v>
      </c>
      <c r="D5436" s="2">
        <v>2.0379999999999998</v>
      </c>
      <c r="E5436" s="2">
        <v>4</v>
      </c>
      <c r="F5436" s="2" t="s">
        <v>6</v>
      </c>
    </row>
    <row r="5437" spans="1:6" ht="25.5">
      <c r="A5437" s="2">
        <v>5434</v>
      </c>
      <c r="B5437" s="2" t="s">
        <v>5512</v>
      </c>
      <c r="C5437" s="2" t="str">
        <f>"14439255"</f>
        <v>14439255</v>
      </c>
      <c r="D5437" s="2">
        <v>0.25600000000000001</v>
      </c>
      <c r="E5437" s="2">
        <v>8</v>
      </c>
      <c r="F5437" s="2" t="s">
        <v>127</v>
      </c>
    </row>
    <row r="5438" spans="1:6" ht="25.5">
      <c r="A5438" s="2">
        <v>5435</v>
      </c>
      <c r="B5438" s="2" t="s">
        <v>5513</v>
      </c>
      <c r="C5438" s="2" t="str">
        <f>"17295254"</f>
        <v>17295254</v>
      </c>
      <c r="D5438" s="2">
        <v>0.316</v>
      </c>
      <c r="E5438" s="2">
        <v>6</v>
      </c>
      <c r="F5438" s="2" t="s">
        <v>438</v>
      </c>
    </row>
    <row r="5439" spans="1:6" ht="25.5">
      <c r="A5439" s="2">
        <v>5436</v>
      </c>
      <c r="B5439" s="2" t="s">
        <v>5514</v>
      </c>
      <c r="C5439" s="2" t="str">
        <f>"15775097"</f>
        <v>15775097</v>
      </c>
      <c r="D5439" s="2">
        <v>0.14199999999999999</v>
      </c>
      <c r="E5439" s="2">
        <v>1</v>
      </c>
      <c r="F5439" s="2" t="s">
        <v>351</v>
      </c>
    </row>
    <row r="5440" spans="1:6" ht="25.5">
      <c r="A5440" s="2">
        <v>5437</v>
      </c>
      <c r="B5440" s="2" t="s">
        <v>5515</v>
      </c>
      <c r="C5440" s="2" t="str">
        <f>"02640473"</f>
        <v>02640473</v>
      </c>
      <c r="D5440" s="2">
        <v>0.874</v>
      </c>
      <c r="E5440" s="2">
        <v>18</v>
      </c>
      <c r="F5440" s="2" t="s">
        <v>16</v>
      </c>
    </row>
    <row r="5441" spans="1:6" ht="25.5">
      <c r="A5441" s="2">
        <v>5438</v>
      </c>
      <c r="B5441" s="2" t="s">
        <v>5516</v>
      </c>
      <c r="C5441" s="2" t="str">
        <f>"10196781"</f>
        <v>10196781</v>
      </c>
      <c r="D5441" s="2">
        <v>0.32600000000000001</v>
      </c>
      <c r="E5441" s="2">
        <v>5</v>
      </c>
      <c r="F5441" s="2" t="s">
        <v>12</v>
      </c>
    </row>
    <row r="5442" spans="1:6" ht="25.5">
      <c r="A5442" s="2">
        <v>5439</v>
      </c>
      <c r="B5442" s="2" t="s">
        <v>5517</v>
      </c>
      <c r="C5442" s="2" t="str">
        <f>"17388090"</f>
        <v>17388090</v>
      </c>
      <c r="D5442" s="2">
        <v>0.56599999999999995</v>
      </c>
      <c r="E5442" s="2">
        <v>11</v>
      </c>
      <c r="F5442" s="2" t="s">
        <v>75</v>
      </c>
    </row>
    <row r="5443" spans="1:6" ht="25.5">
      <c r="A5443" s="2">
        <v>5440</v>
      </c>
      <c r="B5443" s="2" t="s">
        <v>5518</v>
      </c>
      <c r="C5443" s="2" t="str">
        <f>"15710653"</f>
        <v>15710653</v>
      </c>
      <c r="D5443" s="2">
        <v>0.33200000000000002</v>
      </c>
      <c r="E5443" s="2">
        <v>10</v>
      </c>
      <c r="F5443" s="2" t="s">
        <v>75</v>
      </c>
    </row>
    <row r="5444" spans="1:6" ht="25.5">
      <c r="A5444" s="2">
        <v>5441</v>
      </c>
      <c r="B5444" s="2" t="s">
        <v>5519</v>
      </c>
      <c r="C5444" s="2" t="str">
        <f>"15710661"</f>
        <v>15710661</v>
      </c>
      <c r="D5444" s="2">
        <v>0.58199999999999996</v>
      </c>
      <c r="E5444" s="2">
        <v>30</v>
      </c>
      <c r="F5444" s="2" t="s">
        <v>75</v>
      </c>
    </row>
    <row r="5445" spans="1:6" ht="25.5">
      <c r="A5445" s="2">
        <v>5442</v>
      </c>
      <c r="B5445" s="2" t="s">
        <v>5520</v>
      </c>
      <c r="C5445" s="2" t="str">
        <f>"19359179"</f>
        <v>19359179</v>
      </c>
      <c r="D5445" s="2">
        <v>1.821</v>
      </c>
      <c r="E5445" s="2">
        <v>10</v>
      </c>
      <c r="F5445" s="2" t="s">
        <v>6</v>
      </c>
    </row>
    <row r="5446" spans="1:6" ht="25.5">
      <c r="A5446" s="2">
        <v>5443</v>
      </c>
      <c r="B5446" s="2" t="s">
        <v>5521</v>
      </c>
      <c r="C5446" s="2" t="str">
        <f>"19429533"</f>
        <v>19429533</v>
      </c>
      <c r="D5446" s="2">
        <v>0.128</v>
      </c>
      <c r="E5446" s="2">
        <v>3</v>
      </c>
      <c r="F5446" s="2" t="s">
        <v>6</v>
      </c>
    </row>
    <row r="5447" spans="1:6" ht="25.5">
      <c r="A5447" s="2">
        <v>5444</v>
      </c>
      <c r="B5447" s="2" t="s">
        <v>5522</v>
      </c>
      <c r="C5447" s="2" t="str">
        <f>"1350911X"</f>
        <v>1350911X</v>
      </c>
      <c r="D5447" s="2">
        <v>0.77100000000000002</v>
      </c>
      <c r="E5447" s="2">
        <v>104</v>
      </c>
      <c r="F5447" s="2" t="s">
        <v>16</v>
      </c>
    </row>
    <row r="5448" spans="1:6" ht="25.5">
      <c r="A5448" s="2">
        <v>5445</v>
      </c>
      <c r="B5448" s="2" t="s">
        <v>5523</v>
      </c>
      <c r="C5448" s="2" t="str">
        <f>"10974067"</f>
        <v>10974067</v>
      </c>
      <c r="D5448" s="2">
        <v>0.75800000000000001</v>
      </c>
      <c r="E5448" s="2">
        <v>24</v>
      </c>
      <c r="F5448" s="2" t="s">
        <v>6</v>
      </c>
    </row>
    <row r="5449" spans="1:6" ht="25.5">
      <c r="A5449" s="2">
        <v>5446</v>
      </c>
      <c r="B5449" s="2" t="s">
        <v>5524</v>
      </c>
      <c r="C5449" s="2" t="str">
        <f>"15222683"</f>
        <v>15222683</v>
      </c>
      <c r="D5449" s="2">
        <v>1.196</v>
      </c>
      <c r="E5449" s="2">
        <v>125</v>
      </c>
      <c r="F5449" s="2" t="s">
        <v>12</v>
      </c>
    </row>
    <row r="5450" spans="1:6" ht="25.5">
      <c r="A5450" s="2">
        <v>5447</v>
      </c>
      <c r="B5450" s="2" t="s">
        <v>5525</v>
      </c>
      <c r="C5450" s="2" t="str">
        <f>"13921215"</f>
        <v>13921215</v>
      </c>
      <c r="D5450" s="2">
        <v>0.223</v>
      </c>
      <c r="E5450" s="2">
        <v>9</v>
      </c>
      <c r="F5450" s="2" t="s">
        <v>426</v>
      </c>
    </row>
    <row r="5451" spans="1:6" ht="25.5">
      <c r="A5451" s="2">
        <v>5448</v>
      </c>
      <c r="B5451" s="2" t="s">
        <v>5526</v>
      </c>
      <c r="C5451" s="2" t="str">
        <f>"0932383X"</f>
        <v>0932383X</v>
      </c>
      <c r="D5451" s="2">
        <v>0.14599999999999999</v>
      </c>
      <c r="E5451" s="2">
        <v>8</v>
      </c>
      <c r="F5451" s="2" t="s">
        <v>288</v>
      </c>
    </row>
    <row r="5452" spans="1:6" ht="25.5">
      <c r="A5452" s="2">
        <v>5449</v>
      </c>
      <c r="B5452" s="2" t="s">
        <v>5527</v>
      </c>
      <c r="C5452" s="2" t="str">
        <f>"00135852"</f>
        <v>00135852</v>
      </c>
      <c r="D5452" s="2">
        <v>0.17</v>
      </c>
      <c r="E5452" s="2">
        <v>6</v>
      </c>
      <c r="F5452" s="2" t="s">
        <v>154</v>
      </c>
    </row>
    <row r="5453" spans="1:6" ht="25.5">
      <c r="A5453" s="2">
        <v>5450</v>
      </c>
      <c r="B5453" s="2" t="s">
        <v>5528</v>
      </c>
      <c r="C5453" s="2" t="str">
        <f>"04229576"</f>
        <v>04229576</v>
      </c>
      <c r="D5453" s="2">
        <v>0.1</v>
      </c>
      <c r="E5453" s="2">
        <v>1</v>
      </c>
      <c r="F5453" s="2" t="s">
        <v>135</v>
      </c>
    </row>
    <row r="5454" spans="1:6" ht="25.5">
      <c r="A5454" s="2">
        <v>5451</v>
      </c>
      <c r="B5454" s="2" t="s">
        <v>5529</v>
      </c>
      <c r="C5454" s="2" t="str">
        <f>"00135984"</f>
        <v>00135984</v>
      </c>
      <c r="D5454" s="2">
        <v>1.964</v>
      </c>
      <c r="E5454" s="2">
        <v>36</v>
      </c>
      <c r="F5454" s="2" t="s">
        <v>6</v>
      </c>
    </row>
    <row r="5455" spans="1:6" ht="25.5">
      <c r="A5455" s="2">
        <v>5452</v>
      </c>
      <c r="B5455" s="2" t="s">
        <v>5530</v>
      </c>
      <c r="C5455" s="2" t="str">
        <f>"18115209"</f>
        <v>18115209</v>
      </c>
      <c r="D5455" s="2">
        <v>1.1200000000000001</v>
      </c>
      <c r="E5455" s="2">
        <v>28</v>
      </c>
      <c r="F5455" s="2" t="s">
        <v>6</v>
      </c>
    </row>
    <row r="5456" spans="1:6" ht="25.5">
      <c r="A5456" s="2">
        <v>5453</v>
      </c>
      <c r="B5456" s="2" t="s">
        <v>5531</v>
      </c>
      <c r="C5456" s="2" t="str">
        <f>"20377177"</f>
        <v>20377177</v>
      </c>
      <c r="D5456" s="2">
        <v>0.10199999999999999</v>
      </c>
      <c r="E5456" s="2">
        <v>0</v>
      </c>
      <c r="F5456" s="2" t="s">
        <v>190</v>
      </c>
    </row>
    <row r="5457" spans="1:6" ht="25.5">
      <c r="A5457" s="2">
        <v>5454</v>
      </c>
      <c r="B5457" s="2" t="s">
        <v>5532</v>
      </c>
      <c r="C5457" s="2" t="str">
        <f>"10806547"</f>
        <v>10806547</v>
      </c>
      <c r="D5457" s="2">
        <v>0.157</v>
      </c>
      <c r="E5457" s="2">
        <v>7</v>
      </c>
      <c r="F5457" s="2" t="s">
        <v>6</v>
      </c>
    </row>
    <row r="5458" spans="1:6" ht="25.5">
      <c r="A5458" s="2">
        <v>5455</v>
      </c>
      <c r="B5458" s="2" t="s">
        <v>5533</v>
      </c>
      <c r="C5458" s="2" t="str">
        <f>"17426731"</f>
        <v>17426731</v>
      </c>
      <c r="D5458" s="2">
        <v>0.39500000000000002</v>
      </c>
      <c r="E5458" s="2">
        <v>28</v>
      </c>
      <c r="F5458" s="2" t="s">
        <v>16</v>
      </c>
    </row>
    <row r="5459" spans="1:6" ht="25.5">
      <c r="A5459" s="2">
        <v>5456</v>
      </c>
      <c r="B5459" s="2" t="s">
        <v>5534</v>
      </c>
      <c r="C5459" s="2" t="str">
        <f>"0885968X"</f>
        <v>0885968X</v>
      </c>
      <c r="D5459" s="2">
        <v>0.10100000000000001</v>
      </c>
      <c r="E5459" s="2">
        <v>2</v>
      </c>
      <c r="F5459" s="2" t="s">
        <v>6</v>
      </c>
    </row>
    <row r="5460" spans="1:6" ht="25.5">
      <c r="A5460" s="2">
        <v>5457</v>
      </c>
      <c r="B5460" s="2" t="s">
        <v>5535</v>
      </c>
      <c r="C5460" s="2" t="str">
        <f>"14602075"</f>
        <v>14602075</v>
      </c>
      <c r="D5460" s="2">
        <v>6.5789999999999997</v>
      </c>
      <c r="E5460" s="2">
        <v>295</v>
      </c>
      <c r="F5460" s="2" t="s">
        <v>16</v>
      </c>
    </row>
    <row r="5461" spans="1:6" ht="25.5">
      <c r="A5461" s="2">
        <v>5458</v>
      </c>
      <c r="B5461" s="2" t="s">
        <v>5536</v>
      </c>
      <c r="C5461" s="2" t="str">
        <f>"17574684"</f>
        <v>17574684</v>
      </c>
      <c r="D5461" s="2">
        <v>3.7290000000000001</v>
      </c>
      <c r="E5461" s="2">
        <v>25</v>
      </c>
      <c r="F5461" s="2" t="s">
        <v>6</v>
      </c>
    </row>
    <row r="5462" spans="1:6" ht="25.5">
      <c r="A5462" s="2">
        <v>5459</v>
      </c>
      <c r="B5462" s="2" t="s">
        <v>5537</v>
      </c>
      <c r="C5462" s="2" t="str">
        <f>"14693178"</f>
        <v>14693178</v>
      </c>
      <c r="D5462" s="2">
        <v>3.4209999999999998</v>
      </c>
      <c r="E5462" s="2">
        <v>113</v>
      </c>
      <c r="F5462" s="2" t="s">
        <v>16</v>
      </c>
    </row>
    <row r="5463" spans="1:6" ht="25.5">
      <c r="A5463" s="2">
        <v>5460</v>
      </c>
      <c r="B5463" s="2" t="s">
        <v>5538</v>
      </c>
      <c r="C5463" s="2" t="str">
        <f>"15213250"</f>
        <v>15213250</v>
      </c>
      <c r="D5463" s="2">
        <v>0.19800000000000001</v>
      </c>
      <c r="E5463" s="2">
        <v>11</v>
      </c>
      <c r="F5463" s="2" t="s">
        <v>6</v>
      </c>
    </row>
    <row r="5464" spans="1:6" ht="25.5">
      <c r="A5464" s="2">
        <v>5461</v>
      </c>
      <c r="B5464" s="2" t="s">
        <v>5539</v>
      </c>
      <c r="C5464" s="2" t="str">
        <f>"11376821"</f>
        <v>11376821</v>
      </c>
      <c r="D5464" s="2">
        <v>0.29099999999999998</v>
      </c>
      <c r="E5464" s="2">
        <v>8</v>
      </c>
      <c r="F5464" s="2" t="s">
        <v>351</v>
      </c>
    </row>
    <row r="5465" spans="1:6" ht="25.5">
      <c r="A5465" s="2">
        <v>5462</v>
      </c>
      <c r="B5465" s="2" t="s">
        <v>5540</v>
      </c>
      <c r="C5465" s="2" t="str">
        <f>"00136654"</f>
        <v>00136654</v>
      </c>
      <c r="D5465" s="2">
        <v>0.1</v>
      </c>
      <c r="E5465" s="2">
        <v>6</v>
      </c>
      <c r="F5465" s="2" t="s">
        <v>6</v>
      </c>
    </row>
    <row r="5466" spans="1:6" ht="25.5">
      <c r="A5466" s="2">
        <v>5463</v>
      </c>
      <c r="B5466" s="2" t="s">
        <v>5541</v>
      </c>
      <c r="C5466" s="2" t="str">
        <f>"07338627"</f>
        <v>07338627</v>
      </c>
      <c r="D5466" s="2">
        <v>0.433</v>
      </c>
      <c r="E5466" s="2">
        <v>31</v>
      </c>
      <c r="F5466" s="2" t="s">
        <v>16</v>
      </c>
    </row>
    <row r="5467" spans="1:6" ht="25.5">
      <c r="A5467" s="2">
        <v>5464</v>
      </c>
      <c r="B5467" s="2" t="s">
        <v>5542</v>
      </c>
      <c r="C5467" s="2" t="str">
        <f>"14720213"</f>
        <v>14720213</v>
      </c>
      <c r="D5467" s="2">
        <v>0.46700000000000003</v>
      </c>
      <c r="E5467" s="2">
        <v>43</v>
      </c>
      <c r="F5467" s="2" t="s">
        <v>16</v>
      </c>
    </row>
    <row r="5468" spans="1:6" ht="25.5">
      <c r="A5468" s="2">
        <v>5465</v>
      </c>
      <c r="B5468" s="2" t="s">
        <v>5543</v>
      </c>
      <c r="C5468" s="2" t="str">
        <f>"15593908"</f>
        <v>15593908</v>
      </c>
      <c r="D5468" s="2">
        <v>0.11799999999999999</v>
      </c>
      <c r="E5468" s="2">
        <v>1</v>
      </c>
      <c r="F5468" s="2" t="s">
        <v>6</v>
      </c>
    </row>
    <row r="5469" spans="1:6" ht="25.5">
      <c r="A5469" s="2">
        <v>5466</v>
      </c>
      <c r="B5469" s="2" t="s">
        <v>5544</v>
      </c>
      <c r="C5469" s="2" t="str">
        <f>"13545752"</f>
        <v>13545752</v>
      </c>
      <c r="D5469" s="2">
        <v>0.187</v>
      </c>
      <c r="E5469" s="2">
        <v>9</v>
      </c>
      <c r="F5469" s="2" t="s">
        <v>16</v>
      </c>
    </row>
    <row r="5470" spans="1:6" ht="25.5">
      <c r="A5470" s="2">
        <v>5467</v>
      </c>
      <c r="B5470" s="2" t="s">
        <v>5545</v>
      </c>
      <c r="C5470" s="2" t="str">
        <f>"14381435"</f>
        <v>14381435</v>
      </c>
      <c r="D5470" s="2">
        <v>0.44600000000000001</v>
      </c>
      <c r="E5470" s="2">
        <v>22</v>
      </c>
      <c r="F5470" s="2" t="s">
        <v>6</v>
      </c>
    </row>
    <row r="5471" spans="1:6" ht="25.5">
      <c r="A5471" s="2">
        <v>5468</v>
      </c>
      <c r="B5471" s="2" t="s">
        <v>5546</v>
      </c>
      <c r="C5471" s="2" t="str">
        <f>"17528550"</f>
        <v>17528550</v>
      </c>
      <c r="D5471" s="2">
        <v>0.34300000000000003</v>
      </c>
      <c r="E5471" s="2">
        <v>3</v>
      </c>
      <c r="F5471" s="2" t="s">
        <v>151</v>
      </c>
    </row>
    <row r="5472" spans="1:6" ht="25.5">
      <c r="A5472" s="2">
        <v>5469</v>
      </c>
      <c r="B5472" s="2" t="s">
        <v>5547</v>
      </c>
      <c r="C5472" s="2" t="str">
        <f>"10806059"</f>
        <v>10806059</v>
      </c>
      <c r="D5472" s="2">
        <v>2.3450000000000002</v>
      </c>
      <c r="E5472" s="2">
        <v>142</v>
      </c>
      <c r="F5472" s="2" t="s">
        <v>6</v>
      </c>
    </row>
    <row r="5473" spans="1:6" ht="25.5">
      <c r="A5473" s="2">
        <v>5470</v>
      </c>
      <c r="B5473" s="2" t="s">
        <v>5548</v>
      </c>
      <c r="C5473" s="2" t="str">
        <f>"1540496X"</f>
        <v>1540496X</v>
      </c>
      <c r="D5473" s="2">
        <v>0.39800000000000002</v>
      </c>
      <c r="E5473" s="2">
        <v>13</v>
      </c>
      <c r="F5473" s="2" t="s">
        <v>6</v>
      </c>
    </row>
    <row r="5474" spans="1:6" ht="25.5">
      <c r="A5474" s="2">
        <v>5471</v>
      </c>
      <c r="B5474" s="2" t="s">
        <v>5549</v>
      </c>
      <c r="C5474" s="2" t="str">
        <f>"15660141"</f>
        <v>15660141</v>
      </c>
      <c r="D5474" s="2">
        <v>0.51300000000000001</v>
      </c>
      <c r="E5474" s="2">
        <v>19</v>
      </c>
      <c r="F5474" s="2" t="s">
        <v>75</v>
      </c>
    </row>
    <row r="5475" spans="1:6" ht="25.5">
      <c r="A5475" s="2">
        <v>5472</v>
      </c>
      <c r="B5475" s="2" t="s">
        <v>5550</v>
      </c>
      <c r="C5475" s="2" t="str">
        <f>"17427622"</f>
        <v>17427622</v>
      </c>
      <c r="D5475" s="2">
        <v>0.33200000000000002</v>
      </c>
      <c r="E5475" s="2">
        <v>17</v>
      </c>
      <c r="F5475" s="2" t="s">
        <v>16</v>
      </c>
    </row>
    <row r="5476" spans="1:6" ht="25.5">
      <c r="A5476" s="2">
        <v>5473</v>
      </c>
      <c r="B5476" s="2" t="s">
        <v>5551</v>
      </c>
      <c r="C5476" s="2" t="str">
        <f>"19888384"</f>
        <v>19888384</v>
      </c>
      <c r="D5476" s="2">
        <v>0.10100000000000001</v>
      </c>
      <c r="E5476" s="2">
        <v>2</v>
      </c>
      <c r="F5476" s="2" t="s">
        <v>351</v>
      </c>
    </row>
    <row r="5477" spans="1:6" ht="25.5">
      <c r="A5477" s="2">
        <v>5474</v>
      </c>
      <c r="B5477" s="2" t="s">
        <v>5552</v>
      </c>
      <c r="C5477" s="2" t="str">
        <f>"10596879"</f>
        <v>10596879</v>
      </c>
      <c r="D5477" s="2">
        <v>0.10100000000000001</v>
      </c>
      <c r="E5477" s="2">
        <v>1</v>
      </c>
      <c r="F5477" s="2" t="s">
        <v>6</v>
      </c>
    </row>
    <row r="5478" spans="1:6" ht="25.5">
      <c r="A5478" s="2">
        <v>5475</v>
      </c>
      <c r="B5478" s="2" t="s">
        <v>5553</v>
      </c>
      <c r="C5478" s="2" t="str">
        <f>"20790538"</f>
        <v>20790538</v>
      </c>
      <c r="D5478" s="2">
        <v>0.153</v>
      </c>
      <c r="E5478" s="2">
        <v>3</v>
      </c>
      <c r="F5478" s="2" t="s">
        <v>1467</v>
      </c>
    </row>
    <row r="5479" spans="1:6" ht="25.5">
      <c r="A5479" s="2">
        <v>5476</v>
      </c>
      <c r="B5479" s="2" t="s">
        <v>5554</v>
      </c>
      <c r="C5479" s="2" t="str">
        <f>"10429247"</f>
        <v>10429247</v>
      </c>
      <c r="D5479" s="2">
        <v>0.24099999999999999</v>
      </c>
      <c r="E5479" s="2">
        <v>17</v>
      </c>
      <c r="F5479" s="2" t="s">
        <v>6</v>
      </c>
    </row>
    <row r="5480" spans="1:6" ht="25.5">
      <c r="A5480" s="2">
        <v>5477</v>
      </c>
      <c r="B5480" s="2" t="s">
        <v>5555</v>
      </c>
      <c r="C5480" s="2" t="str">
        <f>"15283542"</f>
        <v>15283542</v>
      </c>
      <c r="D5480" s="2">
        <v>1.988</v>
      </c>
      <c r="E5480" s="2">
        <v>58</v>
      </c>
      <c r="F5480" s="2" t="s">
        <v>6</v>
      </c>
    </row>
    <row r="5481" spans="1:6" ht="25.5">
      <c r="A5481" s="2">
        <v>5478</v>
      </c>
      <c r="B5481" s="2" t="s">
        <v>5556</v>
      </c>
      <c r="C5481" s="2" t="str">
        <f>"17412692"</f>
        <v>17412692</v>
      </c>
      <c r="D5481" s="2">
        <v>0.29499999999999998</v>
      </c>
      <c r="E5481" s="2">
        <v>11</v>
      </c>
      <c r="F5481" s="2" t="s">
        <v>16</v>
      </c>
    </row>
    <row r="5482" spans="1:6" ht="25.5">
      <c r="A5482" s="2">
        <v>5479</v>
      </c>
      <c r="B5482" s="2" t="s">
        <v>5557</v>
      </c>
      <c r="C5482" s="2" t="str">
        <f>"17540739"</f>
        <v>17540739</v>
      </c>
      <c r="D5482" s="2">
        <v>1.0509999999999999</v>
      </c>
      <c r="E5482" s="2">
        <v>13</v>
      </c>
      <c r="F5482" s="2" t="s">
        <v>16</v>
      </c>
    </row>
    <row r="5483" spans="1:6" ht="25.5">
      <c r="A5483" s="2">
        <v>5480</v>
      </c>
      <c r="B5483" s="2" t="s">
        <v>5558</v>
      </c>
      <c r="C5483" s="2" t="str">
        <f>"18780040"</f>
        <v>18780040</v>
      </c>
      <c r="D5483" s="2">
        <v>1.2809999999999999</v>
      </c>
      <c r="E5483" s="2">
        <v>7</v>
      </c>
      <c r="F5483" s="2" t="s">
        <v>75</v>
      </c>
    </row>
    <row r="5484" spans="1:6" ht="25.5">
      <c r="A5484" s="2">
        <v>5481</v>
      </c>
      <c r="B5484" s="2" t="s">
        <v>5559</v>
      </c>
      <c r="C5484" s="2" t="str">
        <f>"11523336"</f>
        <v>11523336</v>
      </c>
      <c r="D5484" s="2">
        <v>0.122</v>
      </c>
      <c r="E5484" s="2">
        <v>2</v>
      </c>
      <c r="F5484" s="2" t="s">
        <v>66</v>
      </c>
    </row>
    <row r="5485" spans="1:6" ht="25.5">
      <c r="A5485" s="2">
        <v>5482</v>
      </c>
      <c r="B5485" s="2" t="s">
        <v>5560</v>
      </c>
      <c r="C5485" s="2" t="str">
        <f>"15736911"</f>
        <v>15736911</v>
      </c>
      <c r="D5485" s="2">
        <v>0.185</v>
      </c>
      <c r="E5485" s="2">
        <v>12</v>
      </c>
      <c r="F5485" s="2" t="s">
        <v>75</v>
      </c>
    </row>
    <row r="5486" spans="1:6" ht="25.5">
      <c r="A5486" s="2">
        <v>5483</v>
      </c>
      <c r="B5486" s="2" t="s">
        <v>5561</v>
      </c>
      <c r="C5486" s="2" t="str">
        <f>"14358921"</f>
        <v>14358921</v>
      </c>
      <c r="D5486" s="2">
        <v>0.5</v>
      </c>
      <c r="E5486" s="2">
        <v>29</v>
      </c>
      <c r="F5486" s="2" t="s">
        <v>12</v>
      </c>
    </row>
    <row r="5487" spans="1:6" ht="25.5">
      <c r="A5487" s="2">
        <v>5484</v>
      </c>
      <c r="B5487" s="2" t="s">
        <v>5562</v>
      </c>
      <c r="C5487" s="2" t="str">
        <f>"15737616"</f>
        <v>15737616</v>
      </c>
      <c r="D5487" s="2">
        <v>2.319</v>
      </c>
      <c r="E5487" s="2">
        <v>33</v>
      </c>
      <c r="F5487" s="2" t="s">
        <v>75</v>
      </c>
    </row>
    <row r="5488" spans="1:6" ht="25.5">
      <c r="A5488" s="2">
        <v>5485</v>
      </c>
      <c r="B5488" s="2" t="s">
        <v>5563</v>
      </c>
      <c r="C5488" s="2" t="str">
        <f>"01425455"</f>
        <v>01425455</v>
      </c>
      <c r="D5488" s="2">
        <v>0.33100000000000002</v>
      </c>
      <c r="E5488" s="2">
        <v>13</v>
      </c>
      <c r="F5488" s="2" t="s">
        <v>16</v>
      </c>
    </row>
    <row r="5489" spans="1:6" ht="25.5">
      <c r="A5489" s="2">
        <v>5486</v>
      </c>
      <c r="B5489" s="2" t="s">
        <v>5564</v>
      </c>
      <c r="C5489" s="2" t="str">
        <f>"00988898"</f>
        <v>00988898</v>
      </c>
      <c r="D5489" s="2">
        <v>0.1</v>
      </c>
      <c r="E5489" s="2">
        <v>4</v>
      </c>
      <c r="F5489" s="2" t="s">
        <v>6</v>
      </c>
    </row>
    <row r="5490" spans="1:6" ht="25.5">
      <c r="A5490" s="2">
        <v>5487</v>
      </c>
      <c r="B5490" s="2" t="s">
        <v>5565</v>
      </c>
      <c r="C5490" s="2" t="str">
        <f>"08927545"</f>
        <v>08927545</v>
      </c>
      <c r="D5490" s="2">
        <v>0.21</v>
      </c>
      <c r="E5490" s="2">
        <v>13</v>
      </c>
      <c r="F5490" s="2" t="s">
        <v>6</v>
      </c>
    </row>
    <row r="5491" spans="1:6" ht="25.5">
      <c r="A5491" s="2">
        <v>5488</v>
      </c>
      <c r="B5491" s="2" t="s">
        <v>5566</v>
      </c>
      <c r="C5491" s="2" t="str">
        <f>"19469365"</f>
        <v>19469365</v>
      </c>
      <c r="D5491" s="2">
        <v>0.106</v>
      </c>
      <c r="E5491" s="2">
        <v>7</v>
      </c>
      <c r="F5491" s="2" t="s">
        <v>6</v>
      </c>
    </row>
    <row r="5492" spans="1:6" ht="25.5">
      <c r="A5492" s="2">
        <v>5489</v>
      </c>
      <c r="B5492" s="2" t="s">
        <v>5567</v>
      </c>
      <c r="C5492" s="2" t="str">
        <f>"01584197"</f>
        <v>01584197</v>
      </c>
      <c r="D5492" s="2">
        <v>0.748</v>
      </c>
      <c r="E5492" s="2">
        <v>24</v>
      </c>
      <c r="F5492" s="2" t="s">
        <v>127</v>
      </c>
    </row>
    <row r="5493" spans="1:6" ht="25.5">
      <c r="A5493" s="2">
        <v>5490</v>
      </c>
      <c r="B5493" s="2" t="s">
        <v>5568</v>
      </c>
      <c r="C5493" s="2" t="str">
        <f>"18635407"</f>
        <v>18635407</v>
      </c>
      <c r="D5493" s="2">
        <v>0.98</v>
      </c>
      <c r="E5493" s="2">
        <v>20</v>
      </c>
      <c r="F5493" s="2" t="s">
        <v>12</v>
      </c>
    </row>
    <row r="5494" spans="1:6" ht="25.5">
      <c r="A5494" s="2">
        <v>5491</v>
      </c>
      <c r="B5494" s="2" t="s">
        <v>5569</v>
      </c>
      <c r="C5494" s="2" t="str">
        <f>"01609327"</f>
        <v>01609327</v>
      </c>
      <c r="D5494" s="2">
        <v>0.13200000000000001</v>
      </c>
      <c r="E5494" s="2">
        <v>17</v>
      </c>
      <c r="F5494" s="2" t="s">
        <v>16</v>
      </c>
    </row>
    <row r="5495" spans="1:6" ht="25.5">
      <c r="A5495" s="2">
        <v>5492</v>
      </c>
      <c r="B5495" s="2" t="s">
        <v>5570</v>
      </c>
      <c r="C5495" s="2" t="str">
        <f>"0969711X"</f>
        <v>0969711X</v>
      </c>
      <c r="D5495" s="2">
        <v>0.65900000000000003</v>
      </c>
      <c r="E5495" s="2">
        <v>55</v>
      </c>
      <c r="F5495" s="2" t="s">
        <v>6</v>
      </c>
    </row>
    <row r="5496" spans="1:6" ht="25.5">
      <c r="A5496" s="2">
        <v>5493</v>
      </c>
      <c r="B5496" s="2" t="s">
        <v>5571</v>
      </c>
      <c r="C5496" s="2" t="str">
        <f>"16622979"</f>
        <v>16622979</v>
      </c>
      <c r="D5496" s="2">
        <v>0.75600000000000001</v>
      </c>
      <c r="E5496" s="2">
        <v>19</v>
      </c>
      <c r="F5496" s="2" t="s">
        <v>31</v>
      </c>
    </row>
    <row r="5497" spans="1:6" ht="25.5">
      <c r="A5497" s="2">
        <v>5494</v>
      </c>
      <c r="B5497" s="2" t="s">
        <v>5572</v>
      </c>
      <c r="C5497" s="2" t="str">
        <f>"13484540"</f>
        <v>13484540</v>
      </c>
      <c r="D5497" s="2">
        <v>0.86199999999999999</v>
      </c>
      <c r="E5497" s="2">
        <v>42</v>
      </c>
      <c r="F5497" s="2" t="s">
        <v>131</v>
      </c>
    </row>
    <row r="5498" spans="1:6" ht="25.5">
      <c r="A5498" s="2">
        <v>5495</v>
      </c>
      <c r="B5498" s="2" t="s">
        <v>5573</v>
      </c>
      <c r="C5498" s="2" t="str">
        <f>"18715303"</f>
        <v>18715303</v>
      </c>
      <c r="D5498" s="2">
        <v>0.69499999999999995</v>
      </c>
      <c r="E5498" s="2">
        <v>31</v>
      </c>
      <c r="F5498" s="2" t="s">
        <v>75</v>
      </c>
    </row>
    <row r="5499" spans="1:6" ht="25.5">
      <c r="A5499" s="2">
        <v>5496</v>
      </c>
      <c r="B5499" s="2" t="s">
        <v>5574</v>
      </c>
      <c r="C5499" s="2" t="str">
        <f>"10463976"</f>
        <v>10463976</v>
      </c>
      <c r="D5499" s="2">
        <v>0.55500000000000005</v>
      </c>
      <c r="E5499" s="2">
        <v>27</v>
      </c>
      <c r="F5499" s="2" t="s">
        <v>6</v>
      </c>
    </row>
    <row r="5500" spans="1:6" ht="25.5">
      <c r="A5500" s="2">
        <v>5497</v>
      </c>
      <c r="B5500" s="2" t="s">
        <v>5575</v>
      </c>
      <c r="C5500" s="2" t="str">
        <f>"1530891X"</f>
        <v>1530891X</v>
      </c>
      <c r="D5500" s="2">
        <v>0.79800000000000004</v>
      </c>
      <c r="E5500" s="2">
        <v>46</v>
      </c>
      <c r="F5500" s="2" t="s">
        <v>6</v>
      </c>
    </row>
    <row r="5501" spans="1:6" ht="25.5">
      <c r="A5501" s="2">
        <v>5498</v>
      </c>
      <c r="B5501" s="2" t="s">
        <v>5576</v>
      </c>
      <c r="C5501" s="2" t="str">
        <f>"13360329"</f>
        <v>13360329</v>
      </c>
      <c r="D5501" s="2">
        <v>0.44800000000000001</v>
      </c>
      <c r="E5501" s="2">
        <v>23</v>
      </c>
      <c r="F5501" s="2" t="s">
        <v>241</v>
      </c>
    </row>
    <row r="5502" spans="1:6" ht="25.5">
      <c r="A5502" s="2">
        <v>5499</v>
      </c>
      <c r="B5502" s="2" t="s">
        <v>5577</v>
      </c>
      <c r="C5502" s="2" t="str">
        <f>"13510088"</f>
        <v>13510088</v>
      </c>
      <c r="D5502" s="2">
        <v>2.0419999999999998</v>
      </c>
      <c r="E5502" s="2">
        <v>81</v>
      </c>
      <c r="F5502" s="2" t="s">
        <v>16</v>
      </c>
    </row>
    <row r="5503" spans="1:6" ht="25.5">
      <c r="A5503" s="2">
        <v>5500</v>
      </c>
      <c r="B5503" s="2" t="s">
        <v>5578</v>
      </c>
      <c r="C5503" s="2" t="str">
        <f>"15324206"</f>
        <v>15324206</v>
      </c>
      <c r="D5503" s="2">
        <v>0.33900000000000002</v>
      </c>
      <c r="E5503" s="2">
        <v>30</v>
      </c>
      <c r="F5503" s="2" t="s">
        <v>16</v>
      </c>
    </row>
    <row r="5504" spans="1:6" ht="25.5">
      <c r="A5504" s="2">
        <v>5501</v>
      </c>
      <c r="B5504" s="2" t="s">
        <v>5579</v>
      </c>
      <c r="C5504" s="2" t="str">
        <f>"0163769X"</f>
        <v>0163769X</v>
      </c>
      <c r="D5504" s="2">
        <v>5.9969999999999999</v>
      </c>
      <c r="E5504" s="2">
        <v>191</v>
      </c>
      <c r="F5504" s="2" t="s">
        <v>6</v>
      </c>
    </row>
    <row r="5505" spans="1:6" ht="25.5">
      <c r="A5505" s="2">
        <v>5502</v>
      </c>
      <c r="B5505" s="2" t="s">
        <v>5580</v>
      </c>
      <c r="C5505" s="2" t="str">
        <f>"15750922"</f>
        <v>15750922</v>
      </c>
      <c r="D5505" s="2">
        <v>0.19700000000000001</v>
      </c>
      <c r="E5505" s="2">
        <v>10</v>
      </c>
      <c r="F5505" s="2" t="s">
        <v>351</v>
      </c>
    </row>
    <row r="5506" spans="1:6" ht="25.5">
      <c r="A5506" s="2">
        <v>5503</v>
      </c>
      <c r="B5506" s="2" t="s">
        <v>5581</v>
      </c>
      <c r="C5506" s="2" t="str">
        <f>"00137227"</f>
        <v>00137227</v>
      </c>
      <c r="D5506" s="2">
        <v>1.8049999999999999</v>
      </c>
      <c r="E5506" s="2">
        <v>182</v>
      </c>
      <c r="F5506" s="2" t="s">
        <v>6</v>
      </c>
    </row>
    <row r="5507" spans="1:6" ht="25.5">
      <c r="A5507" s="2">
        <v>5504</v>
      </c>
      <c r="B5507" s="2" t="s">
        <v>5582</v>
      </c>
      <c r="C5507" s="2" t="str">
        <f>"08898529"</f>
        <v>08898529</v>
      </c>
      <c r="D5507" s="2">
        <v>0.94399999999999995</v>
      </c>
      <c r="E5507" s="2">
        <v>67</v>
      </c>
      <c r="F5507" s="2" t="s">
        <v>16</v>
      </c>
    </row>
    <row r="5508" spans="1:6" ht="25.5">
      <c r="A5508" s="2">
        <v>5505</v>
      </c>
      <c r="B5508" s="2" t="s">
        <v>5583</v>
      </c>
      <c r="C5508" s="2" t="str">
        <f>"13108131"</f>
        <v>13108131</v>
      </c>
      <c r="D5508" s="2">
        <v>0.1</v>
      </c>
      <c r="E5508" s="2">
        <v>1</v>
      </c>
      <c r="F5508" s="2" t="s">
        <v>293</v>
      </c>
    </row>
    <row r="5509" spans="1:6" ht="25.5">
      <c r="A5509" s="2">
        <v>5506</v>
      </c>
      <c r="B5509" s="2" t="s">
        <v>5584</v>
      </c>
      <c r="C5509" s="2" t="str">
        <f>"1234625X"</f>
        <v>1234625X</v>
      </c>
      <c r="D5509" s="2">
        <v>0.159</v>
      </c>
      <c r="E5509" s="2">
        <v>6</v>
      </c>
      <c r="F5509" s="2" t="s">
        <v>169</v>
      </c>
    </row>
    <row r="5510" spans="1:6" ht="25.5">
      <c r="A5510" s="2">
        <v>5507</v>
      </c>
      <c r="B5510" s="2" t="s">
        <v>5585</v>
      </c>
      <c r="C5510" s="2" t="str">
        <f>"0423104X"</f>
        <v>0423104X</v>
      </c>
      <c r="D5510" s="2">
        <v>0.35299999999999998</v>
      </c>
      <c r="E5510" s="2">
        <v>10</v>
      </c>
      <c r="F5510" s="2" t="s">
        <v>169</v>
      </c>
    </row>
    <row r="5511" spans="1:6" ht="25.5">
      <c r="A5511" s="2">
        <v>5508</v>
      </c>
      <c r="B5511" s="2" t="s">
        <v>5586</v>
      </c>
      <c r="C5511" s="2" t="str">
        <f>"09120505"</f>
        <v>09120505</v>
      </c>
      <c r="D5511" s="2">
        <v>0.113</v>
      </c>
      <c r="E5511" s="2">
        <v>3</v>
      </c>
      <c r="F5511" s="2" t="s">
        <v>131</v>
      </c>
    </row>
    <row r="5512" spans="1:6" ht="25.5">
      <c r="A5512" s="2">
        <v>5509</v>
      </c>
      <c r="B5512" s="2" t="s">
        <v>5587</v>
      </c>
      <c r="C5512" s="2" t="str">
        <f>"14388812"</f>
        <v>14388812</v>
      </c>
      <c r="D5512" s="2">
        <v>1.4419999999999999</v>
      </c>
      <c r="E5512" s="2">
        <v>93</v>
      </c>
      <c r="F5512" s="2" t="s">
        <v>12</v>
      </c>
    </row>
    <row r="5513" spans="1:6" ht="25.5">
      <c r="A5513" s="2">
        <v>5510</v>
      </c>
      <c r="B5513" s="2" t="s">
        <v>5588</v>
      </c>
      <c r="C5513" s="2" t="str">
        <f>"12111074"</f>
        <v>12111074</v>
      </c>
      <c r="D5513" s="2">
        <v>0.112</v>
      </c>
      <c r="E5513" s="2">
        <v>3</v>
      </c>
      <c r="F5513" s="2" t="s">
        <v>208</v>
      </c>
    </row>
    <row r="5514" spans="1:6" ht="25.5">
      <c r="A5514" s="2">
        <v>5511</v>
      </c>
      <c r="B5514" s="2" t="s">
        <v>5589</v>
      </c>
      <c r="C5514" s="2" t="str">
        <f>"14392577"</f>
        <v>14392577</v>
      </c>
      <c r="D5514" s="2">
        <v>0.109</v>
      </c>
      <c r="E5514" s="2">
        <v>5</v>
      </c>
      <c r="F5514" s="2" t="s">
        <v>12</v>
      </c>
    </row>
    <row r="5515" spans="1:6" ht="25.5">
      <c r="A5515" s="2">
        <v>5512</v>
      </c>
      <c r="B5515" s="2" t="s">
        <v>5590</v>
      </c>
      <c r="C5515" s="2" t="str">
        <f>"02357208"</f>
        <v>02357208</v>
      </c>
      <c r="D5515" s="2">
        <v>0.10100000000000001</v>
      </c>
      <c r="E5515" s="2">
        <v>4</v>
      </c>
      <c r="F5515" s="2" t="s">
        <v>426</v>
      </c>
    </row>
    <row r="5516" spans="1:6" ht="25.5">
      <c r="A5516" s="2">
        <v>5513</v>
      </c>
      <c r="B5516" s="2" t="s">
        <v>5591</v>
      </c>
      <c r="C5516" s="2" t="str">
        <f>"00137308"</f>
        <v>00137308</v>
      </c>
      <c r="D5516" s="2">
        <v>0.1</v>
      </c>
      <c r="E5516" s="2">
        <v>4</v>
      </c>
      <c r="F5516" s="2" t="s">
        <v>190</v>
      </c>
    </row>
    <row r="5517" spans="1:6" ht="25.5">
      <c r="A5517" s="2">
        <v>5514</v>
      </c>
      <c r="B5517" s="2" t="s">
        <v>5592</v>
      </c>
      <c r="C5517" s="2" t="str">
        <f>"19961073"</f>
        <v>19961073</v>
      </c>
      <c r="D5517" s="2">
        <v>0.71699999999999997</v>
      </c>
      <c r="E5517" s="2">
        <v>17</v>
      </c>
      <c r="F5517" s="2" t="s">
        <v>31</v>
      </c>
    </row>
    <row r="5518" spans="1:6" ht="25.5">
      <c r="A5518" s="2">
        <v>5515</v>
      </c>
      <c r="B5518" s="2" t="s">
        <v>5593</v>
      </c>
      <c r="C5518" s="2" t="str">
        <f>"03605442"</f>
        <v>03605442</v>
      </c>
      <c r="D5518" s="2">
        <v>1.847</v>
      </c>
      <c r="E5518" s="2">
        <v>69</v>
      </c>
      <c r="F5518" s="2" t="s">
        <v>16</v>
      </c>
    </row>
    <row r="5519" spans="1:6" ht="25.5">
      <c r="A5519" s="2">
        <v>5516</v>
      </c>
      <c r="B5519" s="2" t="s">
        <v>5594</v>
      </c>
      <c r="C5519" s="2" t="str">
        <f>"03787788"</f>
        <v>03787788</v>
      </c>
      <c r="D5519" s="2">
        <v>1.7190000000000001</v>
      </c>
      <c r="E5519" s="2">
        <v>61</v>
      </c>
      <c r="F5519" s="2" t="s">
        <v>75</v>
      </c>
    </row>
    <row r="5520" spans="1:6" ht="25.5">
      <c r="A5520" s="2">
        <v>5517</v>
      </c>
      <c r="B5520" s="2" t="s">
        <v>5595</v>
      </c>
      <c r="C5520" s="2" t="str">
        <f>"0958305X"</f>
        <v>0958305X</v>
      </c>
      <c r="D5520" s="2">
        <v>0.20100000000000001</v>
      </c>
      <c r="E5520" s="2">
        <v>16</v>
      </c>
      <c r="F5520" s="2" t="s">
        <v>16</v>
      </c>
    </row>
    <row r="5521" spans="1:6" ht="25.5">
      <c r="A5521" s="2">
        <v>5518</v>
      </c>
      <c r="B5521" s="2" t="s">
        <v>5596</v>
      </c>
      <c r="C5521" s="2" t="str">
        <f>"17545692"</f>
        <v>17545692</v>
      </c>
      <c r="D5521" s="2">
        <v>5.0199999999999996</v>
      </c>
      <c r="E5521" s="2">
        <v>57</v>
      </c>
      <c r="F5521" s="2" t="s">
        <v>16</v>
      </c>
    </row>
    <row r="5522" spans="1:6" ht="25.5">
      <c r="A5522" s="2">
        <v>5519</v>
      </c>
      <c r="B5522" s="2" t="s">
        <v>5597</v>
      </c>
      <c r="C5522" s="2" t="str">
        <f>"15205029"</f>
        <v>15205029</v>
      </c>
      <c r="D5522" s="2">
        <v>1.357</v>
      </c>
      <c r="E5522" s="2">
        <v>88</v>
      </c>
      <c r="F5522" s="2" t="s">
        <v>6</v>
      </c>
    </row>
    <row r="5523" spans="1:6" ht="25.5">
      <c r="A5523" s="2">
        <v>5520</v>
      </c>
      <c r="B5523" s="2" t="s">
        <v>5598</v>
      </c>
      <c r="C5523" s="2" t="str">
        <f>"01968904"</f>
        <v>01968904</v>
      </c>
      <c r="D5523" s="2">
        <v>1.631</v>
      </c>
      <c r="E5523" s="2">
        <v>76</v>
      </c>
      <c r="F5523" s="2" t="s">
        <v>16</v>
      </c>
    </row>
    <row r="5524" spans="1:6" ht="25.5">
      <c r="A5524" s="2">
        <v>5521</v>
      </c>
      <c r="B5524" s="2" t="s">
        <v>5599</v>
      </c>
      <c r="C5524" s="2" t="str">
        <f>"18736181"</f>
        <v>18736181</v>
      </c>
      <c r="D5524" s="2">
        <v>1.841</v>
      </c>
      <c r="E5524" s="2">
        <v>56</v>
      </c>
      <c r="F5524" s="2" t="s">
        <v>75</v>
      </c>
    </row>
    <row r="5525" spans="1:6" ht="25.5">
      <c r="A5525" s="2">
        <v>5522</v>
      </c>
      <c r="B5525" s="2" t="s">
        <v>5600</v>
      </c>
      <c r="C5525" s="2" t="str">
        <f>"1308772X"</f>
        <v>1308772X</v>
      </c>
      <c r="D5525" s="2">
        <v>0.32</v>
      </c>
      <c r="E5525" s="2">
        <v>37</v>
      </c>
      <c r="F5525" s="2" t="s">
        <v>345</v>
      </c>
    </row>
    <row r="5526" spans="1:6" ht="25.5">
      <c r="A5526" s="2">
        <v>5523</v>
      </c>
      <c r="B5526" s="2" t="s">
        <v>5601</v>
      </c>
      <c r="C5526" s="2" t="str">
        <f>"13087711"</f>
        <v>13087711</v>
      </c>
      <c r="D5526" s="2">
        <v>0.26300000000000001</v>
      </c>
      <c r="E5526" s="2">
        <v>27</v>
      </c>
      <c r="F5526" s="2" t="s">
        <v>345</v>
      </c>
    </row>
    <row r="5527" spans="1:6" ht="25.5">
      <c r="A5527" s="2">
        <v>5524</v>
      </c>
      <c r="B5527" s="2" t="s">
        <v>5602</v>
      </c>
      <c r="C5527" s="2" t="str">
        <f>"15706478"</f>
        <v>15706478</v>
      </c>
      <c r="D5527" s="2">
        <v>1.056</v>
      </c>
      <c r="E5527" s="2">
        <v>10</v>
      </c>
      <c r="F5527" s="2" t="s">
        <v>75</v>
      </c>
    </row>
    <row r="5528" spans="1:6" ht="25.5">
      <c r="A5528" s="2">
        <v>5525</v>
      </c>
      <c r="B5528" s="2" t="s">
        <v>5603</v>
      </c>
      <c r="C5528" s="2" t="str">
        <f>"15460118"</f>
        <v>15460118</v>
      </c>
      <c r="D5528" s="2">
        <v>0.14000000000000001</v>
      </c>
      <c r="E5528" s="2">
        <v>7</v>
      </c>
      <c r="F5528" s="2" t="s">
        <v>6</v>
      </c>
    </row>
    <row r="5529" spans="1:6" ht="25.5">
      <c r="A5529" s="2">
        <v>5526</v>
      </c>
      <c r="B5529" s="2" t="s">
        <v>5604</v>
      </c>
      <c r="C5529" s="2" t="str">
        <f>"01445987"</f>
        <v>01445987</v>
      </c>
      <c r="D5529" s="2">
        <v>0.28899999999999998</v>
      </c>
      <c r="E5529" s="2">
        <v>15</v>
      </c>
      <c r="F5529" s="2" t="s">
        <v>16</v>
      </c>
    </row>
    <row r="5530" spans="1:6" ht="25.5">
      <c r="A5530" s="2">
        <v>5527</v>
      </c>
      <c r="B5530" s="2" t="s">
        <v>5605</v>
      </c>
      <c r="C5530" s="2" t="str">
        <f>"09730826"</f>
        <v>09730826</v>
      </c>
      <c r="D5530" s="2">
        <v>1.105</v>
      </c>
      <c r="E5530" s="2">
        <v>21</v>
      </c>
      <c r="F5530" s="2" t="s">
        <v>75</v>
      </c>
    </row>
    <row r="5531" spans="1:6" ht="25.5">
      <c r="A5531" s="2">
        <v>5528</v>
      </c>
      <c r="B5531" s="2" t="s">
        <v>5606</v>
      </c>
      <c r="C5531" s="2" t="str">
        <f>"17489237"</f>
        <v>17489237</v>
      </c>
      <c r="D5531" s="2">
        <v>0.105</v>
      </c>
      <c r="E5531" s="2">
        <v>4</v>
      </c>
      <c r="F5531" s="2" t="s">
        <v>16</v>
      </c>
    </row>
    <row r="5532" spans="1:6" ht="25.5">
      <c r="A5532" s="2">
        <v>5529</v>
      </c>
      <c r="B5532" s="2" t="s">
        <v>5607</v>
      </c>
      <c r="C5532" s="2" t="str">
        <f>"03014215"</f>
        <v>03014215</v>
      </c>
      <c r="D5532" s="2">
        <v>1.6020000000000001</v>
      </c>
      <c r="E5532" s="2">
        <v>76</v>
      </c>
      <c r="F5532" s="2" t="s">
        <v>75</v>
      </c>
    </row>
    <row r="5533" spans="1:6" ht="25.5">
      <c r="A5533" s="2">
        <v>5530</v>
      </c>
      <c r="B5533" s="2" t="s">
        <v>5608</v>
      </c>
      <c r="C5533" s="2" t="str">
        <f>"18766102"</f>
        <v>18766102</v>
      </c>
      <c r="D5533" s="2">
        <v>0.31900000000000001</v>
      </c>
      <c r="E5533" s="2">
        <v>22</v>
      </c>
      <c r="F5533" s="2" t="s">
        <v>75</v>
      </c>
    </row>
    <row r="5534" spans="1:6" ht="25.5">
      <c r="A5534" s="2">
        <v>5531</v>
      </c>
      <c r="B5534" s="2" t="s">
        <v>5609</v>
      </c>
      <c r="C5534" s="2" t="str">
        <f>"15567230"</f>
        <v>15567230</v>
      </c>
      <c r="D5534" s="2">
        <v>0.29099999999999998</v>
      </c>
      <c r="E5534" s="2">
        <v>21</v>
      </c>
      <c r="F5534" s="2" t="s">
        <v>16</v>
      </c>
    </row>
    <row r="5535" spans="1:6" ht="25.5">
      <c r="A5535" s="2">
        <v>5532</v>
      </c>
      <c r="B5535" s="2" t="s">
        <v>5610</v>
      </c>
      <c r="C5535" s="2" t="str">
        <f>"15567249"</f>
        <v>15567249</v>
      </c>
      <c r="D5535" s="2">
        <v>0.50900000000000001</v>
      </c>
      <c r="E5535" s="2">
        <v>14</v>
      </c>
      <c r="F5535" s="2" t="s">
        <v>16</v>
      </c>
    </row>
    <row r="5536" spans="1:6" ht="25.5">
      <c r="A5536" s="2">
        <v>5533</v>
      </c>
      <c r="B5536" s="2" t="s">
        <v>5611</v>
      </c>
      <c r="C5536" s="2" t="str">
        <f>"2211467X"</f>
        <v>2211467X</v>
      </c>
      <c r="D5536" s="2">
        <v>0</v>
      </c>
      <c r="E5536" s="2">
        <v>3</v>
      </c>
      <c r="F5536" s="2" t="s">
        <v>75</v>
      </c>
    </row>
    <row r="5537" spans="1:6" ht="25.5">
      <c r="A5537" s="2">
        <v>5534</v>
      </c>
      <c r="B5537" s="2" t="s">
        <v>5612</v>
      </c>
      <c r="C5537" s="2" t="str">
        <f>"08434379"</f>
        <v>08434379</v>
      </c>
      <c r="D5537" s="2">
        <v>0.10199999999999999</v>
      </c>
      <c r="E5537" s="2">
        <v>1</v>
      </c>
      <c r="F5537" s="2" t="s">
        <v>64</v>
      </c>
    </row>
    <row r="5538" spans="1:6" ht="25.5">
      <c r="A5538" s="2">
        <v>5535</v>
      </c>
      <c r="B5538" s="2" t="s">
        <v>5613</v>
      </c>
      <c r="C5538" s="2" t="str">
        <f>"18683975"</f>
        <v>18683975</v>
      </c>
      <c r="D5538" s="2">
        <v>0.58899999999999997</v>
      </c>
      <c r="E5538" s="2">
        <v>5</v>
      </c>
      <c r="F5538" s="2" t="s">
        <v>12</v>
      </c>
    </row>
    <row r="5539" spans="1:6" ht="25.5">
      <c r="A5539" s="2">
        <v>5536</v>
      </c>
      <c r="B5539" s="2" t="s">
        <v>5614</v>
      </c>
      <c r="C5539" s="2" t="str">
        <f>"00137545"</f>
        <v>00137545</v>
      </c>
      <c r="D5539" s="2">
        <v>0.122</v>
      </c>
      <c r="E5539" s="2">
        <v>6</v>
      </c>
      <c r="F5539" s="2" t="s">
        <v>66</v>
      </c>
    </row>
    <row r="5540" spans="1:6" ht="25.5">
      <c r="A5540" s="2">
        <v>5537</v>
      </c>
      <c r="B5540" s="2" t="s">
        <v>5615</v>
      </c>
      <c r="C5540" s="2" t="str">
        <f>"17762820"</f>
        <v>17762820</v>
      </c>
      <c r="D5540" s="2">
        <v>0.115</v>
      </c>
      <c r="E5540" s="2">
        <v>4</v>
      </c>
      <c r="F5540" s="2" t="s">
        <v>66</v>
      </c>
    </row>
    <row r="5541" spans="1:6" ht="25.5">
      <c r="A5541" s="2">
        <v>5538</v>
      </c>
      <c r="B5541" s="2" t="s">
        <v>5616</v>
      </c>
      <c r="C5541" s="2" t="str">
        <f>"17086310"</f>
        <v>17086310</v>
      </c>
      <c r="D5541" s="2">
        <v>0.16500000000000001</v>
      </c>
      <c r="E5541" s="2">
        <v>1</v>
      </c>
      <c r="F5541" s="2" t="s">
        <v>66</v>
      </c>
    </row>
    <row r="5542" spans="1:6" ht="25.5">
      <c r="A5542" s="2">
        <v>5539</v>
      </c>
      <c r="B5542" s="2" t="s">
        <v>5617</v>
      </c>
      <c r="C5542" s="2" t="str">
        <f>"15754723"</f>
        <v>15754723</v>
      </c>
      <c r="D5542" s="2">
        <v>0.11</v>
      </c>
      <c r="E5542" s="2">
        <v>6</v>
      </c>
      <c r="F5542" s="2" t="s">
        <v>351</v>
      </c>
    </row>
    <row r="5543" spans="1:6" ht="25.5">
      <c r="A5543" s="2">
        <v>5540</v>
      </c>
      <c r="B5543" s="2" t="s">
        <v>5618</v>
      </c>
      <c r="C5543" s="2" t="str">
        <f>"14050994"</f>
        <v>14050994</v>
      </c>
      <c r="D5543" s="2">
        <v>0.104</v>
      </c>
      <c r="E5543" s="2">
        <v>3</v>
      </c>
      <c r="F5543" s="2" t="s">
        <v>200</v>
      </c>
    </row>
    <row r="5544" spans="1:6" ht="25.5">
      <c r="A5544" s="2">
        <v>5541</v>
      </c>
      <c r="B5544" s="2" t="s">
        <v>5619</v>
      </c>
      <c r="C5544" s="2" t="str">
        <f>"15781852"</f>
        <v>15781852</v>
      </c>
      <c r="D5544" s="2">
        <v>0.26600000000000001</v>
      </c>
      <c r="E5544" s="2">
        <v>27</v>
      </c>
      <c r="F5544" s="2" t="s">
        <v>351</v>
      </c>
    </row>
    <row r="5545" spans="1:6" ht="25.5">
      <c r="A5545" s="2">
        <v>5542</v>
      </c>
      <c r="B5545" s="2" t="s">
        <v>5620</v>
      </c>
      <c r="C5545" s="2" t="str">
        <f>"15792013"</f>
        <v>15792013</v>
      </c>
      <c r="D5545" s="2">
        <v>0.192</v>
      </c>
      <c r="E5545" s="2">
        <v>6</v>
      </c>
      <c r="F5545" s="2" t="s">
        <v>351</v>
      </c>
    </row>
    <row r="5546" spans="1:6" ht="25.5">
      <c r="A5546" s="2">
        <v>5543</v>
      </c>
      <c r="B5546" s="2" t="s">
        <v>5621</v>
      </c>
      <c r="C5546" s="2" t="str">
        <f>"16956141"</f>
        <v>16956141</v>
      </c>
      <c r="D5546" s="2">
        <v>0</v>
      </c>
      <c r="E5546" s="2">
        <v>0</v>
      </c>
      <c r="F5546" s="2" t="s">
        <v>351</v>
      </c>
    </row>
    <row r="5547" spans="1:6" ht="25.5">
      <c r="A5547" s="2">
        <v>5544</v>
      </c>
      <c r="B5547" s="2" t="s">
        <v>5622</v>
      </c>
      <c r="C5547" s="2" t="str">
        <f>"15781291"</f>
        <v>15781291</v>
      </c>
      <c r="D5547" s="2">
        <v>0.221</v>
      </c>
      <c r="E5547" s="2">
        <v>7</v>
      </c>
      <c r="F5547" s="2" t="s">
        <v>351</v>
      </c>
    </row>
    <row r="5548" spans="1:6" ht="25.5">
      <c r="A5548" s="2">
        <v>5545</v>
      </c>
      <c r="B5548" s="2" t="s">
        <v>5623</v>
      </c>
      <c r="C5548" s="2" t="str">
        <f>"01006916"</f>
        <v>01006916</v>
      </c>
      <c r="D5548" s="2">
        <v>0.60099999999999998</v>
      </c>
      <c r="E5548" s="2">
        <v>11</v>
      </c>
      <c r="F5548" s="2" t="s">
        <v>159</v>
      </c>
    </row>
    <row r="5549" spans="1:6" ht="25.5">
      <c r="A5549" s="2">
        <v>5546</v>
      </c>
      <c r="B5549" s="2" t="s">
        <v>5624</v>
      </c>
      <c r="C5549" s="2" t="str">
        <f>"14134152"</f>
        <v>14134152</v>
      </c>
      <c r="D5549" s="2">
        <v>0.19700000000000001</v>
      </c>
      <c r="E5549" s="2">
        <v>5</v>
      </c>
      <c r="F5549" s="2" t="s">
        <v>159</v>
      </c>
    </row>
    <row r="5550" spans="1:6" ht="25.5">
      <c r="A5550" s="2">
        <v>5547</v>
      </c>
      <c r="B5550" s="2" t="s">
        <v>5625</v>
      </c>
      <c r="C5550" s="2" t="str">
        <f>"00137782"</f>
        <v>00137782</v>
      </c>
      <c r="D5550" s="2">
        <v>0.1</v>
      </c>
      <c r="E5550" s="2">
        <v>1</v>
      </c>
      <c r="F5550" s="2" t="s">
        <v>16</v>
      </c>
    </row>
    <row r="5551" spans="1:6" ht="25.5">
      <c r="A5551" s="2">
        <v>5548</v>
      </c>
      <c r="B5551" s="2" t="s">
        <v>5626</v>
      </c>
      <c r="C5551" s="2" t="str">
        <f>"09557997"</f>
        <v>09557997</v>
      </c>
      <c r="D5551" s="2">
        <v>1.22</v>
      </c>
      <c r="E5551" s="2">
        <v>39</v>
      </c>
      <c r="F5551" s="2" t="s">
        <v>16</v>
      </c>
    </row>
    <row r="5552" spans="1:6" ht="25.5">
      <c r="A5552" s="2">
        <v>5549</v>
      </c>
      <c r="B5552" s="2" t="s">
        <v>5627</v>
      </c>
      <c r="C5552" s="2" t="str">
        <f>"09521976"</f>
        <v>09521976</v>
      </c>
      <c r="D5552" s="2">
        <v>1.339</v>
      </c>
      <c r="E5552" s="2">
        <v>47</v>
      </c>
      <c r="F5552" s="2" t="s">
        <v>16</v>
      </c>
    </row>
    <row r="5553" spans="1:6" ht="25.5">
      <c r="A5553" s="2">
        <v>5550</v>
      </c>
      <c r="B5553" s="2" t="s">
        <v>5628</v>
      </c>
      <c r="C5553" s="2" t="str">
        <f>"02644401"</f>
        <v>02644401</v>
      </c>
      <c r="D5553" s="2">
        <v>0.435</v>
      </c>
      <c r="E5553" s="2">
        <v>30</v>
      </c>
      <c r="F5553" s="2" t="s">
        <v>16</v>
      </c>
    </row>
    <row r="5554" spans="1:6" ht="25.5">
      <c r="A5554" s="2">
        <v>5551</v>
      </c>
      <c r="B5554" s="2" t="s">
        <v>5629</v>
      </c>
      <c r="C5554" s="2" t="str">
        <f>"1365232X"</f>
        <v>1365232X</v>
      </c>
      <c r="D5554" s="2">
        <v>0.32900000000000001</v>
      </c>
      <c r="E5554" s="2">
        <v>18</v>
      </c>
      <c r="F5554" s="2" t="s">
        <v>16</v>
      </c>
    </row>
    <row r="5555" spans="1:6" ht="25.5">
      <c r="A5555" s="2">
        <v>5552</v>
      </c>
      <c r="B5555" s="2" t="s">
        <v>5630</v>
      </c>
      <c r="C5555" s="2" t="str">
        <f>"00462012"</f>
        <v>00462012</v>
      </c>
      <c r="D5555" s="2">
        <v>0.112</v>
      </c>
      <c r="E5555" s="2">
        <v>5</v>
      </c>
      <c r="F5555" s="2" t="s">
        <v>6</v>
      </c>
    </row>
    <row r="5556" spans="1:6" ht="25.5">
      <c r="A5556" s="2">
        <v>5553</v>
      </c>
      <c r="B5556" s="2" t="s">
        <v>5631</v>
      </c>
      <c r="C5556" s="2" t="str">
        <f>"13922785"</f>
        <v>13922785</v>
      </c>
      <c r="D5556" s="2">
        <v>0.30199999999999999</v>
      </c>
      <c r="E5556" s="2">
        <v>15</v>
      </c>
      <c r="F5556" s="2" t="s">
        <v>426</v>
      </c>
    </row>
    <row r="5557" spans="1:6" ht="25.5">
      <c r="A5557" s="2">
        <v>5554</v>
      </c>
      <c r="B5557" s="2" t="s">
        <v>5632</v>
      </c>
      <c r="C5557" s="2" t="str">
        <f>"0013791X"</f>
        <v>0013791X</v>
      </c>
      <c r="D5557" s="2">
        <v>0.43099999999999999</v>
      </c>
      <c r="E5557" s="2">
        <v>11</v>
      </c>
      <c r="F5557" s="2" t="s">
        <v>16</v>
      </c>
    </row>
    <row r="5558" spans="1:6" ht="25.5">
      <c r="A5558" s="2">
        <v>5555</v>
      </c>
      <c r="B5558" s="2" t="s">
        <v>5633</v>
      </c>
      <c r="C5558" s="2" t="str">
        <f>"13506307"</f>
        <v>13506307</v>
      </c>
      <c r="D5558" s="2">
        <v>0.81399999999999995</v>
      </c>
      <c r="E5558" s="2">
        <v>27</v>
      </c>
      <c r="F5558" s="2" t="s">
        <v>75</v>
      </c>
    </row>
    <row r="5559" spans="1:6" ht="25.5">
      <c r="A5559" s="2">
        <v>5556</v>
      </c>
      <c r="B5559" s="2" t="s">
        <v>5634</v>
      </c>
      <c r="C5559" s="2" t="str">
        <f>"00137944"</f>
        <v>00137944</v>
      </c>
      <c r="D5559" s="2">
        <v>1.2509999999999999</v>
      </c>
      <c r="E5559" s="2">
        <v>61</v>
      </c>
      <c r="F5559" s="2" t="s">
        <v>75</v>
      </c>
    </row>
    <row r="5560" spans="1:6" ht="25.5">
      <c r="A5560" s="2">
        <v>5557</v>
      </c>
      <c r="B5560" s="2" t="s">
        <v>5635</v>
      </c>
      <c r="C5560" s="2" t="str">
        <f>"00137952"</f>
        <v>00137952</v>
      </c>
      <c r="D5560" s="2">
        <v>0.91800000000000004</v>
      </c>
      <c r="E5560" s="2">
        <v>60</v>
      </c>
      <c r="F5560" s="2" t="s">
        <v>75</v>
      </c>
    </row>
    <row r="5561" spans="1:6" ht="25.5">
      <c r="A5561" s="2">
        <v>5558</v>
      </c>
      <c r="B5561" s="2" t="s">
        <v>5636</v>
      </c>
      <c r="C5561" s="2" t="str">
        <f>"18818366"</f>
        <v>18818366</v>
      </c>
      <c r="D5561" s="2">
        <v>0.20399999999999999</v>
      </c>
      <c r="E5561" s="2">
        <v>4</v>
      </c>
      <c r="F5561" s="2" t="s">
        <v>131</v>
      </c>
    </row>
    <row r="5562" spans="1:6" ht="25.5">
      <c r="A5562" s="2">
        <v>5559</v>
      </c>
      <c r="B5562" s="2" t="s">
        <v>5637</v>
      </c>
      <c r="C5562" s="2" t="str">
        <f>"16182863"</f>
        <v>16182863</v>
      </c>
      <c r="D5562" s="2">
        <v>0.72399999999999998</v>
      </c>
      <c r="E5562" s="2">
        <v>22</v>
      </c>
      <c r="F5562" s="2" t="s">
        <v>12</v>
      </c>
    </row>
    <row r="5563" spans="1:6" ht="25.5">
      <c r="A5563" s="2">
        <v>5560</v>
      </c>
      <c r="B5563" s="2" t="s">
        <v>5638</v>
      </c>
      <c r="C5563" s="2" t="str">
        <f>"01258281"</f>
        <v>01258281</v>
      </c>
      <c r="D5563" s="2">
        <v>0.153</v>
      </c>
      <c r="E5563" s="2">
        <v>3</v>
      </c>
      <c r="F5563" s="2" t="s">
        <v>1966</v>
      </c>
    </row>
    <row r="5564" spans="1:6" ht="25.5">
      <c r="A5564" s="2">
        <v>5561</v>
      </c>
      <c r="B5564" s="2" t="s">
        <v>5639</v>
      </c>
      <c r="C5564" s="2" t="str">
        <f>"1816093X"</f>
        <v>1816093X</v>
      </c>
      <c r="D5564" s="2">
        <v>0.24299999999999999</v>
      </c>
      <c r="E5564" s="2">
        <v>4</v>
      </c>
      <c r="F5564" s="2" t="s">
        <v>46</v>
      </c>
    </row>
    <row r="5565" spans="1:6" ht="25.5">
      <c r="A5565" s="2">
        <v>5562</v>
      </c>
      <c r="B5565" s="2" t="s">
        <v>5640</v>
      </c>
      <c r="C5565" s="2" t="str">
        <f>"10290273"</f>
        <v>10290273</v>
      </c>
      <c r="D5565" s="2">
        <v>0.74299999999999999</v>
      </c>
      <c r="E5565" s="2">
        <v>36</v>
      </c>
      <c r="F5565" s="2" t="s">
        <v>16</v>
      </c>
    </row>
    <row r="5566" spans="1:6" ht="25.5">
      <c r="A5566" s="2">
        <v>5563</v>
      </c>
      <c r="B5566" s="2" t="s">
        <v>5641</v>
      </c>
      <c r="C5566" s="2" t="str">
        <f>"13309587"</f>
        <v>13309587</v>
      </c>
      <c r="D5566" s="2">
        <v>0.109</v>
      </c>
      <c r="E5566" s="2">
        <v>2</v>
      </c>
      <c r="F5566" s="2" t="s">
        <v>149</v>
      </c>
    </row>
    <row r="5567" spans="1:6" ht="25.5">
      <c r="A5567" s="2">
        <v>5564</v>
      </c>
      <c r="B5567" s="2" t="s">
        <v>5642</v>
      </c>
      <c r="C5567" s="2" t="str">
        <f>"01410296"</f>
        <v>01410296</v>
      </c>
      <c r="D5567" s="2">
        <v>1.6639999999999999</v>
      </c>
      <c r="E5567" s="2">
        <v>59</v>
      </c>
      <c r="F5567" s="2" t="s">
        <v>75</v>
      </c>
    </row>
    <row r="5568" spans="1:6" ht="25.5">
      <c r="A5568" s="2">
        <v>5565</v>
      </c>
      <c r="B5568" s="2" t="s">
        <v>5643</v>
      </c>
      <c r="C5568" s="2" t="str">
        <f>"19378629"</f>
        <v>19378629</v>
      </c>
      <c r="D5568" s="2">
        <v>0.24</v>
      </c>
      <c r="E5568" s="2">
        <v>4</v>
      </c>
      <c r="F5568" s="2" t="s">
        <v>16</v>
      </c>
    </row>
    <row r="5569" spans="1:6" ht="25.5">
      <c r="A5569" s="2">
        <v>5566</v>
      </c>
      <c r="B5569" s="2" t="s">
        <v>5644</v>
      </c>
      <c r="C5569" s="2" t="str">
        <f>"14355663"</f>
        <v>14355663</v>
      </c>
      <c r="D5569" s="2">
        <v>0.497</v>
      </c>
      <c r="E5569" s="2">
        <v>26</v>
      </c>
      <c r="F5569" s="2" t="s">
        <v>16</v>
      </c>
    </row>
    <row r="5570" spans="1:6" ht="25.5">
      <c r="A5570" s="2">
        <v>5567</v>
      </c>
      <c r="B5570" s="2" t="s">
        <v>5645</v>
      </c>
      <c r="C5570" s="2" t="str">
        <f>"01704818"</f>
        <v>01704818</v>
      </c>
      <c r="D5570" s="2">
        <v>0</v>
      </c>
      <c r="E5570" s="2">
        <v>5</v>
      </c>
      <c r="F5570" s="2" t="s">
        <v>12</v>
      </c>
    </row>
    <row r="5571" spans="1:6" ht="25.5">
      <c r="A5571" s="2">
        <v>5568</v>
      </c>
      <c r="B5571" s="2" t="s">
        <v>5646</v>
      </c>
      <c r="C5571" s="2" t="str">
        <f>"00138215"</f>
        <v>00138215</v>
      </c>
      <c r="D5571" s="2">
        <v>0.10100000000000001</v>
      </c>
      <c r="E5571" s="2">
        <v>2</v>
      </c>
      <c r="F5571" s="2" t="s">
        <v>16</v>
      </c>
    </row>
    <row r="5572" spans="1:6" ht="25.5">
      <c r="A5572" s="2">
        <v>5569</v>
      </c>
      <c r="B5572" s="2" t="s">
        <v>5647</v>
      </c>
      <c r="C5572" s="2" t="str">
        <f>"10131752"</f>
        <v>10131752</v>
      </c>
      <c r="D5572" s="2">
        <v>0.14299999999999999</v>
      </c>
      <c r="E5572" s="2">
        <v>2</v>
      </c>
      <c r="F5572" s="2" t="s">
        <v>16</v>
      </c>
    </row>
    <row r="5573" spans="1:6" ht="25.5">
      <c r="A5573" s="2">
        <v>5570</v>
      </c>
      <c r="B5573" s="2" t="s">
        <v>5648</v>
      </c>
      <c r="C5573" s="2" t="str">
        <f>"08894906"</f>
        <v>08894906</v>
      </c>
      <c r="D5573" s="2">
        <v>1.1439999999999999</v>
      </c>
      <c r="E5573" s="2">
        <v>27</v>
      </c>
      <c r="F5573" s="2" t="s">
        <v>75</v>
      </c>
    </row>
    <row r="5574" spans="1:6" ht="25.5">
      <c r="A5574" s="2">
        <v>5571</v>
      </c>
      <c r="B5574" s="2" t="s">
        <v>5649</v>
      </c>
      <c r="C5574" s="2" t="str">
        <f>"14774534"</f>
        <v>14774534</v>
      </c>
      <c r="D5574" s="2">
        <v>0.24399999999999999</v>
      </c>
      <c r="E5574" s="2">
        <v>5</v>
      </c>
      <c r="F5574" s="2" t="s">
        <v>16</v>
      </c>
    </row>
    <row r="5575" spans="1:6" ht="25.5">
      <c r="A5575" s="2">
        <v>5572</v>
      </c>
      <c r="B5575" s="2" t="s">
        <v>5650</v>
      </c>
      <c r="C5575" s="2" t="str">
        <f>"0046208X"</f>
        <v>0046208X</v>
      </c>
      <c r="D5575" s="2">
        <v>0.217</v>
      </c>
      <c r="E5575" s="2">
        <v>3</v>
      </c>
      <c r="F5575" s="2" t="s">
        <v>127</v>
      </c>
    </row>
    <row r="5576" spans="1:6" ht="25.5">
      <c r="A5576" s="2">
        <v>5573</v>
      </c>
      <c r="B5576" s="2" t="s">
        <v>5651</v>
      </c>
      <c r="C5576" s="2" t="str">
        <f>"17548845"</f>
        <v>17548845</v>
      </c>
      <c r="D5576" s="2">
        <v>0.13600000000000001</v>
      </c>
      <c r="E5576" s="2">
        <v>1</v>
      </c>
      <c r="F5576" s="2" t="s">
        <v>16</v>
      </c>
    </row>
    <row r="5577" spans="1:6" ht="25.5">
      <c r="A5577" s="2">
        <v>5574</v>
      </c>
      <c r="B5577" s="2" t="s">
        <v>5652</v>
      </c>
      <c r="C5577" s="2" t="str">
        <f>"14694379"</f>
        <v>14694379</v>
      </c>
      <c r="D5577" s="2">
        <v>0.56799999999999995</v>
      </c>
      <c r="E5577" s="2">
        <v>11</v>
      </c>
      <c r="F5577" s="2" t="s">
        <v>16</v>
      </c>
    </row>
    <row r="5578" spans="1:6" ht="25.5">
      <c r="A5578" s="2">
        <v>5575</v>
      </c>
      <c r="B5578" s="2" t="s">
        <v>5653</v>
      </c>
      <c r="C5578" s="2" t="str">
        <f>"00138282"</f>
        <v>00138282</v>
      </c>
      <c r="D5578" s="2">
        <v>0.14099999999999999</v>
      </c>
      <c r="E5578" s="2">
        <v>4</v>
      </c>
      <c r="F5578" s="2" t="s">
        <v>6</v>
      </c>
    </row>
    <row r="5579" spans="1:6" ht="25.5">
      <c r="A5579" s="2">
        <v>5576</v>
      </c>
      <c r="B5579" s="2" t="s">
        <v>5654</v>
      </c>
      <c r="C5579" s="2" t="str">
        <f>"19164750"</f>
        <v>19164750</v>
      </c>
      <c r="D5579" s="2">
        <v>0</v>
      </c>
      <c r="E5579" s="2">
        <v>2</v>
      </c>
      <c r="F5579" s="2" t="s">
        <v>64</v>
      </c>
    </row>
    <row r="5580" spans="1:6" ht="25.5">
      <c r="A5580" s="2">
        <v>5577</v>
      </c>
      <c r="B5580" s="2" t="s">
        <v>5655</v>
      </c>
      <c r="C5580" s="2" t="str">
        <f>"14774526"</f>
        <v>14774526</v>
      </c>
      <c r="D5580" s="2">
        <v>0.58699999999999997</v>
      </c>
      <c r="E5580" s="2">
        <v>13</v>
      </c>
      <c r="F5580" s="2" t="s">
        <v>16</v>
      </c>
    </row>
    <row r="5581" spans="1:6" ht="25.5">
      <c r="A5581" s="2">
        <v>5578</v>
      </c>
      <c r="B5581" s="2" t="s">
        <v>5656</v>
      </c>
      <c r="C5581" s="2" t="str">
        <f>"14756757"</f>
        <v>14756757</v>
      </c>
      <c r="D5581" s="2">
        <v>0.128</v>
      </c>
      <c r="E5581" s="2">
        <v>5</v>
      </c>
      <c r="F5581" s="2" t="s">
        <v>16</v>
      </c>
    </row>
    <row r="5582" spans="1:6" ht="25.5">
      <c r="A5582" s="2">
        <v>5579</v>
      </c>
      <c r="B5582" s="2" t="s">
        <v>5657</v>
      </c>
      <c r="C5582" s="2" t="str">
        <f>"15592715"</f>
        <v>15592715</v>
      </c>
      <c r="D5582" s="2">
        <v>0.1</v>
      </c>
      <c r="E5582" s="2">
        <v>3</v>
      </c>
      <c r="F5582" s="2" t="s">
        <v>6</v>
      </c>
    </row>
    <row r="5583" spans="1:6" ht="25.5">
      <c r="A5583" s="2">
        <v>5580</v>
      </c>
      <c r="B5583" s="2" t="s">
        <v>5658</v>
      </c>
      <c r="C5583" s="2" t="str">
        <f>"09578080"</f>
        <v>09578080</v>
      </c>
      <c r="D5583" s="2">
        <v>0</v>
      </c>
      <c r="E5583" s="2">
        <v>2</v>
      </c>
      <c r="F5583" s="2" t="s">
        <v>16</v>
      </c>
    </row>
    <row r="5584" spans="1:6" ht="25.5">
      <c r="A5584" s="2">
        <v>5581</v>
      </c>
      <c r="B5584" s="2" t="s">
        <v>5659</v>
      </c>
      <c r="C5584" s="2" t="str">
        <f>"0013838X"</f>
        <v>0013838X</v>
      </c>
      <c r="D5584" s="2">
        <v>0.128</v>
      </c>
      <c r="E5584" s="2">
        <v>6</v>
      </c>
      <c r="F5584" s="2" t="s">
        <v>16</v>
      </c>
    </row>
    <row r="5585" spans="1:6" ht="25.5">
      <c r="A5585" s="2">
        <v>5582</v>
      </c>
      <c r="B5585" s="2" t="s">
        <v>5660</v>
      </c>
      <c r="C5585" s="2" t="str">
        <f>"00138398"</f>
        <v>00138398</v>
      </c>
      <c r="D5585" s="2">
        <v>0.129</v>
      </c>
      <c r="E5585" s="2">
        <v>4</v>
      </c>
      <c r="F5585" s="2" t="s">
        <v>16</v>
      </c>
    </row>
    <row r="5586" spans="1:6" ht="25.5">
      <c r="A5586" s="2">
        <v>5583</v>
      </c>
      <c r="B5586" s="2" t="s">
        <v>5661</v>
      </c>
      <c r="C5586" s="2" t="str">
        <f>"03170802"</f>
        <v>03170802</v>
      </c>
      <c r="D5586" s="2">
        <v>0.128</v>
      </c>
      <c r="E5586" s="2">
        <v>4</v>
      </c>
      <c r="F5586" s="2" t="s">
        <v>64</v>
      </c>
    </row>
    <row r="5587" spans="1:6" ht="25.5">
      <c r="A5587" s="2">
        <v>5584</v>
      </c>
      <c r="B5587" s="2" t="s">
        <v>5662</v>
      </c>
      <c r="C5587" s="2" t="str">
        <f>"11758708"</f>
        <v>11758708</v>
      </c>
      <c r="D5587" s="2">
        <v>0.316</v>
      </c>
      <c r="E5587" s="2">
        <v>4</v>
      </c>
      <c r="F5587" s="2" t="s">
        <v>503</v>
      </c>
    </row>
    <row r="5588" spans="1:6" ht="25.5">
      <c r="A5588" s="2">
        <v>5585</v>
      </c>
      <c r="B5588" s="2" t="s">
        <v>5663</v>
      </c>
      <c r="C5588" s="2" t="str">
        <f>"01728865"</f>
        <v>01728865</v>
      </c>
      <c r="D5588" s="2">
        <v>0.53400000000000003</v>
      </c>
      <c r="E5588" s="2">
        <v>5</v>
      </c>
      <c r="F5588" s="2" t="s">
        <v>75</v>
      </c>
    </row>
    <row r="5589" spans="1:6" ht="25.5">
      <c r="A5589" s="2">
        <v>5586</v>
      </c>
      <c r="B5589" s="2" t="s">
        <v>5664</v>
      </c>
      <c r="C5589" s="2" t="str">
        <f>"01044036"</f>
        <v>01044036</v>
      </c>
      <c r="D5589" s="2">
        <v>0.107</v>
      </c>
      <c r="E5589" s="2">
        <v>3</v>
      </c>
      <c r="F5589" s="2" t="s">
        <v>159</v>
      </c>
    </row>
    <row r="5590" spans="1:6" ht="25.5">
      <c r="A5590" s="2">
        <v>5587</v>
      </c>
      <c r="B5590" s="2" t="s">
        <v>5665</v>
      </c>
      <c r="C5590" s="2" t="str">
        <f>"01204483"</f>
        <v>01204483</v>
      </c>
      <c r="D5590" s="2">
        <v>0.15</v>
      </c>
      <c r="E5590" s="2">
        <v>1</v>
      </c>
      <c r="F5590" s="2" t="s">
        <v>184</v>
      </c>
    </row>
    <row r="5591" spans="1:6" ht="25.5">
      <c r="A5591" s="2">
        <v>5588</v>
      </c>
      <c r="B5591" s="2" t="s">
        <v>5666</v>
      </c>
      <c r="C5591" s="2" t="str">
        <f>"02124521"</f>
        <v>02124521</v>
      </c>
      <c r="D5591" s="2">
        <v>0.123</v>
      </c>
      <c r="E5591" s="2">
        <v>2</v>
      </c>
      <c r="F5591" s="2" t="s">
        <v>351</v>
      </c>
    </row>
    <row r="5592" spans="1:6" ht="25.5">
      <c r="A5592" s="2">
        <v>5589</v>
      </c>
      <c r="B5592" s="2" t="s">
        <v>5667</v>
      </c>
      <c r="C5592" s="2" t="str">
        <f>"14672235"</f>
        <v>14672235</v>
      </c>
      <c r="D5592" s="2">
        <v>0.42399999999999999</v>
      </c>
      <c r="E5592" s="2">
        <v>11</v>
      </c>
      <c r="F5592" s="2" t="s">
        <v>16</v>
      </c>
    </row>
    <row r="5593" spans="1:6" ht="25.5">
      <c r="A5593" s="2">
        <v>5590</v>
      </c>
      <c r="B5593" s="2" t="s">
        <v>5668</v>
      </c>
      <c r="C5593" s="2" t="str">
        <f>"17551986"</f>
        <v>17551986</v>
      </c>
      <c r="D5593" s="2">
        <v>0.13900000000000001</v>
      </c>
      <c r="E5593" s="2">
        <v>8</v>
      </c>
      <c r="F5593" s="2" t="s">
        <v>16</v>
      </c>
    </row>
    <row r="5594" spans="1:6" ht="25.5">
      <c r="A5594" s="2">
        <v>5591</v>
      </c>
      <c r="B5594" s="2" t="s">
        <v>5669</v>
      </c>
      <c r="C5594" s="2" t="str">
        <f>"17517583"</f>
        <v>17517583</v>
      </c>
      <c r="D5594" s="2">
        <v>1.2470000000000001</v>
      </c>
      <c r="E5594" s="2">
        <v>16</v>
      </c>
      <c r="F5594" s="2" t="s">
        <v>16</v>
      </c>
    </row>
    <row r="5595" spans="1:6" ht="25.5">
      <c r="A5595" s="2">
        <v>5592</v>
      </c>
      <c r="B5595" s="2" t="s">
        <v>5670</v>
      </c>
      <c r="C5595" s="2" t="str">
        <f>"18759521"</f>
        <v>18759521</v>
      </c>
      <c r="D5595" s="2">
        <v>0.35299999999999998</v>
      </c>
      <c r="E5595" s="2">
        <v>5</v>
      </c>
      <c r="F5595" s="2" t="s">
        <v>75</v>
      </c>
    </row>
    <row r="5596" spans="1:6" ht="25.5">
      <c r="A5596" s="2">
        <v>5593</v>
      </c>
      <c r="B5596" s="2" t="s">
        <v>5671</v>
      </c>
      <c r="C5596" s="2" t="str">
        <f>"15707458"</f>
        <v>15707458</v>
      </c>
      <c r="D5596" s="2">
        <v>0.873</v>
      </c>
      <c r="E5596" s="2">
        <v>53</v>
      </c>
      <c r="F5596" s="2" t="s">
        <v>16</v>
      </c>
    </row>
    <row r="5597" spans="1:6" ht="25.5">
      <c r="A5597" s="2">
        <v>5594</v>
      </c>
      <c r="B5597" s="2" t="s">
        <v>5672</v>
      </c>
      <c r="C5597" s="2" t="str">
        <f>"00963712"</f>
        <v>00963712</v>
      </c>
      <c r="D5597" s="2">
        <v>0.217</v>
      </c>
      <c r="E5597" s="2">
        <v>3</v>
      </c>
      <c r="F5597" s="2" t="s">
        <v>6</v>
      </c>
    </row>
    <row r="5598" spans="1:6" ht="25.5">
      <c r="A5598" s="2">
        <v>5595</v>
      </c>
      <c r="B5598" s="2" t="s">
        <v>5673</v>
      </c>
      <c r="C5598" s="2" t="str">
        <f>"07858760"</f>
        <v>07858760</v>
      </c>
      <c r="D5598" s="2">
        <v>0.24199999999999999</v>
      </c>
      <c r="E5598" s="2">
        <v>14</v>
      </c>
      <c r="F5598" s="2" t="s">
        <v>751</v>
      </c>
    </row>
    <row r="5599" spans="1:6" ht="25.5">
      <c r="A5599" s="2">
        <v>5596</v>
      </c>
      <c r="B5599" s="2" t="s">
        <v>5674</v>
      </c>
      <c r="C5599" s="2" t="str">
        <f>"0013872X"</f>
        <v>0013872X</v>
      </c>
      <c r="D5599" s="2">
        <v>0.161</v>
      </c>
      <c r="E5599" s="2">
        <v>15</v>
      </c>
      <c r="F5599" s="2" t="s">
        <v>6</v>
      </c>
    </row>
    <row r="5600" spans="1:6" ht="25.5">
      <c r="A5600" s="2">
        <v>5597</v>
      </c>
      <c r="B5600" s="2" t="s">
        <v>5675</v>
      </c>
      <c r="C5600" s="2" t="str">
        <f>"17485967"</f>
        <v>17485967</v>
      </c>
      <c r="D5600" s="2">
        <v>0.188</v>
      </c>
      <c r="E5600" s="2">
        <v>9</v>
      </c>
      <c r="F5600" s="2" t="s">
        <v>16</v>
      </c>
    </row>
    <row r="5601" spans="1:6" ht="25.5">
      <c r="A5601" s="2">
        <v>5598</v>
      </c>
      <c r="B5601" s="2" t="s">
        <v>5676</v>
      </c>
      <c r="C5601" s="2" t="str">
        <f>"00138738"</f>
        <v>00138738</v>
      </c>
      <c r="D5601" s="2">
        <v>0.128</v>
      </c>
      <c r="E5601" s="2">
        <v>5</v>
      </c>
      <c r="F5601" s="2" t="s">
        <v>129</v>
      </c>
    </row>
    <row r="5602" spans="1:6" ht="25.5">
      <c r="A5602" s="2">
        <v>5599</v>
      </c>
      <c r="B5602" s="2" t="s">
        <v>5677</v>
      </c>
      <c r="C5602" s="2" t="str">
        <f>"14798298"</f>
        <v>14798298</v>
      </c>
      <c r="D5602" s="2">
        <v>0.42</v>
      </c>
      <c r="E5602" s="2">
        <v>12</v>
      </c>
      <c r="F5602" s="2" t="s">
        <v>16</v>
      </c>
    </row>
    <row r="5603" spans="1:6" ht="25.5">
      <c r="A5603" s="2">
        <v>5600</v>
      </c>
      <c r="B5603" s="2" t="s">
        <v>5678</v>
      </c>
      <c r="C5603" s="2" t="str">
        <f>"00138894"</f>
        <v>00138894</v>
      </c>
      <c r="D5603" s="2">
        <v>0.20599999999999999</v>
      </c>
      <c r="E5603" s="2">
        <v>9</v>
      </c>
      <c r="F5603" s="2" t="s">
        <v>16</v>
      </c>
    </row>
    <row r="5604" spans="1:6" ht="25.5">
      <c r="A5604" s="2">
        <v>5601</v>
      </c>
      <c r="B5604" s="2" t="s">
        <v>5679</v>
      </c>
      <c r="C5604" s="2" t="str">
        <f>"13175262"</f>
        <v>13175262</v>
      </c>
      <c r="D5604" s="2">
        <v>0.1</v>
      </c>
      <c r="E5604" s="2">
        <v>3</v>
      </c>
      <c r="F5604" s="2" t="s">
        <v>40</v>
      </c>
    </row>
    <row r="5605" spans="1:6" ht="25.5">
      <c r="A5605" s="2">
        <v>5602</v>
      </c>
      <c r="B5605" s="2" t="s">
        <v>5680</v>
      </c>
      <c r="C5605" s="2" t="str">
        <f>"10878955"</f>
        <v>10878955</v>
      </c>
      <c r="D5605" s="2">
        <v>0.114</v>
      </c>
      <c r="E5605" s="2">
        <v>1</v>
      </c>
      <c r="F5605" s="2" t="s">
        <v>6</v>
      </c>
    </row>
    <row r="5606" spans="1:6" ht="25.5">
      <c r="A5606" s="2">
        <v>5603</v>
      </c>
      <c r="B5606" s="2" t="s">
        <v>5681</v>
      </c>
      <c r="C5606" s="2" t="str">
        <f>"14645114"</f>
        <v>14645114</v>
      </c>
      <c r="D5606" s="2">
        <v>0.84</v>
      </c>
      <c r="E5606" s="2">
        <v>37</v>
      </c>
      <c r="F5606" s="2" t="s">
        <v>16</v>
      </c>
    </row>
    <row r="5607" spans="1:6" ht="25.5">
      <c r="A5607" s="2">
        <v>5604</v>
      </c>
      <c r="B5607" s="2" t="s">
        <v>5682</v>
      </c>
      <c r="C5607" s="2" t="str">
        <f>"15406520"</f>
        <v>15406520</v>
      </c>
      <c r="D5607" s="2">
        <v>2.1240000000000001</v>
      </c>
      <c r="E5607" s="2">
        <v>47</v>
      </c>
      <c r="F5607" s="2" t="s">
        <v>16</v>
      </c>
    </row>
    <row r="5608" spans="1:6" ht="25.5">
      <c r="A5608" s="2">
        <v>5605</v>
      </c>
      <c r="B5608" s="2" t="s">
        <v>5683</v>
      </c>
      <c r="C5608" s="2" t="str">
        <f>"11612270"</f>
        <v>11612270</v>
      </c>
      <c r="D5608" s="2">
        <v>0.25900000000000001</v>
      </c>
      <c r="E5608" s="2">
        <v>5</v>
      </c>
      <c r="F5608" s="2" t="s">
        <v>66</v>
      </c>
    </row>
    <row r="5609" spans="1:6" ht="25.5">
      <c r="A5609" s="2">
        <v>5606</v>
      </c>
      <c r="B5609" s="2" t="s">
        <v>5684</v>
      </c>
      <c r="C5609" s="2" t="str">
        <f>"10994300"</f>
        <v>10994300</v>
      </c>
      <c r="D5609" s="2">
        <v>0.39300000000000002</v>
      </c>
      <c r="E5609" s="2">
        <v>17</v>
      </c>
      <c r="F5609" s="2" t="s">
        <v>31</v>
      </c>
    </row>
    <row r="5610" spans="1:6" ht="25.5">
      <c r="A5610" s="2">
        <v>5607</v>
      </c>
      <c r="B5610" s="2" t="s">
        <v>5685</v>
      </c>
      <c r="C5610" s="2" t="str">
        <f>"00139157"</f>
        <v>00139157</v>
      </c>
      <c r="D5610" s="2">
        <v>0.51500000000000001</v>
      </c>
      <c r="E5610" s="2">
        <v>25</v>
      </c>
      <c r="F5610" s="2" t="s">
        <v>16</v>
      </c>
    </row>
    <row r="5611" spans="1:6" ht="25.5">
      <c r="A5611" s="2">
        <v>5608</v>
      </c>
      <c r="B5611" s="2" t="s">
        <v>5686</v>
      </c>
      <c r="C5611" s="2" t="str">
        <f>"15733009"</f>
        <v>15733009</v>
      </c>
      <c r="D5611" s="2">
        <v>0.38900000000000001</v>
      </c>
      <c r="E5611" s="2">
        <v>29</v>
      </c>
      <c r="F5611" s="2" t="s">
        <v>75</v>
      </c>
    </row>
    <row r="5612" spans="1:6" ht="25.5">
      <c r="A5612" s="2">
        <v>5609</v>
      </c>
      <c r="B5612" s="2" t="s">
        <v>5687</v>
      </c>
      <c r="C5612" s="2" t="str">
        <f>"10787275"</f>
        <v>10787275</v>
      </c>
      <c r="D5612" s="2">
        <v>0.38200000000000001</v>
      </c>
      <c r="E5612" s="2">
        <v>17</v>
      </c>
      <c r="F5612" s="2" t="s">
        <v>6</v>
      </c>
    </row>
    <row r="5613" spans="1:6" ht="25.5">
      <c r="A5613" s="2">
        <v>5610</v>
      </c>
      <c r="B5613" s="2" t="s">
        <v>5688</v>
      </c>
      <c r="C5613" s="2" t="str">
        <f>"00988472"</f>
        <v>00988472</v>
      </c>
      <c r="D5613" s="2">
        <v>1.0269999999999999</v>
      </c>
      <c r="E5613" s="2">
        <v>57</v>
      </c>
      <c r="F5613" s="2" t="s">
        <v>75</v>
      </c>
    </row>
    <row r="5614" spans="1:6" ht="25.5">
      <c r="A5614" s="2">
        <v>5611</v>
      </c>
      <c r="B5614" s="2" t="s">
        <v>5689</v>
      </c>
      <c r="C5614" s="2" t="str">
        <f>"08936692"</f>
        <v>08936692</v>
      </c>
      <c r="D5614" s="2">
        <v>1.1759999999999999</v>
      </c>
      <c r="E5614" s="2">
        <v>58</v>
      </c>
      <c r="F5614" s="2" t="s">
        <v>6</v>
      </c>
    </row>
    <row r="5615" spans="1:6" ht="25.5">
      <c r="A5615" s="2">
        <v>5612</v>
      </c>
      <c r="B5615" s="2" t="s">
        <v>5690</v>
      </c>
      <c r="C5615" s="2" t="str">
        <f>"0813300X"</f>
        <v>0813300X</v>
      </c>
      <c r="D5615" s="2">
        <v>0.214</v>
      </c>
      <c r="E5615" s="2">
        <v>5</v>
      </c>
      <c r="F5615" s="2" t="s">
        <v>127</v>
      </c>
    </row>
    <row r="5616" spans="1:6" ht="25.5">
      <c r="A5616" s="2">
        <v>5613</v>
      </c>
      <c r="B5616" s="2" t="s">
        <v>5691</v>
      </c>
      <c r="C5616" s="2" t="str">
        <f>"09246460"</f>
        <v>09246460</v>
      </c>
      <c r="D5616" s="2">
        <v>1.651</v>
      </c>
      <c r="E5616" s="2">
        <v>46</v>
      </c>
      <c r="F5616" s="2" t="s">
        <v>75</v>
      </c>
    </row>
    <row r="5617" spans="1:6" ht="25.5">
      <c r="A5617" s="2">
        <v>5614</v>
      </c>
      <c r="B5617" s="2" t="s">
        <v>5692</v>
      </c>
      <c r="C5617" s="2" t="str">
        <f>"14614103"</f>
        <v>14614103</v>
      </c>
      <c r="D5617" s="2">
        <v>0.45600000000000002</v>
      </c>
      <c r="E5617" s="2">
        <v>10</v>
      </c>
      <c r="F5617" s="2" t="s">
        <v>16</v>
      </c>
    </row>
    <row r="5618" spans="1:6" ht="25.5">
      <c r="A5618" s="2">
        <v>5615</v>
      </c>
      <c r="B5618" s="2" t="s">
        <v>5693</v>
      </c>
      <c r="C5618" s="2" t="str">
        <f>"15735133"</f>
        <v>15735133</v>
      </c>
      <c r="D5618" s="2">
        <v>0.48599999999999999</v>
      </c>
      <c r="E5618" s="2">
        <v>53</v>
      </c>
      <c r="F5618" s="2" t="s">
        <v>75</v>
      </c>
    </row>
    <row r="5619" spans="1:6" ht="25.5">
      <c r="A5619" s="2">
        <v>5616</v>
      </c>
      <c r="B5619" s="2" t="s">
        <v>5694</v>
      </c>
      <c r="C5619" s="2" t="str">
        <f>"16357930"</f>
        <v>16357930</v>
      </c>
      <c r="D5619" s="2">
        <v>0.28799999999999998</v>
      </c>
      <c r="E5619" s="2">
        <v>20</v>
      </c>
      <c r="F5619" s="2" t="s">
        <v>66</v>
      </c>
    </row>
    <row r="5620" spans="1:6" ht="25.5">
      <c r="A5620" s="2">
        <v>5617</v>
      </c>
      <c r="B5620" s="2" t="s">
        <v>5695</v>
      </c>
      <c r="C5620" s="2" t="str">
        <f>"15324095"</f>
        <v>15324095</v>
      </c>
      <c r="D5620" s="2">
        <v>1.3280000000000001</v>
      </c>
      <c r="E5620" s="2">
        <v>27</v>
      </c>
      <c r="F5620" s="2" t="s">
        <v>16</v>
      </c>
    </row>
    <row r="5621" spans="1:6" ht="25.5">
      <c r="A5621" s="2">
        <v>5618</v>
      </c>
      <c r="B5621" s="2" t="s">
        <v>5696</v>
      </c>
      <c r="C5621" s="2" t="str">
        <f>"14482517"</f>
        <v>14482517</v>
      </c>
      <c r="D5621" s="2">
        <v>1.06</v>
      </c>
      <c r="E5621" s="2">
        <v>27</v>
      </c>
      <c r="F5621" s="2" t="s">
        <v>127</v>
      </c>
    </row>
    <row r="5622" spans="1:6" ht="25.5">
      <c r="A5622" s="2">
        <v>5619</v>
      </c>
      <c r="B5622" s="2" t="s">
        <v>5697</v>
      </c>
      <c r="C5622" s="2" t="str">
        <f>"16103653"</f>
        <v>16103653</v>
      </c>
      <c r="D5622" s="2">
        <v>0.66400000000000003</v>
      </c>
      <c r="E5622" s="2">
        <v>22</v>
      </c>
      <c r="F5622" s="2" t="s">
        <v>12</v>
      </c>
    </row>
    <row r="5623" spans="1:6" ht="25.5">
      <c r="A5623" s="2">
        <v>5620</v>
      </c>
      <c r="B5623" s="2" t="s">
        <v>5698</v>
      </c>
      <c r="C5623" s="2" t="str">
        <f>"1547657X"</f>
        <v>1547657X</v>
      </c>
      <c r="D5623" s="2">
        <v>0.1</v>
      </c>
      <c r="E5623" s="2">
        <v>1</v>
      </c>
      <c r="F5623" s="2" t="s">
        <v>16</v>
      </c>
    </row>
    <row r="5624" spans="1:6" ht="25.5">
      <c r="A5624" s="2">
        <v>5621</v>
      </c>
      <c r="B5624" s="2" t="s">
        <v>5699</v>
      </c>
      <c r="C5624" s="2" t="str">
        <f>"17524032"</f>
        <v>17524032</v>
      </c>
      <c r="D5624" s="2">
        <v>0.30299999999999999</v>
      </c>
      <c r="E5624" s="2">
        <v>4</v>
      </c>
      <c r="F5624" s="2" t="s">
        <v>6</v>
      </c>
    </row>
    <row r="5625" spans="1:6" ht="25.5">
      <c r="A5625" s="2">
        <v>5622</v>
      </c>
      <c r="B5625" s="2" t="s">
        <v>5700</v>
      </c>
      <c r="C5625" s="2" t="str">
        <f>"14694387"</f>
        <v>14694387</v>
      </c>
      <c r="D5625" s="2">
        <v>0.89900000000000002</v>
      </c>
      <c r="E5625" s="2">
        <v>50</v>
      </c>
      <c r="F5625" s="2" t="s">
        <v>16</v>
      </c>
    </row>
    <row r="5626" spans="1:6" ht="25.5">
      <c r="A5626" s="2">
        <v>5623</v>
      </c>
      <c r="B5626" s="2" t="s">
        <v>5701</v>
      </c>
      <c r="C5626" s="2" t="str">
        <f>"22114645"</f>
        <v>22114645</v>
      </c>
      <c r="D5626" s="2">
        <v>0</v>
      </c>
      <c r="E5626" s="2">
        <v>2</v>
      </c>
      <c r="F5626" s="2" t="s">
        <v>75</v>
      </c>
    </row>
    <row r="5627" spans="1:6" ht="25.5">
      <c r="A5627" s="2">
        <v>5624</v>
      </c>
      <c r="B5627" s="2" t="s">
        <v>5702</v>
      </c>
      <c r="C5627" s="2" t="str">
        <f>"18666280"</f>
        <v>18666280</v>
      </c>
      <c r="D5627" s="2">
        <v>0.60099999999999998</v>
      </c>
      <c r="E5627" s="2">
        <v>55</v>
      </c>
      <c r="F5627" s="2" t="s">
        <v>12</v>
      </c>
    </row>
    <row r="5628" spans="1:6" ht="25.5">
      <c r="A5628" s="2">
        <v>5625</v>
      </c>
      <c r="B5628" s="2" t="s">
        <v>5703</v>
      </c>
      <c r="C5628" s="2" t="str">
        <f>"1432847X"</f>
        <v>1432847X</v>
      </c>
      <c r="D5628" s="2">
        <v>0.35</v>
      </c>
      <c r="E5628" s="2">
        <v>3</v>
      </c>
      <c r="F5628" s="2" t="s">
        <v>131</v>
      </c>
    </row>
    <row r="5629" spans="1:6" ht="25.5">
      <c r="A5629" s="2">
        <v>5626</v>
      </c>
      <c r="B5629" s="2" t="s">
        <v>5704</v>
      </c>
      <c r="C5629" s="2" t="str">
        <f>"14695871"</f>
        <v>14695871</v>
      </c>
      <c r="D5629" s="2">
        <v>0.41899999999999998</v>
      </c>
      <c r="E5629" s="2">
        <v>7</v>
      </c>
      <c r="F5629" s="2" t="s">
        <v>16</v>
      </c>
    </row>
    <row r="5630" spans="1:6" ht="25.5">
      <c r="A5630" s="2">
        <v>5627</v>
      </c>
      <c r="B5630" s="2" t="s">
        <v>5705</v>
      </c>
      <c r="C5630" s="2" t="str">
        <f>"15829596"</f>
        <v>15829596</v>
      </c>
      <c r="D5630" s="2">
        <v>0.30599999999999999</v>
      </c>
      <c r="E5630" s="2">
        <v>14</v>
      </c>
      <c r="F5630" s="2" t="s">
        <v>19</v>
      </c>
    </row>
    <row r="5631" spans="1:6" ht="25.5">
      <c r="A5631" s="2">
        <v>5628</v>
      </c>
      <c r="B5631" s="2" t="s">
        <v>5706</v>
      </c>
      <c r="C5631" s="2" t="str">
        <f>"2005968X"</f>
        <v>2005968X</v>
      </c>
      <c r="D5631" s="2">
        <v>0.19700000000000001</v>
      </c>
      <c r="E5631" s="2">
        <v>2</v>
      </c>
      <c r="F5631" s="2" t="s">
        <v>274</v>
      </c>
    </row>
    <row r="5632" spans="1:6" ht="25.5">
      <c r="A5632" s="2">
        <v>5629</v>
      </c>
      <c r="B5632" s="2" t="s">
        <v>5707</v>
      </c>
      <c r="C5632" s="2" t="str">
        <f>"10928758"</f>
        <v>10928758</v>
      </c>
      <c r="D5632" s="2">
        <v>0.56499999999999995</v>
      </c>
      <c r="E5632" s="2">
        <v>34</v>
      </c>
      <c r="F5632" s="2" t="s">
        <v>6</v>
      </c>
    </row>
    <row r="5633" spans="1:6" ht="25.5">
      <c r="A5633" s="2">
        <v>5630</v>
      </c>
      <c r="B5633" s="2" t="s">
        <v>5708</v>
      </c>
      <c r="C5633" s="2" t="str">
        <f>"0046225X"</f>
        <v>0046225X</v>
      </c>
      <c r="D5633" s="2">
        <v>0.78200000000000003</v>
      </c>
      <c r="E5633" s="2">
        <v>50</v>
      </c>
      <c r="F5633" s="2" t="s">
        <v>6</v>
      </c>
    </row>
    <row r="5634" spans="1:6" ht="25.5">
      <c r="A5634" s="2">
        <v>5631</v>
      </c>
      <c r="B5634" s="2" t="s">
        <v>5709</v>
      </c>
      <c r="C5634" s="2" t="str">
        <f>"15731510"</f>
        <v>15731510</v>
      </c>
      <c r="D5634" s="2">
        <v>0.73199999999999998</v>
      </c>
      <c r="E5634" s="2">
        <v>23</v>
      </c>
      <c r="F5634" s="2" t="s">
        <v>75</v>
      </c>
    </row>
    <row r="5635" spans="1:6" ht="25.5">
      <c r="A5635" s="2">
        <v>5632</v>
      </c>
      <c r="B5635" s="2" t="s">
        <v>5710</v>
      </c>
      <c r="C5635" s="2" t="str">
        <f>"15275930"</f>
        <v>15275930</v>
      </c>
      <c r="D5635" s="2">
        <v>0.27300000000000002</v>
      </c>
      <c r="E5635" s="2">
        <v>24</v>
      </c>
      <c r="F5635" s="2" t="s">
        <v>16</v>
      </c>
    </row>
    <row r="5636" spans="1:6" ht="25.5">
      <c r="A5636" s="2">
        <v>5633</v>
      </c>
      <c r="B5636" s="2" t="s">
        <v>5711</v>
      </c>
      <c r="C5636" s="2" t="str">
        <f>"15732983"</f>
        <v>15732983</v>
      </c>
      <c r="D5636" s="2">
        <v>0.90900000000000003</v>
      </c>
      <c r="E5636" s="2">
        <v>32</v>
      </c>
      <c r="F5636" s="2" t="s">
        <v>75</v>
      </c>
    </row>
    <row r="5637" spans="1:6" ht="25.5">
      <c r="A5637" s="2">
        <v>5634</v>
      </c>
      <c r="B5637" s="2" t="s">
        <v>5712</v>
      </c>
      <c r="C5637" s="2" t="str">
        <f>"15260984"</f>
        <v>15260984</v>
      </c>
      <c r="D5637" s="2">
        <v>0.16900000000000001</v>
      </c>
      <c r="E5637" s="2">
        <v>15</v>
      </c>
      <c r="F5637" s="2" t="s">
        <v>6</v>
      </c>
    </row>
    <row r="5638" spans="1:6" ht="25.5">
      <c r="A5638" s="2">
        <v>5635</v>
      </c>
      <c r="B5638" s="2" t="s">
        <v>5713</v>
      </c>
      <c r="C5638" s="2" t="str">
        <f>"17477891"</f>
        <v>17477891</v>
      </c>
      <c r="D5638" s="2">
        <v>0.13300000000000001</v>
      </c>
      <c r="E5638" s="2">
        <v>23</v>
      </c>
      <c r="F5638" s="2" t="s">
        <v>75</v>
      </c>
    </row>
    <row r="5639" spans="1:6" ht="25.5">
      <c r="A5639" s="2">
        <v>5636</v>
      </c>
      <c r="B5639" s="2" t="s">
        <v>5714</v>
      </c>
      <c r="C5639" s="2" t="str">
        <f>"1476069X"</f>
        <v>1476069X</v>
      </c>
      <c r="D5639" s="2">
        <v>0.95399999999999996</v>
      </c>
      <c r="E5639" s="2">
        <v>35</v>
      </c>
      <c r="F5639" s="2" t="s">
        <v>16</v>
      </c>
    </row>
    <row r="5640" spans="1:6" ht="25.5">
      <c r="A5640" s="2">
        <v>5637</v>
      </c>
      <c r="B5640" s="2" t="s">
        <v>5715</v>
      </c>
      <c r="C5640" s="2" t="str">
        <f>"13474715"</f>
        <v>13474715</v>
      </c>
      <c r="D5640" s="2">
        <v>0.38800000000000001</v>
      </c>
      <c r="E5640" s="2">
        <v>14</v>
      </c>
      <c r="F5640" s="2" t="s">
        <v>131</v>
      </c>
    </row>
    <row r="5641" spans="1:6" ht="25.5">
      <c r="A5641" s="2">
        <v>5638</v>
      </c>
      <c r="B5641" s="2" t="s">
        <v>5716</v>
      </c>
      <c r="C5641" s="2" t="str">
        <f>"0250863X"</f>
        <v>0250863X</v>
      </c>
      <c r="D5641" s="2">
        <v>0.113</v>
      </c>
      <c r="E5641" s="2">
        <v>2</v>
      </c>
      <c r="F5641" s="2" t="s">
        <v>31</v>
      </c>
    </row>
    <row r="5642" spans="1:6" ht="25.5">
      <c r="A5642" s="2">
        <v>5639</v>
      </c>
      <c r="B5642" s="2" t="s">
        <v>5717</v>
      </c>
      <c r="C5642" s="2" t="str">
        <f>"00916765"</f>
        <v>00916765</v>
      </c>
      <c r="D5642" s="2">
        <v>2.4710000000000001</v>
      </c>
      <c r="E5642" s="2">
        <v>160</v>
      </c>
      <c r="F5642" s="2" t="s">
        <v>6</v>
      </c>
    </row>
    <row r="5643" spans="1:6" ht="25.5">
      <c r="A5643" s="2">
        <v>5640</v>
      </c>
      <c r="B5643" s="2" t="s">
        <v>5718</v>
      </c>
      <c r="C5643" s="2" t="str">
        <f>"10845453"</f>
        <v>10845453</v>
      </c>
      <c r="D5643" s="2">
        <v>0.374</v>
      </c>
      <c r="E5643" s="2">
        <v>13</v>
      </c>
      <c r="F5643" s="2" t="s">
        <v>16</v>
      </c>
    </row>
    <row r="5644" spans="1:6" ht="25.5">
      <c r="A5644" s="2">
        <v>5641</v>
      </c>
      <c r="B5644" s="2" t="s">
        <v>5719</v>
      </c>
      <c r="C5644" s="2" t="str">
        <f>"01959255"</f>
        <v>01959255</v>
      </c>
      <c r="D5644" s="2">
        <v>1.1679999999999999</v>
      </c>
      <c r="E5644" s="2">
        <v>42</v>
      </c>
      <c r="F5644" s="2" t="s">
        <v>6</v>
      </c>
    </row>
    <row r="5645" spans="1:6" ht="25.5">
      <c r="A5645" s="2">
        <v>5642</v>
      </c>
      <c r="B5645" s="2" t="s">
        <v>5720</v>
      </c>
      <c r="C5645" s="2" t="str">
        <f>"01604120"</f>
        <v>01604120</v>
      </c>
      <c r="D5645" s="2">
        <v>2.71</v>
      </c>
      <c r="E5645" s="2">
        <v>84</v>
      </c>
      <c r="F5645" s="2" t="s">
        <v>16</v>
      </c>
    </row>
    <row r="5646" spans="1:6" ht="25.5">
      <c r="A5646" s="2">
        <v>5643</v>
      </c>
      <c r="B5646" s="2" t="s">
        <v>5721</v>
      </c>
      <c r="C5646" s="2" t="str">
        <f>"15732991"</f>
        <v>15732991</v>
      </c>
      <c r="D5646" s="2">
        <v>0.29599999999999999</v>
      </c>
      <c r="E5646" s="2">
        <v>18</v>
      </c>
      <c r="F5646" s="2" t="s">
        <v>75</v>
      </c>
    </row>
    <row r="5647" spans="1:6" ht="25.5">
      <c r="A5647" s="2">
        <v>5644</v>
      </c>
      <c r="B5647" s="2" t="s">
        <v>5722</v>
      </c>
      <c r="C5647" s="2" t="str">
        <f>"19394071"</f>
        <v>19394071</v>
      </c>
      <c r="D5647" s="2">
        <v>0.26600000000000001</v>
      </c>
      <c r="E5647" s="2">
        <v>3</v>
      </c>
      <c r="F5647" s="2" t="s">
        <v>6</v>
      </c>
    </row>
    <row r="5648" spans="1:6" ht="25.5">
      <c r="A5648" s="2">
        <v>5645</v>
      </c>
      <c r="B5648" s="2" t="s">
        <v>5723</v>
      </c>
      <c r="C5648" s="2" t="str">
        <f>"10676058"</f>
        <v>10676058</v>
      </c>
      <c r="D5648" s="2">
        <v>0.19400000000000001</v>
      </c>
      <c r="E5648" s="2">
        <v>4</v>
      </c>
      <c r="F5648" s="2" t="s">
        <v>16</v>
      </c>
    </row>
    <row r="5649" spans="1:6" ht="25.5">
      <c r="A5649" s="2">
        <v>5646</v>
      </c>
      <c r="B5649" s="2" t="s">
        <v>5724</v>
      </c>
      <c r="C5649" s="2" t="str">
        <f>"14321009"</f>
        <v>14321009</v>
      </c>
      <c r="D5649" s="2">
        <v>0.77300000000000002</v>
      </c>
      <c r="E5649" s="2">
        <v>60</v>
      </c>
      <c r="F5649" s="2" t="s">
        <v>6</v>
      </c>
    </row>
    <row r="5650" spans="1:6" ht="25.5">
      <c r="A5650" s="2">
        <v>5647</v>
      </c>
      <c r="B5650" s="2" t="s">
        <v>5725</v>
      </c>
      <c r="C5650" s="2" t="str">
        <f>"14622920"</f>
        <v>14622920</v>
      </c>
      <c r="D5650" s="2">
        <v>2.577</v>
      </c>
      <c r="E5650" s="2">
        <v>100</v>
      </c>
      <c r="F5650" s="2" t="s">
        <v>16</v>
      </c>
    </row>
    <row r="5651" spans="1:6" ht="25.5">
      <c r="A5651" s="2">
        <v>5648</v>
      </c>
      <c r="B5651" s="2" t="s">
        <v>5726</v>
      </c>
      <c r="C5651" s="2" t="str">
        <f>"17582229"</f>
        <v>17582229</v>
      </c>
      <c r="D5651" s="2">
        <v>1.2050000000000001</v>
      </c>
      <c r="E5651" s="2">
        <v>17</v>
      </c>
      <c r="F5651" s="2" t="s">
        <v>6</v>
      </c>
    </row>
    <row r="5652" spans="1:6" ht="25.5">
      <c r="A5652" s="2">
        <v>5649</v>
      </c>
      <c r="B5652" s="2" t="s">
        <v>5727</v>
      </c>
      <c r="C5652" s="2" t="str">
        <f>"15732967"</f>
        <v>15732967</v>
      </c>
      <c r="D5652" s="2">
        <v>0.41299999999999998</v>
      </c>
      <c r="E5652" s="2">
        <v>27</v>
      </c>
      <c r="F5652" s="2" t="s">
        <v>75</v>
      </c>
    </row>
    <row r="5653" spans="1:6" ht="25.5">
      <c r="A5653" s="2">
        <v>5650</v>
      </c>
      <c r="B5653" s="2" t="s">
        <v>5728</v>
      </c>
      <c r="C5653" s="2" t="str">
        <f>"13648152"</f>
        <v>13648152</v>
      </c>
      <c r="D5653" s="2">
        <v>1.548</v>
      </c>
      <c r="E5653" s="2">
        <v>56</v>
      </c>
      <c r="F5653" s="2" t="s">
        <v>75</v>
      </c>
    </row>
    <row r="5654" spans="1:6" ht="25.5">
      <c r="A5654" s="2">
        <v>5651</v>
      </c>
      <c r="B5654" s="2" t="s">
        <v>5729</v>
      </c>
      <c r="C5654" s="2" t="str">
        <f>"15732959"</f>
        <v>15732959</v>
      </c>
      <c r="D5654" s="2">
        <v>0.67100000000000004</v>
      </c>
      <c r="E5654" s="2">
        <v>46</v>
      </c>
      <c r="F5654" s="2" t="s">
        <v>75</v>
      </c>
    </row>
    <row r="5655" spans="1:6" ht="25.5">
      <c r="A5655" s="2">
        <v>5652</v>
      </c>
      <c r="B5655" s="2" t="s">
        <v>5730</v>
      </c>
      <c r="C5655" s="2" t="str">
        <f>"1756932X"</f>
        <v>1756932X</v>
      </c>
      <c r="D5655" s="2">
        <v>1.0229999999999999</v>
      </c>
      <c r="E5655" s="2">
        <v>20</v>
      </c>
      <c r="F5655" s="2" t="s">
        <v>16</v>
      </c>
    </row>
    <row r="5656" spans="1:6" ht="25.5">
      <c r="A5656" s="2">
        <v>5653</v>
      </c>
      <c r="B5656" s="2" t="s">
        <v>5731</v>
      </c>
      <c r="C5656" s="2" t="str">
        <f>"0378777X"</f>
        <v>0378777X</v>
      </c>
      <c r="D5656" s="2">
        <v>0.215</v>
      </c>
      <c r="E5656" s="2">
        <v>6</v>
      </c>
      <c r="F5656" s="2" t="s">
        <v>75</v>
      </c>
    </row>
    <row r="5657" spans="1:6" ht="25.5">
      <c r="A5657" s="2">
        <v>5654</v>
      </c>
      <c r="B5657" s="2" t="s">
        <v>5732</v>
      </c>
      <c r="C5657" s="2" t="str">
        <f>"09644016"</f>
        <v>09644016</v>
      </c>
      <c r="D5657" s="2">
        <v>0.71599999999999997</v>
      </c>
      <c r="E5657" s="2">
        <v>29</v>
      </c>
      <c r="F5657" s="2" t="s">
        <v>16</v>
      </c>
    </row>
    <row r="5658" spans="1:6" ht="25.5">
      <c r="A5658" s="2">
        <v>5655</v>
      </c>
      <c r="B5658" s="2" t="s">
        <v>5733</v>
      </c>
      <c r="C5658" s="2" t="str">
        <f>"02697491"</f>
        <v>02697491</v>
      </c>
      <c r="D5658" s="2">
        <v>1.7629999999999999</v>
      </c>
      <c r="E5658" s="2">
        <v>108</v>
      </c>
      <c r="F5658" s="2" t="s">
        <v>16</v>
      </c>
    </row>
    <row r="5659" spans="1:6" ht="25.5">
      <c r="A5659" s="2">
        <v>5656</v>
      </c>
      <c r="B5659" s="2" t="s">
        <v>5734</v>
      </c>
      <c r="C5659" s="2" t="str">
        <f>"14660474"</f>
        <v>14660474</v>
      </c>
      <c r="D5659" s="2">
        <v>0.155</v>
      </c>
      <c r="E5659" s="2">
        <v>10</v>
      </c>
      <c r="F5659" s="2" t="s">
        <v>16</v>
      </c>
    </row>
    <row r="5660" spans="1:6" ht="25.5">
      <c r="A5660" s="2">
        <v>5657</v>
      </c>
      <c r="B5660" s="2" t="s">
        <v>5735</v>
      </c>
      <c r="C5660" s="2" t="str">
        <f>"19447442"</f>
        <v>19447442</v>
      </c>
      <c r="D5660" s="2">
        <v>0.71</v>
      </c>
      <c r="E5660" s="2">
        <v>32</v>
      </c>
      <c r="F5660" s="2" t="s">
        <v>6</v>
      </c>
    </row>
    <row r="5661" spans="1:6" ht="25.5">
      <c r="A5661" s="2">
        <v>5658</v>
      </c>
      <c r="B5661" s="2" t="s">
        <v>5736</v>
      </c>
      <c r="C5661" s="2" t="str">
        <f>"03248828"</f>
        <v>03248828</v>
      </c>
      <c r="D5661" s="2">
        <v>0.24299999999999999</v>
      </c>
      <c r="E5661" s="2">
        <v>8</v>
      </c>
      <c r="F5661" s="2" t="s">
        <v>169</v>
      </c>
    </row>
    <row r="5662" spans="1:6" ht="25.5">
      <c r="A5662" s="2">
        <v>5659</v>
      </c>
      <c r="B5662" s="2" t="s">
        <v>5737</v>
      </c>
      <c r="C5662" s="2" t="str">
        <f>"15206483"</f>
        <v>15206483</v>
      </c>
      <c r="D5662" s="2">
        <v>0.221</v>
      </c>
      <c r="E5662" s="2">
        <v>7</v>
      </c>
      <c r="F5662" s="2" t="s">
        <v>6</v>
      </c>
    </row>
    <row r="5663" spans="1:6" ht="25.5">
      <c r="A5663" s="2">
        <v>5660</v>
      </c>
      <c r="B5663" s="2" t="s">
        <v>5738</v>
      </c>
      <c r="C5663" s="2" t="str">
        <f>"10960953"</f>
        <v>10960953</v>
      </c>
      <c r="D5663" s="2">
        <v>1.2849999999999999</v>
      </c>
      <c r="E5663" s="2">
        <v>73</v>
      </c>
      <c r="F5663" s="2" t="s">
        <v>6</v>
      </c>
    </row>
    <row r="5664" spans="1:6" ht="25.5">
      <c r="A5664" s="2">
        <v>5661</v>
      </c>
      <c r="B5664" s="2" t="s">
        <v>5739</v>
      </c>
      <c r="C5664" s="2" t="str">
        <f>"17489318"</f>
        <v>17489318</v>
      </c>
      <c r="D5664" s="2">
        <v>1.708</v>
      </c>
      <c r="E5664" s="2">
        <v>31</v>
      </c>
      <c r="F5664" s="2" t="s">
        <v>16</v>
      </c>
    </row>
    <row r="5665" spans="1:6" ht="25.5">
      <c r="A5665" s="2">
        <v>5662</v>
      </c>
      <c r="B5665" s="2" t="s">
        <v>5740</v>
      </c>
      <c r="C5665" s="2" t="str">
        <f>"12086053"</f>
        <v>12086053</v>
      </c>
      <c r="D5665" s="2">
        <v>0.61499999999999999</v>
      </c>
      <c r="E5665" s="2">
        <v>36</v>
      </c>
      <c r="F5665" s="2" t="s">
        <v>64</v>
      </c>
    </row>
    <row r="5666" spans="1:6" ht="25.5">
      <c r="A5666" s="2">
        <v>5663</v>
      </c>
      <c r="B5666" s="2" t="s">
        <v>5741</v>
      </c>
      <c r="C5666" s="2" t="str">
        <f>"14629011"</f>
        <v>14629011</v>
      </c>
      <c r="D5666" s="2">
        <v>1.236</v>
      </c>
      <c r="E5666" s="2">
        <v>42</v>
      </c>
      <c r="F5666" s="2" t="s">
        <v>75</v>
      </c>
    </row>
    <row r="5667" spans="1:6" ht="25.5">
      <c r="A5667" s="2">
        <v>5664</v>
      </c>
      <c r="B5667" s="2" t="s">
        <v>5742</v>
      </c>
      <c r="C5667" s="2" t="str">
        <f>"09441344"</f>
        <v>09441344</v>
      </c>
      <c r="D5667" s="2">
        <v>0.878</v>
      </c>
      <c r="E5667" s="2">
        <v>42</v>
      </c>
      <c r="F5667" s="2" t="s">
        <v>6</v>
      </c>
    </row>
    <row r="5668" spans="1:6" ht="25.5">
      <c r="A5668" s="2">
        <v>5665</v>
      </c>
      <c r="B5668" s="2" t="s">
        <v>5743</v>
      </c>
      <c r="C5668" s="2" t="str">
        <f>"15205851"</f>
        <v>15205851</v>
      </c>
      <c r="D5668" s="2">
        <v>2.665</v>
      </c>
      <c r="E5668" s="2">
        <v>208</v>
      </c>
      <c r="F5668" s="2" t="s">
        <v>6</v>
      </c>
    </row>
    <row r="5669" spans="1:6" ht="25.5">
      <c r="A5669" s="2">
        <v>5666</v>
      </c>
      <c r="B5669" s="2" t="s">
        <v>5744</v>
      </c>
      <c r="C5669" s="2" t="str">
        <f>"21904715"</f>
        <v>21904715</v>
      </c>
      <c r="D5669" s="2">
        <v>0.23400000000000001</v>
      </c>
      <c r="E5669" s="2">
        <v>3</v>
      </c>
      <c r="F5669" s="2" t="s">
        <v>12</v>
      </c>
    </row>
    <row r="5670" spans="1:6" ht="25.5">
      <c r="A5670" s="2">
        <v>5667</v>
      </c>
      <c r="B5670" s="2" t="s">
        <v>5745</v>
      </c>
      <c r="C5670" s="2" t="str">
        <f>"09593330"</f>
        <v>09593330</v>
      </c>
      <c r="D5670" s="2">
        <v>0.56499999999999995</v>
      </c>
      <c r="E5670" s="2">
        <v>44</v>
      </c>
      <c r="F5670" s="2" t="s">
        <v>16</v>
      </c>
    </row>
    <row r="5671" spans="1:6" ht="25.5">
      <c r="A5671" s="2">
        <v>5668</v>
      </c>
      <c r="B5671" s="2" t="s">
        <v>5746</v>
      </c>
      <c r="C5671" s="2" t="str">
        <f>"15227278"</f>
        <v>15227278</v>
      </c>
      <c r="D5671" s="2">
        <v>0.72399999999999998</v>
      </c>
      <c r="E5671" s="2">
        <v>45</v>
      </c>
      <c r="F5671" s="2" t="s">
        <v>6</v>
      </c>
    </row>
    <row r="5672" spans="1:6" ht="25.5">
      <c r="A5672" s="2">
        <v>5669</v>
      </c>
      <c r="B5672" s="2" t="s">
        <v>5747</v>
      </c>
      <c r="C5672" s="2" t="str">
        <f>"07307268"</f>
        <v>07307268</v>
      </c>
      <c r="D5672" s="2">
        <v>1.43</v>
      </c>
      <c r="E5672" s="2">
        <v>106</v>
      </c>
      <c r="F5672" s="2" t="s">
        <v>6</v>
      </c>
    </row>
    <row r="5673" spans="1:6" ht="25.5">
      <c r="A5673" s="2">
        <v>5670</v>
      </c>
      <c r="B5673" s="2" t="s">
        <v>5748</v>
      </c>
      <c r="C5673" s="2" t="str">
        <f>"13826689"</f>
        <v>13826689</v>
      </c>
      <c r="D5673" s="2">
        <v>0.60399999999999998</v>
      </c>
      <c r="E5673" s="2">
        <v>40</v>
      </c>
      <c r="F5673" s="2" t="s">
        <v>75</v>
      </c>
    </row>
    <row r="5674" spans="1:6" ht="25.5">
      <c r="A5674" s="2">
        <v>5671</v>
      </c>
      <c r="B5674" s="2" t="s">
        <v>5749</v>
      </c>
      <c r="C5674" s="2" t="str">
        <f>"09632719"</f>
        <v>09632719</v>
      </c>
      <c r="D5674" s="2">
        <v>0.53600000000000003</v>
      </c>
      <c r="E5674" s="2">
        <v>21</v>
      </c>
      <c r="F5674" s="2" t="s">
        <v>16</v>
      </c>
    </row>
    <row r="5675" spans="1:6" ht="25.5">
      <c r="A5675" s="2">
        <v>5672</v>
      </c>
      <c r="B5675" s="2" t="s">
        <v>5750</v>
      </c>
      <c r="C5675" s="2" t="str">
        <f>"00139165"</f>
        <v>00139165</v>
      </c>
      <c r="D5675" s="2">
        <v>0.78600000000000003</v>
      </c>
      <c r="E5675" s="2">
        <v>53</v>
      </c>
      <c r="F5675" s="2" t="s">
        <v>16</v>
      </c>
    </row>
    <row r="5676" spans="1:6" ht="25.5">
      <c r="A5676" s="2">
        <v>5673</v>
      </c>
      <c r="B5676" s="2" t="s">
        <v>5751</v>
      </c>
      <c r="C5676" s="2" t="str">
        <f>"14694395"</f>
        <v>14694395</v>
      </c>
      <c r="D5676" s="2">
        <v>0.66900000000000004</v>
      </c>
      <c r="E5676" s="2">
        <v>30</v>
      </c>
      <c r="F5676" s="2" t="s">
        <v>16</v>
      </c>
    </row>
    <row r="5677" spans="1:6" ht="25.5">
      <c r="A5677" s="2">
        <v>5674</v>
      </c>
      <c r="B5677" s="2" t="s">
        <v>5752</v>
      </c>
      <c r="C5677" s="2" t="str">
        <f>"09673407"</f>
        <v>09673407</v>
      </c>
      <c r="D5677" s="2">
        <v>0.153</v>
      </c>
      <c r="E5677" s="2">
        <v>14</v>
      </c>
      <c r="F5677" s="2" t="s">
        <v>16</v>
      </c>
    </row>
    <row r="5678" spans="1:6" ht="25.5">
      <c r="A5678" s="2">
        <v>5675</v>
      </c>
      <c r="B5678" s="2" t="s">
        <v>5753</v>
      </c>
      <c r="C5678" s="2" t="str">
        <f>"0308518X"</f>
        <v>0308518X</v>
      </c>
      <c r="D5678" s="2">
        <v>1.248</v>
      </c>
      <c r="E5678" s="2">
        <v>62</v>
      </c>
      <c r="F5678" s="2" t="s">
        <v>16</v>
      </c>
    </row>
    <row r="5679" spans="1:6" ht="25.5">
      <c r="A5679" s="2">
        <v>5676</v>
      </c>
      <c r="B5679" s="2" t="s">
        <v>5754</v>
      </c>
      <c r="C5679" s="2" t="str">
        <f>"02658135"</f>
        <v>02658135</v>
      </c>
      <c r="D5679" s="2">
        <v>0.65200000000000002</v>
      </c>
      <c r="E5679" s="2">
        <v>43</v>
      </c>
      <c r="F5679" s="2" t="s">
        <v>16</v>
      </c>
    </row>
    <row r="5680" spans="1:6" ht="25.5">
      <c r="A5680" s="2">
        <v>5677</v>
      </c>
      <c r="B5680" s="2" t="s">
        <v>5755</v>
      </c>
      <c r="C5680" s="2" t="str">
        <f>"0263774X"</f>
        <v>0263774X</v>
      </c>
      <c r="D5680" s="2">
        <v>0.751</v>
      </c>
      <c r="E5680" s="2">
        <v>29</v>
      </c>
      <c r="F5680" s="2" t="s">
        <v>16</v>
      </c>
    </row>
    <row r="5681" spans="1:6" ht="25.5">
      <c r="A5681" s="2">
        <v>5678</v>
      </c>
      <c r="B5681" s="2" t="s">
        <v>5756</v>
      </c>
      <c r="C5681" s="2" t="str">
        <f>"02637758"</f>
        <v>02637758</v>
      </c>
      <c r="D5681" s="2">
        <v>1.9630000000000001</v>
      </c>
      <c r="E5681" s="2">
        <v>50</v>
      </c>
      <c r="F5681" s="2" t="s">
        <v>16</v>
      </c>
    </row>
    <row r="5682" spans="1:6" ht="25.5">
      <c r="A5682" s="2">
        <v>5679</v>
      </c>
      <c r="B5682" s="2" t="s">
        <v>5757</v>
      </c>
      <c r="C5682" s="2" t="str">
        <f>"09562478"</f>
        <v>09562478</v>
      </c>
      <c r="D5682" s="2">
        <v>1.016</v>
      </c>
      <c r="E5682" s="2">
        <v>28</v>
      </c>
      <c r="F5682" s="2" t="s">
        <v>16</v>
      </c>
    </row>
    <row r="5683" spans="1:6" ht="25.5">
      <c r="A5683" s="2">
        <v>5680</v>
      </c>
      <c r="B5683" s="2" t="s">
        <v>5758</v>
      </c>
      <c r="C5683" s="2" t="str">
        <f>"19061714"</f>
        <v>19061714</v>
      </c>
      <c r="D5683" s="2">
        <v>0.20200000000000001</v>
      </c>
      <c r="E5683" s="2">
        <v>4</v>
      </c>
      <c r="F5683" s="2" t="s">
        <v>1966</v>
      </c>
    </row>
    <row r="5684" spans="1:6" ht="25.5">
      <c r="A5684" s="2">
        <v>5681</v>
      </c>
      <c r="B5684" s="2" t="s">
        <v>5759</v>
      </c>
      <c r="C5684" s="2" t="str">
        <f>"15732975"</f>
        <v>15732975</v>
      </c>
      <c r="D5684" s="2">
        <v>0.31900000000000001</v>
      </c>
      <c r="E5684" s="2">
        <v>26</v>
      </c>
      <c r="F5684" s="2" t="s">
        <v>75</v>
      </c>
    </row>
    <row r="5685" spans="1:6" ht="25.5">
      <c r="A5685" s="2">
        <v>5682</v>
      </c>
      <c r="B5685" s="2" t="s">
        <v>5760</v>
      </c>
      <c r="C5685" s="2" t="str">
        <f>"11804009"</f>
        <v>11804009</v>
      </c>
      <c r="D5685" s="2">
        <v>0.48299999999999998</v>
      </c>
      <c r="E5685" s="2">
        <v>32</v>
      </c>
      <c r="F5685" s="2" t="s">
        <v>16</v>
      </c>
    </row>
    <row r="5686" spans="1:6" ht="25.5">
      <c r="A5686" s="2">
        <v>5683</v>
      </c>
      <c r="B5686" s="2" t="s">
        <v>5761</v>
      </c>
      <c r="C5686" s="2" t="str">
        <f>"16350421"</f>
        <v>16350421</v>
      </c>
      <c r="D5686" s="2">
        <v>0.158</v>
      </c>
      <c r="E5686" s="2">
        <v>7</v>
      </c>
      <c r="F5686" s="2" t="s">
        <v>66</v>
      </c>
    </row>
    <row r="5687" spans="1:6" ht="25.5">
      <c r="A5687" s="2">
        <v>5684</v>
      </c>
      <c r="B5687" s="2" t="s">
        <v>5762</v>
      </c>
      <c r="C5687" s="2" t="str">
        <f>"01410229"</f>
        <v>01410229</v>
      </c>
      <c r="D5687" s="2">
        <v>1.0389999999999999</v>
      </c>
      <c r="E5687" s="2">
        <v>87</v>
      </c>
      <c r="F5687" s="2" t="s">
        <v>6</v>
      </c>
    </row>
    <row r="5688" spans="1:6" ht="25.5">
      <c r="A5688" s="2">
        <v>5685</v>
      </c>
      <c r="B5688" s="2" t="s">
        <v>5763</v>
      </c>
      <c r="C5688" s="2" t="str">
        <f>"20900414"</f>
        <v>20900414</v>
      </c>
      <c r="D5688" s="2">
        <v>0.39200000000000002</v>
      </c>
      <c r="E5688" s="2">
        <v>6</v>
      </c>
      <c r="F5688" s="2" t="s">
        <v>6</v>
      </c>
    </row>
    <row r="5689" spans="1:6" ht="25.5">
      <c r="A5689" s="2">
        <v>5686</v>
      </c>
      <c r="B5689" s="2" t="s">
        <v>5764</v>
      </c>
      <c r="C5689" s="2" t="str">
        <f>"18746047"</f>
        <v>18746047</v>
      </c>
      <c r="D5689" s="2">
        <v>0.20300000000000001</v>
      </c>
      <c r="E5689" s="2">
        <v>7</v>
      </c>
      <c r="F5689" s="2" t="s">
        <v>6</v>
      </c>
    </row>
    <row r="5690" spans="1:6" ht="25.5">
      <c r="A5690" s="2">
        <v>5687</v>
      </c>
      <c r="B5690" s="2" t="s">
        <v>5765</v>
      </c>
      <c r="C5690" s="2" t="str">
        <f>"00963941"</f>
        <v>00963941</v>
      </c>
      <c r="D5690" s="2">
        <v>0.70499999999999996</v>
      </c>
      <c r="E5690" s="2">
        <v>43</v>
      </c>
      <c r="F5690" s="2" t="s">
        <v>6</v>
      </c>
    </row>
    <row r="5691" spans="1:6" ht="25.5">
      <c r="A5691" s="2">
        <v>5688</v>
      </c>
      <c r="B5691" s="2" t="s">
        <v>5766</v>
      </c>
      <c r="C5691" s="2" t="str">
        <f>"1364369X"</f>
        <v>1364369X</v>
      </c>
      <c r="D5691" s="2">
        <v>0.1</v>
      </c>
      <c r="E5691" s="2">
        <v>2</v>
      </c>
      <c r="F5691" s="2" t="s">
        <v>16</v>
      </c>
    </row>
    <row r="5692" spans="1:6" ht="25.5">
      <c r="A5692" s="2">
        <v>5689</v>
      </c>
      <c r="B5692" s="2" t="s">
        <v>5767</v>
      </c>
      <c r="C5692" s="2" t="str">
        <f>"09398368"</f>
        <v>09398368</v>
      </c>
      <c r="D5692" s="2">
        <v>0.20899999999999999</v>
      </c>
      <c r="E5692" s="2">
        <v>15</v>
      </c>
      <c r="F5692" s="2" t="s">
        <v>161</v>
      </c>
    </row>
    <row r="5693" spans="1:6" ht="25.5">
      <c r="A5693" s="2">
        <v>5690</v>
      </c>
      <c r="B5693" s="2" t="s">
        <v>5768</v>
      </c>
      <c r="C5693" s="2" t="str">
        <f>"17831423"</f>
        <v>17831423</v>
      </c>
      <c r="D5693" s="2">
        <v>0.122</v>
      </c>
      <c r="E5693" s="2">
        <v>4</v>
      </c>
      <c r="F5693" s="2" t="s">
        <v>161</v>
      </c>
    </row>
    <row r="5694" spans="1:6" ht="25.5">
      <c r="A5694" s="2">
        <v>5691</v>
      </c>
      <c r="B5694" s="2" t="s">
        <v>5769</v>
      </c>
      <c r="C5694" s="2" t="str">
        <f>"17554365"</f>
        <v>17554365</v>
      </c>
      <c r="D5694" s="2">
        <v>1.0249999999999999</v>
      </c>
      <c r="E5694" s="2">
        <v>9</v>
      </c>
      <c r="F5694" s="2" t="s">
        <v>75</v>
      </c>
    </row>
    <row r="5695" spans="1:6" ht="25.5">
      <c r="A5695" s="2">
        <v>5692</v>
      </c>
      <c r="B5695" s="2" t="s">
        <v>5770</v>
      </c>
      <c r="C5695" s="2" t="str">
        <f>"11209763"</f>
        <v>11209763</v>
      </c>
      <c r="D5695" s="2">
        <v>0.25700000000000001</v>
      </c>
      <c r="E5695" s="2">
        <v>16</v>
      </c>
      <c r="F5695" s="2" t="s">
        <v>190</v>
      </c>
    </row>
    <row r="5696" spans="1:6" ht="25.5">
      <c r="A5696" s="2">
        <v>5693</v>
      </c>
      <c r="B5696" s="2" t="s">
        <v>5771</v>
      </c>
      <c r="C5696" s="2" t="str">
        <f>"17425573"</f>
        <v>17425573</v>
      </c>
      <c r="D5696" s="2">
        <v>1.002</v>
      </c>
      <c r="E5696" s="2">
        <v>14</v>
      </c>
      <c r="F5696" s="2" t="s">
        <v>16</v>
      </c>
    </row>
    <row r="5697" spans="1:6" ht="25.5">
      <c r="A5697" s="2">
        <v>5694</v>
      </c>
      <c r="B5697" s="2" t="s">
        <v>5772</v>
      </c>
      <c r="C5697" s="2" t="str">
        <f>"14786729"</f>
        <v>14786729</v>
      </c>
      <c r="D5697" s="2">
        <v>5.5609999999999999</v>
      </c>
      <c r="E5697" s="2">
        <v>63</v>
      </c>
      <c r="F5697" s="2" t="s">
        <v>16</v>
      </c>
    </row>
    <row r="5698" spans="1:6" ht="25.5">
      <c r="A5698" s="2">
        <v>5695</v>
      </c>
      <c r="B5698" s="2" t="s">
        <v>5773</v>
      </c>
      <c r="C5698" s="2" t="str">
        <f>"12107913"</f>
        <v>12107913</v>
      </c>
      <c r="D5698" s="2">
        <v>0.14499999999999999</v>
      </c>
      <c r="E5698" s="2">
        <v>9</v>
      </c>
      <c r="F5698" s="2" t="s">
        <v>208</v>
      </c>
    </row>
    <row r="5699" spans="1:6" ht="25.5">
      <c r="A5699" s="2">
        <v>5696</v>
      </c>
      <c r="B5699" s="2" t="s">
        <v>5774</v>
      </c>
      <c r="C5699" s="2" t="str">
        <f>"15315487"</f>
        <v>15315487</v>
      </c>
      <c r="D5699" s="2">
        <v>2.1549999999999998</v>
      </c>
      <c r="E5699" s="2">
        <v>106</v>
      </c>
      <c r="F5699" s="2" t="s">
        <v>6</v>
      </c>
    </row>
    <row r="5700" spans="1:6" ht="25.5">
      <c r="A5700" s="2">
        <v>5697</v>
      </c>
      <c r="B5700" s="2" t="s">
        <v>5775</v>
      </c>
      <c r="C5700" s="2" t="str">
        <f>"14694409"</f>
        <v>14694409</v>
      </c>
      <c r="D5700" s="2">
        <v>1.1990000000000001</v>
      </c>
      <c r="E5700" s="2">
        <v>68</v>
      </c>
      <c r="F5700" s="2" t="s">
        <v>16</v>
      </c>
    </row>
    <row r="5701" spans="1:6" ht="25.5">
      <c r="A5701" s="2">
        <v>5698</v>
      </c>
      <c r="B5701" s="2" t="s">
        <v>5776</v>
      </c>
      <c r="C5701" s="2" t="str">
        <f>"20457979"</f>
        <v>20457979</v>
      </c>
      <c r="D5701" s="2">
        <v>0.47199999999999998</v>
      </c>
      <c r="E5701" s="2">
        <v>5</v>
      </c>
      <c r="F5701" s="2" t="s">
        <v>16</v>
      </c>
    </row>
    <row r="5702" spans="1:6" ht="25.5">
      <c r="A5702" s="2">
        <v>5699</v>
      </c>
      <c r="B5702" s="2" t="s">
        <v>5777</v>
      </c>
      <c r="C5702" s="2" t="str">
        <f>"15592308"</f>
        <v>15592308</v>
      </c>
      <c r="D5702" s="2">
        <v>1.9650000000000001</v>
      </c>
      <c r="E5702" s="2">
        <v>31</v>
      </c>
      <c r="F5702" s="2" t="s">
        <v>6</v>
      </c>
    </row>
    <row r="5703" spans="1:6" ht="25.5">
      <c r="A5703" s="2">
        <v>5700</v>
      </c>
      <c r="B5703" s="2" t="s">
        <v>5778</v>
      </c>
      <c r="C5703" s="2" t="str">
        <f>"17568935"</f>
        <v>17568935</v>
      </c>
      <c r="D5703" s="2">
        <v>3.2389999999999999</v>
      </c>
      <c r="E5703" s="2">
        <v>12</v>
      </c>
      <c r="F5703" s="2" t="s">
        <v>16</v>
      </c>
    </row>
    <row r="5704" spans="1:6" ht="25.5">
      <c r="A5704" s="2">
        <v>5701</v>
      </c>
      <c r="B5704" s="2" t="s">
        <v>5779</v>
      </c>
      <c r="C5704" s="2" t="str">
        <f>"21912262"</f>
        <v>21912262</v>
      </c>
      <c r="D5704" s="2">
        <v>0.106</v>
      </c>
      <c r="E5704" s="2">
        <v>1</v>
      </c>
      <c r="F5704" s="2" t="s">
        <v>12</v>
      </c>
    </row>
    <row r="5705" spans="1:6" ht="25.5">
      <c r="A5705" s="2">
        <v>5702</v>
      </c>
      <c r="B5705" s="2" t="s">
        <v>5780</v>
      </c>
      <c r="C5705" s="2" t="str">
        <f>"1750192X"</f>
        <v>1750192X</v>
      </c>
      <c r="D5705" s="2">
        <v>1</v>
      </c>
      <c r="E5705" s="2">
        <v>14</v>
      </c>
      <c r="F5705" s="2" t="s">
        <v>16</v>
      </c>
    </row>
    <row r="5706" spans="1:6" ht="25.5">
      <c r="A5706" s="2">
        <v>5703</v>
      </c>
      <c r="B5706" s="2" t="s">
        <v>5781</v>
      </c>
      <c r="C5706" s="2" t="str">
        <f>"00139572"</f>
        <v>00139572</v>
      </c>
      <c r="D5706" s="2">
        <v>0.1</v>
      </c>
      <c r="E5706" s="2">
        <v>2</v>
      </c>
      <c r="F5706" s="2" t="s">
        <v>190</v>
      </c>
    </row>
    <row r="5707" spans="1:6" ht="25.5">
      <c r="A5707" s="2">
        <v>5704</v>
      </c>
      <c r="B5707" s="2" t="s">
        <v>5782</v>
      </c>
      <c r="C5707" s="2" t="str">
        <f>"15281167"</f>
        <v>15281167</v>
      </c>
      <c r="D5707" s="2">
        <v>1.8740000000000001</v>
      </c>
      <c r="E5707" s="2">
        <v>122</v>
      </c>
      <c r="F5707" s="2" t="s">
        <v>16</v>
      </c>
    </row>
    <row r="5708" spans="1:6" ht="25.5">
      <c r="A5708" s="2">
        <v>5705</v>
      </c>
      <c r="B5708" s="2" t="s">
        <v>5783</v>
      </c>
      <c r="C5708" s="2" t="str">
        <f>"15255069"</f>
        <v>15255069</v>
      </c>
      <c r="D5708" s="2">
        <v>0.86</v>
      </c>
      <c r="E5708" s="2">
        <v>57</v>
      </c>
      <c r="F5708" s="2" t="s">
        <v>6</v>
      </c>
    </row>
    <row r="5709" spans="1:6" ht="25.5">
      <c r="A5709" s="2">
        <v>5706</v>
      </c>
      <c r="B5709" s="2" t="s">
        <v>5784</v>
      </c>
      <c r="C5709" s="2" t="str">
        <f>"18825567"</f>
        <v>18825567</v>
      </c>
      <c r="D5709" s="2">
        <v>0.10299999999999999</v>
      </c>
      <c r="E5709" s="2">
        <v>1</v>
      </c>
      <c r="F5709" s="2" t="s">
        <v>131</v>
      </c>
    </row>
    <row r="5710" spans="1:6" ht="25.5">
      <c r="A5710" s="2">
        <v>5707</v>
      </c>
      <c r="B5710" s="2" t="s">
        <v>5785</v>
      </c>
      <c r="C5710" s="2" t="str">
        <f>"15357597"</f>
        <v>15357597</v>
      </c>
      <c r="D5710" s="2">
        <v>1.075</v>
      </c>
      <c r="E5710" s="2">
        <v>5</v>
      </c>
      <c r="F5710" s="2" t="s">
        <v>6</v>
      </c>
    </row>
    <row r="5711" spans="1:6" ht="25.5">
      <c r="A5711" s="2">
        <v>5708</v>
      </c>
      <c r="B5711" s="2" t="s">
        <v>5786</v>
      </c>
      <c r="C5711" s="2" t="str">
        <f>"18726844"</f>
        <v>18726844</v>
      </c>
      <c r="D5711" s="2">
        <v>0.94199999999999995</v>
      </c>
      <c r="E5711" s="2">
        <v>77</v>
      </c>
      <c r="F5711" s="2" t="s">
        <v>75</v>
      </c>
    </row>
    <row r="5712" spans="1:6" ht="25.5">
      <c r="A5712" s="2">
        <v>5709</v>
      </c>
      <c r="B5712" s="2" t="s">
        <v>5787</v>
      </c>
      <c r="C5712" s="2" t="str">
        <f>"12949361"</f>
        <v>12949361</v>
      </c>
      <c r="D5712" s="2">
        <v>0.66900000000000004</v>
      </c>
      <c r="E5712" s="2">
        <v>34</v>
      </c>
      <c r="F5712" s="2" t="s">
        <v>66</v>
      </c>
    </row>
    <row r="5713" spans="1:6" ht="25.5">
      <c r="A5713" s="2">
        <v>5710</v>
      </c>
      <c r="B5713" s="2" t="s">
        <v>5788</v>
      </c>
      <c r="C5713" s="2" t="str">
        <f>"07053797"</f>
        <v>07053797</v>
      </c>
      <c r="D5713" s="2">
        <v>0.32400000000000001</v>
      </c>
      <c r="E5713" s="2">
        <v>41</v>
      </c>
      <c r="F5713" s="2" t="s">
        <v>64</v>
      </c>
    </row>
    <row r="5714" spans="1:6" ht="25.5">
      <c r="A5714" s="2">
        <v>5711</v>
      </c>
      <c r="B5714" s="2" t="s">
        <v>5789</v>
      </c>
      <c r="C5714" s="2" t="str">
        <f>"1825652X"</f>
        <v>1825652X</v>
      </c>
      <c r="D5714" s="2">
        <v>0.129</v>
      </c>
      <c r="E5714" s="2">
        <v>3</v>
      </c>
      <c r="F5714" s="2" t="s">
        <v>190</v>
      </c>
    </row>
    <row r="5715" spans="1:6" ht="25.5">
      <c r="A5715" s="2">
        <v>5712</v>
      </c>
      <c r="B5715" s="2" t="s">
        <v>5790</v>
      </c>
      <c r="C5715" s="2" t="str">
        <f>"15882764"</f>
        <v>15882764</v>
      </c>
      <c r="D5715" s="2">
        <v>0.1</v>
      </c>
      <c r="E5715" s="2">
        <v>1</v>
      </c>
      <c r="F5715" s="2" t="s">
        <v>135</v>
      </c>
    </row>
    <row r="5716" spans="1:6" ht="25.5">
      <c r="A5716" s="2">
        <v>5713</v>
      </c>
      <c r="B5716" s="2" t="s">
        <v>5791</v>
      </c>
      <c r="C5716" s="2" t="str">
        <f>"10116575"</f>
        <v>10116575</v>
      </c>
      <c r="D5716" s="2">
        <v>0.1</v>
      </c>
      <c r="E5716" s="2">
        <v>3</v>
      </c>
      <c r="F5716" s="2" t="s">
        <v>293</v>
      </c>
    </row>
    <row r="5717" spans="1:6" ht="25.5">
      <c r="A5717" s="2">
        <v>5714</v>
      </c>
      <c r="B5717" s="2" t="s">
        <v>5792</v>
      </c>
      <c r="C5717" s="2" t="str">
        <f>"12860050"</f>
        <v>12860050</v>
      </c>
      <c r="D5717" s="2">
        <v>0.314</v>
      </c>
      <c r="E5717" s="2">
        <v>31</v>
      </c>
      <c r="F5717" s="2" t="s">
        <v>66</v>
      </c>
    </row>
    <row r="5718" spans="1:6" ht="25.5">
      <c r="A5718" s="2">
        <v>5715</v>
      </c>
      <c r="B5718" s="2" t="s">
        <v>5793</v>
      </c>
      <c r="C5718" s="2" t="str">
        <f>"18785085"</f>
        <v>18785085</v>
      </c>
      <c r="D5718" s="2">
        <v>0.161</v>
      </c>
      <c r="E5718" s="2">
        <v>4</v>
      </c>
      <c r="F5718" s="2" t="s">
        <v>16</v>
      </c>
    </row>
    <row r="5719" spans="1:6" ht="25.5">
      <c r="A5719" s="2">
        <v>5716</v>
      </c>
      <c r="B5719" s="2" t="s">
        <v>5794</v>
      </c>
      <c r="C5719" s="2" t="str">
        <f>"16187229"</f>
        <v>16187229</v>
      </c>
      <c r="D5719" s="2">
        <v>0.13</v>
      </c>
      <c r="E5719" s="2">
        <v>7</v>
      </c>
      <c r="F5719" s="2" t="s">
        <v>66</v>
      </c>
    </row>
    <row r="5720" spans="1:6" ht="25.5">
      <c r="A5720" s="2">
        <v>5717</v>
      </c>
      <c r="B5720" s="2" t="s">
        <v>5795</v>
      </c>
      <c r="C5720" s="2" t="str">
        <f>"13652338"</f>
        <v>13652338</v>
      </c>
      <c r="D5720" s="2">
        <v>0.33300000000000002</v>
      </c>
      <c r="E5720" s="2">
        <v>15</v>
      </c>
      <c r="F5720" s="2" t="s">
        <v>16</v>
      </c>
    </row>
    <row r="5721" spans="1:6" ht="25.5">
      <c r="A5721" s="2">
        <v>5718</v>
      </c>
      <c r="B5721" s="2" t="s">
        <v>5796</v>
      </c>
      <c r="C5721" s="2" t="str">
        <f>"20407149"</f>
        <v>20407149</v>
      </c>
      <c r="D5721" s="2">
        <v>0.25600000000000001</v>
      </c>
      <c r="E5721" s="2">
        <v>2</v>
      </c>
      <c r="F5721" s="2" t="s">
        <v>16</v>
      </c>
    </row>
    <row r="5722" spans="1:6" ht="25.5">
      <c r="A5722" s="2">
        <v>5719</v>
      </c>
      <c r="B5722" s="2" t="s">
        <v>5797</v>
      </c>
      <c r="C5722" s="2" t="str">
        <f>"03855716"</f>
        <v>03855716</v>
      </c>
      <c r="D5722" s="2">
        <v>0.191</v>
      </c>
      <c r="E5722" s="2">
        <v>9</v>
      </c>
      <c r="F5722" s="2" t="s">
        <v>131</v>
      </c>
    </row>
    <row r="5723" spans="1:6" ht="25.5">
      <c r="A5723" s="2">
        <v>5720</v>
      </c>
      <c r="B5723" s="2" t="s">
        <v>5798</v>
      </c>
      <c r="C5723" s="2" t="str">
        <f>"09577734"</f>
        <v>09577734</v>
      </c>
      <c r="D5723" s="2">
        <v>0.32500000000000001</v>
      </c>
      <c r="E5723" s="2">
        <v>17</v>
      </c>
      <c r="F5723" s="2" t="s">
        <v>16</v>
      </c>
    </row>
    <row r="5724" spans="1:6" ht="25.5">
      <c r="A5724" s="2">
        <v>5721</v>
      </c>
      <c r="B5724" s="2" t="s">
        <v>5799</v>
      </c>
      <c r="C5724" s="2" t="str">
        <f>"04251644"</f>
        <v>04251644</v>
      </c>
      <c r="D5724" s="2">
        <v>0.97</v>
      </c>
      <c r="E5724" s="2">
        <v>51</v>
      </c>
      <c r="F5724" s="2" t="s">
        <v>16</v>
      </c>
    </row>
    <row r="5725" spans="1:6">
      <c r="A5725" s="2">
        <v>5722</v>
      </c>
      <c r="B5725" s="2" t="s">
        <v>5800</v>
      </c>
      <c r="C5725" s="2" t="str">
        <f>"0"</f>
        <v>0</v>
      </c>
      <c r="D5725" s="2">
        <v>0.314</v>
      </c>
      <c r="E5725" s="2">
        <v>30</v>
      </c>
      <c r="F5725" s="2" t="s">
        <v>16</v>
      </c>
    </row>
    <row r="5726" spans="1:6" ht="25.5">
      <c r="A5726" s="2">
        <v>5723</v>
      </c>
      <c r="B5726" s="2" t="s">
        <v>5801</v>
      </c>
      <c r="C5726" s="2" t="str">
        <f>"10665684"</f>
        <v>10665684</v>
      </c>
      <c r="D5726" s="2">
        <v>0.27700000000000002</v>
      </c>
      <c r="E5726" s="2">
        <v>7</v>
      </c>
      <c r="F5726" s="2" t="s">
        <v>16</v>
      </c>
    </row>
    <row r="5727" spans="1:6" ht="25.5">
      <c r="A5727" s="2">
        <v>5724</v>
      </c>
      <c r="B5727" s="2" t="s">
        <v>5802</v>
      </c>
      <c r="C5727" s="2" t="str">
        <f>"18639038"</f>
        <v>18639038</v>
      </c>
      <c r="D5727" s="2">
        <v>0.13</v>
      </c>
      <c r="E5727" s="2">
        <v>2</v>
      </c>
      <c r="F5727" s="2" t="s">
        <v>12</v>
      </c>
    </row>
    <row r="5728" spans="1:6" ht="25.5">
      <c r="A5728" s="2">
        <v>5725</v>
      </c>
      <c r="B5728" s="2" t="s">
        <v>5803</v>
      </c>
      <c r="C5728" s="2" t="str">
        <f>"1300199X"</f>
        <v>1300199X</v>
      </c>
      <c r="D5728" s="2">
        <v>0.10199999999999999</v>
      </c>
      <c r="E5728" s="2">
        <v>5</v>
      </c>
      <c r="F5728" s="2" t="s">
        <v>345</v>
      </c>
    </row>
    <row r="5729" spans="1:6" ht="25.5">
      <c r="A5729" s="2">
        <v>5726</v>
      </c>
      <c r="B5729" s="2" t="s">
        <v>5804</v>
      </c>
      <c r="C5729" s="2" t="str">
        <f>"00140015"</f>
        <v>00140015</v>
      </c>
      <c r="D5729" s="2">
        <v>0.64200000000000002</v>
      </c>
      <c r="E5729" s="2">
        <v>18</v>
      </c>
      <c r="F5729" s="2" t="s">
        <v>12</v>
      </c>
    </row>
    <row r="5730" spans="1:6" ht="25.5">
      <c r="A5730" s="2">
        <v>5727</v>
      </c>
      <c r="B5730" s="2" t="s">
        <v>5805</v>
      </c>
      <c r="C5730" s="2" t="str">
        <f>"19415842"</f>
        <v>19415842</v>
      </c>
      <c r="D5730" s="2">
        <v>0.10100000000000001</v>
      </c>
      <c r="E5730" s="2">
        <v>1</v>
      </c>
      <c r="F5730" s="2" t="s">
        <v>6</v>
      </c>
    </row>
    <row r="5731" spans="1:6" ht="25.5">
      <c r="A5731" s="2">
        <v>5728</v>
      </c>
      <c r="B5731" s="2" t="s">
        <v>5806</v>
      </c>
      <c r="C5731" s="2" t="str">
        <f>"00711136"</f>
        <v>00711136</v>
      </c>
      <c r="D5731" s="2">
        <v>0.28799999999999998</v>
      </c>
      <c r="E5731" s="2">
        <v>5</v>
      </c>
      <c r="F5731" s="2" t="s">
        <v>12</v>
      </c>
    </row>
    <row r="5732" spans="1:6" ht="25.5">
      <c r="A5732" s="2">
        <v>5729</v>
      </c>
      <c r="B5732" s="2" t="s">
        <v>5807</v>
      </c>
      <c r="C5732" s="2" t="str">
        <f>"14694417"</f>
        <v>14694417</v>
      </c>
      <c r="D5732" s="2">
        <v>1.4910000000000001</v>
      </c>
      <c r="E5732" s="2">
        <v>34</v>
      </c>
      <c r="F5732" s="2" t="s">
        <v>16</v>
      </c>
    </row>
    <row r="5733" spans="1:6" ht="25.5">
      <c r="A5733" s="2">
        <v>5730</v>
      </c>
      <c r="B5733" s="2" t="s">
        <v>5808</v>
      </c>
      <c r="C5733" s="2" t="str">
        <f>"13665847"</f>
        <v>13665847</v>
      </c>
      <c r="D5733" s="2">
        <v>0.89700000000000002</v>
      </c>
      <c r="E5733" s="2">
        <v>60</v>
      </c>
      <c r="F5733" s="2" t="s">
        <v>16</v>
      </c>
    </row>
    <row r="5734" spans="1:6" ht="25.5">
      <c r="A5734" s="2">
        <v>5731</v>
      </c>
      <c r="B5734" s="2" t="s">
        <v>5809</v>
      </c>
      <c r="C5734" s="2" t="str">
        <f>"10648046"</f>
        <v>10648046</v>
      </c>
      <c r="D5734" s="2">
        <v>0.14099999999999999</v>
      </c>
      <c r="E5734" s="2">
        <v>12</v>
      </c>
      <c r="F5734" s="2" t="s">
        <v>6</v>
      </c>
    </row>
    <row r="5735" spans="1:6" ht="25.5">
      <c r="A5735" s="2">
        <v>5732</v>
      </c>
      <c r="B5735" s="2" t="s">
        <v>5810</v>
      </c>
      <c r="C5735" s="2" t="str">
        <f>"09428623"</f>
        <v>09428623</v>
      </c>
      <c r="D5735" s="2">
        <v>0.1</v>
      </c>
      <c r="E5735" s="2">
        <v>3</v>
      </c>
      <c r="F5735" s="2" t="s">
        <v>12</v>
      </c>
    </row>
    <row r="5736" spans="1:6" ht="25.5">
      <c r="A5736" s="2">
        <v>5733</v>
      </c>
      <c r="B5736" s="2" t="s">
        <v>5811</v>
      </c>
      <c r="C5736" s="2" t="str">
        <f>"20090056"</f>
        <v>20090056</v>
      </c>
      <c r="D5736" s="2">
        <v>0.104</v>
      </c>
      <c r="E5736" s="2">
        <v>0</v>
      </c>
      <c r="F5736" s="2" t="s">
        <v>732</v>
      </c>
    </row>
    <row r="5737" spans="1:6" ht="25.5">
      <c r="A5737" s="2">
        <v>5734</v>
      </c>
      <c r="B5737" s="2" t="s">
        <v>5812</v>
      </c>
      <c r="C5737" s="2" t="str">
        <f>"01650106"</f>
        <v>01650106</v>
      </c>
      <c r="D5737" s="2">
        <v>0.62</v>
      </c>
      <c r="E5737" s="2">
        <v>14</v>
      </c>
      <c r="F5737" s="2" t="s">
        <v>75</v>
      </c>
    </row>
    <row r="5738" spans="1:6" ht="25.5">
      <c r="A5738" s="2">
        <v>5735</v>
      </c>
      <c r="B5738" s="2" t="s">
        <v>5813</v>
      </c>
      <c r="C5738" s="2" t="str">
        <f>"02501554"</f>
        <v>02501554</v>
      </c>
      <c r="D5738" s="2">
        <v>0.10199999999999999</v>
      </c>
      <c r="E5738" s="2">
        <v>1</v>
      </c>
      <c r="F5738" s="2" t="s">
        <v>288</v>
      </c>
    </row>
    <row r="5739" spans="1:6" ht="25.5">
      <c r="A5739" s="2">
        <v>5736</v>
      </c>
      <c r="B5739" s="2" t="s">
        <v>5814</v>
      </c>
      <c r="C5739" s="2" t="str">
        <f>"03402371"</f>
        <v>03402371</v>
      </c>
      <c r="D5739" s="2">
        <v>0.2</v>
      </c>
      <c r="E5739" s="2">
        <v>9</v>
      </c>
      <c r="F5739" s="2" t="s">
        <v>12</v>
      </c>
    </row>
    <row r="5740" spans="1:6" ht="25.5">
      <c r="A5740" s="2">
        <v>5737</v>
      </c>
      <c r="B5740" s="2" t="s">
        <v>5815</v>
      </c>
      <c r="C5740" s="2" t="str">
        <f>"10737227"</f>
        <v>10737227</v>
      </c>
      <c r="D5740" s="2">
        <v>0.1</v>
      </c>
      <c r="E5740" s="2">
        <v>1</v>
      </c>
      <c r="F5740" s="2" t="s">
        <v>6</v>
      </c>
    </row>
    <row r="5741" spans="1:6" ht="25.5">
      <c r="A5741" s="2">
        <v>5738</v>
      </c>
      <c r="B5741" s="2" t="s">
        <v>5816</v>
      </c>
      <c r="C5741" s="2" t="str">
        <f>"14390302"</f>
        <v>14390302</v>
      </c>
      <c r="D5741" s="2">
        <v>0.17299999999999999</v>
      </c>
      <c r="E5741" s="2">
        <v>8</v>
      </c>
      <c r="F5741" s="2" t="s">
        <v>12</v>
      </c>
    </row>
    <row r="5742" spans="1:6" ht="25.5">
      <c r="A5742" s="2">
        <v>5739</v>
      </c>
      <c r="B5742" s="2" t="s">
        <v>5817</v>
      </c>
      <c r="C5742" s="2" t="str">
        <f>"12928119"</f>
        <v>12928119</v>
      </c>
      <c r="D5742" s="2">
        <v>1.1339999999999999</v>
      </c>
      <c r="E5742" s="2">
        <v>27</v>
      </c>
      <c r="F5742" s="2" t="s">
        <v>66</v>
      </c>
    </row>
    <row r="5743" spans="1:6" ht="25.5">
      <c r="A5743" s="2">
        <v>5740</v>
      </c>
      <c r="B5743" s="2" t="s">
        <v>5818</v>
      </c>
      <c r="C5743" s="2" t="str">
        <f>"12928100"</f>
        <v>12928100</v>
      </c>
      <c r="D5743" s="2">
        <v>0.25</v>
      </c>
      <c r="E5743" s="2">
        <v>11</v>
      </c>
      <c r="F5743" s="2" t="s">
        <v>66</v>
      </c>
    </row>
    <row r="5744" spans="1:6" ht="25.5">
      <c r="A5744" s="2">
        <v>5741</v>
      </c>
      <c r="B5744" s="2" t="s">
        <v>5819</v>
      </c>
      <c r="C5744" s="2" t="str">
        <f>"16129067"</f>
        <v>16129067</v>
      </c>
      <c r="D5744" s="2">
        <v>0.26800000000000002</v>
      </c>
      <c r="E5744" s="2">
        <v>9</v>
      </c>
      <c r="F5744" s="2" t="s">
        <v>131</v>
      </c>
    </row>
    <row r="5745" spans="1:6" ht="25.5">
      <c r="A5745" s="2">
        <v>5742</v>
      </c>
      <c r="B5745" s="2" t="s">
        <v>5820</v>
      </c>
      <c r="C5745" s="2" t="str">
        <f>"00462497"</f>
        <v>00462497</v>
      </c>
      <c r="D5745" s="2">
        <v>0.14699999999999999</v>
      </c>
      <c r="E5745" s="2">
        <v>10</v>
      </c>
      <c r="F5745" s="2" t="s">
        <v>66</v>
      </c>
    </row>
    <row r="5746" spans="1:6" ht="25.5">
      <c r="A5746" s="2">
        <v>5743</v>
      </c>
      <c r="B5746" s="2" t="s">
        <v>5821</v>
      </c>
      <c r="C5746" s="2" t="str">
        <f>"07557809"</f>
        <v>07557809</v>
      </c>
      <c r="D5746" s="2">
        <v>0.10199999999999999</v>
      </c>
      <c r="E5746" s="2">
        <v>6</v>
      </c>
      <c r="F5746" s="2" t="s">
        <v>66</v>
      </c>
    </row>
    <row r="5747" spans="1:6" ht="25.5">
      <c r="A5747" s="2">
        <v>5744</v>
      </c>
      <c r="B5747" s="2" t="s">
        <v>5822</v>
      </c>
      <c r="C5747" s="2" t="str">
        <f>"07981015"</f>
        <v>07981015</v>
      </c>
      <c r="D5747" s="2">
        <v>0.128</v>
      </c>
      <c r="E5747" s="2">
        <v>1</v>
      </c>
      <c r="F5747" s="2" t="s">
        <v>40</v>
      </c>
    </row>
    <row r="5748" spans="1:6" ht="25.5">
      <c r="A5748" s="2">
        <v>5745</v>
      </c>
      <c r="B5748" s="2" t="s">
        <v>5823</v>
      </c>
      <c r="C5748" s="2" t="str">
        <f>"17514991"</f>
        <v>17514991</v>
      </c>
      <c r="D5748" s="2">
        <v>0.157</v>
      </c>
      <c r="E5748" s="2">
        <v>6</v>
      </c>
      <c r="F5748" s="2" t="s">
        <v>75</v>
      </c>
    </row>
    <row r="5749" spans="1:6" ht="25.5">
      <c r="A5749" s="2">
        <v>5746</v>
      </c>
      <c r="B5749" s="2" t="s">
        <v>5824</v>
      </c>
      <c r="C5749" s="2" t="str">
        <f>"19310234"</f>
        <v>19310234</v>
      </c>
      <c r="D5749" s="2">
        <v>0.1</v>
      </c>
      <c r="E5749" s="2">
        <v>2</v>
      </c>
      <c r="F5749" s="2" t="s">
        <v>6</v>
      </c>
    </row>
    <row r="5750" spans="1:6" ht="25.5">
      <c r="A5750" s="2">
        <v>5747</v>
      </c>
      <c r="B5750" s="2" t="s">
        <v>5825</v>
      </c>
      <c r="C5750" s="2" t="str">
        <f>"00938297"</f>
        <v>00938297</v>
      </c>
      <c r="D5750" s="2">
        <v>0.14299999999999999</v>
      </c>
      <c r="E5750" s="2">
        <v>3</v>
      </c>
      <c r="F5750" s="2" t="s">
        <v>6</v>
      </c>
    </row>
    <row r="5751" spans="1:6" ht="25.5">
      <c r="A5751" s="2">
        <v>5748</v>
      </c>
      <c r="B5751" s="2" t="s">
        <v>5826</v>
      </c>
      <c r="C5751" s="2" t="str">
        <f>"17762839"</f>
        <v>17762839</v>
      </c>
      <c r="D5751" s="2">
        <v>0.1</v>
      </c>
      <c r="E5751" s="2">
        <v>2</v>
      </c>
      <c r="F5751" s="2" t="s">
        <v>66</v>
      </c>
    </row>
    <row r="5752" spans="1:6" ht="25.5">
      <c r="A5752" s="2">
        <v>5749</v>
      </c>
      <c r="B5752" s="2" t="s">
        <v>5827</v>
      </c>
      <c r="C5752" s="2" t="str">
        <f>"00711357"</f>
        <v>00711357</v>
      </c>
      <c r="D5752" s="2">
        <v>0.10100000000000001</v>
      </c>
      <c r="E5752" s="2">
        <v>1</v>
      </c>
      <c r="F5752" s="2" t="s">
        <v>6</v>
      </c>
    </row>
    <row r="5753" spans="1:6" ht="25.5">
      <c r="A5753" s="2">
        <v>5750</v>
      </c>
      <c r="B5753" s="2" t="s">
        <v>5828</v>
      </c>
      <c r="C5753" s="2" t="str">
        <f>"00711365"</f>
        <v>00711365</v>
      </c>
      <c r="D5753" s="2">
        <v>1.756</v>
      </c>
      <c r="E5753" s="2">
        <v>34</v>
      </c>
      <c r="F5753" s="2" t="s">
        <v>16</v>
      </c>
    </row>
    <row r="5754" spans="1:6" ht="25.5">
      <c r="A5754" s="2">
        <v>5751</v>
      </c>
      <c r="B5754" s="2" t="s">
        <v>5829</v>
      </c>
      <c r="C5754" s="2" t="str">
        <f>"14716852"</f>
        <v>14716852</v>
      </c>
      <c r="D5754" s="2">
        <v>0.111</v>
      </c>
      <c r="E5754" s="2">
        <v>5</v>
      </c>
      <c r="F5754" s="2" t="s">
        <v>16</v>
      </c>
    </row>
    <row r="5755" spans="1:6" ht="25.5">
      <c r="A5755" s="2">
        <v>5752</v>
      </c>
      <c r="B5755" s="2" t="s">
        <v>5830</v>
      </c>
      <c r="C5755" s="2" t="str">
        <f>"00141291"</f>
        <v>00141291</v>
      </c>
      <c r="D5755" s="2">
        <v>0.10100000000000001</v>
      </c>
      <c r="E5755" s="2">
        <v>1</v>
      </c>
      <c r="F5755" s="2" t="s">
        <v>208</v>
      </c>
    </row>
    <row r="5756" spans="1:6" ht="25.5">
      <c r="A5756" s="2">
        <v>5753</v>
      </c>
      <c r="B5756" s="2" t="s">
        <v>5831</v>
      </c>
      <c r="C5756" s="2" t="str">
        <f>"17367484"</f>
        <v>17367484</v>
      </c>
      <c r="D5756" s="2">
        <v>0.22500000000000001</v>
      </c>
      <c r="E5756" s="2">
        <v>2</v>
      </c>
      <c r="F5756" s="2" t="s">
        <v>265</v>
      </c>
    </row>
    <row r="5757" spans="1:6" ht="25.5">
      <c r="A5757" s="2">
        <v>5754</v>
      </c>
      <c r="B5757" s="2" t="s">
        <v>5832</v>
      </c>
      <c r="C5757" s="2" t="str">
        <f>"17364728"</f>
        <v>17364728</v>
      </c>
      <c r="D5757" s="2">
        <v>0.54900000000000004</v>
      </c>
      <c r="E5757" s="2">
        <v>13</v>
      </c>
      <c r="F5757" s="2" t="s">
        <v>265</v>
      </c>
    </row>
    <row r="5758" spans="1:6" ht="25.5">
      <c r="A5758" s="2">
        <v>5755</v>
      </c>
      <c r="B5758" s="2" t="s">
        <v>5833</v>
      </c>
      <c r="C5758" s="2" t="str">
        <f>"1736602X"</f>
        <v>1736602X</v>
      </c>
      <c r="D5758" s="2">
        <v>0.2</v>
      </c>
      <c r="E5758" s="2">
        <v>5</v>
      </c>
      <c r="F5758" s="2" t="s">
        <v>265</v>
      </c>
    </row>
    <row r="5759" spans="1:6" ht="25.5">
      <c r="A5759" s="2">
        <v>5756</v>
      </c>
      <c r="B5759" s="2" t="s">
        <v>5834</v>
      </c>
      <c r="C5759" s="2" t="str">
        <f>"15592723"</f>
        <v>15592723</v>
      </c>
      <c r="D5759" s="2">
        <v>1.111</v>
      </c>
      <c r="E5759" s="2">
        <v>61</v>
      </c>
      <c r="F5759" s="2" t="s">
        <v>6</v>
      </c>
    </row>
    <row r="5760" spans="1:6" ht="25.5">
      <c r="A5760" s="2">
        <v>5757</v>
      </c>
      <c r="B5760" s="2" t="s">
        <v>5835</v>
      </c>
      <c r="C5760" s="2" t="str">
        <f>"19060015"</f>
        <v>19060015</v>
      </c>
      <c r="D5760" s="2">
        <v>1.0349999999999999</v>
      </c>
      <c r="E5760" s="2">
        <v>72</v>
      </c>
      <c r="F5760" s="2" t="s">
        <v>6</v>
      </c>
    </row>
    <row r="5761" spans="1:6" ht="25.5">
      <c r="A5761" s="2">
        <v>5758</v>
      </c>
      <c r="B5761" s="2" t="s">
        <v>5836</v>
      </c>
      <c r="C5761" s="2" t="str">
        <f>"07181043"</f>
        <v>07181043</v>
      </c>
      <c r="D5761" s="2">
        <v>0.11799999999999999</v>
      </c>
      <c r="E5761" s="2">
        <v>4</v>
      </c>
      <c r="F5761" s="2" t="s">
        <v>182</v>
      </c>
    </row>
    <row r="5762" spans="1:6" ht="25.5">
      <c r="A5762" s="2">
        <v>5759</v>
      </c>
      <c r="B5762" s="2" t="s">
        <v>5837</v>
      </c>
      <c r="C5762" s="2" t="str">
        <f>"07180195"</f>
        <v>07180195</v>
      </c>
      <c r="D5762" s="2">
        <v>0.19700000000000001</v>
      </c>
      <c r="E5762" s="2">
        <v>2</v>
      </c>
      <c r="F5762" s="2" t="s">
        <v>182</v>
      </c>
    </row>
    <row r="5763" spans="1:6" ht="25.5">
      <c r="A5763" s="2">
        <v>5760</v>
      </c>
      <c r="B5763" s="2" t="s">
        <v>5838</v>
      </c>
      <c r="C5763" s="2" t="str">
        <f>"07185286"</f>
        <v>07185286</v>
      </c>
      <c r="D5763" s="2">
        <v>0.16400000000000001</v>
      </c>
      <c r="E5763" s="2">
        <v>3</v>
      </c>
      <c r="F5763" s="2" t="s">
        <v>182</v>
      </c>
    </row>
    <row r="5764" spans="1:6" ht="25.5">
      <c r="A5764" s="2">
        <v>5761</v>
      </c>
      <c r="B5764" s="2" t="s">
        <v>5839</v>
      </c>
      <c r="C5764" s="2" t="str">
        <f>"15755533"</f>
        <v>15755533</v>
      </c>
      <c r="D5764" s="2">
        <v>0.10299999999999999</v>
      </c>
      <c r="E5764" s="2">
        <v>1</v>
      </c>
      <c r="F5764" s="2" t="s">
        <v>351</v>
      </c>
    </row>
    <row r="5765" spans="1:6" ht="25.5">
      <c r="A5765" s="2">
        <v>5762</v>
      </c>
      <c r="B5765" s="2" t="s">
        <v>5840</v>
      </c>
      <c r="C5765" s="2" t="str">
        <f>"01852620"</f>
        <v>01852620</v>
      </c>
      <c r="D5765" s="2">
        <v>0.10100000000000001</v>
      </c>
      <c r="E5765" s="2">
        <v>1</v>
      </c>
      <c r="F5765" s="2" t="s">
        <v>200</v>
      </c>
    </row>
    <row r="5766" spans="1:6" ht="25.5">
      <c r="A5766" s="2">
        <v>5763</v>
      </c>
      <c r="B5766" s="2" t="s">
        <v>5841</v>
      </c>
      <c r="C5766" s="2" t="str">
        <f>"15765059"</f>
        <v>15765059</v>
      </c>
      <c r="D5766" s="2">
        <v>0</v>
      </c>
      <c r="E5766" s="2">
        <v>0</v>
      </c>
      <c r="F5766" s="2" t="s">
        <v>351</v>
      </c>
    </row>
    <row r="5767" spans="1:6" ht="25.5">
      <c r="A5767" s="2">
        <v>5764</v>
      </c>
      <c r="B5767" s="2" t="s">
        <v>5842</v>
      </c>
      <c r="C5767" s="2" t="str">
        <f>"15793699"</f>
        <v>15793699</v>
      </c>
      <c r="D5767" s="2">
        <v>0.17599999999999999</v>
      </c>
      <c r="E5767" s="2">
        <v>3</v>
      </c>
      <c r="F5767" s="2" t="s">
        <v>351</v>
      </c>
    </row>
    <row r="5768" spans="1:6" ht="25.5">
      <c r="A5768" s="2">
        <v>5765</v>
      </c>
      <c r="B5768" s="2" t="s">
        <v>5843</v>
      </c>
      <c r="C5768" s="2" t="str">
        <f>"07176171"</f>
        <v>07176171</v>
      </c>
      <c r="D5768" s="2">
        <v>0.1</v>
      </c>
      <c r="E5768" s="2">
        <v>2</v>
      </c>
      <c r="F5768" s="2" t="s">
        <v>182</v>
      </c>
    </row>
    <row r="5769" spans="1:6" ht="25.5">
      <c r="A5769" s="2">
        <v>5766</v>
      </c>
      <c r="B5769" s="2" t="s">
        <v>5844</v>
      </c>
      <c r="C5769" s="2" t="str">
        <f>"00141496"</f>
        <v>00141496</v>
      </c>
      <c r="D5769" s="2">
        <v>0.13800000000000001</v>
      </c>
      <c r="E5769" s="2">
        <v>4</v>
      </c>
      <c r="F5769" s="2" t="s">
        <v>351</v>
      </c>
    </row>
    <row r="5770" spans="1:6" ht="25.5">
      <c r="A5770" s="2">
        <v>5767</v>
      </c>
      <c r="B5770" s="2" t="s">
        <v>5845</v>
      </c>
      <c r="C5770" s="2" t="str">
        <f>"03670449"</f>
        <v>03670449</v>
      </c>
      <c r="D5770" s="2">
        <v>0.20899999999999999</v>
      </c>
      <c r="E5770" s="2">
        <v>13</v>
      </c>
      <c r="F5770" s="2" t="s">
        <v>351</v>
      </c>
    </row>
    <row r="5771" spans="1:6" ht="25.5">
      <c r="A5771" s="2">
        <v>5768</v>
      </c>
      <c r="B5771" s="2" t="s">
        <v>5846</v>
      </c>
      <c r="C5771" s="2" t="str">
        <f>"1699311X"</f>
        <v>1699311X</v>
      </c>
      <c r="D5771" s="2">
        <v>0</v>
      </c>
      <c r="E5771" s="2">
        <v>0</v>
      </c>
      <c r="F5771" s="2" t="s">
        <v>351</v>
      </c>
    </row>
    <row r="5772" spans="1:6" ht="25.5">
      <c r="A5772" s="2">
        <v>5769</v>
      </c>
      <c r="B5772" s="2" t="s">
        <v>5847</v>
      </c>
      <c r="C5772" s="2" t="str">
        <f>"03267458"</f>
        <v>03267458</v>
      </c>
      <c r="D5772" s="2">
        <v>0.10100000000000001</v>
      </c>
      <c r="E5772" s="2">
        <v>4</v>
      </c>
      <c r="F5772" s="2" t="s">
        <v>192</v>
      </c>
    </row>
    <row r="5773" spans="1:6" ht="25.5">
      <c r="A5773" s="2">
        <v>5770</v>
      </c>
      <c r="B5773" s="2" t="s">
        <v>5848</v>
      </c>
      <c r="C5773" s="2" t="str">
        <f>"0716050X"</f>
        <v>0716050X</v>
      </c>
      <c r="D5773" s="2">
        <v>0.158</v>
      </c>
      <c r="E5773" s="2">
        <v>3</v>
      </c>
      <c r="F5773" s="2" t="s">
        <v>182</v>
      </c>
    </row>
    <row r="5774" spans="1:6" ht="25.5">
      <c r="A5774" s="2">
        <v>5771</v>
      </c>
      <c r="B5774" s="2" t="s">
        <v>5849</v>
      </c>
      <c r="C5774" s="2" t="str">
        <f>"1989614X"</f>
        <v>1989614X</v>
      </c>
      <c r="D5774" s="2">
        <v>0.126</v>
      </c>
      <c r="E5774" s="2">
        <v>0</v>
      </c>
      <c r="F5774" s="2" t="s">
        <v>351</v>
      </c>
    </row>
    <row r="5775" spans="1:6" ht="25.5">
      <c r="A5775" s="2">
        <v>5772</v>
      </c>
      <c r="B5775" s="2" t="s">
        <v>5850</v>
      </c>
      <c r="C5775" s="2" t="str">
        <f>"15787001"</f>
        <v>15787001</v>
      </c>
      <c r="D5775" s="2">
        <v>0.11</v>
      </c>
      <c r="E5775" s="2">
        <v>2</v>
      </c>
      <c r="F5775" s="2" t="s">
        <v>351</v>
      </c>
    </row>
    <row r="5776" spans="1:6" ht="25.5">
      <c r="A5776" s="2">
        <v>5773</v>
      </c>
      <c r="B5776" s="2" t="s">
        <v>5851</v>
      </c>
      <c r="C5776" s="2" t="str">
        <f>"19882696"</f>
        <v>19882696</v>
      </c>
      <c r="D5776" s="2">
        <v>0.19800000000000001</v>
      </c>
      <c r="E5776" s="2">
        <v>2</v>
      </c>
      <c r="F5776" s="2" t="s">
        <v>351</v>
      </c>
    </row>
    <row r="5777" spans="1:6" ht="25.5">
      <c r="A5777" s="2">
        <v>5774</v>
      </c>
      <c r="B5777" s="2" t="s">
        <v>5852</v>
      </c>
      <c r="C5777" s="2" t="str">
        <f>"18069592"</f>
        <v>18069592</v>
      </c>
      <c r="D5777" s="2">
        <v>0.158</v>
      </c>
      <c r="E5777" s="2">
        <v>7</v>
      </c>
      <c r="F5777" s="2" t="s">
        <v>159</v>
      </c>
    </row>
    <row r="5778" spans="1:6" ht="25.5">
      <c r="A5778" s="2">
        <v>5775</v>
      </c>
      <c r="B5778" s="2" t="s">
        <v>5853</v>
      </c>
      <c r="C5778" s="2" t="str">
        <f>"18892566"</f>
        <v>18892566</v>
      </c>
      <c r="D5778" s="2">
        <v>0.10100000000000001</v>
      </c>
      <c r="E5778" s="2">
        <v>1</v>
      </c>
      <c r="F5778" s="2" t="s">
        <v>351</v>
      </c>
    </row>
    <row r="5779" spans="1:6" ht="25.5">
      <c r="A5779" s="2">
        <v>5776</v>
      </c>
      <c r="B5779" s="2" t="s">
        <v>5854</v>
      </c>
      <c r="C5779" s="2" t="str">
        <f>"1413294X"</f>
        <v>1413294X</v>
      </c>
      <c r="D5779" s="2">
        <v>0.16800000000000001</v>
      </c>
      <c r="E5779" s="2">
        <v>4</v>
      </c>
      <c r="F5779" s="2" t="s">
        <v>159</v>
      </c>
    </row>
    <row r="5780" spans="1:6" ht="25.5">
      <c r="A5780" s="2">
        <v>5777</v>
      </c>
      <c r="B5780" s="2" t="s">
        <v>5855</v>
      </c>
      <c r="C5780" s="2" t="str">
        <f>"19805357"</f>
        <v>19805357</v>
      </c>
      <c r="D5780" s="2">
        <v>0.125</v>
      </c>
      <c r="E5780" s="2">
        <v>2</v>
      </c>
      <c r="F5780" s="2" t="s">
        <v>159</v>
      </c>
    </row>
    <row r="5781" spans="1:6" ht="25.5">
      <c r="A5781" s="2">
        <v>5778</v>
      </c>
      <c r="B5781" s="2" t="s">
        <v>5856</v>
      </c>
      <c r="C5781" s="2" t="str">
        <f>"18069584"</f>
        <v>18069584</v>
      </c>
      <c r="D5781" s="2">
        <v>0.184</v>
      </c>
      <c r="E5781" s="2">
        <v>4</v>
      </c>
      <c r="F5781" s="2" t="s">
        <v>159</v>
      </c>
    </row>
    <row r="5782" spans="1:6" ht="25.5">
      <c r="A5782" s="2">
        <v>5779</v>
      </c>
      <c r="B5782" s="2" t="s">
        <v>5857</v>
      </c>
      <c r="C5782" s="2" t="str">
        <f>"1980864X"</f>
        <v>1980864X</v>
      </c>
      <c r="D5782" s="2">
        <v>0.10100000000000001</v>
      </c>
      <c r="E5782" s="2">
        <v>1</v>
      </c>
      <c r="F5782" s="2" t="s">
        <v>159</v>
      </c>
    </row>
    <row r="5783" spans="1:6" ht="25.5">
      <c r="A5783" s="2">
        <v>5780</v>
      </c>
      <c r="B5783" s="2" t="s">
        <v>5858</v>
      </c>
      <c r="C5783" s="2" t="str">
        <f>"15594343"</f>
        <v>15594343</v>
      </c>
      <c r="D5783" s="2">
        <v>0.128</v>
      </c>
      <c r="E5783" s="2">
        <v>8</v>
      </c>
      <c r="F5783" s="2" t="s">
        <v>12</v>
      </c>
    </row>
    <row r="5784" spans="1:6" ht="25.5">
      <c r="A5784" s="2">
        <v>5781</v>
      </c>
      <c r="B5784" s="2" t="s">
        <v>5859</v>
      </c>
      <c r="C5784" s="2" t="str">
        <f>"13700049"</f>
        <v>13700049</v>
      </c>
      <c r="D5784" s="2">
        <v>0.109</v>
      </c>
      <c r="E5784" s="2">
        <v>4</v>
      </c>
      <c r="F5784" s="2" t="s">
        <v>161</v>
      </c>
    </row>
    <row r="5785" spans="1:6" ht="25.5">
      <c r="A5785" s="2">
        <v>5782</v>
      </c>
      <c r="B5785" s="2" t="s">
        <v>5860</v>
      </c>
      <c r="C5785" s="2" t="str">
        <f>"13862820"</f>
        <v>13862820</v>
      </c>
      <c r="D5785" s="2">
        <v>0.27800000000000002</v>
      </c>
      <c r="E5785" s="2">
        <v>8</v>
      </c>
      <c r="F5785" s="2" t="s">
        <v>75</v>
      </c>
    </row>
    <row r="5786" spans="1:6" ht="25.5">
      <c r="A5786" s="2">
        <v>5783</v>
      </c>
      <c r="B5786" s="2" t="s">
        <v>5861</v>
      </c>
      <c r="C5786" s="2" t="str">
        <f>"1539297X"</f>
        <v>1539297X</v>
      </c>
      <c r="D5786" s="2">
        <v>2.02</v>
      </c>
      <c r="E5786" s="2">
        <v>30</v>
      </c>
      <c r="F5786" s="2" t="s">
        <v>6</v>
      </c>
    </row>
    <row r="5787" spans="1:6" ht="25.5">
      <c r="A5787" s="2">
        <v>5784</v>
      </c>
      <c r="B5787" s="2" t="s">
        <v>5862</v>
      </c>
      <c r="C5787" s="2" t="str">
        <f>"15327019"</f>
        <v>15327019</v>
      </c>
      <c r="D5787" s="2">
        <v>0.33200000000000002</v>
      </c>
      <c r="E5787" s="2">
        <v>21</v>
      </c>
      <c r="F5787" s="2" t="s">
        <v>16</v>
      </c>
    </row>
    <row r="5788" spans="1:6" ht="25.5">
      <c r="A5788" s="2">
        <v>5785</v>
      </c>
      <c r="B5788" s="2" t="s">
        <v>5863</v>
      </c>
      <c r="C5788" s="2" t="str">
        <f>"17449650"</f>
        <v>17449650</v>
      </c>
      <c r="D5788" s="2">
        <v>0.17299999999999999</v>
      </c>
      <c r="E5788" s="2">
        <v>2</v>
      </c>
      <c r="F5788" s="2" t="s">
        <v>6</v>
      </c>
    </row>
    <row r="5789" spans="1:6" ht="25.5">
      <c r="A5789" s="2">
        <v>5786</v>
      </c>
      <c r="B5789" s="2" t="s">
        <v>5864</v>
      </c>
      <c r="C5789" s="2" t="str">
        <f>"16546369"</f>
        <v>16546369</v>
      </c>
      <c r="D5789" s="2">
        <v>0.17199999999999999</v>
      </c>
      <c r="E5789" s="2">
        <v>3</v>
      </c>
      <c r="F5789" s="2" t="s">
        <v>151</v>
      </c>
    </row>
    <row r="5790" spans="1:6" ht="25.5">
      <c r="A5790" s="2">
        <v>5787</v>
      </c>
      <c r="B5790" s="2" t="s">
        <v>5865</v>
      </c>
      <c r="C5790" s="2" t="str">
        <f>"13881957"</f>
        <v>13881957</v>
      </c>
      <c r="D5790" s="2">
        <v>0.36299999999999999</v>
      </c>
      <c r="E5790" s="2">
        <v>20</v>
      </c>
      <c r="F5790" s="2" t="s">
        <v>75</v>
      </c>
    </row>
    <row r="5791" spans="1:6" ht="25.5">
      <c r="A5791" s="2">
        <v>5788</v>
      </c>
      <c r="B5791" s="2" t="s">
        <v>5866</v>
      </c>
      <c r="C5791" s="2" t="str">
        <f>"16118014"</f>
        <v>16118014</v>
      </c>
      <c r="D5791" s="2">
        <v>0.111</v>
      </c>
      <c r="E5791" s="2">
        <v>9</v>
      </c>
      <c r="F5791" s="2" t="s">
        <v>12</v>
      </c>
    </row>
    <row r="5792" spans="1:6" ht="25.5">
      <c r="A5792" s="2">
        <v>5789</v>
      </c>
      <c r="B5792" s="2" t="s">
        <v>5867</v>
      </c>
      <c r="C5792" s="2" t="str">
        <f>"0266688X"</f>
        <v>0266688X</v>
      </c>
      <c r="D5792" s="2">
        <v>0.112</v>
      </c>
      <c r="E5792" s="2">
        <v>6</v>
      </c>
      <c r="F5792" s="2" t="s">
        <v>6</v>
      </c>
    </row>
    <row r="5793" spans="1:6" ht="25.5">
      <c r="A5793" s="2">
        <v>5790</v>
      </c>
      <c r="B5793" s="2" t="s">
        <v>5868</v>
      </c>
      <c r="C5793" s="2" t="str">
        <f>"14696703"</f>
        <v>14696703</v>
      </c>
      <c r="D5793" s="2">
        <v>0.27600000000000002</v>
      </c>
      <c r="E5793" s="2">
        <v>16</v>
      </c>
      <c r="F5793" s="2" t="s">
        <v>16</v>
      </c>
    </row>
    <row r="5794" spans="1:6" ht="25.5">
      <c r="A5794" s="2">
        <v>5791</v>
      </c>
      <c r="B5794" s="2" t="s">
        <v>5869</v>
      </c>
      <c r="C5794" s="2" t="str">
        <f>"09357335"</f>
        <v>09357335</v>
      </c>
      <c r="D5794" s="2">
        <v>0.20399999999999999</v>
      </c>
      <c r="E5794" s="2">
        <v>6</v>
      </c>
      <c r="F5794" s="2" t="s">
        <v>12</v>
      </c>
    </row>
    <row r="5795" spans="1:6" ht="25.5">
      <c r="A5795" s="2">
        <v>5792</v>
      </c>
      <c r="B5795" s="2" t="s">
        <v>5870</v>
      </c>
      <c r="C5795" s="2" t="str">
        <f>"10216790"</f>
        <v>10216790</v>
      </c>
      <c r="D5795" s="2">
        <v>0.24099999999999999</v>
      </c>
      <c r="E5795" s="2">
        <v>3</v>
      </c>
      <c r="F5795" s="2" t="s">
        <v>2977</v>
      </c>
    </row>
    <row r="5796" spans="1:6" ht="25.5">
      <c r="A5796" s="2">
        <v>5793</v>
      </c>
      <c r="B5796" s="2" t="s">
        <v>5871</v>
      </c>
      <c r="C5796" s="2" t="str">
        <f>"00141755"</f>
        <v>00141755</v>
      </c>
      <c r="D5796" s="2">
        <v>0.23200000000000001</v>
      </c>
      <c r="E5796" s="2">
        <v>15</v>
      </c>
      <c r="F5796" s="2" t="s">
        <v>2977</v>
      </c>
    </row>
    <row r="5797" spans="1:6" ht="25.5">
      <c r="A5797" s="2">
        <v>5794</v>
      </c>
      <c r="B5797" s="2" t="s">
        <v>5872</v>
      </c>
      <c r="C5797" s="2" t="str">
        <f>"17654629"</f>
        <v>17654629</v>
      </c>
      <c r="D5797" s="2">
        <v>0.19900000000000001</v>
      </c>
      <c r="E5797" s="2">
        <v>4</v>
      </c>
      <c r="F5797" s="2" t="s">
        <v>66</v>
      </c>
    </row>
    <row r="5798" spans="1:6" ht="25.5">
      <c r="A5798" s="2">
        <v>5795</v>
      </c>
      <c r="B5798" s="2" t="s">
        <v>5873</v>
      </c>
      <c r="C5798" s="2" t="str">
        <f>"1783144X"</f>
        <v>1783144X</v>
      </c>
      <c r="D5798" s="2">
        <v>0.10100000000000001</v>
      </c>
      <c r="E5798" s="2">
        <v>1</v>
      </c>
      <c r="F5798" s="2" t="s">
        <v>161</v>
      </c>
    </row>
    <row r="5799" spans="1:6" ht="25.5">
      <c r="A5799" s="2">
        <v>5796</v>
      </c>
      <c r="B5799" s="2" t="s">
        <v>5874</v>
      </c>
      <c r="C5799" s="2" t="str">
        <f>"14664356"</f>
        <v>14664356</v>
      </c>
      <c r="D5799" s="2">
        <v>0.85099999999999998</v>
      </c>
      <c r="E5799" s="2">
        <v>41</v>
      </c>
      <c r="F5799" s="2" t="s">
        <v>6</v>
      </c>
    </row>
    <row r="5800" spans="1:6" ht="25.5">
      <c r="A5800" s="2">
        <v>5797</v>
      </c>
      <c r="B5800" s="2" t="s">
        <v>5875</v>
      </c>
      <c r="C5800" s="2" t="str">
        <f>"17412706"</f>
        <v>17412706</v>
      </c>
      <c r="D5800" s="2">
        <v>0.27800000000000002</v>
      </c>
      <c r="E5800" s="2">
        <v>16</v>
      </c>
      <c r="F5800" s="2" t="s">
        <v>16</v>
      </c>
    </row>
    <row r="5801" spans="1:6" ht="25.5">
      <c r="A5801" s="2">
        <v>5798</v>
      </c>
      <c r="B5801" s="2" t="s">
        <v>5876</v>
      </c>
      <c r="C5801" s="2" t="str">
        <f>"1049510X"</f>
        <v>1049510X</v>
      </c>
      <c r="D5801" s="2">
        <v>0.374</v>
      </c>
      <c r="E5801" s="2">
        <v>43</v>
      </c>
      <c r="F5801" s="2" t="s">
        <v>6</v>
      </c>
    </row>
    <row r="5802" spans="1:6" ht="25.5">
      <c r="A5802" s="2">
        <v>5799</v>
      </c>
      <c r="B5802" s="2" t="s">
        <v>5877</v>
      </c>
      <c r="C5802" s="2" t="str">
        <f>"14653419"</f>
        <v>14653419</v>
      </c>
      <c r="D5802" s="2">
        <v>0.67800000000000005</v>
      </c>
      <c r="E5802" s="2">
        <v>33</v>
      </c>
      <c r="F5802" s="2" t="s">
        <v>16</v>
      </c>
    </row>
    <row r="5803" spans="1:6" ht="25.5">
      <c r="A5803" s="2">
        <v>5800</v>
      </c>
      <c r="B5803" s="2" t="s">
        <v>5878</v>
      </c>
      <c r="C5803" s="2" t="str">
        <f>"20428367"</f>
        <v>20428367</v>
      </c>
      <c r="D5803" s="2">
        <v>0.128</v>
      </c>
      <c r="E5803" s="2">
        <v>1</v>
      </c>
      <c r="F5803" s="2" t="s">
        <v>16</v>
      </c>
    </row>
    <row r="5804" spans="1:6" ht="25.5">
      <c r="A5804" s="2">
        <v>5801</v>
      </c>
      <c r="B5804" s="2" t="s">
        <v>5879</v>
      </c>
      <c r="C5804" s="2" t="str">
        <f>"15473465"</f>
        <v>15473465</v>
      </c>
      <c r="D5804" s="2">
        <v>0.41299999999999998</v>
      </c>
      <c r="E5804" s="2">
        <v>11</v>
      </c>
      <c r="F5804" s="2" t="s">
        <v>6</v>
      </c>
    </row>
    <row r="5805" spans="1:6" ht="25.5">
      <c r="A5805" s="2">
        <v>5802</v>
      </c>
      <c r="B5805" s="2" t="s">
        <v>5880</v>
      </c>
      <c r="C5805" s="2" t="str">
        <f>"00141798"</f>
        <v>00141798</v>
      </c>
      <c r="D5805" s="2">
        <v>0.10299999999999999</v>
      </c>
      <c r="E5805" s="2">
        <v>0</v>
      </c>
      <c r="F5805" s="2" t="s">
        <v>135</v>
      </c>
    </row>
    <row r="5806" spans="1:6" ht="25.5">
      <c r="A5806" s="2">
        <v>5803</v>
      </c>
      <c r="B5806" s="2" t="s">
        <v>5881</v>
      </c>
      <c r="C5806" s="2" t="str">
        <f>"17412714"</f>
        <v>17412714</v>
      </c>
      <c r="D5806" s="2">
        <v>0.52500000000000002</v>
      </c>
      <c r="E5806" s="2">
        <v>8</v>
      </c>
      <c r="F5806" s="2" t="s">
        <v>16</v>
      </c>
    </row>
    <row r="5807" spans="1:6" ht="25.5">
      <c r="A5807" s="2">
        <v>5804</v>
      </c>
      <c r="B5807" s="2" t="s">
        <v>5882</v>
      </c>
      <c r="C5807" s="2" t="str">
        <f>"17457823"</f>
        <v>17457823</v>
      </c>
      <c r="D5807" s="2">
        <v>0.22</v>
      </c>
      <c r="E5807" s="2">
        <v>3</v>
      </c>
      <c r="F5807" s="2" t="s">
        <v>16</v>
      </c>
    </row>
    <row r="5808" spans="1:6" ht="25.5">
      <c r="A5808" s="2">
        <v>5805</v>
      </c>
      <c r="B5808" s="2" t="s">
        <v>5883</v>
      </c>
      <c r="C5808" s="2" t="str">
        <f>"15275477"</f>
        <v>15275477</v>
      </c>
      <c r="D5808" s="2">
        <v>0.249</v>
      </c>
      <c r="E5808" s="2">
        <v>11</v>
      </c>
      <c r="F5808" s="2" t="s">
        <v>6</v>
      </c>
    </row>
    <row r="5809" spans="1:6" ht="25.5">
      <c r="A5809" s="2">
        <v>5806</v>
      </c>
      <c r="B5809" s="2" t="s">
        <v>5884</v>
      </c>
      <c r="C5809" s="2" t="str">
        <f>"16043030"</f>
        <v>16043030</v>
      </c>
      <c r="D5809" s="2">
        <v>0.14199999999999999</v>
      </c>
      <c r="E5809" s="2">
        <v>5</v>
      </c>
      <c r="F5809" s="2" t="s">
        <v>163</v>
      </c>
    </row>
    <row r="5810" spans="1:6" ht="25.5">
      <c r="A5810" s="2">
        <v>5807</v>
      </c>
      <c r="B5810" s="2" t="s">
        <v>5885</v>
      </c>
      <c r="C5810" s="2" t="str">
        <f>"00462616"</f>
        <v>00462616</v>
      </c>
      <c r="D5810" s="2">
        <v>0.19</v>
      </c>
      <c r="E5810" s="2">
        <v>5</v>
      </c>
      <c r="F5810" s="2" t="s">
        <v>66</v>
      </c>
    </row>
    <row r="5811" spans="1:6" ht="25.5">
      <c r="A5811" s="2">
        <v>5808</v>
      </c>
      <c r="B5811" s="2" t="s">
        <v>5886</v>
      </c>
      <c r="C5811" s="2" t="str">
        <f>"00141836"</f>
        <v>00141836</v>
      </c>
      <c r="D5811" s="2">
        <v>0.26200000000000001</v>
      </c>
      <c r="E5811" s="2">
        <v>7</v>
      </c>
      <c r="F5811" s="2" t="s">
        <v>6</v>
      </c>
    </row>
    <row r="5812" spans="1:6" ht="25.5">
      <c r="A5812" s="2">
        <v>5809</v>
      </c>
      <c r="B5812" s="2" t="s">
        <v>5887</v>
      </c>
      <c r="C5812" s="2" t="str">
        <f>"17449057"</f>
        <v>17449057</v>
      </c>
      <c r="D5812" s="2">
        <v>0.151</v>
      </c>
      <c r="E5812" s="2">
        <v>3</v>
      </c>
      <c r="F5812" s="2" t="s">
        <v>16</v>
      </c>
    </row>
    <row r="5813" spans="1:6" ht="25.5">
      <c r="A5813" s="2">
        <v>5810</v>
      </c>
      <c r="B5813" s="2" t="s">
        <v>5888</v>
      </c>
      <c r="C5813" s="2" t="str">
        <f>"1469588X"</f>
        <v>1469588X</v>
      </c>
      <c r="D5813" s="2">
        <v>0.56200000000000006</v>
      </c>
      <c r="E5813" s="2">
        <v>12</v>
      </c>
      <c r="F5813" s="2" t="s">
        <v>6</v>
      </c>
    </row>
    <row r="5814" spans="1:6" ht="25.5">
      <c r="A5814" s="2">
        <v>5811</v>
      </c>
      <c r="B5814" s="2" t="s">
        <v>5889</v>
      </c>
      <c r="C5814" s="2" t="str">
        <f>"14390310"</f>
        <v>14390310</v>
      </c>
      <c r="D5814" s="2">
        <v>0.877</v>
      </c>
      <c r="E5814" s="2">
        <v>46</v>
      </c>
      <c r="F5814" s="2" t="s">
        <v>16</v>
      </c>
    </row>
    <row r="5815" spans="1:6" ht="25.5">
      <c r="A5815" s="2">
        <v>5812</v>
      </c>
      <c r="B5815" s="2" t="s">
        <v>5890</v>
      </c>
      <c r="C5815" s="2" t="str">
        <f>"03949370"</f>
        <v>03949370</v>
      </c>
      <c r="D5815" s="2">
        <v>0.42399999999999999</v>
      </c>
      <c r="E5815" s="2">
        <v>28</v>
      </c>
      <c r="F5815" s="2" t="s">
        <v>16</v>
      </c>
    </row>
    <row r="5816" spans="1:6" ht="25.5">
      <c r="A5816" s="2">
        <v>5813</v>
      </c>
      <c r="B5816" s="2" t="s">
        <v>5891</v>
      </c>
      <c r="C5816" s="2" t="str">
        <f>"00912131"</f>
        <v>00912131</v>
      </c>
      <c r="D5816" s="2">
        <v>0.75</v>
      </c>
      <c r="E5816" s="2">
        <v>17</v>
      </c>
      <c r="F5816" s="2" t="s">
        <v>6</v>
      </c>
    </row>
    <row r="5817" spans="1:6" ht="25.5">
      <c r="A5817" s="2">
        <v>5814</v>
      </c>
      <c r="B5817" s="2" t="s">
        <v>5892</v>
      </c>
      <c r="C5817" s="2" t="str">
        <f>"16717120"</f>
        <v>16717120</v>
      </c>
      <c r="D5817" s="2">
        <v>0.1</v>
      </c>
      <c r="E5817" s="2">
        <v>1</v>
      </c>
      <c r="F5817" s="2" t="s">
        <v>46</v>
      </c>
    </row>
    <row r="5818" spans="1:6" ht="25.5">
      <c r="A5818" s="2">
        <v>5815</v>
      </c>
      <c r="B5818" s="2" t="s">
        <v>5893</v>
      </c>
      <c r="C5818" s="2" t="str">
        <f>"18904009"</f>
        <v>18904009</v>
      </c>
      <c r="D5818" s="2">
        <v>0.114</v>
      </c>
      <c r="E5818" s="2">
        <v>1</v>
      </c>
      <c r="F5818" s="2" t="s">
        <v>2637</v>
      </c>
    </row>
    <row r="5819" spans="1:6" ht="25.5">
      <c r="A5819" s="2">
        <v>5816</v>
      </c>
      <c r="B5819" s="2" t="s">
        <v>5894</v>
      </c>
      <c r="C5819" s="2" t="str">
        <f>"19733194"</f>
        <v>19733194</v>
      </c>
      <c r="D5819" s="2">
        <v>0</v>
      </c>
      <c r="E5819" s="2">
        <v>0</v>
      </c>
      <c r="F5819" s="2" t="s">
        <v>190</v>
      </c>
    </row>
    <row r="5820" spans="1:6" ht="25.5">
      <c r="A5820" s="2">
        <v>5817</v>
      </c>
      <c r="B5820" s="2" t="s">
        <v>5895</v>
      </c>
      <c r="C5820" s="2" t="str">
        <f>"21822891"</f>
        <v>21822891</v>
      </c>
      <c r="D5820" s="2">
        <v>0.111</v>
      </c>
      <c r="E5820" s="2">
        <v>1</v>
      </c>
      <c r="F5820" s="2" t="s">
        <v>306</v>
      </c>
    </row>
    <row r="5821" spans="1:6" ht="25.5">
      <c r="A5821" s="2">
        <v>5818</v>
      </c>
      <c r="B5821" s="2" t="s">
        <v>5896</v>
      </c>
      <c r="C5821" s="2" t="str">
        <f>"03540316"</f>
        <v>03540316</v>
      </c>
      <c r="D5821" s="2">
        <v>0.25</v>
      </c>
      <c r="E5821" s="2">
        <v>1</v>
      </c>
      <c r="F5821" s="2" t="s">
        <v>154</v>
      </c>
    </row>
    <row r="5822" spans="1:6" ht="25.5">
      <c r="A5822" s="2">
        <v>5819</v>
      </c>
      <c r="B5822" s="2" t="s">
        <v>5897</v>
      </c>
      <c r="C5822" s="2" t="str">
        <f>"03511944"</f>
        <v>03511944</v>
      </c>
      <c r="D5822" s="2">
        <v>0.104</v>
      </c>
      <c r="E5822" s="2">
        <v>0</v>
      </c>
      <c r="F5822" s="2" t="s">
        <v>149</v>
      </c>
    </row>
    <row r="5823" spans="1:6" ht="25.5">
      <c r="A5823" s="2">
        <v>5820</v>
      </c>
      <c r="B5823" s="2" t="s">
        <v>5898</v>
      </c>
      <c r="C5823" s="2" t="str">
        <f>"12256463"</f>
        <v>12256463</v>
      </c>
      <c r="D5823" s="2">
        <v>0.48899999999999999</v>
      </c>
      <c r="E5823" s="2">
        <v>27</v>
      </c>
      <c r="F5823" s="2" t="s">
        <v>274</v>
      </c>
    </row>
    <row r="5824" spans="1:6" ht="25.5">
      <c r="A5824" s="2">
        <v>5821</v>
      </c>
      <c r="B5824" s="2" t="s">
        <v>5899</v>
      </c>
      <c r="C5824" s="2" t="str">
        <f>"0014195X"</f>
        <v>0014195X</v>
      </c>
      <c r="D5824" s="2">
        <v>0.11</v>
      </c>
      <c r="E5824" s="2">
        <v>2</v>
      </c>
      <c r="F5824" s="2" t="s">
        <v>66</v>
      </c>
    </row>
    <row r="5825" spans="1:6" ht="25.5">
      <c r="A5825" s="2">
        <v>5822</v>
      </c>
      <c r="B5825" s="2" t="s">
        <v>5900</v>
      </c>
      <c r="C5825" s="2" t="str">
        <f>"0014200X"</f>
        <v>0014200X</v>
      </c>
      <c r="D5825" s="2">
        <v>0.1</v>
      </c>
      <c r="E5825" s="2">
        <v>2</v>
      </c>
      <c r="F5825" s="2" t="s">
        <v>161</v>
      </c>
    </row>
    <row r="5826" spans="1:6" ht="25.5">
      <c r="A5826" s="2">
        <v>5823</v>
      </c>
      <c r="B5826" s="2" t="s">
        <v>5901</v>
      </c>
      <c r="C5826" s="2" t="str">
        <f>"0071190X"</f>
        <v>0071190X</v>
      </c>
      <c r="D5826" s="2">
        <v>0.1</v>
      </c>
      <c r="E5826" s="2">
        <v>2</v>
      </c>
      <c r="F5826" s="2" t="s">
        <v>66</v>
      </c>
    </row>
    <row r="5827" spans="1:6" ht="25.5">
      <c r="A5827" s="2">
        <v>5824</v>
      </c>
      <c r="B5827" s="2" t="s">
        <v>5902</v>
      </c>
      <c r="C5827" s="2" t="str">
        <f>"00142085"</f>
        <v>00142085</v>
      </c>
      <c r="D5827" s="2">
        <v>0.1</v>
      </c>
      <c r="E5827" s="2">
        <v>3</v>
      </c>
      <c r="F5827" s="2" t="s">
        <v>64</v>
      </c>
    </row>
    <row r="5828" spans="1:6" ht="25.5">
      <c r="A5828" s="2">
        <v>5825</v>
      </c>
      <c r="B5828" s="2" t="s">
        <v>5903</v>
      </c>
      <c r="C5828" s="2" t="str">
        <f>"00142115"</f>
        <v>00142115</v>
      </c>
      <c r="D5828" s="2">
        <v>0.1</v>
      </c>
      <c r="E5828" s="2">
        <v>2</v>
      </c>
      <c r="F5828" s="2" t="s">
        <v>66</v>
      </c>
    </row>
    <row r="5829" spans="1:6" ht="25.5">
      <c r="A5829" s="2">
        <v>5826</v>
      </c>
      <c r="B5829" s="2" t="s">
        <v>5904</v>
      </c>
      <c r="C5829" s="2" t="str">
        <f>"00142166"</f>
        <v>00142166</v>
      </c>
      <c r="D5829" s="2">
        <v>0.1</v>
      </c>
      <c r="E5829" s="2">
        <v>1</v>
      </c>
      <c r="F5829" s="2" t="s">
        <v>66</v>
      </c>
    </row>
    <row r="5830" spans="1:6" ht="25.5">
      <c r="A5830" s="2">
        <v>5827</v>
      </c>
      <c r="B5830" s="2" t="s">
        <v>5905</v>
      </c>
      <c r="C5830" s="2" t="str">
        <f>"17775302"</f>
        <v>17775302</v>
      </c>
      <c r="D5830" s="2">
        <v>0.1</v>
      </c>
      <c r="E5830" s="2">
        <v>2</v>
      </c>
      <c r="F5830" s="2" t="s">
        <v>66</v>
      </c>
    </row>
    <row r="5831" spans="1:6" ht="25.5">
      <c r="A5831" s="2">
        <v>5828</v>
      </c>
      <c r="B5831" s="2" t="s">
        <v>5906</v>
      </c>
      <c r="C5831" s="2" t="str">
        <f>"00142182"</f>
        <v>00142182</v>
      </c>
      <c r="D5831" s="2">
        <v>0.16300000000000001</v>
      </c>
      <c r="E5831" s="2">
        <v>4</v>
      </c>
      <c r="F5831" s="2" t="s">
        <v>66</v>
      </c>
    </row>
    <row r="5832" spans="1:6" ht="25.5">
      <c r="A5832" s="2">
        <v>5829</v>
      </c>
      <c r="B5832" s="2" t="s">
        <v>5907</v>
      </c>
      <c r="C5832" s="2" t="str">
        <f>"12865702"</f>
        <v>12865702</v>
      </c>
      <c r="D5832" s="2">
        <v>0.1</v>
      </c>
      <c r="E5832" s="2">
        <v>3</v>
      </c>
      <c r="F5832" s="2" t="s">
        <v>66</v>
      </c>
    </row>
    <row r="5833" spans="1:6" ht="25.5">
      <c r="A5833" s="2">
        <v>5830</v>
      </c>
      <c r="B5833" s="2" t="s">
        <v>5908</v>
      </c>
      <c r="C5833" s="2" t="str">
        <f>"00142239"</f>
        <v>00142239</v>
      </c>
      <c r="D5833" s="2">
        <v>0.1</v>
      </c>
      <c r="E5833" s="2">
        <v>2</v>
      </c>
      <c r="F5833" s="2" t="s">
        <v>66</v>
      </c>
    </row>
    <row r="5834" spans="1:6" ht="25.5">
      <c r="A5834" s="2">
        <v>5831</v>
      </c>
      <c r="B5834" s="2" t="s">
        <v>5909</v>
      </c>
      <c r="C5834" s="2" t="str">
        <f>"15359786"</f>
        <v>15359786</v>
      </c>
      <c r="D5834" s="2">
        <v>1.732</v>
      </c>
      <c r="E5834" s="2">
        <v>70</v>
      </c>
      <c r="F5834" s="2" t="s">
        <v>6</v>
      </c>
    </row>
    <row r="5835" spans="1:6" ht="25.5">
      <c r="A5835" s="2">
        <v>5832</v>
      </c>
      <c r="B5835" s="2" t="s">
        <v>5910</v>
      </c>
      <c r="C5835" s="2" t="str">
        <f>"00142328"</f>
        <v>00142328</v>
      </c>
      <c r="D5835" s="2">
        <v>0.1</v>
      </c>
      <c r="E5835" s="2">
        <v>3</v>
      </c>
      <c r="F5835" s="2" t="s">
        <v>12</v>
      </c>
    </row>
    <row r="5836" spans="1:6" ht="25.5">
      <c r="A5836" s="2">
        <v>5833</v>
      </c>
      <c r="B5836" s="2" t="s">
        <v>5911</v>
      </c>
      <c r="C5836" s="2" t="str">
        <f>"08700133"</f>
        <v>08700133</v>
      </c>
      <c r="D5836" s="2">
        <v>0.10100000000000001</v>
      </c>
      <c r="E5836" s="2">
        <v>1</v>
      </c>
      <c r="F5836" s="2" t="s">
        <v>306</v>
      </c>
    </row>
    <row r="5837" spans="1:6" ht="25.5">
      <c r="A5837" s="2">
        <v>5834</v>
      </c>
      <c r="B5837" s="2" t="s">
        <v>5912</v>
      </c>
      <c r="C5837" s="2" t="str">
        <f>"15735060"</f>
        <v>15735060</v>
      </c>
      <c r="D5837" s="2">
        <v>0.70899999999999996</v>
      </c>
      <c r="E5837" s="2">
        <v>57</v>
      </c>
      <c r="F5837" s="2" t="s">
        <v>75</v>
      </c>
    </row>
    <row r="5838" spans="1:6" ht="25.5">
      <c r="A5838" s="2">
        <v>5835</v>
      </c>
      <c r="B5838" s="2" t="s">
        <v>5913</v>
      </c>
      <c r="C5838" s="2" t="str">
        <f>"13058223"</f>
        <v>13058223</v>
      </c>
      <c r="D5838" s="2">
        <v>0.40899999999999997</v>
      </c>
      <c r="E5838" s="2">
        <v>12</v>
      </c>
      <c r="F5838" s="2" t="s">
        <v>345</v>
      </c>
    </row>
    <row r="5839" spans="1:6" ht="25.5">
      <c r="A5839" s="2">
        <v>5836</v>
      </c>
      <c r="B5839" s="2" t="s">
        <v>5914</v>
      </c>
      <c r="C5839" s="2" t="str">
        <f>"15623920"</f>
        <v>15623920</v>
      </c>
      <c r="D5839" s="2">
        <v>0.124</v>
      </c>
      <c r="E5839" s="2">
        <v>3</v>
      </c>
      <c r="F5839" s="2" t="s">
        <v>5915</v>
      </c>
    </row>
    <row r="5840" spans="1:6" ht="25.5">
      <c r="A5840" s="2">
        <v>5837</v>
      </c>
      <c r="B5840" s="2" t="s">
        <v>5916</v>
      </c>
      <c r="C5840" s="2" t="str">
        <f>"15387216"</f>
        <v>15387216</v>
      </c>
      <c r="D5840" s="2">
        <v>1.0489999999999999</v>
      </c>
      <c r="E5840" s="2">
        <v>23</v>
      </c>
      <c r="F5840" s="2" t="s">
        <v>6</v>
      </c>
    </row>
    <row r="5841" spans="1:6" ht="25.5">
      <c r="A5841" s="2">
        <v>5838</v>
      </c>
      <c r="B5841" s="2" t="s">
        <v>5917</v>
      </c>
      <c r="C5841" s="2" t="str">
        <f>"13063057"</f>
        <v>13063057</v>
      </c>
      <c r="D5841" s="2">
        <v>0.10100000000000001</v>
      </c>
      <c r="E5841" s="2">
        <v>1</v>
      </c>
      <c r="F5841" s="2" t="s">
        <v>345</v>
      </c>
    </row>
    <row r="5842" spans="1:6" ht="25.5">
      <c r="A5842" s="2">
        <v>5839</v>
      </c>
      <c r="B5842" s="2" t="s">
        <v>5918</v>
      </c>
      <c r="C5842" s="2" t="str">
        <f>"13088742"</f>
        <v>13088742</v>
      </c>
      <c r="D5842" s="2">
        <v>0</v>
      </c>
      <c r="E5842" s="2">
        <v>0</v>
      </c>
      <c r="F5842" s="2" t="s">
        <v>345</v>
      </c>
    </row>
    <row r="5843" spans="1:6" ht="25.5">
      <c r="A5843" s="2">
        <v>5840</v>
      </c>
      <c r="B5843" s="2" t="s">
        <v>5919</v>
      </c>
      <c r="C5843" s="2" t="str">
        <f>"10642293"</f>
        <v>10642293</v>
      </c>
      <c r="D5843" s="2">
        <v>0.27100000000000002</v>
      </c>
      <c r="E5843" s="2">
        <v>10</v>
      </c>
      <c r="F5843" s="2" t="s">
        <v>129</v>
      </c>
    </row>
    <row r="5844" spans="1:6" ht="25.5">
      <c r="A5844" s="2">
        <v>5841</v>
      </c>
      <c r="B5844" s="2" t="s">
        <v>5920</v>
      </c>
      <c r="C5844" s="2" t="str">
        <f>"16873963"</f>
        <v>16873963</v>
      </c>
      <c r="D5844" s="2">
        <v>0.17599999999999999</v>
      </c>
      <c r="E5844" s="2">
        <v>13</v>
      </c>
      <c r="F5844" s="2" t="s">
        <v>6</v>
      </c>
    </row>
    <row r="5845" spans="1:6" ht="25.5">
      <c r="A5845" s="2">
        <v>5842</v>
      </c>
      <c r="B5845" s="2" t="s">
        <v>5921</v>
      </c>
      <c r="C5845" s="2" t="str">
        <f>"16876172"</f>
        <v>16876172</v>
      </c>
      <c r="D5845" s="2">
        <v>0.36699999999999999</v>
      </c>
      <c r="E5845" s="2">
        <v>47</v>
      </c>
      <c r="F5845" s="2" t="s">
        <v>6</v>
      </c>
    </row>
    <row r="5846" spans="1:6" ht="25.5">
      <c r="A5846" s="2">
        <v>5843</v>
      </c>
      <c r="B5846" s="2" t="s">
        <v>5922</v>
      </c>
      <c r="C5846" s="2" t="str">
        <f>"16874722"</f>
        <v>16874722</v>
      </c>
      <c r="D5846" s="2">
        <v>0.27400000000000002</v>
      </c>
      <c r="E5846" s="2">
        <v>6</v>
      </c>
      <c r="F5846" s="2" t="s">
        <v>6</v>
      </c>
    </row>
    <row r="5847" spans="1:6" ht="25.5">
      <c r="A5847" s="2">
        <v>5844</v>
      </c>
      <c r="B5847" s="2" t="s">
        <v>5923</v>
      </c>
      <c r="C5847" s="2" t="str">
        <f>"16874153"</f>
        <v>16874153</v>
      </c>
      <c r="D5847" s="2">
        <v>0.40699999999999997</v>
      </c>
      <c r="E5847" s="2">
        <v>11</v>
      </c>
      <c r="F5847" s="2" t="s">
        <v>6</v>
      </c>
    </row>
    <row r="5848" spans="1:6" ht="25.5">
      <c r="A5848" s="2">
        <v>5845</v>
      </c>
      <c r="B5848" s="2" t="s">
        <v>5924</v>
      </c>
      <c r="C5848" s="2" t="str">
        <f>"16875281"</f>
        <v>16875281</v>
      </c>
      <c r="D5848" s="2">
        <v>0.26500000000000001</v>
      </c>
      <c r="E5848" s="2">
        <v>11</v>
      </c>
      <c r="F5848" s="2" t="s">
        <v>6</v>
      </c>
    </row>
    <row r="5849" spans="1:6" ht="25.5">
      <c r="A5849" s="2">
        <v>5846</v>
      </c>
      <c r="B5849" s="2" t="s">
        <v>5925</v>
      </c>
      <c r="C5849" s="2" t="str">
        <f>"16874161"</f>
        <v>16874161</v>
      </c>
      <c r="D5849" s="2">
        <v>0.218</v>
      </c>
      <c r="E5849" s="2">
        <v>8</v>
      </c>
      <c r="F5849" s="2" t="s">
        <v>6</v>
      </c>
    </row>
    <row r="5850" spans="1:6" ht="25.5">
      <c r="A5850" s="2">
        <v>5847</v>
      </c>
      <c r="B5850" s="2" t="s">
        <v>5926</v>
      </c>
      <c r="C5850" s="2" t="str">
        <f>"16871499"</f>
        <v>16871499</v>
      </c>
      <c r="D5850" s="2">
        <v>0.39400000000000002</v>
      </c>
      <c r="E5850" s="2">
        <v>25</v>
      </c>
      <c r="F5850" s="2" t="s">
        <v>6</v>
      </c>
    </row>
    <row r="5851" spans="1:6" ht="25.5">
      <c r="A5851" s="2">
        <v>5848</v>
      </c>
      <c r="B5851" s="2" t="s">
        <v>5927</v>
      </c>
      <c r="C5851" s="2" t="str">
        <f>"07176236"</f>
        <v>07176236</v>
      </c>
      <c r="D5851" s="2">
        <v>0.125</v>
      </c>
      <c r="E5851" s="2">
        <v>10</v>
      </c>
      <c r="F5851" s="2" t="s">
        <v>182</v>
      </c>
    </row>
    <row r="5852" spans="1:6" ht="25.5">
      <c r="A5852" s="2">
        <v>5849</v>
      </c>
      <c r="B5852" s="2" t="s">
        <v>5928</v>
      </c>
      <c r="C5852" s="2" t="str">
        <f>"17511135"</f>
        <v>17511135</v>
      </c>
      <c r="D5852" s="2">
        <v>0.1</v>
      </c>
      <c r="E5852" s="2">
        <v>4</v>
      </c>
      <c r="F5852" s="2" t="s">
        <v>16</v>
      </c>
    </row>
    <row r="5853" spans="1:6" ht="25.5">
      <c r="A5853" s="2">
        <v>5850</v>
      </c>
      <c r="B5853" s="2" t="s">
        <v>5929</v>
      </c>
      <c r="C5853" s="2" t="str">
        <f>"14780917"</f>
        <v>14780917</v>
      </c>
      <c r="D5853" s="2">
        <v>0.48699999999999999</v>
      </c>
      <c r="E5853" s="2">
        <v>6</v>
      </c>
      <c r="F5853" s="2" t="s">
        <v>16</v>
      </c>
    </row>
    <row r="5854" spans="1:6" ht="25.5">
      <c r="A5854" s="2">
        <v>5851</v>
      </c>
      <c r="B5854" s="2" t="s">
        <v>5930</v>
      </c>
      <c r="C5854" s="2" t="str">
        <f>"16130200"</f>
        <v>16130200</v>
      </c>
      <c r="D5854" s="2">
        <v>0.1</v>
      </c>
      <c r="E5854" s="2">
        <v>2</v>
      </c>
      <c r="F5854" s="2" t="s">
        <v>12</v>
      </c>
    </row>
    <row r="5855" spans="1:6" ht="25.5">
      <c r="A5855" s="2">
        <v>5852</v>
      </c>
      <c r="B5855" s="2" t="s">
        <v>5931</v>
      </c>
      <c r="C5855" s="2" t="str">
        <f>"1774024X"</f>
        <v>1774024X</v>
      </c>
      <c r="D5855" s="2">
        <v>1.6060000000000001</v>
      </c>
      <c r="E5855" s="2">
        <v>27</v>
      </c>
      <c r="F5855" s="2" t="s">
        <v>66</v>
      </c>
    </row>
    <row r="5856" spans="1:6" ht="25.5">
      <c r="A5856" s="2">
        <v>5853</v>
      </c>
      <c r="B5856" s="2" t="s">
        <v>5932</v>
      </c>
      <c r="C5856" s="2" t="str">
        <f>"15322092"</f>
        <v>15322092</v>
      </c>
      <c r="D5856" s="2">
        <v>1.264</v>
      </c>
      <c r="E5856" s="2">
        <v>49</v>
      </c>
      <c r="F5856" s="2" t="s">
        <v>16</v>
      </c>
    </row>
    <row r="5857" spans="1:6">
      <c r="A5857" s="2">
        <v>5854</v>
      </c>
      <c r="B5857" s="2" t="s">
        <v>5933</v>
      </c>
      <c r="C5857" s="2" t="str">
        <f>"0"</f>
        <v>0</v>
      </c>
      <c r="D5857" s="2">
        <v>0.1</v>
      </c>
      <c r="E5857" s="2">
        <v>1</v>
      </c>
      <c r="F5857" s="2" t="s">
        <v>66</v>
      </c>
    </row>
    <row r="5858" spans="1:6" ht="25.5">
      <c r="A5858" s="2">
        <v>5855</v>
      </c>
      <c r="B5858" s="2" t="s">
        <v>5934</v>
      </c>
      <c r="C5858" s="2" t="str">
        <f>"14684497"</f>
        <v>14684497</v>
      </c>
      <c r="D5858" s="2">
        <v>0.56299999999999994</v>
      </c>
      <c r="E5858" s="2">
        <v>16</v>
      </c>
      <c r="F5858" s="2" t="s">
        <v>16</v>
      </c>
    </row>
    <row r="5859" spans="1:6" ht="25.5">
      <c r="A5859" s="2">
        <v>5856</v>
      </c>
      <c r="B5859" s="2" t="s">
        <v>5935</v>
      </c>
      <c r="C5859" s="2" t="str">
        <f>"14219891"</f>
        <v>14219891</v>
      </c>
      <c r="D5859" s="2">
        <v>1.03</v>
      </c>
      <c r="E5859" s="2">
        <v>34</v>
      </c>
      <c r="F5859" s="2" t="s">
        <v>31</v>
      </c>
    </row>
    <row r="5860" spans="1:6" ht="25.5">
      <c r="A5860" s="2">
        <v>5857</v>
      </c>
      <c r="B5860" s="2" t="s">
        <v>5936</v>
      </c>
      <c r="C5860" s="2" t="str">
        <f>"17641489"</f>
        <v>17641489</v>
      </c>
      <c r="D5860" s="2">
        <v>0.33500000000000002</v>
      </c>
      <c r="E5860" s="2">
        <v>22</v>
      </c>
      <c r="F5860" s="2" t="s">
        <v>66</v>
      </c>
    </row>
    <row r="5861" spans="1:6" ht="25.5">
      <c r="A5861" s="2">
        <v>5858</v>
      </c>
      <c r="B5861" s="2" t="s">
        <v>5937</v>
      </c>
      <c r="C5861" s="2" t="str">
        <f>"18797296"</f>
        <v>18797296</v>
      </c>
      <c r="D5861" s="2">
        <v>0.247</v>
      </c>
      <c r="E5861" s="2">
        <v>4</v>
      </c>
      <c r="F5861" s="2" t="s">
        <v>66</v>
      </c>
    </row>
    <row r="5862" spans="1:6" ht="25.5">
      <c r="A5862" s="2">
        <v>5859</v>
      </c>
      <c r="B5862" s="2" t="s">
        <v>5938</v>
      </c>
      <c r="C5862" s="2" t="str">
        <f>"14344726"</f>
        <v>14344726</v>
      </c>
      <c r="D5862" s="2">
        <v>0.73699999999999999</v>
      </c>
      <c r="E5862" s="2">
        <v>37</v>
      </c>
      <c r="F5862" s="2" t="s">
        <v>12</v>
      </c>
    </row>
    <row r="5863" spans="1:6" ht="25.5">
      <c r="A5863" s="2">
        <v>5860</v>
      </c>
      <c r="B5863" s="2" t="s">
        <v>5939</v>
      </c>
      <c r="C5863" s="2" t="str">
        <f>"18186300"</f>
        <v>18186300</v>
      </c>
      <c r="D5863" s="2">
        <v>0.44600000000000001</v>
      </c>
      <c r="E5863" s="2">
        <v>12</v>
      </c>
      <c r="F5863" s="2" t="s">
        <v>190</v>
      </c>
    </row>
    <row r="5864" spans="1:6" ht="25.5">
      <c r="A5864" s="2">
        <v>5861</v>
      </c>
      <c r="B5864" s="2" t="s">
        <v>5940</v>
      </c>
      <c r="C5864" s="2" t="str">
        <f>"14338491"</f>
        <v>14338491</v>
      </c>
      <c r="D5864" s="2">
        <v>1.3340000000000001</v>
      </c>
      <c r="E5864" s="2">
        <v>62</v>
      </c>
      <c r="F5864" s="2" t="s">
        <v>12</v>
      </c>
    </row>
    <row r="5865" spans="1:6" ht="25.5">
      <c r="A5865" s="2">
        <v>5862</v>
      </c>
      <c r="B5865" s="2" t="s">
        <v>5941</v>
      </c>
      <c r="C5865" s="2" t="str">
        <f>"14321017"</f>
        <v>14321017</v>
      </c>
      <c r="D5865" s="2">
        <v>0.97899999999999998</v>
      </c>
      <c r="E5865" s="2">
        <v>53</v>
      </c>
      <c r="F5865" s="2" t="s">
        <v>12</v>
      </c>
    </row>
    <row r="5866" spans="1:6" ht="25.5">
      <c r="A5866" s="2">
        <v>5863</v>
      </c>
      <c r="B5866" s="2" t="s">
        <v>5942</v>
      </c>
      <c r="C5866" s="2" t="str">
        <f>"16188276"</f>
        <v>16188276</v>
      </c>
      <c r="D5866" s="2">
        <v>0.1</v>
      </c>
      <c r="E5866" s="2">
        <v>1</v>
      </c>
      <c r="F5866" s="2" t="s">
        <v>12</v>
      </c>
    </row>
    <row r="5867" spans="1:6" ht="25.5">
      <c r="A5867" s="2">
        <v>5864</v>
      </c>
      <c r="B5867" s="2" t="s">
        <v>5943</v>
      </c>
      <c r="C5867" s="2" t="str">
        <f>"15667529"</f>
        <v>15667529</v>
      </c>
      <c r="D5867" s="2">
        <v>0.216</v>
      </c>
      <c r="E5867" s="2">
        <v>5</v>
      </c>
      <c r="F5867" s="2" t="s">
        <v>75</v>
      </c>
    </row>
    <row r="5868" spans="1:6" ht="25.5">
      <c r="A5868" s="2">
        <v>5865</v>
      </c>
      <c r="B5868" s="2" t="s">
        <v>5944</v>
      </c>
      <c r="C5868" s="2" t="str">
        <f>"0955534X"</f>
        <v>0955534X</v>
      </c>
      <c r="D5868" s="2">
        <v>0.42499999999999999</v>
      </c>
      <c r="E5868" s="2">
        <v>13</v>
      </c>
      <c r="F5868" s="2" t="s">
        <v>16</v>
      </c>
    </row>
    <row r="5869" spans="1:6" ht="25.5">
      <c r="A5869" s="2">
        <v>5866</v>
      </c>
      <c r="B5869" s="2" t="s">
        <v>5945</v>
      </c>
      <c r="C5869" s="2" t="str">
        <f>"14732262"</f>
        <v>14732262</v>
      </c>
      <c r="D5869" s="2">
        <v>0.26</v>
      </c>
      <c r="E5869" s="2">
        <v>40</v>
      </c>
      <c r="F5869" s="2" t="s">
        <v>31</v>
      </c>
    </row>
    <row r="5870" spans="1:6" ht="25.5">
      <c r="A5870" s="2">
        <v>5867</v>
      </c>
      <c r="B5870" s="2" t="s">
        <v>5946</v>
      </c>
      <c r="C5870" s="2" t="str">
        <f>"1435165X"</f>
        <v>1435165X</v>
      </c>
      <c r="D5870" s="2">
        <v>1.2689999999999999</v>
      </c>
      <c r="E5870" s="2">
        <v>51</v>
      </c>
      <c r="F5870" s="2" t="s">
        <v>12</v>
      </c>
    </row>
    <row r="5871" spans="1:6" ht="25.5">
      <c r="A5871" s="2">
        <v>5868</v>
      </c>
      <c r="B5871" s="2" t="s">
        <v>5947</v>
      </c>
      <c r="C5871" s="2" t="str">
        <f>"15740196"</f>
        <v>15740196</v>
      </c>
      <c r="D5871" s="2">
        <v>0.79600000000000004</v>
      </c>
      <c r="E5871" s="2">
        <v>7</v>
      </c>
      <c r="F5871" s="2" t="s">
        <v>16</v>
      </c>
    </row>
    <row r="5872" spans="1:6" ht="25.5">
      <c r="A5872" s="2">
        <v>5869</v>
      </c>
      <c r="B5872" s="2" t="s">
        <v>5948</v>
      </c>
      <c r="C5872" s="2" t="str">
        <f>"11485493"</f>
        <v>11485493</v>
      </c>
      <c r="D5872" s="2">
        <v>0.76200000000000001</v>
      </c>
      <c r="E5872" s="2">
        <v>46</v>
      </c>
      <c r="F5872" s="2" t="s">
        <v>66</v>
      </c>
    </row>
    <row r="5873" spans="1:6" ht="25.5">
      <c r="A5873" s="2">
        <v>5870</v>
      </c>
      <c r="B5873" s="2" t="s">
        <v>5949</v>
      </c>
      <c r="C5873" s="2" t="str">
        <f>"15517853"</f>
        <v>15517853</v>
      </c>
      <c r="D5873" s="2">
        <v>0.23799999999999999</v>
      </c>
      <c r="E5873" s="2">
        <v>4</v>
      </c>
      <c r="F5873" s="2" t="s">
        <v>16</v>
      </c>
    </row>
    <row r="5874" spans="1:6" ht="25.5">
      <c r="A5874" s="2">
        <v>5871</v>
      </c>
      <c r="B5874" s="2" t="s">
        <v>5950</v>
      </c>
      <c r="C5874" s="2" t="str">
        <f>"17521807"</f>
        <v>17521807</v>
      </c>
      <c r="D5874" s="2">
        <v>0.39600000000000002</v>
      </c>
      <c r="E5874" s="2">
        <v>6</v>
      </c>
      <c r="F5874" s="2" t="s">
        <v>16</v>
      </c>
    </row>
    <row r="5875" spans="1:6" ht="25.5">
      <c r="A5875" s="2">
        <v>5872</v>
      </c>
      <c r="B5875" s="2" t="s">
        <v>5951</v>
      </c>
      <c r="C5875" s="2" t="str">
        <f>"10990968"</f>
        <v>10990968</v>
      </c>
      <c r="D5875" s="2">
        <v>0.69799999999999995</v>
      </c>
      <c r="E5875" s="2">
        <v>31</v>
      </c>
      <c r="F5875" s="2" t="s">
        <v>16</v>
      </c>
    </row>
    <row r="5876" spans="1:6" ht="25.5">
      <c r="A5876" s="2">
        <v>5873</v>
      </c>
      <c r="B5876" s="2" t="s">
        <v>5952</v>
      </c>
      <c r="C5876" s="2" t="str">
        <f>"00142921"</f>
        <v>00142921</v>
      </c>
      <c r="D5876" s="2">
        <v>1.88</v>
      </c>
      <c r="E5876" s="2">
        <v>70</v>
      </c>
      <c r="F5876" s="2" t="s">
        <v>75</v>
      </c>
    </row>
    <row r="5877" spans="1:6" ht="25.5">
      <c r="A5877" s="2">
        <v>5874</v>
      </c>
      <c r="B5877" s="2" t="s">
        <v>5953</v>
      </c>
      <c r="C5877" s="2" t="str">
        <f>"14749041"</f>
        <v>14749041</v>
      </c>
      <c r="D5877" s="2">
        <v>0.40300000000000002</v>
      </c>
      <c r="E5877" s="2">
        <v>9</v>
      </c>
      <c r="F5877" s="2" t="s">
        <v>16</v>
      </c>
    </row>
    <row r="5878" spans="1:6" ht="25.5">
      <c r="A5878" s="2">
        <v>5875</v>
      </c>
      <c r="B5878" s="2" t="s">
        <v>5954</v>
      </c>
      <c r="C5878" s="2" t="str">
        <f>"18793886"</f>
        <v>18793886</v>
      </c>
      <c r="D5878" s="2">
        <v>0.23599999999999999</v>
      </c>
      <c r="E5878" s="2">
        <v>6</v>
      </c>
      <c r="F5878" s="2" t="s">
        <v>75</v>
      </c>
    </row>
    <row r="5879" spans="1:6" ht="25.5">
      <c r="A5879" s="2">
        <v>5876</v>
      </c>
      <c r="B5879" s="2" t="s">
        <v>5955</v>
      </c>
      <c r="C5879" s="2" t="str">
        <f>"1468036X"</f>
        <v>1468036X</v>
      </c>
      <c r="D5879" s="2">
        <v>1.49</v>
      </c>
      <c r="E5879" s="2">
        <v>15</v>
      </c>
      <c r="F5879" s="2" t="s">
        <v>16</v>
      </c>
    </row>
    <row r="5880" spans="1:6" ht="25.5">
      <c r="A5880" s="2">
        <v>5877</v>
      </c>
      <c r="B5880" s="2" t="s">
        <v>5956</v>
      </c>
      <c r="C5880" s="2" t="str">
        <f>"14382385"</f>
        <v>14382385</v>
      </c>
      <c r="D5880" s="2">
        <v>0.77300000000000002</v>
      </c>
      <c r="E5880" s="2">
        <v>49</v>
      </c>
      <c r="F5880" s="2" t="s">
        <v>12</v>
      </c>
    </row>
    <row r="5881" spans="1:6" ht="25.5">
      <c r="A5881" s="2">
        <v>5878</v>
      </c>
      <c r="B5881" s="2" t="s">
        <v>5957</v>
      </c>
      <c r="C5881" s="2" t="str">
        <f>"18787649"</f>
        <v>18787649</v>
      </c>
      <c r="D5881" s="2">
        <v>0.20399999999999999</v>
      </c>
      <c r="E5881" s="2">
        <v>6</v>
      </c>
      <c r="F5881" s="2" t="s">
        <v>66</v>
      </c>
    </row>
    <row r="5882" spans="1:6" ht="25.5">
      <c r="A5882" s="2">
        <v>5879</v>
      </c>
      <c r="B5882" s="2" t="s">
        <v>5958</v>
      </c>
      <c r="C5882" s="2" t="str">
        <f>"15229645"</f>
        <v>15229645</v>
      </c>
      <c r="D5882" s="2">
        <v>4.8230000000000004</v>
      </c>
      <c r="E5882" s="2">
        <v>178</v>
      </c>
      <c r="F5882" s="2" t="s">
        <v>16</v>
      </c>
    </row>
    <row r="5883" spans="1:6" ht="25.5">
      <c r="A5883" s="2">
        <v>5880</v>
      </c>
      <c r="B5883" s="2" t="s">
        <v>5959</v>
      </c>
      <c r="C5883" s="2" t="str">
        <f>"20472412"</f>
        <v>20472412</v>
      </c>
      <c r="D5883" s="2">
        <v>1.129</v>
      </c>
      <c r="E5883" s="2">
        <v>40</v>
      </c>
      <c r="F5883" s="2" t="s">
        <v>16</v>
      </c>
    </row>
    <row r="5884" spans="1:6" ht="25.5">
      <c r="A5884" s="2">
        <v>5881</v>
      </c>
      <c r="B5884" s="2" t="s">
        <v>5960</v>
      </c>
      <c r="C5884" s="2" t="str">
        <f>"1520765X"</f>
        <v>1520765X</v>
      </c>
      <c r="D5884" s="2">
        <v>0.35599999999999998</v>
      </c>
      <c r="E5884" s="2">
        <v>25</v>
      </c>
      <c r="F5884" s="2" t="s">
        <v>16</v>
      </c>
    </row>
    <row r="5885" spans="1:6" ht="25.5">
      <c r="A5885" s="2">
        <v>5882</v>
      </c>
      <c r="B5885" s="2" t="s">
        <v>5961</v>
      </c>
      <c r="C5885" s="2" t="str">
        <f>"14617110"</f>
        <v>14617110</v>
      </c>
      <c r="D5885" s="2">
        <v>0.22700000000000001</v>
      </c>
      <c r="E5885" s="2">
        <v>7</v>
      </c>
      <c r="F5885" s="2" t="s">
        <v>16</v>
      </c>
    </row>
    <row r="5886" spans="1:6" ht="25.5">
      <c r="A5886" s="2">
        <v>5883</v>
      </c>
      <c r="B5886" s="2" t="s">
        <v>5962</v>
      </c>
      <c r="C5886" s="2" t="str">
        <f>"17551145"</f>
        <v>17551145</v>
      </c>
      <c r="D5886" s="2">
        <v>0.13</v>
      </c>
      <c r="E5886" s="2">
        <v>2</v>
      </c>
      <c r="F5886" s="2" t="s">
        <v>16</v>
      </c>
    </row>
    <row r="5887" spans="1:6" ht="25.5">
      <c r="A5887" s="2">
        <v>5884</v>
      </c>
      <c r="B5887" s="2" t="s">
        <v>5963</v>
      </c>
      <c r="C5887" s="2" t="str">
        <f>"10275193"</f>
        <v>10275193</v>
      </c>
      <c r="D5887" s="2">
        <v>0.29599999999999999</v>
      </c>
      <c r="E5887" s="2">
        <v>5</v>
      </c>
      <c r="F5887" s="2" t="s">
        <v>288</v>
      </c>
    </row>
    <row r="5888" spans="1:6" ht="25.5">
      <c r="A5888" s="2">
        <v>5885</v>
      </c>
      <c r="B5888" s="2" t="s">
        <v>5964</v>
      </c>
      <c r="C5888" s="2" t="str">
        <f>"18794912"</f>
        <v>18794912</v>
      </c>
      <c r="D5888" s="2">
        <v>0.16500000000000001</v>
      </c>
      <c r="E5888" s="2">
        <v>2</v>
      </c>
      <c r="F5888" s="2" t="s">
        <v>75</v>
      </c>
    </row>
    <row r="5889" spans="1:6" ht="25.5">
      <c r="A5889" s="2">
        <v>5886</v>
      </c>
      <c r="B5889" s="2" t="s">
        <v>5965</v>
      </c>
      <c r="C5889" s="2" t="str">
        <f>"16139380"</f>
        <v>16139380</v>
      </c>
      <c r="D5889" s="2">
        <v>0.49</v>
      </c>
      <c r="E5889" s="2">
        <v>17</v>
      </c>
      <c r="F5889" s="2" t="s">
        <v>12</v>
      </c>
    </row>
    <row r="5890" spans="1:6" ht="25.5">
      <c r="A5890" s="2">
        <v>5887</v>
      </c>
      <c r="B5890" s="2" t="s">
        <v>5966</v>
      </c>
      <c r="C5890" s="2" t="str">
        <f>"11610301"</f>
        <v>11610301</v>
      </c>
      <c r="D5890" s="2">
        <v>1.1910000000000001</v>
      </c>
      <c r="E5890" s="2">
        <v>53</v>
      </c>
      <c r="F5890" s="2" t="s">
        <v>75</v>
      </c>
    </row>
    <row r="5891" spans="1:6" ht="25.5">
      <c r="A5891" s="2">
        <v>5888</v>
      </c>
      <c r="B5891" s="2" t="s">
        <v>5967</v>
      </c>
      <c r="C5891" s="2" t="str">
        <f>"13652346"</f>
        <v>13652346</v>
      </c>
      <c r="D5891" s="2">
        <v>0.91100000000000003</v>
      </c>
      <c r="E5891" s="2">
        <v>45</v>
      </c>
      <c r="F5891" s="2" t="s">
        <v>6</v>
      </c>
    </row>
    <row r="5892" spans="1:6" ht="25.5">
      <c r="A5892" s="2">
        <v>5889</v>
      </c>
      <c r="B5892" s="2" t="s">
        <v>5968</v>
      </c>
      <c r="C5892" s="2" t="str">
        <f>"11364890"</f>
        <v>11364890</v>
      </c>
      <c r="D5892" s="2">
        <v>0.11700000000000001</v>
      </c>
      <c r="E5892" s="2">
        <v>10</v>
      </c>
      <c r="F5892" s="2" t="s">
        <v>351</v>
      </c>
    </row>
    <row r="5893" spans="1:6" ht="25.5">
      <c r="A5893" s="2">
        <v>5890</v>
      </c>
      <c r="B5893" s="2" t="s">
        <v>5969</v>
      </c>
      <c r="C5893" s="2" t="str">
        <f>"14694425"</f>
        <v>14694425</v>
      </c>
      <c r="D5893" s="2">
        <v>0.73899999999999999</v>
      </c>
      <c r="E5893" s="2">
        <v>29</v>
      </c>
      <c r="F5893" s="2" t="s">
        <v>16</v>
      </c>
    </row>
    <row r="5894" spans="1:6" ht="25.5">
      <c r="A5894" s="2">
        <v>5891</v>
      </c>
      <c r="B5894" s="2" t="s">
        <v>5970</v>
      </c>
      <c r="C5894" s="2" t="str">
        <f>"14396327"</f>
        <v>14396327</v>
      </c>
      <c r="D5894" s="2">
        <v>1.044</v>
      </c>
      <c r="E5894" s="2">
        <v>74</v>
      </c>
      <c r="F5894" s="2" t="s">
        <v>12</v>
      </c>
    </row>
    <row r="5895" spans="1:6" ht="25.5">
      <c r="A5895" s="2">
        <v>5892</v>
      </c>
      <c r="B5895" s="2" t="s">
        <v>5971</v>
      </c>
      <c r="C5895" s="2" t="str">
        <f>"17412722"</f>
        <v>17412722</v>
      </c>
      <c r="D5895" s="2">
        <v>0.23799999999999999</v>
      </c>
      <c r="E5895" s="2">
        <v>13</v>
      </c>
      <c r="F5895" s="2" t="s">
        <v>16</v>
      </c>
    </row>
    <row r="5896" spans="1:6" ht="25.5">
      <c r="A5896" s="2">
        <v>5893</v>
      </c>
      <c r="B5896" s="2" t="s">
        <v>5972</v>
      </c>
      <c r="C5896" s="2" t="str">
        <f>"09598049"</f>
        <v>09598049</v>
      </c>
      <c r="D5896" s="2">
        <v>2.3460000000000001</v>
      </c>
      <c r="E5896" s="2">
        <v>139</v>
      </c>
      <c r="F5896" s="2" t="s">
        <v>16</v>
      </c>
    </row>
    <row r="5897" spans="1:6" ht="25.5">
      <c r="A5897" s="2">
        <v>5894</v>
      </c>
      <c r="B5897" s="2" t="s">
        <v>5973</v>
      </c>
      <c r="C5897" s="2" t="str">
        <f>"13652354"</f>
        <v>13652354</v>
      </c>
      <c r="D5897" s="2">
        <v>0.56799999999999995</v>
      </c>
      <c r="E5897" s="2">
        <v>38</v>
      </c>
      <c r="F5897" s="2" t="s">
        <v>16</v>
      </c>
    </row>
    <row r="5898" spans="1:6" ht="25.5">
      <c r="A5898" s="2">
        <v>5895</v>
      </c>
      <c r="B5898" s="2" t="s">
        <v>5974</v>
      </c>
      <c r="C5898" s="2" t="str">
        <f>"14735709"</f>
        <v>14735709</v>
      </c>
      <c r="D5898" s="2">
        <v>0.66500000000000004</v>
      </c>
      <c r="E5898" s="2">
        <v>54</v>
      </c>
      <c r="F5898" s="2" t="s">
        <v>6</v>
      </c>
    </row>
    <row r="5899" spans="1:6" ht="25.5">
      <c r="A5899" s="2">
        <v>5896</v>
      </c>
      <c r="B5899" s="2" t="s">
        <v>5975</v>
      </c>
      <c r="C5899" s="2" t="str">
        <f>"13596349"</f>
        <v>13596349</v>
      </c>
      <c r="D5899" s="2">
        <v>0.32500000000000001</v>
      </c>
      <c r="E5899" s="2">
        <v>14</v>
      </c>
      <c r="F5899" s="2" t="s">
        <v>16</v>
      </c>
    </row>
    <row r="5900" spans="1:6" ht="25.5">
      <c r="A5900" s="2">
        <v>5897</v>
      </c>
      <c r="B5900" s="2" t="s">
        <v>5976</v>
      </c>
      <c r="C5900" s="2" t="str">
        <f>"1873734X"</f>
        <v>1873734X</v>
      </c>
      <c r="D5900" s="2">
        <v>1.3260000000000001</v>
      </c>
      <c r="E5900" s="2">
        <v>83</v>
      </c>
      <c r="F5900" s="2" t="s">
        <v>75</v>
      </c>
    </row>
    <row r="5901" spans="1:6" ht="25.5">
      <c r="A5901" s="2">
        <v>5898</v>
      </c>
      <c r="B5901" s="2" t="s">
        <v>5977</v>
      </c>
      <c r="C5901" s="2" t="str">
        <f>"14745151"</f>
        <v>14745151</v>
      </c>
      <c r="D5901" s="2">
        <v>0.66100000000000003</v>
      </c>
      <c r="E5901" s="2">
        <v>28</v>
      </c>
      <c r="F5901" s="2" t="s">
        <v>75</v>
      </c>
    </row>
    <row r="5902" spans="1:6" ht="25.5">
      <c r="A5902" s="2">
        <v>5899</v>
      </c>
      <c r="B5902" s="2" t="s">
        <v>5978</v>
      </c>
      <c r="C5902" s="2" t="str">
        <f>"17418275"</f>
        <v>17418275</v>
      </c>
      <c r="D5902" s="2">
        <v>1.3959999999999999</v>
      </c>
      <c r="E5902" s="2">
        <v>55</v>
      </c>
      <c r="F5902" s="2" t="s">
        <v>6</v>
      </c>
    </row>
    <row r="5903" spans="1:6" ht="25.5">
      <c r="A5903" s="2">
        <v>5900</v>
      </c>
      <c r="B5903" s="2" t="s">
        <v>5979</v>
      </c>
      <c r="C5903" s="2" t="str">
        <f>"01719335"</f>
        <v>01719335</v>
      </c>
      <c r="D5903" s="2">
        <v>1.5409999999999999</v>
      </c>
      <c r="E5903" s="2">
        <v>66</v>
      </c>
      <c r="F5903" s="2" t="s">
        <v>12</v>
      </c>
    </row>
    <row r="5904" spans="1:6" ht="25.5">
      <c r="A5904" s="2">
        <v>5901</v>
      </c>
      <c r="B5904" s="2" t="s">
        <v>5980</v>
      </c>
      <c r="C5904" s="2" t="str">
        <f>"13652362"</f>
        <v>13652362</v>
      </c>
      <c r="D5904" s="2">
        <v>1.083</v>
      </c>
      <c r="E5904" s="2">
        <v>71</v>
      </c>
      <c r="F5904" s="2" t="s">
        <v>16</v>
      </c>
    </row>
    <row r="5905" spans="1:6" ht="25.5">
      <c r="A5905" s="2">
        <v>5902</v>
      </c>
      <c r="B5905" s="2" t="s">
        <v>5981</v>
      </c>
      <c r="C5905" s="2" t="str">
        <f>"14354373"</f>
        <v>14354373</v>
      </c>
      <c r="D5905" s="2">
        <v>0.95799999999999996</v>
      </c>
      <c r="E5905" s="2">
        <v>74</v>
      </c>
      <c r="F5905" s="2" t="s">
        <v>12</v>
      </c>
    </row>
    <row r="5906" spans="1:6" ht="25.5">
      <c r="A5906" s="2">
        <v>5903</v>
      </c>
      <c r="B5906" s="2" t="s">
        <v>5982</v>
      </c>
      <c r="C5906" s="2" t="str">
        <f>"14765640"</f>
        <v>14765640</v>
      </c>
      <c r="D5906" s="2">
        <v>1.1930000000000001</v>
      </c>
      <c r="E5906" s="2">
        <v>98</v>
      </c>
      <c r="F5906" s="2" t="s">
        <v>16</v>
      </c>
    </row>
    <row r="5907" spans="1:6" ht="25.5">
      <c r="A5907" s="2">
        <v>5904</v>
      </c>
      <c r="B5907" s="2" t="s">
        <v>5983</v>
      </c>
      <c r="C5907" s="2" t="str">
        <f>"14321041"</f>
        <v>14321041</v>
      </c>
      <c r="D5907" s="2">
        <v>0.91600000000000004</v>
      </c>
      <c r="E5907" s="2">
        <v>69</v>
      </c>
      <c r="F5907" s="2" t="s">
        <v>12</v>
      </c>
    </row>
    <row r="5908" spans="1:6" ht="25.5">
      <c r="A5908" s="2">
        <v>5905</v>
      </c>
      <c r="B5908" s="2" t="s">
        <v>5984</v>
      </c>
      <c r="C5908" s="2" t="str">
        <f>"10959971"</f>
        <v>10959971</v>
      </c>
      <c r="D5908" s="2">
        <v>1.2070000000000001</v>
      </c>
      <c r="E5908" s="2">
        <v>27</v>
      </c>
      <c r="F5908" s="2" t="s">
        <v>6</v>
      </c>
    </row>
    <row r="5909" spans="1:6" ht="25.5">
      <c r="A5909" s="2">
        <v>5906</v>
      </c>
      <c r="B5909" s="2" t="s">
        <v>5985</v>
      </c>
      <c r="C5909" s="2" t="str">
        <f>"02673231"</f>
        <v>02673231</v>
      </c>
      <c r="D5909" s="2">
        <v>1.341</v>
      </c>
      <c r="E5909" s="2">
        <v>25</v>
      </c>
      <c r="F5909" s="2" t="s">
        <v>16</v>
      </c>
    </row>
    <row r="5910" spans="1:6" ht="25.5">
      <c r="A5910" s="2">
        <v>5907</v>
      </c>
      <c r="B5910" s="2" t="s">
        <v>5986</v>
      </c>
      <c r="C5910" s="2" t="str">
        <f>"17797179"</f>
        <v>17797179</v>
      </c>
      <c r="D5910" s="2">
        <v>0.183</v>
      </c>
      <c r="E5910" s="2">
        <v>2</v>
      </c>
      <c r="F5910" s="2" t="s">
        <v>16</v>
      </c>
    </row>
    <row r="5911" spans="1:6" ht="25.5">
      <c r="A5911" s="2">
        <v>5908</v>
      </c>
      <c r="B5911" s="2" t="s">
        <v>5987</v>
      </c>
      <c r="C5911" s="2" t="str">
        <f>"14730782"</f>
        <v>14730782</v>
      </c>
      <c r="D5911" s="2">
        <v>0.57799999999999996</v>
      </c>
      <c r="E5911" s="2">
        <v>28</v>
      </c>
      <c r="F5911" s="2" t="s">
        <v>16</v>
      </c>
    </row>
    <row r="5912" spans="1:6" ht="25.5">
      <c r="A5912" s="2">
        <v>5909</v>
      </c>
      <c r="B5912" s="2" t="s">
        <v>5988</v>
      </c>
      <c r="C5912" s="2" t="str">
        <f>"09473580"</f>
        <v>09473580</v>
      </c>
      <c r="D5912" s="2">
        <v>1.2749999999999999</v>
      </c>
      <c r="E5912" s="2">
        <v>33</v>
      </c>
      <c r="F5912" s="2" t="s">
        <v>66</v>
      </c>
    </row>
    <row r="5913" spans="1:6" ht="25.5">
      <c r="A5913" s="2">
        <v>5910</v>
      </c>
      <c r="B5913" s="2" t="s">
        <v>5989</v>
      </c>
      <c r="C5913" s="2" t="str">
        <f>"15718174"</f>
        <v>15718174</v>
      </c>
      <c r="D5913" s="2">
        <v>0.13100000000000001</v>
      </c>
      <c r="E5913" s="2">
        <v>6</v>
      </c>
      <c r="F5913" s="2" t="s">
        <v>75</v>
      </c>
    </row>
    <row r="5914" spans="1:6" ht="25.5">
      <c r="A5914" s="2">
        <v>5911</v>
      </c>
      <c r="B5914" s="2" t="s">
        <v>5990</v>
      </c>
      <c r="C5914" s="2" t="str">
        <f>"14773708"</f>
        <v>14773708</v>
      </c>
      <c r="D5914" s="2">
        <v>0.71099999999999997</v>
      </c>
      <c r="E5914" s="2">
        <v>12</v>
      </c>
      <c r="F5914" s="2" t="s">
        <v>6</v>
      </c>
    </row>
    <row r="5915" spans="1:6" ht="25.5">
      <c r="A5915" s="2">
        <v>5912</v>
      </c>
      <c r="B5915" s="2" t="s">
        <v>5991</v>
      </c>
      <c r="C5915" s="2" t="str">
        <f>"13675494"</f>
        <v>13675494</v>
      </c>
      <c r="D5915" s="2">
        <v>0.373</v>
      </c>
      <c r="E5915" s="2">
        <v>13</v>
      </c>
      <c r="F5915" s="2" t="s">
        <v>16</v>
      </c>
    </row>
    <row r="5916" spans="1:6" ht="25.5">
      <c r="A5916" s="2">
        <v>5913</v>
      </c>
      <c r="B5916" s="2" t="s">
        <v>5992</v>
      </c>
      <c r="C5916" s="2" t="str">
        <f>"16000579"</f>
        <v>16000579</v>
      </c>
      <c r="D5916" s="2">
        <v>0.41199999999999998</v>
      </c>
      <c r="E5916" s="2">
        <v>20</v>
      </c>
      <c r="F5916" s="2" t="s">
        <v>16</v>
      </c>
    </row>
    <row r="5917" spans="1:6" ht="25.5">
      <c r="A5917" s="2">
        <v>5914</v>
      </c>
      <c r="B5917" s="2" t="s">
        <v>5993</v>
      </c>
      <c r="C5917" s="2" t="str">
        <f>"13057464"</f>
        <v>13057464</v>
      </c>
      <c r="D5917" s="2">
        <v>0.20899999999999999</v>
      </c>
      <c r="E5917" s="2">
        <v>4</v>
      </c>
      <c r="F5917" s="2" t="s">
        <v>345</v>
      </c>
    </row>
    <row r="5918" spans="1:6" ht="25.5">
      <c r="A5918" s="2">
        <v>5915</v>
      </c>
      <c r="B5918" s="2" t="s">
        <v>5994</v>
      </c>
      <c r="C5918" s="2" t="str">
        <f>"11671122"</f>
        <v>11671122</v>
      </c>
      <c r="D5918" s="2">
        <v>0.54500000000000004</v>
      </c>
      <c r="E5918" s="2">
        <v>44</v>
      </c>
      <c r="F5918" s="2" t="s">
        <v>66</v>
      </c>
    </row>
    <row r="5919" spans="1:6" ht="25.5">
      <c r="A5919" s="2">
        <v>5916</v>
      </c>
      <c r="B5919" s="2" t="s">
        <v>5995</v>
      </c>
      <c r="C5919" s="2" t="str">
        <f>"17405629"</f>
        <v>17405629</v>
      </c>
      <c r="D5919" s="2">
        <v>0.40400000000000003</v>
      </c>
      <c r="E5919" s="2">
        <v>7</v>
      </c>
      <c r="F5919" s="2" t="s">
        <v>16</v>
      </c>
    </row>
    <row r="5920" spans="1:6" ht="25.5">
      <c r="A5920" s="2">
        <v>5917</v>
      </c>
      <c r="B5920" s="2" t="s">
        <v>5996</v>
      </c>
      <c r="C5920" s="2" t="str">
        <f>"09578811"</f>
        <v>09578811</v>
      </c>
      <c r="D5920" s="2">
        <v>0.39400000000000002</v>
      </c>
      <c r="E5920" s="2">
        <v>16</v>
      </c>
      <c r="F5920" s="2" t="s">
        <v>16</v>
      </c>
    </row>
    <row r="5921" spans="1:6" ht="25.5">
      <c r="A5921" s="2">
        <v>5918</v>
      </c>
      <c r="B5921" s="2" t="s">
        <v>5997</v>
      </c>
      <c r="C5921" s="2" t="str">
        <f>"03787966"</f>
        <v>03787966</v>
      </c>
      <c r="D5921" s="2">
        <v>0.24</v>
      </c>
      <c r="E5921" s="2">
        <v>25</v>
      </c>
      <c r="F5921" s="2" t="s">
        <v>66</v>
      </c>
    </row>
    <row r="5922" spans="1:6" ht="25.5">
      <c r="A5922" s="2">
        <v>5919</v>
      </c>
      <c r="B5922" s="2" t="s">
        <v>5998</v>
      </c>
      <c r="C5922" s="2" t="str">
        <f>"15680584"</f>
        <v>15680584</v>
      </c>
      <c r="D5922" s="2">
        <v>0.17199999999999999</v>
      </c>
      <c r="E5922" s="2">
        <v>3</v>
      </c>
      <c r="F5922" s="2" t="s">
        <v>75</v>
      </c>
    </row>
    <row r="5923" spans="1:6" ht="25.5">
      <c r="A5923" s="2">
        <v>5920</v>
      </c>
      <c r="B5923" s="2" t="s">
        <v>5999</v>
      </c>
      <c r="C5923" s="2" t="str">
        <f>"14502275"</f>
        <v>14502275</v>
      </c>
      <c r="D5923" s="2">
        <v>0.152</v>
      </c>
      <c r="E5923" s="2">
        <v>5</v>
      </c>
      <c r="F5923" s="2" t="s">
        <v>16</v>
      </c>
    </row>
    <row r="5924" spans="1:6" ht="25.5">
      <c r="A5924" s="2">
        <v>5921</v>
      </c>
      <c r="B5924" s="2" t="s">
        <v>6000</v>
      </c>
      <c r="C5924" s="2" t="str">
        <f>"01418211"</f>
        <v>01418211</v>
      </c>
      <c r="D5924" s="2">
        <v>0.68</v>
      </c>
      <c r="E5924" s="2">
        <v>12</v>
      </c>
      <c r="F5924" s="2" t="s">
        <v>16</v>
      </c>
    </row>
    <row r="5925" spans="1:6" ht="25.5">
      <c r="A5925" s="2">
        <v>5922</v>
      </c>
      <c r="B5925" s="2" t="s">
        <v>6001</v>
      </c>
      <c r="C5925" s="2" t="str">
        <f>"21033641"</f>
        <v>21033641</v>
      </c>
      <c r="D5925" s="2">
        <v>0.153</v>
      </c>
      <c r="E5925" s="2">
        <v>2</v>
      </c>
      <c r="F5925" s="2" t="s">
        <v>16</v>
      </c>
    </row>
    <row r="5926" spans="1:6" ht="25.5">
      <c r="A5926" s="2">
        <v>5923</v>
      </c>
      <c r="B5926" s="2" t="s">
        <v>6002</v>
      </c>
      <c r="C5926" s="2" t="str">
        <f>"09699546"</f>
        <v>09699546</v>
      </c>
      <c r="D5926" s="2">
        <v>0.44</v>
      </c>
      <c r="E5926" s="2">
        <v>26</v>
      </c>
      <c r="F5926" s="2" t="s">
        <v>6</v>
      </c>
    </row>
    <row r="5927" spans="1:6" ht="25.5">
      <c r="A5927" s="2">
        <v>5924</v>
      </c>
      <c r="B5927" s="2" t="s">
        <v>6003</v>
      </c>
      <c r="C5927" s="2" t="str">
        <f>"1479683X"</f>
        <v>1479683X</v>
      </c>
      <c r="D5927" s="2">
        <v>1.2230000000000001</v>
      </c>
      <c r="E5927" s="2">
        <v>89</v>
      </c>
      <c r="F5927" s="2" t="s">
        <v>16</v>
      </c>
    </row>
    <row r="5928" spans="1:6" ht="25.5">
      <c r="A5928" s="2">
        <v>5925</v>
      </c>
      <c r="B5928" s="2" t="s">
        <v>6004</v>
      </c>
      <c r="C5928" s="2" t="str">
        <f>"08044635"</f>
        <v>08044635</v>
      </c>
      <c r="D5928" s="2">
        <v>0.113</v>
      </c>
      <c r="E5928" s="2">
        <v>25</v>
      </c>
      <c r="F5928" s="2" t="s">
        <v>16</v>
      </c>
    </row>
    <row r="5929" spans="1:6" ht="25.5">
      <c r="A5929" s="2">
        <v>5926</v>
      </c>
      <c r="B5929" s="2" t="s">
        <v>6005</v>
      </c>
      <c r="C5929" s="2" t="str">
        <f>"14695898"</f>
        <v>14695898</v>
      </c>
      <c r="D5929" s="2">
        <v>0.48599999999999999</v>
      </c>
      <c r="E5929" s="2">
        <v>11</v>
      </c>
      <c r="F5929" s="2" t="s">
        <v>16</v>
      </c>
    </row>
    <row r="5930" spans="1:6" ht="25.5">
      <c r="A5930" s="2">
        <v>5927</v>
      </c>
      <c r="B5930" s="2" t="s">
        <v>6006</v>
      </c>
      <c r="C5930" s="2" t="str">
        <f>"13825577"</f>
        <v>13825577</v>
      </c>
      <c r="D5930" s="2">
        <v>0.109</v>
      </c>
      <c r="E5930" s="2">
        <v>1</v>
      </c>
      <c r="F5930" s="2" t="s">
        <v>16</v>
      </c>
    </row>
    <row r="5931" spans="1:6" ht="25.5">
      <c r="A5931" s="2">
        <v>5928</v>
      </c>
      <c r="B5931" s="2" t="s">
        <v>6007</v>
      </c>
      <c r="C5931" s="2" t="str">
        <f>"12105759"</f>
        <v>12105759</v>
      </c>
      <c r="D5931" s="2">
        <v>0.44700000000000001</v>
      </c>
      <c r="E5931" s="2">
        <v>34</v>
      </c>
      <c r="F5931" s="2" t="s">
        <v>208</v>
      </c>
    </row>
    <row r="5932" spans="1:6" ht="25.5">
      <c r="A5932" s="2">
        <v>5929</v>
      </c>
      <c r="B5932" s="2" t="s">
        <v>6008</v>
      </c>
      <c r="C5932" s="2" t="str">
        <f>"21167214"</f>
        <v>21167214</v>
      </c>
      <c r="D5932" s="2">
        <v>0.19600000000000001</v>
      </c>
      <c r="E5932" s="2">
        <v>4</v>
      </c>
      <c r="F5932" s="2" t="s">
        <v>16</v>
      </c>
    </row>
    <row r="5933" spans="1:6" ht="25.5">
      <c r="A5933" s="2">
        <v>5930</v>
      </c>
      <c r="B5933" s="2" t="s">
        <v>6009</v>
      </c>
      <c r="C5933" s="2" t="str">
        <f>"15737284"</f>
        <v>15737284</v>
      </c>
      <c r="D5933" s="2">
        <v>1.946</v>
      </c>
      <c r="E5933" s="2">
        <v>60</v>
      </c>
      <c r="F5933" s="2" t="s">
        <v>75</v>
      </c>
    </row>
    <row r="5934" spans="1:6" ht="25.5">
      <c r="A5934" s="2">
        <v>5931</v>
      </c>
      <c r="B5934" s="2" t="s">
        <v>6010</v>
      </c>
      <c r="C5934" s="2" t="str">
        <f>"18620612"</f>
        <v>18620612</v>
      </c>
      <c r="D5934" s="2">
        <v>0.312</v>
      </c>
      <c r="E5934" s="2">
        <v>6</v>
      </c>
      <c r="F5934" s="2" t="s">
        <v>6</v>
      </c>
    </row>
    <row r="5935" spans="1:6" ht="25.5">
      <c r="A5935" s="2">
        <v>5932</v>
      </c>
      <c r="B5935" s="2" t="s">
        <v>6011</v>
      </c>
      <c r="C5935" s="2" t="str">
        <f>"14664364"</f>
        <v>14664364</v>
      </c>
      <c r="D5935" s="2">
        <v>0.53700000000000003</v>
      </c>
      <c r="E5935" s="2">
        <v>13</v>
      </c>
      <c r="F5935" s="2" t="s">
        <v>16</v>
      </c>
    </row>
    <row r="5936" spans="1:6" ht="25.5">
      <c r="A5936" s="2">
        <v>5933</v>
      </c>
      <c r="B5936" s="2" t="s">
        <v>6012</v>
      </c>
      <c r="C5936" s="2" t="str">
        <f>"16124677"</f>
        <v>16124677</v>
      </c>
      <c r="D5936" s="2">
        <v>0.86399999999999999</v>
      </c>
      <c r="E5936" s="2">
        <v>25</v>
      </c>
      <c r="F5936" s="2" t="s">
        <v>12</v>
      </c>
    </row>
    <row r="5937" spans="1:6" ht="25.5">
      <c r="A5937" s="2">
        <v>5934</v>
      </c>
      <c r="B5937" s="2" t="s">
        <v>6013</v>
      </c>
      <c r="C5937" s="2" t="str">
        <f>"0954691X"</f>
        <v>0954691X</v>
      </c>
      <c r="D5937" s="2">
        <v>0.69299999999999995</v>
      </c>
      <c r="E5937" s="2">
        <v>68</v>
      </c>
      <c r="F5937" s="2" t="s">
        <v>6</v>
      </c>
    </row>
    <row r="5938" spans="1:6" ht="25.5">
      <c r="A5938" s="2">
        <v>5935</v>
      </c>
      <c r="B5938" s="2" t="s">
        <v>6014</v>
      </c>
      <c r="C5938" s="2" t="str">
        <f>"13043897"</f>
        <v>13043897</v>
      </c>
      <c r="D5938" s="2">
        <v>0.112</v>
      </c>
      <c r="E5938" s="2">
        <v>7</v>
      </c>
      <c r="F5938" s="2" t="s">
        <v>345</v>
      </c>
    </row>
    <row r="5939" spans="1:6" ht="25.5">
      <c r="A5939" s="2">
        <v>5936</v>
      </c>
      <c r="B5939" s="2" t="s">
        <v>6015</v>
      </c>
      <c r="C5939" s="2" t="str">
        <f>"13814788"</f>
        <v>13814788</v>
      </c>
      <c r="D5939" s="2">
        <v>0.26900000000000002</v>
      </c>
      <c r="E5939" s="2">
        <v>17</v>
      </c>
      <c r="F5939" s="2" t="s">
        <v>16</v>
      </c>
    </row>
    <row r="5940" spans="1:6" ht="25.5">
      <c r="A5940" s="2">
        <v>5937</v>
      </c>
      <c r="B5940" s="2" t="s">
        <v>6016</v>
      </c>
      <c r="C5940" s="2" t="str">
        <f>"03922936"</f>
        <v>03922936</v>
      </c>
      <c r="D5940" s="2">
        <v>0.26500000000000001</v>
      </c>
      <c r="E5940" s="2">
        <v>30</v>
      </c>
      <c r="F5940" s="2" t="s">
        <v>64</v>
      </c>
    </row>
    <row r="5941" spans="1:6" ht="25.5">
      <c r="A5941" s="2">
        <v>5938</v>
      </c>
      <c r="B5941" s="2" t="s">
        <v>6017</v>
      </c>
      <c r="C5941" s="2" t="str">
        <f>"16000609"</f>
        <v>16000609</v>
      </c>
      <c r="D5941" s="2">
        <v>0.82499999999999996</v>
      </c>
      <c r="E5941" s="2">
        <v>56</v>
      </c>
      <c r="F5941" s="2" t="s">
        <v>16</v>
      </c>
    </row>
    <row r="5942" spans="1:6" ht="25.5">
      <c r="A5942" s="2">
        <v>5939</v>
      </c>
      <c r="B5942" s="2" t="s">
        <v>6018</v>
      </c>
      <c r="C5942" s="2" t="str">
        <f>"16187598"</f>
        <v>16187598</v>
      </c>
      <c r="D5942" s="2">
        <v>0.67</v>
      </c>
      <c r="E5942" s="2">
        <v>25</v>
      </c>
      <c r="F5942" s="2" t="s">
        <v>12</v>
      </c>
    </row>
    <row r="5943" spans="1:6" ht="25.5">
      <c r="A5943" s="2">
        <v>5940</v>
      </c>
      <c r="B5943" s="2" t="s">
        <v>6019</v>
      </c>
      <c r="C5943" s="2" t="str">
        <f>"15718093"</f>
        <v>15718093</v>
      </c>
      <c r="D5943" s="2">
        <v>0.30499999999999999</v>
      </c>
      <c r="E5943" s="2">
        <v>12</v>
      </c>
      <c r="F5943" s="2" t="s">
        <v>75</v>
      </c>
    </row>
    <row r="5944" spans="1:6" ht="25.5">
      <c r="A5944" s="2">
        <v>5941</v>
      </c>
      <c r="B5944" s="2" t="s">
        <v>6020</v>
      </c>
      <c r="C5944" s="2" t="str">
        <f>"13889842"</f>
        <v>13889842</v>
      </c>
      <c r="D5944" s="2">
        <v>2.7869999999999999</v>
      </c>
      <c r="E5944" s="2">
        <v>72</v>
      </c>
      <c r="F5944" s="2" t="s">
        <v>16</v>
      </c>
    </row>
    <row r="5945" spans="1:6" ht="25.5">
      <c r="A5945" s="2">
        <v>5942</v>
      </c>
      <c r="B5945" s="2" t="s">
        <v>6021</v>
      </c>
      <c r="C5945" s="2" t="str">
        <f>"1121760X"</f>
        <v>1121760X</v>
      </c>
      <c r="D5945" s="2">
        <v>0.26200000000000001</v>
      </c>
      <c r="E5945" s="2">
        <v>25</v>
      </c>
      <c r="F5945" s="2" t="s">
        <v>190</v>
      </c>
    </row>
    <row r="5946" spans="1:6" ht="25.5">
      <c r="A5946" s="2">
        <v>5943</v>
      </c>
      <c r="B5946" s="2" t="s">
        <v>6022</v>
      </c>
      <c r="C5946" s="2" t="str">
        <f>"16114426"</f>
        <v>16114426</v>
      </c>
      <c r="D5946" s="2">
        <v>0.26</v>
      </c>
      <c r="E5946" s="2">
        <v>17</v>
      </c>
      <c r="F5946" s="2" t="s">
        <v>12</v>
      </c>
    </row>
    <row r="5947" spans="1:6" ht="25.5">
      <c r="A5947" s="2">
        <v>5944</v>
      </c>
      <c r="B5947" s="2" t="s">
        <v>6023</v>
      </c>
      <c r="C5947" s="2" t="str">
        <f>"20479964"</f>
        <v>20479964</v>
      </c>
      <c r="D5947" s="2">
        <v>0</v>
      </c>
      <c r="E5947" s="2">
        <v>1</v>
      </c>
      <c r="F5947" s="2" t="s">
        <v>161</v>
      </c>
    </row>
    <row r="5948" spans="1:6" ht="25.5">
      <c r="A5948" s="2">
        <v>5945</v>
      </c>
      <c r="B5948" s="2" t="s">
        <v>6024</v>
      </c>
      <c r="C5948" s="2" t="str">
        <f>"14733269"</f>
        <v>14733269</v>
      </c>
      <c r="D5948" s="2">
        <v>0.59799999999999998</v>
      </c>
      <c r="E5948" s="2">
        <v>13</v>
      </c>
      <c r="F5948" s="2" t="s">
        <v>6</v>
      </c>
    </row>
    <row r="5949" spans="1:6" ht="25.5">
      <c r="A5949" s="2">
        <v>5946</v>
      </c>
      <c r="B5949" s="2" t="s">
        <v>6025</v>
      </c>
      <c r="C5949" s="2" t="str">
        <f>"10184813"</f>
        <v>10184813</v>
      </c>
      <c r="D5949" s="2">
        <v>1.696</v>
      </c>
      <c r="E5949" s="2">
        <v>81</v>
      </c>
      <c r="F5949" s="2" t="s">
        <v>16</v>
      </c>
    </row>
    <row r="5950" spans="1:6" ht="25.5">
      <c r="A5950" s="2">
        <v>5947</v>
      </c>
      <c r="B5950" s="2" t="s">
        <v>6026</v>
      </c>
      <c r="C5950" s="2" t="str">
        <f>"15214141"</f>
        <v>15214141</v>
      </c>
      <c r="D5950" s="2">
        <v>2.375</v>
      </c>
      <c r="E5950" s="2">
        <v>147</v>
      </c>
      <c r="F5950" s="2" t="s">
        <v>12</v>
      </c>
    </row>
    <row r="5951" spans="1:6" ht="25.5">
      <c r="A5951" s="2">
        <v>5948</v>
      </c>
      <c r="B5951" s="2" t="s">
        <v>6027</v>
      </c>
      <c r="C5951" s="2" t="str">
        <f>"17515254"</f>
        <v>17515254</v>
      </c>
      <c r="D5951" s="2">
        <v>1.57</v>
      </c>
      <c r="E5951" s="2">
        <v>9</v>
      </c>
      <c r="F5951" s="2" t="s">
        <v>16</v>
      </c>
    </row>
    <row r="5952" spans="1:6" ht="25.5">
      <c r="A5952" s="2">
        <v>5949</v>
      </c>
      <c r="B5952" s="2" t="s">
        <v>6028</v>
      </c>
      <c r="C5952" s="2" t="str">
        <f>"09596801"</f>
        <v>09596801</v>
      </c>
      <c r="D5952" s="2">
        <v>1.105</v>
      </c>
      <c r="E5952" s="2">
        <v>20</v>
      </c>
      <c r="F5952" s="2" t="s">
        <v>16</v>
      </c>
    </row>
    <row r="5953" spans="1:6" ht="25.5">
      <c r="A5953" s="2">
        <v>5950</v>
      </c>
      <c r="B5953" s="2" t="s">
        <v>6029</v>
      </c>
      <c r="C5953" s="2" t="str">
        <f>"1721727X"</f>
        <v>1721727X</v>
      </c>
      <c r="D5953" s="2">
        <v>1.633</v>
      </c>
      <c r="E5953" s="2">
        <v>13</v>
      </c>
      <c r="F5953" s="2" t="s">
        <v>190</v>
      </c>
    </row>
    <row r="5954" spans="1:6" ht="25.5">
      <c r="A5954" s="2">
        <v>5951</v>
      </c>
      <c r="B5954" s="2" t="s">
        <v>6030</v>
      </c>
      <c r="C5954" s="2" t="str">
        <f>"14769344"</f>
        <v>14769344</v>
      </c>
      <c r="D5954" s="2">
        <v>1.4690000000000001</v>
      </c>
      <c r="E5954" s="2">
        <v>51</v>
      </c>
      <c r="F5954" s="2" t="s">
        <v>16</v>
      </c>
    </row>
    <row r="5955" spans="1:6" ht="25.5">
      <c r="A5955" s="2">
        <v>5952</v>
      </c>
      <c r="B5955" s="2" t="s">
        <v>6031</v>
      </c>
      <c r="C5955" s="2" t="str">
        <f>"14601060"</f>
        <v>14601060</v>
      </c>
      <c r="D5955" s="2">
        <v>0.55600000000000005</v>
      </c>
      <c r="E5955" s="2">
        <v>19</v>
      </c>
      <c r="F5955" s="2" t="s">
        <v>16</v>
      </c>
    </row>
    <row r="5956" spans="1:6" ht="25.5">
      <c r="A5956" s="2">
        <v>5953</v>
      </c>
      <c r="B5956" s="2" t="s">
        <v>6032</v>
      </c>
      <c r="C5956" s="2" t="str">
        <f>"14341948"</f>
        <v>14341948</v>
      </c>
      <c r="D5956" s="2">
        <v>1.028</v>
      </c>
      <c r="E5956" s="2">
        <v>80</v>
      </c>
      <c r="F5956" s="2" t="s">
        <v>12</v>
      </c>
    </row>
    <row r="5957" spans="1:6" ht="25.5">
      <c r="A5957" s="2">
        <v>5954</v>
      </c>
      <c r="B5957" s="2" t="s">
        <v>6033</v>
      </c>
      <c r="C5957" s="2" t="str">
        <f>"18763820"</f>
        <v>18763820</v>
      </c>
      <c r="D5957" s="2">
        <v>0.16500000000000001</v>
      </c>
      <c r="E5957" s="2">
        <v>6</v>
      </c>
      <c r="F5957" s="2" t="s">
        <v>12</v>
      </c>
    </row>
    <row r="5958" spans="1:6" ht="25.5">
      <c r="A5958" s="2">
        <v>5955</v>
      </c>
      <c r="B5958" s="2" t="s">
        <v>6034</v>
      </c>
      <c r="C5958" s="2" t="str">
        <f>"09536205"</f>
        <v>09536205</v>
      </c>
      <c r="D5958" s="2">
        <v>0.57399999999999995</v>
      </c>
      <c r="E5958" s="2">
        <v>32</v>
      </c>
      <c r="F5958" s="2" t="s">
        <v>75</v>
      </c>
    </row>
    <row r="5959" spans="1:6" ht="25.5">
      <c r="A5959" s="2">
        <v>5956</v>
      </c>
      <c r="B5959" s="2" t="s">
        <v>6035</v>
      </c>
      <c r="C5959" s="2" t="str">
        <f>"14643596"</f>
        <v>14643596</v>
      </c>
      <c r="D5959" s="2">
        <v>1.145</v>
      </c>
      <c r="E5959" s="2">
        <v>16</v>
      </c>
      <c r="F5959" s="2" t="s">
        <v>16</v>
      </c>
    </row>
    <row r="5960" spans="1:6" ht="25.5">
      <c r="A5960" s="2">
        <v>5957</v>
      </c>
      <c r="B5960" s="2" t="s">
        <v>6036</v>
      </c>
      <c r="C5960" s="2" t="str">
        <f>"17516765"</f>
        <v>17516765</v>
      </c>
      <c r="D5960" s="2">
        <v>0.214</v>
      </c>
      <c r="E5960" s="2">
        <v>4</v>
      </c>
      <c r="F5960" s="2" t="s">
        <v>16</v>
      </c>
    </row>
    <row r="5961" spans="1:6" ht="25.5">
      <c r="A5961" s="2">
        <v>5958</v>
      </c>
      <c r="B5961" s="2" t="s">
        <v>6037</v>
      </c>
      <c r="C5961" s="2" t="str">
        <f>"13540661"</f>
        <v>13540661</v>
      </c>
      <c r="D5961" s="2">
        <v>1.7609999999999999</v>
      </c>
      <c r="E5961" s="2">
        <v>35</v>
      </c>
      <c r="F5961" s="2" t="s">
        <v>16</v>
      </c>
    </row>
    <row r="5962" spans="1:6" ht="25.5">
      <c r="A5962" s="2">
        <v>5959</v>
      </c>
      <c r="B5962" s="2" t="s">
        <v>6038</v>
      </c>
      <c r="C5962" s="2" t="str">
        <f>"10259996"</f>
        <v>10259996</v>
      </c>
      <c r="D5962" s="2">
        <v>0.10100000000000001</v>
      </c>
      <c r="E5962" s="2">
        <v>2</v>
      </c>
      <c r="F5962" s="2" t="s">
        <v>75</v>
      </c>
    </row>
    <row r="5963" spans="1:6" ht="25.5">
      <c r="A5963" s="2">
        <v>5960</v>
      </c>
      <c r="B5963" s="2" t="s">
        <v>6039</v>
      </c>
      <c r="C5963" s="2" t="str">
        <f>"15729990"</f>
        <v>15729990</v>
      </c>
      <c r="D5963" s="2">
        <v>0.24199999999999999</v>
      </c>
      <c r="E5963" s="2">
        <v>13</v>
      </c>
      <c r="F5963" s="2" t="s">
        <v>75</v>
      </c>
    </row>
    <row r="5964" spans="1:6" ht="25.5">
      <c r="A5964" s="2">
        <v>5961</v>
      </c>
      <c r="B5964" s="2" t="s">
        <v>6040</v>
      </c>
      <c r="C5964" s="2" t="str">
        <f>"14389312"</f>
        <v>14389312</v>
      </c>
      <c r="D5964" s="2">
        <v>0.77500000000000002</v>
      </c>
      <c r="E5964" s="2">
        <v>46</v>
      </c>
      <c r="F5964" s="2" t="s">
        <v>12</v>
      </c>
    </row>
    <row r="5965" spans="1:6" ht="25.5">
      <c r="A5965" s="2">
        <v>5962</v>
      </c>
      <c r="B5965" s="2" t="s">
        <v>6041</v>
      </c>
      <c r="C5965" s="2" t="str">
        <f>"07785569"</f>
        <v>07785569</v>
      </c>
      <c r="D5965" s="2">
        <v>0.10299999999999999</v>
      </c>
      <c r="E5965" s="2">
        <v>4</v>
      </c>
      <c r="F5965" s="2" t="s">
        <v>161</v>
      </c>
    </row>
    <row r="5966" spans="1:6" ht="25.5">
      <c r="A5966" s="2">
        <v>5963</v>
      </c>
      <c r="B5966" s="2" t="s">
        <v>6042</v>
      </c>
      <c r="C5966" s="2" t="str">
        <f>"03090566"</f>
        <v>03090566</v>
      </c>
      <c r="D5966" s="2">
        <v>0.81100000000000005</v>
      </c>
      <c r="E5966" s="2">
        <v>31</v>
      </c>
      <c r="F5966" s="2" t="s">
        <v>16</v>
      </c>
    </row>
    <row r="5967" spans="1:6" ht="25.5">
      <c r="A5967" s="2">
        <v>5964</v>
      </c>
      <c r="B5967" s="2" t="s">
        <v>6043</v>
      </c>
      <c r="C5967" s="2" t="str">
        <f>"14690667"</f>
        <v>14690667</v>
      </c>
      <c r="D5967" s="2">
        <v>0.52</v>
      </c>
      <c r="E5967" s="2">
        <v>30</v>
      </c>
      <c r="F5967" s="2" t="s">
        <v>16</v>
      </c>
    </row>
    <row r="5968" spans="1:6" ht="25.5">
      <c r="A5968" s="2">
        <v>5965</v>
      </c>
      <c r="B5968" s="2" t="s">
        <v>6044</v>
      </c>
      <c r="C5968" s="2" t="str">
        <f>"09977538"</f>
        <v>09977538</v>
      </c>
      <c r="D5968" s="2">
        <v>1.321</v>
      </c>
      <c r="E5968" s="2">
        <v>48</v>
      </c>
      <c r="F5968" s="2" t="s">
        <v>75</v>
      </c>
    </row>
    <row r="5969" spans="1:6" ht="25.5">
      <c r="A5969" s="2">
        <v>5966</v>
      </c>
      <c r="B5969" s="2" t="s">
        <v>6045</v>
      </c>
      <c r="C5969" s="2" t="str">
        <f>"09977546"</f>
        <v>09977546</v>
      </c>
      <c r="D5969" s="2">
        <v>0.89600000000000002</v>
      </c>
      <c r="E5969" s="2">
        <v>34</v>
      </c>
      <c r="F5969" s="2" t="s">
        <v>75</v>
      </c>
    </row>
    <row r="5970" spans="1:6" ht="25.5">
      <c r="A5970" s="2">
        <v>5967</v>
      </c>
      <c r="B5970" s="2" t="s">
        <v>6046</v>
      </c>
      <c r="C5970" s="2" t="str">
        <f>"18780849"</f>
        <v>18780849</v>
      </c>
      <c r="D5970" s="2">
        <v>1.0289999999999999</v>
      </c>
      <c r="E5970" s="2">
        <v>32</v>
      </c>
      <c r="F5970" s="2" t="s">
        <v>190</v>
      </c>
    </row>
    <row r="5971" spans="1:6" ht="25.5">
      <c r="A5971" s="2">
        <v>5968</v>
      </c>
      <c r="B5971" s="2" t="s">
        <v>6047</v>
      </c>
      <c r="C5971" s="2" t="str">
        <f>"09492321"</f>
        <v>09492321</v>
      </c>
      <c r="D5971" s="2">
        <v>0.40300000000000002</v>
      </c>
      <c r="E5971" s="2">
        <v>37</v>
      </c>
      <c r="F5971" s="2" t="s">
        <v>16</v>
      </c>
    </row>
    <row r="5972" spans="1:6" ht="25.5">
      <c r="A5972" s="2">
        <v>5969</v>
      </c>
      <c r="B5972" s="2" t="s">
        <v>6048</v>
      </c>
      <c r="C5972" s="2" t="str">
        <f>"02235234"</f>
        <v>02235234</v>
      </c>
      <c r="D5972" s="2">
        <v>1.0620000000000001</v>
      </c>
      <c r="E5972" s="2">
        <v>75</v>
      </c>
      <c r="F5972" s="2" t="s">
        <v>190</v>
      </c>
    </row>
    <row r="5973" spans="1:6" ht="25.5">
      <c r="A5973" s="2">
        <v>5970</v>
      </c>
      <c r="B5973" s="2" t="s">
        <v>6049</v>
      </c>
      <c r="C5973" s="2" t="str">
        <f>"17884934"</f>
        <v>17884934</v>
      </c>
      <c r="D5973" s="2">
        <v>0.10100000000000001</v>
      </c>
      <c r="E5973" s="2">
        <v>2</v>
      </c>
      <c r="F5973" s="2" t="s">
        <v>135</v>
      </c>
    </row>
    <row r="5974" spans="1:6" ht="25.5">
      <c r="A5974" s="2">
        <v>5971</v>
      </c>
      <c r="B5974" s="2" t="s">
        <v>6050</v>
      </c>
      <c r="C5974" s="2" t="str">
        <f>"15718166"</f>
        <v>15718166</v>
      </c>
      <c r="D5974" s="2">
        <v>0.79500000000000004</v>
      </c>
      <c r="E5974" s="2">
        <v>8</v>
      </c>
      <c r="F5974" s="2" t="s">
        <v>75</v>
      </c>
    </row>
    <row r="5975" spans="1:6" ht="25.5">
      <c r="A5975" s="2">
        <v>5972</v>
      </c>
      <c r="B5975" s="2" t="s">
        <v>6051</v>
      </c>
      <c r="C5975" s="2" t="str">
        <f>"09351221"</f>
        <v>09351221</v>
      </c>
      <c r="D5975" s="2">
        <v>0.79100000000000004</v>
      </c>
      <c r="E5975" s="2">
        <v>45</v>
      </c>
      <c r="F5975" s="2" t="s">
        <v>12</v>
      </c>
    </row>
    <row r="5976" spans="1:6" ht="25.5">
      <c r="A5976" s="2">
        <v>5973</v>
      </c>
      <c r="B5976" s="2" t="s">
        <v>6052</v>
      </c>
      <c r="C5976" s="2" t="str">
        <f>"14681331"</f>
        <v>14681331</v>
      </c>
      <c r="D5976" s="2">
        <v>1.27</v>
      </c>
      <c r="E5976" s="2">
        <v>71</v>
      </c>
      <c r="F5976" s="2" t="s">
        <v>16</v>
      </c>
    </row>
    <row r="5977" spans="1:6" ht="25.5">
      <c r="A5977" s="2">
        <v>5974</v>
      </c>
      <c r="B5977" s="2" t="s">
        <v>6053</v>
      </c>
      <c r="C5977" s="2" t="str">
        <f>"14609568"</f>
        <v>14609568</v>
      </c>
      <c r="D5977" s="2">
        <v>1.992</v>
      </c>
      <c r="E5977" s="2">
        <v>140</v>
      </c>
      <c r="F5977" s="2" t="s">
        <v>16</v>
      </c>
    </row>
    <row r="5978" spans="1:6" ht="25.5">
      <c r="A5978" s="2">
        <v>5975</v>
      </c>
      <c r="B5978" s="2" t="s">
        <v>6054</v>
      </c>
      <c r="C5978" s="2" t="str">
        <f>"16197089"</f>
        <v>16197089</v>
      </c>
      <c r="D5978" s="2">
        <v>1.724</v>
      </c>
      <c r="E5978" s="2">
        <v>80</v>
      </c>
      <c r="F5978" s="2" t="s">
        <v>12</v>
      </c>
    </row>
    <row r="5979" spans="1:6" ht="25.5">
      <c r="A5979" s="2">
        <v>5976</v>
      </c>
      <c r="B5979" s="2" t="s">
        <v>6055</v>
      </c>
      <c r="C5979" s="2" t="str">
        <f>"14366215"</f>
        <v>14366215</v>
      </c>
      <c r="D5979" s="2">
        <v>0.81699999999999995</v>
      </c>
      <c r="E5979" s="2">
        <v>56</v>
      </c>
      <c r="F5979" s="2" t="s">
        <v>12</v>
      </c>
    </row>
    <row r="5980" spans="1:6" ht="25.5">
      <c r="A5980" s="2">
        <v>5977</v>
      </c>
      <c r="B5980" s="2" t="s">
        <v>6056</v>
      </c>
      <c r="C5980" s="2" t="str">
        <f>"03012115"</f>
        <v>03012115</v>
      </c>
      <c r="D5980" s="2">
        <v>0.71099999999999997</v>
      </c>
      <c r="E5980" s="2">
        <v>61</v>
      </c>
      <c r="F5980" s="2" t="s">
        <v>732</v>
      </c>
    </row>
    <row r="5981" spans="1:6" ht="25.5">
      <c r="A5981" s="2">
        <v>5978</v>
      </c>
      <c r="B5981" s="2" t="s">
        <v>6057</v>
      </c>
      <c r="C5981" s="2" t="str">
        <f>"11286598"</f>
        <v>11286598</v>
      </c>
      <c r="D5981" s="2">
        <v>0.107</v>
      </c>
      <c r="E5981" s="2">
        <v>7</v>
      </c>
      <c r="F5981" s="2" t="s">
        <v>190</v>
      </c>
    </row>
    <row r="5982" spans="1:6" ht="25.5">
      <c r="A5982" s="2">
        <v>5979</v>
      </c>
      <c r="B5982" s="2" t="s">
        <v>6058</v>
      </c>
      <c r="C5982" s="2" t="str">
        <f>"15322122"</f>
        <v>15322122</v>
      </c>
      <c r="D5982" s="2">
        <v>0.79700000000000004</v>
      </c>
      <c r="E5982" s="2">
        <v>27</v>
      </c>
      <c r="F5982" s="2" t="s">
        <v>6</v>
      </c>
    </row>
    <row r="5983" spans="1:6" ht="25.5">
      <c r="A5983" s="2">
        <v>5980</v>
      </c>
      <c r="B5983" s="2" t="s">
        <v>6059</v>
      </c>
      <c r="C5983" s="2" t="str">
        <f>"17833914"</f>
        <v>17833914</v>
      </c>
      <c r="D5983" s="2">
        <v>0.10299999999999999</v>
      </c>
      <c r="E5983" s="2">
        <v>2</v>
      </c>
      <c r="F5983" s="2" t="s">
        <v>161</v>
      </c>
    </row>
    <row r="5984" spans="1:6" ht="25.5">
      <c r="A5984" s="2">
        <v>5981</v>
      </c>
      <c r="B5984" s="2" t="s">
        <v>6060</v>
      </c>
      <c r="C5984" s="2" t="str">
        <f>"03772217"</f>
        <v>03772217</v>
      </c>
      <c r="D5984" s="2">
        <v>2.5960000000000001</v>
      </c>
      <c r="E5984" s="2">
        <v>133</v>
      </c>
      <c r="F5984" s="2" t="s">
        <v>75</v>
      </c>
    </row>
    <row r="5985" spans="1:6" ht="25.5">
      <c r="A5985" s="2">
        <v>5982</v>
      </c>
      <c r="B5985" s="2" t="s">
        <v>6061</v>
      </c>
      <c r="C5985" s="2" t="str">
        <f>"11206721"</f>
        <v>11206721</v>
      </c>
      <c r="D5985" s="2">
        <v>0.66700000000000004</v>
      </c>
      <c r="E5985" s="2">
        <v>33</v>
      </c>
      <c r="F5985" s="2" t="s">
        <v>190</v>
      </c>
    </row>
    <row r="5986" spans="1:6" ht="25.5">
      <c r="A5986" s="2">
        <v>5983</v>
      </c>
      <c r="B5986" s="2" t="s">
        <v>6062</v>
      </c>
      <c r="C5986" s="2" t="str">
        <f>"17562414"</f>
        <v>17562414</v>
      </c>
      <c r="D5986" s="2">
        <v>0.84099999999999997</v>
      </c>
      <c r="E5986" s="2">
        <v>8</v>
      </c>
      <c r="F5986" s="2" t="s">
        <v>6</v>
      </c>
    </row>
    <row r="5987" spans="1:6" ht="25.5">
      <c r="A5987" s="2">
        <v>5984</v>
      </c>
      <c r="B5987" s="2" t="s">
        <v>6063</v>
      </c>
      <c r="C5987" s="2" t="str">
        <f>"16000722"</f>
        <v>16000722</v>
      </c>
      <c r="D5987" s="2">
        <v>0.69</v>
      </c>
      <c r="E5987" s="2">
        <v>57</v>
      </c>
      <c r="F5987" s="2" t="s">
        <v>163</v>
      </c>
    </row>
    <row r="5988" spans="1:6" ht="25.5">
      <c r="A5988" s="2">
        <v>5985</v>
      </c>
      <c r="B5988" s="2" t="s">
        <v>6064</v>
      </c>
      <c r="C5988" s="2" t="str">
        <f>"1434193X"</f>
        <v>1434193X</v>
      </c>
      <c r="D5988" s="2">
        <v>1.244</v>
      </c>
      <c r="E5988" s="2">
        <v>92</v>
      </c>
      <c r="F5988" s="2" t="s">
        <v>12</v>
      </c>
    </row>
    <row r="5989" spans="1:6" ht="25.5">
      <c r="A5989" s="2">
        <v>5986</v>
      </c>
      <c r="B5989" s="2" t="s">
        <v>6065</v>
      </c>
      <c r="C5989" s="2" t="str">
        <f>"13516647"</f>
        <v>13516647</v>
      </c>
      <c r="D5989" s="2">
        <v>0.112</v>
      </c>
      <c r="E5989" s="2">
        <v>2</v>
      </c>
      <c r="F5989" s="2" t="s">
        <v>16</v>
      </c>
    </row>
    <row r="5990" spans="1:6" ht="25.5">
      <c r="A5990" s="2">
        <v>5987</v>
      </c>
      <c r="B5990" s="2" t="s">
        <v>6066</v>
      </c>
      <c r="C5990" s="2" t="str">
        <f>"14602210"</f>
        <v>14602210</v>
      </c>
      <c r="D5990" s="2">
        <v>0.78800000000000003</v>
      </c>
      <c r="E5990" s="2">
        <v>46</v>
      </c>
      <c r="F5990" s="2" t="s">
        <v>16</v>
      </c>
    </row>
    <row r="5991" spans="1:6" ht="25.5">
      <c r="A5991" s="2">
        <v>5988</v>
      </c>
      <c r="B5991" s="2" t="s">
        <v>6067</v>
      </c>
      <c r="C5991" s="2" t="str">
        <f>"14321068"</f>
        <v>14321068</v>
      </c>
      <c r="D5991" s="2">
        <v>0.14000000000000001</v>
      </c>
      <c r="E5991" s="2">
        <v>9</v>
      </c>
      <c r="F5991" s="2" t="s">
        <v>12</v>
      </c>
    </row>
    <row r="5992" spans="1:6" ht="25.5">
      <c r="A5992" s="2">
        <v>5989</v>
      </c>
      <c r="B5992" s="2" t="s">
        <v>6068</v>
      </c>
      <c r="C5992" s="2" t="str">
        <f>"10903798"</f>
        <v>10903798</v>
      </c>
      <c r="D5992" s="2">
        <v>0.76500000000000001</v>
      </c>
      <c r="E5992" s="2">
        <v>34</v>
      </c>
      <c r="F5992" s="2" t="s">
        <v>16</v>
      </c>
    </row>
    <row r="5993" spans="1:6" ht="25.5">
      <c r="A5993" s="2">
        <v>5990</v>
      </c>
      <c r="B5993" s="2" t="s">
        <v>6069</v>
      </c>
      <c r="C5993" s="2" t="str">
        <f>"10903801"</f>
        <v>10903801</v>
      </c>
      <c r="D5993" s="2">
        <v>1.22</v>
      </c>
      <c r="E5993" s="2">
        <v>64</v>
      </c>
      <c r="F5993" s="2" t="s">
        <v>16</v>
      </c>
    </row>
    <row r="5994" spans="1:6" ht="25.5">
      <c r="A5994" s="2">
        <v>5991</v>
      </c>
      <c r="B5994" s="2" t="s">
        <v>6070</v>
      </c>
      <c r="C5994" s="2" t="str">
        <f>"17543207"</f>
        <v>17543207</v>
      </c>
      <c r="D5994" s="2">
        <v>0.159</v>
      </c>
      <c r="E5994" s="2">
        <v>4</v>
      </c>
      <c r="F5994" s="2" t="s">
        <v>16</v>
      </c>
    </row>
    <row r="5995" spans="1:6" ht="25.5">
      <c r="A5995" s="2">
        <v>5992</v>
      </c>
      <c r="B5995" s="2" t="s">
        <v>6071</v>
      </c>
      <c r="C5995" s="2" t="str">
        <f>"14790793"</f>
        <v>14790793</v>
      </c>
      <c r="D5995" s="2">
        <v>0.183</v>
      </c>
      <c r="E5995" s="2">
        <v>6</v>
      </c>
      <c r="F5995" s="2" t="s">
        <v>16</v>
      </c>
    </row>
    <row r="5996" spans="1:6" ht="25.5">
      <c r="A5996" s="2">
        <v>5993</v>
      </c>
      <c r="B5996" s="2" t="s">
        <v>6072</v>
      </c>
      <c r="C5996" s="2" t="str">
        <f>"17406277"</f>
        <v>17406277</v>
      </c>
      <c r="D5996" s="2">
        <v>0.159</v>
      </c>
      <c r="E5996" s="2">
        <v>1</v>
      </c>
      <c r="F5996" s="2" t="s">
        <v>16</v>
      </c>
    </row>
    <row r="5997" spans="1:6" ht="25.5">
      <c r="A5997" s="2">
        <v>5994</v>
      </c>
      <c r="B5997" s="2" t="s">
        <v>6073</v>
      </c>
      <c r="C5997" s="2" t="str">
        <f>"11227672"</f>
        <v>11227672</v>
      </c>
      <c r="D5997" s="2">
        <v>0.189</v>
      </c>
      <c r="E5997" s="2">
        <v>7</v>
      </c>
      <c r="F5997" s="2" t="s">
        <v>190</v>
      </c>
    </row>
    <row r="5998" spans="1:6" ht="25.5">
      <c r="A5998" s="2">
        <v>5995</v>
      </c>
      <c r="B5998" s="2" t="s">
        <v>6074</v>
      </c>
      <c r="C5998" s="2" t="str">
        <f>"14321076"</f>
        <v>14321076</v>
      </c>
      <c r="D5998" s="2">
        <v>0.67600000000000005</v>
      </c>
      <c r="E5998" s="2">
        <v>62</v>
      </c>
      <c r="F5998" s="2" t="s">
        <v>12</v>
      </c>
    </row>
    <row r="5999" spans="1:6" ht="25.5">
      <c r="A5999" s="2">
        <v>5996</v>
      </c>
      <c r="B5999" s="2" t="s">
        <v>6075</v>
      </c>
      <c r="C5999" s="2" t="str">
        <f>"09397248"</f>
        <v>09397248</v>
      </c>
      <c r="D5999" s="2">
        <v>0.35599999999999998</v>
      </c>
      <c r="E5999" s="2">
        <v>33</v>
      </c>
      <c r="F5999" s="2" t="s">
        <v>6</v>
      </c>
    </row>
    <row r="6000" spans="1:6" ht="25.5">
      <c r="A6000" s="2">
        <v>5997</v>
      </c>
      <c r="B6000" s="2" t="s">
        <v>6076</v>
      </c>
      <c r="C6000" s="2" t="str">
        <f>"10990984"</f>
        <v>10990984</v>
      </c>
      <c r="D6000" s="2">
        <v>1.665</v>
      </c>
      <c r="E6000" s="2">
        <v>43</v>
      </c>
      <c r="F6000" s="2" t="s">
        <v>16</v>
      </c>
    </row>
    <row r="6001" spans="1:6" ht="25.5">
      <c r="A6001" s="2">
        <v>5998</v>
      </c>
      <c r="B6001" s="2" t="s">
        <v>6077</v>
      </c>
      <c r="C6001" s="2" t="str">
        <f>"09280987"</f>
        <v>09280987</v>
      </c>
      <c r="D6001" s="2">
        <v>1.075</v>
      </c>
      <c r="E6001" s="2">
        <v>76</v>
      </c>
      <c r="F6001" s="2" t="s">
        <v>75</v>
      </c>
    </row>
    <row r="6002" spans="1:6" ht="25.5">
      <c r="A6002" s="2">
        <v>5999</v>
      </c>
      <c r="B6002" s="2" t="s">
        <v>6078</v>
      </c>
      <c r="C6002" s="2" t="str">
        <f>"09396411"</f>
        <v>09396411</v>
      </c>
      <c r="D6002" s="2">
        <v>1.6830000000000001</v>
      </c>
      <c r="E6002" s="2">
        <v>82</v>
      </c>
      <c r="F6002" s="2" t="s">
        <v>75</v>
      </c>
    </row>
    <row r="6003" spans="1:6" ht="25.5">
      <c r="A6003" s="2">
        <v>6000</v>
      </c>
      <c r="B6003" s="2" t="s">
        <v>6079</v>
      </c>
      <c r="C6003" s="2" t="str">
        <f>"00142999"</f>
        <v>00142999</v>
      </c>
      <c r="D6003" s="2">
        <v>0.83199999999999996</v>
      </c>
      <c r="E6003" s="2">
        <v>121</v>
      </c>
      <c r="F6003" s="2" t="s">
        <v>75</v>
      </c>
    </row>
    <row r="6004" spans="1:6" ht="25.5">
      <c r="A6004" s="2">
        <v>6001</v>
      </c>
      <c r="B6004" s="2" t="s">
        <v>6080</v>
      </c>
      <c r="C6004" s="2" t="str">
        <f>"09668373"</f>
        <v>09668373</v>
      </c>
      <c r="D6004" s="2">
        <v>0.22</v>
      </c>
      <c r="E6004" s="2">
        <v>14</v>
      </c>
      <c r="F6004" s="2" t="s">
        <v>16</v>
      </c>
    </row>
    <row r="6005" spans="1:6" ht="25.5">
      <c r="A6005" s="2">
        <v>6002</v>
      </c>
      <c r="B6005" s="2" t="s">
        <v>6081</v>
      </c>
      <c r="C6005" s="2" t="str">
        <f>"09670262"</f>
        <v>09670262</v>
      </c>
      <c r="D6005" s="2">
        <v>0.71799999999999997</v>
      </c>
      <c r="E6005" s="2">
        <v>43</v>
      </c>
      <c r="F6005" s="2" t="s">
        <v>16</v>
      </c>
    </row>
    <row r="6006" spans="1:6" ht="25.5">
      <c r="A6006" s="2">
        <v>6003</v>
      </c>
      <c r="B6006" s="2" t="s">
        <v>6082</v>
      </c>
      <c r="C6006" s="2" t="str">
        <f>"19739095"</f>
        <v>19739095</v>
      </c>
      <c r="D6006" s="2">
        <v>0.63300000000000001</v>
      </c>
      <c r="E6006" s="2">
        <v>24</v>
      </c>
      <c r="F6006" s="2" t="s">
        <v>190</v>
      </c>
    </row>
    <row r="6007" spans="1:6" ht="25.5">
      <c r="A6007" s="2">
        <v>6004</v>
      </c>
      <c r="B6007" s="2" t="s">
        <v>6083</v>
      </c>
      <c r="C6007" s="2" t="str">
        <f>"01430807"</f>
        <v>01430807</v>
      </c>
      <c r="D6007" s="2">
        <v>0.42199999999999999</v>
      </c>
      <c r="E6007" s="2">
        <v>26</v>
      </c>
      <c r="F6007" s="2" t="s">
        <v>16</v>
      </c>
    </row>
    <row r="6008" spans="1:6" ht="25.5">
      <c r="A6008" s="2">
        <v>6005</v>
      </c>
      <c r="B6008" s="2" t="s">
        <v>6084</v>
      </c>
      <c r="C6008" s="2" t="str">
        <f>"15738469"</f>
        <v>15738469</v>
      </c>
      <c r="D6008" s="2">
        <v>0.73</v>
      </c>
      <c r="E6008" s="2">
        <v>59</v>
      </c>
      <c r="F6008" s="2" t="s">
        <v>75</v>
      </c>
    </row>
    <row r="6009" spans="1:6" ht="25.5">
      <c r="A6009" s="2">
        <v>6006</v>
      </c>
      <c r="B6009" s="2" t="s">
        <v>6085</v>
      </c>
      <c r="C6009" s="2" t="str">
        <f>"14350130"</f>
        <v>14350130</v>
      </c>
      <c r="D6009" s="2">
        <v>0.22700000000000001</v>
      </c>
      <c r="E6009" s="2">
        <v>13</v>
      </c>
      <c r="F6009" s="2" t="s">
        <v>12</v>
      </c>
    </row>
    <row r="6010" spans="1:6" ht="25.5">
      <c r="A6010" s="2">
        <v>6007</v>
      </c>
      <c r="B6010" s="2" t="s">
        <v>6086</v>
      </c>
      <c r="C6010" s="2" t="str">
        <f>"01762680"</f>
        <v>01762680</v>
      </c>
      <c r="D6010" s="2">
        <v>1.1839999999999999</v>
      </c>
      <c r="E6010" s="2">
        <v>38</v>
      </c>
      <c r="F6010" s="2" t="s">
        <v>75</v>
      </c>
    </row>
    <row r="6011" spans="1:6" ht="25.5">
      <c r="A6011" s="2">
        <v>6008</v>
      </c>
      <c r="B6011" s="2" t="s">
        <v>6087</v>
      </c>
      <c r="C6011" s="2" t="str">
        <f>"14756765"</f>
        <v>14756765</v>
      </c>
      <c r="D6011" s="2">
        <v>1.579</v>
      </c>
      <c r="E6011" s="2">
        <v>39</v>
      </c>
      <c r="F6011" s="2" t="s">
        <v>16</v>
      </c>
    </row>
    <row r="6012" spans="1:6" ht="25.5">
      <c r="A6012" s="2">
        <v>6009</v>
      </c>
      <c r="B6012" s="2" t="s">
        <v>6088</v>
      </c>
      <c r="C6012" s="2" t="str">
        <f>"17412730"</f>
        <v>17412730</v>
      </c>
      <c r="D6012" s="2">
        <v>0.67100000000000004</v>
      </c>
      <c r="E6012" s="2">
        <v>9</v>
      </c>
      <c r="F6012" s="2" t="s">
        <v>16</v>
      </c>
    </row>
    <row r="6013" spans="1:6" ht="25.5">
      <c r="A6013" s="2">
        <v>6010</v>
      </c>
      <c r="B6013" s="2" t="s">
        <v>6089</v>
      </c>
      <c r="C6013" s="2" t="str">
        <f>"15729885"</f>
        <v>15729885</v>
      </c>
      <c r="D6013" s="2">
        <v>1.202</v>
      </c>
      <c r="E6013" s="2">
        <v>25</v>
      </c>
      <c r="F6013" s="2" t="s">
        <v>75</v>
      </c>
    </row>
    <row r="6014" spans="1:6" ht="25.5">
      <c r="A6014" s="2">
        <v>6011</v>
      </c>
      <c r="B6014" s="2" t="s">
        <v>6090</v>
      </c>
      <c r="C6014" s="2" t="str">
        <f>"09657452"</f>
        <v>09657452</v>
      </c>
      <c r="D6014" s="2">
        <v>0.219</v>
      </c>
      <c r="E6014" s="2">
        <v>15</v>
      </c>
      <c r="F6014" s="2" t="s">
        <v>16</v>
      </c>
    </row>
    <row r="6015" spans="1:6" ht="25.5">
      <c r="A6015" s="2">
        <v>6012</v>
      </c>
      <c r="B6015" s="2" t="s">
        <v>6091</v>
      </c>
      <c r="C6015" s="2" t="str">
        <f>"09324739"</f>
        <v>09324739</v>
      </c>
      <c r="D6015" s="2">
        <v>0.43</v>
      </c>
      <c r="E6015" s="2">
        <v>32</v>
      </c>
      <c r="F6015" s="2" t="s">
        <v>12</v>
      </c>
    </row>
    <row r="6016" spans="1:6" ht="25.5">
      <c r="A6016" s="2">
        <v>6013</v>
      </c>
      <c r="B6016" s="2" t="s">
        <v>6092</v>
      </c>
      <c r="C6016" s="2" t="str">
        <f>"02136163"</f>
        <v>02136163</v>
      </c>
      <c r="D6016" s="2">
        <v>0.153</v>
      </c>
      <c r="E6016" s="2">
        <v>12</v>
      </c>
      <c r="F6016" s="2" t="s">
        <v>351</v>
      </c>
    </row>
    <row r="6017" spans="1:6" ht="25.5">
      <c r="A6017" s="2">
        <v>6014</v>
      </c>
      <c r="B6017" s="2" t="s">
        <v>6093</v>
      </c>
      <c r="C6017" s="2" t="str">
        <f>"10155759"</f>
        <v>10155759</v>
      </c>
      <c r="D6017" s="2">
        <v>0.755</v>
      </c>
      <c r="E6017" s="2">
        <v>30</v>
      </c>
      <c r="F6017" s="2" t="s">
        <v>6</v>
      </c>
    </row>
    <row r="6018" spans="1:6" ht="25.5">
      <c r="A6018" s="2">
        <v>6015</v>
      </c>
      <c r="B6018" s="2" t="s">
        <v>6094</v>
      </c>
      <c r="C6018" s="2" t="str">
        <f>"19894007"</f>
        <v>19894007</v>
      </c>
      <c r="D6018" s="2">
        <v>0.57999999999999996</v>
      </c>
      <c r="E6018" s="2">
        <v>4</v>
      </c>
      <c r="F6018" s="2" t="s">
        <v>351</v>
      </c>
    </row>
    <row r="6019" spans="1:6" ht="25.5">
      <c r="A6019" s="2">
        <v>6016</v>
      </c>
      <c r="B6019" s="2" t="s">
        <v>6095</v>
      </c>
      <c r="C6019" s="2" t="str">
        <f>"02562928"</f>
        <v>02562928</v>
      </c>
      <c r="D6019" s="2">
        <v>0.432</v>
      </c>
      <c r="E6019" s="2">
        <v>24</v>
      </c>
      <c r="F6019" s="2" t="s">
        <v>75</v>
      </c>
    </row>
    <row r="6020" spans="1:6" ht="25.5">
      <c r="A6020" s="2">
        <v>6017</v>
      </c>
      <c r="B6020" s="2" t="s">
        <v>6096</v>
      </c>
      <c r="C6020" s="2" t="str">
        <f>"14695901"</f>
        <v>14695901</v>
      </c>
      <c r="D6020" s="2">
        <v>0.14199999999999999</v>
      </c>
      <c r="E6020" s="2">
        <v>3</v>
      </c>
      <c r="F6020" s="2" t="s">
        <v>6</v>
      </c>
    </row>
    <row r="6021" spans="1:6" ht="25.5">
      <c r="A6021" s="2">
        <v>6018</v>
      </c>
      <c r="B6021" s="2" t="s">
        <v>6097</v>
      </c>
      <c r="C6021" s="2" t="str">
        <f>"1464360X"</f>
        <v>1464360X</v>
      </c>
      <c r="D6021" s="2">
        <v>0.89700000000000002</v>
      </c>
      <c r="E6021" s="2">
        <v>49</v>
      </c>
      <c r="F6021" s="2" t="s">
        <v>16</v>
      </c>
    </row>
    <row r="6022" spans="1:6" ht="25.5">
      <c r="A6022" s="2">
        <v>6019</v>
      </c>
      <c r="B6022" s="2" t="s">
        <v>6098</v>
      </c>
      <c r="C6022" s="2" t="str">
        <f>"0720048X"</f>
        <v>0720048X</v>
      </c>
      <c r="D6022" s="2">
        <v>0.88100000000000001</v>
      </c>
      <c r="E6022" s="2">
        <v>67</v>
      </c>
      <c r="F6022" s="2" t="s">
        <v>732</v>
      </c>
    </row>
    <row r="6023" spans="1:6" ht="25.5">
      <c r="A6023" s="2">
        <v>6020</v>
      </c>
      <c r="B6023" s="2" t="s">
        <v>6099</v>
      </c>
      <c r="C6023" s="2" t="str">
        <f>"15714675"</f>
        <v>15714675</v>
      </c>
      <c r="D6023" s="2">
        <v>0.11600000000000001</v>
      </c>
      <c r="E6023" s="2">
        <v>6</v>
      </c>
      <c r="F6023" s="2" t="s">
        <v>75</v>
      </c>
    </row>
    <row r="6024" spans="1:6" ht="25.5">
      <c r="A6024" s="2">
        <v>6021</v>
      </c>
      <c r="B6024" s="2" t="s">
        <v>6100</v>
      </c>
      <c r="C6024" s="2" t="str">
        <f>"21919402"</f>
        <v>21919402</v>
      </c>
      <c r="D6024" s="2">
        <v>0.104</v>
      </c>
      <c r="E6024" s="2">
        <v>0</v>
      </c>
      <c r="F6024" s="2" t="s">
        <v>12</v>
      </c>
    </row>
    <row r="6025" spans="1:6" ht="25.5">
      <c r="A6025" s="2">
        <v>6022</v>
      </c>
      <c r="B6025" s="2" t="s">
        <v>6101</v>
      </c>
      <c r="C6025" s="2" t="str">
        <f>"18410464"</f>
        <v>18410464</v>
      </c>
      <c r="D6025" s="2">
        <v>0.315</v>
      </c>
      <c r="E6025" s="2">
        <v>4</v>
      </c>
      <c r="F6025" s="2" t="s">
        <v>19</v>
      </c>
    </row>
    <row r="6026" spans="1:6" ht="25.5">
      <c r="A6026" s="2">
        <v>6023</v>
      </c>
      <c r="B6026" s="2" t="s">
        <v>6102</v>
      </c>
      <c r="C6026" s="2" t="str">
        <f>"1450202X"</f>
        <v>1450202X</v>
      </c>
      <c r="D6026" s="2">
        <v>0.22900000000000001</v>
      </c>
      <c r="E6026" s="2">
        <v>16</v>
      </c>
      <c r="F6026" s="2" t="s">
        <v>16</v>
      </c>
    </row>
    <row r="6027" spans="1:6" ht="25.5">
      <c r="A6027" s="2">
        <v>6024</v>
      </c>
      <c r="B6027" s="2" t="s">
        <v>6103</v>
      </c>
      <c r="C6027" s="2" t="str">
        <f>"10990992"</f>
        <v>10990992</v>
      </c>
      <c r="D6027" s="2">
        <v>1.298</v>
      </c>
      <c r="E6027" s="2">
        <v>55</v>
      </c>
      <c r="F6027" s="2" t="s">
        <v>16</v>
      </c>
    </row>
    <row r="6028" spans="1:6" ht="25.5">
      <c r="A6028" s="2">
        <v>6025</v>
      </c>
      <c r="B6028" s="2" t="s">
        <v>6104</v>
      </c>
      <c r="C6028" s="2" t="str">
        <f>"14502267"</f>
        <v>14502267</v>
      </c>
      <c r="D6028" s="2">
        <v>0.25600000000000001</v>
      </c>
      <c r="E6028" s="2">
        <v>7</v>
      </c>
      <c r="F6028" s="2" t="s">
        <v>16</v>
      </c>
    </row>
    <row r="6029" spans="1:6" ht="25.5">
      <c r="A6029" s="2">
        <v>6026</v>
      </c>
      <c r="B6029" s="2" t="s">
        <v>6105</v>
      </c>
      <c r="C6029" s="2" t="str">
        <f>"13684310"</f>
        <v>13684310</v>
      </c>
      <c r="D6029" s="2">
        <v>1.109</v>
      </c>
      <c r="E6029" s="2">
        <v>18</v>
      </c>
      <c r="F6029" s="2" t="s">
        <v>16</v>
      </c>
    </row>
    <row r="6030" spans="1:6" ht="25.5">
      <c r="A6030" s="2">
        <v>6027</v>
      </c>
      <c r="B6030" s="2" t="s">
        <v>6106</v>
      </c>
      <c r="C6030" s="2" t="str">
        <f>"13691457"</f>
        <v>13691457</v>
      </c>
      <c r="D6030" s="2">
        <v>0.49299999999999999</v>
      </c>
      <c r="E6030" s="2">
        <v>6</v>
      </c>
      <c r="F6030" s="2" t="s">
        <v>16</v>
      </c>
    </row>
    <row r="6031" spans="1:6" ht="25.5">
      <c r="A6031" s="2">
        <v>6028</v>
      </c>
      <c r="B6031" s="2" t="s">
        <v>6107</v>
      </c>
      <c r="C6031" s="2" t="str">
        <f>"11645563"</f>
        <v>11645563</v>
      </c>
      <c r="D6031" s="2">
        <v>0.80900000000000005</v>
      </c>
      <c r="E6031" s="2">
        <v>35</v>
      </c>
      <c r="F6031" s="2" t="s">
        <v>190</v>
      </c>
    </row>
    <row r="6032" spans="1:6" ht="25.5">
      <c r="A6032" s="2">
        <v>6029</v>
      </c>
      <c r="B6032" s="2" t="s">
        <v>6108</v>
      </c>
      <c r="C6032" s="2" t="str">
        <f>"13510754"</f>
        <v>13510754</v>
      </c>
      <c r="D6032" s="2">
        <v>1.4670000000000001</v>
      </c>
      <c r="E6032" s="2">
        <v>65</v>
      </c>
      <c r="F6032" s="2" t="s">
        <v>16</v>
      </c>
    </row>
    <row r="6033" spans="1:6" ht="25.5">
      <c r="A6033" s="2">
        <v>6030</v>
      </c>
      <c r="B6033" s="2" t="s">
        <v>6109</v>
      </c>
      <c r="C6033" s="2" t="str">
        <f>"16509544"</f>
        <v>16509544</v>
      </c>
      <c r="D6033" s="2">
        <v>0.152</v>
      </c>
      <c r="E6033" s="2">
        <v>2</v>
      </c>
      <c r="F6033" s="2" t="s">
        <v>151</v>
      </c>
    </row>
    <row r="6034" spans="1:6" ht="25.5">
      <c r="A6034" s="2">
        <v>6031</v>
      </c>
      <c r="B6034" s="2" t="s">
        <v>6110</v>
      </c>
      <c r="C6034" s="2" t="str">
        <f>"1469591X"</f>
        <v>1469591X</v>
      </c>
      <c r="D6034" s="2">
        <v>0.78500000000000003</v>
      </c>
      <c r="E6034" s="2">
        <v>20</v>
      </c>
      <c r="F6034" s="2" t="s">
        <v>6</v>
      </c>
    </row>
    <row r="6035" spans="1:6" ht="25.5">
      <c r="A6035" s="2">
        <v>6032</v>
      </c>
      <c r="B6035" s="2" t="s">
        <v>6111</v>
      </c>
      <c r="C6035" s="2" t="str">
        <f>"17461391"</f>
        <v>17461391</v>
      </c>
      <c r="D6035" s="2">
        <v>0.57099999999999995</v>
      </c>
      <c r="E6035" s="2">
        <v>13</v>
      </c>
      <c r="F6035" s="2" t="s">
        <v>16</v>
      </c>
    </row>
    <row r="6036" spans="1:6" ht="25.5">
      <c r="A6036" s="2">
        <v>6033</v>
      </c>
      <c r="B6036" s="2" t="s">
        <v>6112</v>
      </c>
      <c r="C6036" s="2" t="str">
        <f>"15322157"</f>
        <v>15322157</v>
      </c>
      <c r="D6036" s="2">
        <v>1.1299999999999999</v>
      </c>
      <c r="E6036" s="2">
        <v>61</v>
      </c>
      <c r="F6036" s="2" t="s">
        <v>16</v>
      </c>
    </row>
    <row r="6037" spans="1:6" ht="25.5">
      <c r="A6037" s="2">
        <v>6034</v>
      </c>
      <c r="B6037" s="2" t="s">
        <v>6113</v>
      </c>
      <c r="C6037" s="2" t="str">
        <f>"14695928"</f>
        <v>14695928</v>
      </c>
      <c r="D6037" s="2">
        <v>0.64500000000000002</v>
      </c>
      <c r="E6037" s="2">
        <v>10</v>
      </c>
      <c r="F6037" s="2" t="s">
        <v>16</v>
      </c>
    </row>
    <row r="6038" spans="1:6" ht="25.5">
      <c r="A6038" s="2">
        <v>6035</v>
      </c>
      <c r="B6038" s="2" t="s">
        <v>6114</v>
      </c>
      <c r="C6038" s="2" t="str">
        <f>"14695936"</f>
        <v>14695936</v>
      </c>
      <c r="D6038" s="2">
        <v>0.317</v>
      </c>
      <c r="E6038" s="2">
        <v>7</v>
      </c>
      <c r="F6038" s="2" t="s">
        <v>6</v>
      </c>
    </row>
    <row r="6039" spans="1:6" ht="25.5">
      <c r="A6039" s="2">
        <v>6036</v>
      </c>
      <c r="B6039" s="2" t="s">
        <v>6115</v>
      </c>
      <c r="C6039" s="2" t="str">
        <f>"09602720"</f>
        <v>09602720</v>
      </c>
      <c r="D6039" s="2">
        <v>0.10199999999999999</v>
      </c>
      <c r="E6039" s="2">
        <v>1</v>
      </c>
      <c r="F6039" s="2" t="s">
        <v>16</v>
      </c>
    </row>
    <row r="6040" spans="1:6" ht="25.5">
      <c r="A6040" s="2">
        <v>6037</v>
      </c>
      <c r="B6040" s="2" t="s">
        <v>6116</v>
      </c>
      <c r="C6040" s="2" t="str">
        <f>"19947658"</f>
        <v>19947658</v>
      </c>
      <c r="D6040" s="2">
        <v>0.25900000000000001</v>
      </c>
      <c r="E6040" s="2">
        <v>3</v>
      </c>
      <c r="F6040" s="2" t="s">
        <v>293</v>
      </c>
    </row>
    <row r="6041" spans="1:6" ht="25.5">
      <c r="A6041" s="2">
        <v>6038</v>
      </c>
      <c r="B6041" s="2" t="s">
        <v>6117</v>
      </c>
      <c r="C6041" s="2" t="str">
        <f>"20469012"</f>
        <v>20469012</v>
      </c>
      <c r="D6041" s="2">
        <v>0.38700000000000001</v>
      </c>
      <c r="E6041" s="2">
        <v>14</v>
      </c>
      <c r="F6041" s="2" t="s">
        <v>16</v>
      </c>
    </row>
    <row r="6042" spans="1:6" ht="25.5">
      <c r="A6042" s="2">
        <v>6039</v>
      </c>
      <c r="B6042" s="2" t="s">
        <v>6118</v>
      </c>
      <c r="C6042" s="2" t="str">
        <f>"15677141"</f>
        <v>15677141</v>
      </c>
      <c r="D6042" s="2">
        <v>0.58799999999999997</v>
      </c>
      <c r="E6042" s="2">
        <v>8</v>
      </c>
      <c r="F6042" s="2" t="s">
        <v>75</v>
      </c>
    </row>
    <row r="6043" spans="1:6" ht="25.5">
      <c r="A6043" s="2">
        <v>6040</v>
      </c>
      <c r="B6043" s="2" t="s">
        <v>6119</v>
      </c>
      <c r="C6043" s="2" t="str">
        <f>"18639933"</f>
        <v>18639933</v>
      </c>
      <c r="D6043" s="2">
        <v>0.19400000000000001</v>
      </c>
      <c r="E6043" s="2">
        <v>8</v>
      </c>
      <c r="F6043" s="2" t="s">
        <v>12</v>
      </c>
    </row>
    <row r="6044" spans="1:6" ht="25.5">
      <c r="A6044" s="2">
        <v>6041</v>
      </c>
      <c r="B6044" s="2" t="s">
        <v>6120</v>
      </c>
      <c r="C6044" s="2" t="str">
        <f>"15322165"</f>
        <v>15322165</v>
      </c>
      <c r="D6044" s="2">
        <v>1.472</v>
      </c>
      <c r="E6044" s="2">
        <v>77</v>
      </c>
      <c r="F6044" s="2" t="s">
        <v>16</v>
      </c>
    </row>
    <row r="6045" spans="1:6" ht="25.5">
      <c r="A6045" s="2">
        <v>6042</v>
      </c>
      <c r="B6045" s="2" t="s">
        <v>6121</v>
      </c>
      <c r="C6045" s="2" t="str">
        <f>"16124642"</f>
        <v>16124642</v>
      </c>
      <c r="D6045" s="2">
        <v>0.55500000000000005</v>
      </c>
      <c r="E6045" s="2">
        <v>21</v>
      </c>
      <c r="F6045" s="2" t="s">
        <v>12</v>
      </c>
    </row>
    <row r="6046" spans="1:6" ht="25.5">
      <c r="A6046" s="2">
        <v>6043</v>
      </c>
      <c r="B6046" s="2" t="s">
        <v>6122</v>
      </c>
      <c r="C6046" s="2" t="str">
        <f>"13505068"</f>
        <v>13505068</v>
      </c>
      <c r="D6046" s="2">
        <v>0.25800000000000001</v>
      </c>
      <c r="E6046" s="2">
        <v>20</v>
      </c>
      <c r="F6046" s="2" t="s">
        <v>16</v>
      </c>
    </row>
    <row r="6047" spans="1:6" ht="25.5">
      <c r="A6047" s="2">
        <v>6044</v>
      </c>
      <c r="B6047" s="2" t="s">
        <v>6123</v>
      </c>
      <c r="C6047" s="2" t="str">
        <f>"1359432X"</f>
        <v>1359432X</v>
      </c>
      <c r="D6047" s="2">
        <v>0.96799999999999997</v>
      </c>
      <c r="E6047" s="2">
        <v>23</v>
      </c>
      <c r="F6047" s="2" t="s">
        <v>16</v>
      </c>
    </row>
    <row r="6048" spans="1:6" ht="25.5">
      <c r="A6048" s="2">
        <v>6045</v>
      </c>
      <c r="B6048" s="2" t="s">
        <v>6124</v>
      </c>
      <c r="C6048" s="2" t="str">
        <f>"09281371"</f>
        <v>09281371</v>
      </c>
      <c r="D6048" s="2">
        <v>0.39400000000000002</v>
      </c>
      <c r="E6048" s="2">
        <v>13</v>
      </c>
      <c r="F6048" s="2" t="s">
        <v>75</v>
      </c>
    </row>
    <row r="6049" spans="1:6" ht="25.5">
      <c r="A6049" s="2">
        <v>6046</v>
      </c>
      <c r="B6049" s="2" t="s">
        <v>6125</v>
      </c>
      <c r="C6049" s="2" t="str">
        <f>"18757340"</f>
        <v>18757340</v>
      </c>
      <c r="D6049" s="2">
        <v>0.10100000000000001</v>
      </c>
      <c r="E6049" s="2">
        <v>1</v>
      </c>
      <c r="F6049" s="2" t="s">
        <v>75</v>
      </c>
    </row>
    <row r="6050" spans="1:6" ht="25.5">
      <c r="A6050" s="2">
        <v>6047</v>
      </c>
      <c r="B6050" s="2" t="s">
        <v>6126</v>
      </c>
      <c r="C6050" s="2" t="str">
        <f>"14680386"</f>
        <v>14680386</v>
      </c>
      <c r="D6050" s="2">
        <v>1.0069999999999999</v>
      </c>
      <c r="E6050" s="2">
        <v>9</v>
      </c>
      <c r="F6050" s="2" t="s">
        <v>16</v>
      </c>
    </row>
    <row r="6051" spans="1:6" ht="25.5">
      <c r="A6051" s="2">
        <v>6048</v>
      </c>
      <c r="B6051" s="2" t="s">
        <v>6127</v>
      </c>
      <c r="C6051" s="2" t="str">
        <f>"03075400"</f>
        <v>03075400</v>
      </c>
      <c r="D6051" s="2">
        <v>1.1379999999999999</v>
      </c>
      <c r="E6051" s="2">
        <v>4</v>
      </c>
      <c r="F6051" s="2" t="s">
        <v>16</v>
      </c>
    </row>
    <row r="6052" spans="1:6" ht="25.5">
      <c r="A6052" s="2">
        <v>6049</v>
      </c>
      <c r="B6052" s="2" t="s">
        <v>6128</v>
      </c>
      <c r="C6052" s="2" t="str">
        <f>"14701316"</f>
        <v>14701316</v>
      </c>
      <c r="D6052" s="2">
        <v>0.112</v>
      </c>
      <c r="E6052" s="2">
        <v>2</v>
      </c>
      <c r="F6052" s="2" t="s">
        <v>16</v>
      </c>
    </row>
    <row r="6053" spans="1:6" ht="25.5">
      <c r="A6053" s="2">
        <v>6050</v>
      </c>
      <c r="B6053" s="2" t="s">
        <v>6129</v>
      </c>
      <c r="C6053" s="2" t="str">
        <f>"02632373"</f>
        <v>02632373</v>
      </c>
      <c r="D6053" s="2">
        <v>0.44600000000000001</v>
      </c>
      <c r="E6053" s="2">
        <v>47</v>
      </c>
      <c r="F6053" s="2" t="s">
        <v>16</v>
      </c>
    </row>
    <row r="6054" spans="1:6" ht="25.5">
      <c r="A6054" s="2">
        <v>6051</v>
      </c>
      <c r="B6054" s="2" t="s">
        <v>6130</v>
      </c>
      <c r="C6054" s="2" t="str">
        <f>"17404762"</f>
        <v>17404762</v>
      </c>
      <c r="D6054" s="2">
        <v>1.829</v>
      </c>
      <c r="E6054" s="2">
        <v>7</v>
      </c>
      <c r="F6054" s="2" t="s">
        <v>6</v>
      </c>
    </row>
    <row r="6055" spans="1:6" ht="25.5">
      <c r="A6055" s="2">
        <v>6052</v>
      </c>
      <c r="B6055" s="2" t="s">
        <v>6131</v>
      </c>
      <c r="C6055" s="2" t="str">
        <f>"20310064"</f>
        <v>20310064</v>
      </c>
      <c r="D6055" s="2">
        <v>0.10100000000000001</v>
      </c>
      <c r="E6055" s="2">
        <v>1</v>
      </c>
      <c r="F6055" s="2" t="s">
        <v>161</v>
      </c>
    </row>
    <row r="6056" spans="1:6" ht="25.5">
      <c r="A6056" s="2">
        <v>6053</v>
      </c>
      <c r="B6056" s="2" t="s">
        <v>6132</v>
      </c>
      <c r="C6056" s="2" t="str">
        <f>"20418000"</f>
        <v>20418000</v>
      </c>
      <c r="D6056" s="2">
        <v>0.152</v>
      </c>
      <c r="E6056" s="2">
        <v>1</v>
      </c>
      <c r="F6056" s="2" t="s">
        <v>16</v>
      </c>
    </row>
    <row r="6057" spans="1:6" ht="25.5">
      <c r="A6057" s="2">
        <v>6054</v>
      </c>
      <c r="B6057" s="2" t="s">
        <v>6133</v>
      </c>
      <c r="C6057" s="2" t="str">
        <f>"17583837"</f>
        <v>17583837</v>
      </c>
      <c r="D6057" s="2">
        <v>0.13100000000000001</v>
      </c>
      <c r="E6057" s="2">
        <v>3</v>
      </c>
      <c r="F6057" s="2" t="s">
        <v>16</v>
      </c>
    </row>
    <row r="6058" spans="1:6" ht="25.5">
      <c r="A6058" s="2">
        <v>6055</v>
      </c>
      <c r="B6058" s="2" t="s">
        <v>6134</v>
      </c>
      <c r="C6058" s="2" t="str">
        <f>"14219913"</f>
        <v>14219913</v>
      </c>
      <c r="D6058" s="2">
        <v>0.65200000000000002</v>
      </c>
      <c r="E6058" s="2">
        <v>52</v>
      </c>
      <c r="F6058" s="2" t="s">
        <v>31</v>
      </c>
    </row>
    <row r="6059" spans="1:6" ht="25.5">
      <c r="A6059" s="2">
        <v>6056</v>
      </c>
      <c r="B6059" s="2" t="s">
        <v>6135</v>
      </c>
      <c r="C6059" s="2" t="str">
        <f>"0924977X"</f>
        <v>0924977X</v>
      </c>
      <c r="D6059" s="2">
        <v>1.194</v>
      </c>
      <c r="E6059" s="2">
        <v>70</v>
      </c>
      <c r="F6059" s="2" t="s">
        <v>75</v>
      </c>
    </row>
    <row r="6060" spans="1:6" ht="25.5">
      <c r="A6060" s="2">
        <v>6057</v>
      </c>
      <c r="B6060" s="2" t="s">
        <v>6136</v>
      </c>
      <c r="C6060" s="2" t="str">
        <f>"18674577"</f>
        <v>18674577</v>
      </c>
      <c r="D6060" s="2">
        <v>0.129</v>
      </c>
      <c r="E6060" s="2">
        <v>2</v>
      </c>
      <c r="F6060" s="2" t="s">
        <v>12</v>
      </c>
    </row>
    <row r="6061" spans="1:6" ht="25.5">
      <c r="A6061" s="2">
        <v>6058</v>
      </c>
      <c r="B6061" s="2" t="s">
        <v>6137</v>
      </c>
      <c r="C6061" s="2" t="str">
        <f>"17412749"</f>
        <v>17412749</v>
      </c>
      <c r="D6061" s="2">
        <v>0.44500000000000001</v>
      </c>
      <c r="E6061" s="2">
        <v>13</v>
      </c>
      <c r="F6061" s="2" t="s">
        <v>16</v>
      </c>
    </row>
    <row r="6062" spans="1:6" ht="25.5">
      <c r="A6062" s="2">
        <v>6059</v>
      </c>
      <c r="B6062" s="2" t="s">
        <v>6138</v>
      </c>
      <c r="C6062" s="2" t="str">
        <f>"1434601X"</f>
        <v>1434601X</v>
      </c>
      <c r="D6062" s="2">
        <v>1.4350000000000001</v>
      </c>
      <c r="E6062" s="2">
        <v>58</v>
      </c>
      <c r="F6062" s="2" t="s">
        <v>6</v>
      </c>
    </row>
    <row r="6063" spans="1:6" ht="25.5">
      <c r="A6063" s="2">
        <v>6060</v>
      </c>
      <c r="B6063" s="2" t="s">
        <v>6139</v>
      </c>
      <c r="C6063" s="2" t="str">
        <f>"14346036"</f>
        <v>14346036</v>
      </c>
      <c r="D6063" s="2">
        <v>0.749</v>
      </c>
      <c r="E6063" s="2">
        <v>85</v>
      </c>
      <c r="F6063" s="2" t="s">
        <v>6</v>
      </c>
    </row>
    <row r="6064" spans="1:6" ht="25.5">
      <c r="A6064" s="2">
        <v>6061</v>
      </c>
      <c r="B6064" s="2" t="s">
        <v>6140</v>
      </c>
      <c r="C6064" s="2" t="str">
        <f>"14346044"</f>
        <v>14346044</v>
      </c>
      <c r="D6064" s="2">
        <v>2.7530000000000001</v>
      </c>
      <c r="E6064" s="2">
        <v>102</v>
      </c>
      <c r="F6064" s="2" t="s">
        <v>6</v>
      </c>
    </row>
    <row r="6065" spans="1:6" ht="25.5">
      <c r="A6065" s="2">
        <v>6062</v>
      </c>
      <c r="B6065" s="2" t="s">
        <v>6141</v>
      </c>
      <c r="C6065" s="2" t="str">
        <f>"14346060"</f>
        <v>14346060</v>
      </c>
      <c r="D6065" s="2">
        <v>0.752</v>
      </c>
      <c r="E6065" s="2">
        <v>57</v>
      </c>
      <c r="F6065" s="2" t="s">
        <v>6</v>
      </c>
    </row>
    <row r="6066" spans="1:6" ht="25.5">
      <c r="A6066" s="2">
        <v>6063</v>
      </c>
      <c r="B6066" s="2" t="s">
        <v>6142</v>
      </c>
      <c r="C6066" s="2" t="str">
        <f>"1292895X"</f>
        <v>1292895X</v>
      </c>
      <c r="D6066" s="2">
        <v>0.66100000000000003</v>
      </c>
      <c r="E6066" s="2">
        <v>57</v>
      </c>
      <c r="F6066" s="2" t="s">
        <v>6</v>
      </c>
    </row>
    <row r="6067" spans="1:6" ht="25.5">
      <c r="A6067" s="2">
        <v>6064</v>
      </c>
      <c r="B6067" s="2" t="s">
        <v>6143</v>
      </c>
      <c r="C6067" s="2" t="str">
        <f>"21026459"</f>
        <v>21026459</v>
      </c>
      <c r="D6067" s="2">
        <v>1.034</v>
      </c>
      <c r="E6067" s="2">
        <v>9</v>
      </c>
      <c r="F6067" s="2" t="s">
        <v>12</v>
      </c>
    </row>
    <row r="6068" spans="1:6" ht="25.5">
      <c r="A6068" s="2">
        <v>6065</v>
      </c>
      <c r="B6068" s="2" t="s">
        <v>6144</v>
      </c>
      <c r="C6068" s="2" t="str">
        <f>"21905444"</f>
        <v>21905444</v>
      </c>
      <c r="D6068" s="2">
        <v>0.30399999999999999</v>
      </c>
      <c r="E6068" s="2">
        <v>5</v>
      </c>
      <c r="F6068" s="2" t="s">
        <v>6</v>
      </c>
    </row>
    <row r="6069" spans="1:6" ht="25.5">
      <c r="A6069" s="2">
        <v>6066</v>
      </c>
      <c r="B6069" s="2" t="s">
        <v>6145</v>
      </c>
      <c r="C6069" s="2" t="str">
        <f>"19516401"</f>
        <v>19516401</v>
      </c>
      <c r="D6069" s="2">
        <v>0.80100000000000005</v>
      </c>
      <c r="E6069" s="2">
        <v>32</v>
      </c>
      <c r="F6069" s="2" t="s">
        <v>12</v>
      </c>
    </row>
    <row r="6070" spans="1:6" ht="25.5">
      <c r="A6070" s="2">
        <v>6067</v>
      </c>
      <c r="B6070" s="2" t="s">
        <v>6146</v>
      </c>
      <c r="C6070" s="2" t="str">
        <f>"14695944"</f>
        <v>14695944</v>
      </c>
      <c r="D6070" s="2">
        <v>0.57899999999999996</v>
      </c>
      <c r="E6070" s="2">
        <v>35</v>
      </c>
      <c r="F6070" s="2" t="s">
        <v>16</v>
      </c>
    </row>
    <row r="6071" spans="1:6" ht="25.5">
      <c r="A6071" s="2">
        <v>6068</v>
      </c>
      <c r="B6071" s="2" t="s">
        <v>6147</v>
      </c>
      <c r="C6071" s="2" t="str">
        <f>"16804333"</f>
        <v>16804333</v>
      </c>
      <c r="D6071" s="2">
        <v>0.17199999999999999</v>
      </c>
      <c r="E6071" s="2">
        <v>4</v>
      </c>
      <c r="F6071" s="2" t="s">
        <v>16</v>
      </c>
    </row>
    <row r="6072" spans="1:6" ht="25.5">
      <c r="A6072" s="2">
        <v>6069</v>
      </c>
      <c r="B6072" s="2" t="s">
        <v>6148</v>
      </c>
      <c r="C6072" s="2" t="str">
        <f>"00143057"</f>
        <v>00143057</v>
      </c>
      <c r="D6072" s="2">
        <v>0.93500000000000005</v>
      </c>
      <c r="E6072" s="2">
        <v>72</v>
      </c>
      <c r="F6072" s="2" t="s">
        <v>16</v>
      </c>
    </row>
    <row r="6073" spans="1:6" ht="25.5">
      <c r="A6073" s="2">
        <v>6070</v>
      </c>
      <c r="B6073" s="2" t="s">
        <v>6149</v>
      </c>
      <c r="C6073" s="2" t="str">
        <f>"17581354"</f>
        <v>17581354</v>
      </c>
      <c r="D6073" s="2">
        <v>0.114</v>
      </c>
      <c r="E6073" s="2">
        <v>1</v>
      </c>
      <c r="F6073" s="2" t="s">
        <v>16</v>
      </c>
    </row>
    <row r="6074" spans="1:6" ht="25.5">
      <c r="A6074" s="2">
        <v>6071</v>
      </c>
      <c r="B6074" s="2" t="s">
        <v>6150</v>
      </c>
      <c r="C6074" s="2" t="str">
        <f>"09249338"</f>
        <v>09249338</v>
      </c>
      <c r="D6074" s="2">
        <v>1.2150000000000001</v>
      </c>
      <c r="E6074" s="2">
        <v>58</v>
      </c>
      <c r="F6074" s="2" t="s">
        <v>66</v>
      </c>
    </row>
    <row r="6075" spans="1:6" ht="25.5">
      <c r="A6075" s="2">
        <v>6072</v>
      </c>
      <c r="B6075" s="2" t="s">
        <v>6151</v>
      </c>
      <c r="C6075" s="2" t="str">
        <f>"10169040"</f>
        <v>10169040</v>
      </c>
      <c r="D6075" s="2">
        <v>0.54300000000000004</v>
      </c>
      <c r="E6075" s="2">
        <v>22</v>
      </c>
      <c r="F6075" s="2" t="s">
        <v>6</v>
      </c>
    </row>
    <row r="6076" spans="1:6" ht="25.5">
      <c r="A6076" s="2">
        <v>6073</v>
      </c>
      <c r="B6076" s="2" t="s">
        <v>6152</v>
      </c>
      <c r="C6076" s="2" t="str">
        <f>"14321084"</f>
        <v>14321084</v>
      </c>
      <c r="D6076" s="2">
        <v>1.7729999999999999</v>
      </c>
      <c r="E6076" s="2">
        <v>96</v>
      </c>
      <c r="F6076" s="2" t="s">
        <v>12</v>
      </c>
    </row>
    <row r="6077" spans="1:6" ht="25.5">
      <c r="A6077" s="2">
        <v>6074</v>
      </c>
      <c r="B6077" s="2" t="s">
        <v>6153</v>
      </c>
      <c r="C6077" s="2" t="str">
        <f>"11082976"</f>
        <v>11082976</v>
      </c>
      <c r="D6077" s="2">
        <v>0.124</v>
      </c>
      <c r="E6077" s="2">
        <v>2</v>
      </c>
      <c r="F6077" s="2" t="s">
        <v>313</v>
      </c>
    </row>
    <row r="6078" spans="1:6" ht="25.5">
      <c r="A6078" s="2">
        <v>6075</v>
      </c>
      <c r="B6078" s="2" t="s">
        <v>6154</v>
      </c>
      <c r="C6078" s="2" t="str">
        <f>"17545552"</f>
        <v>17545552</v>
      </c>
      <c r="D6078" s="2">
        <v>0.105</v>
      </c>
      <c r="E6078" s="2">
        <v>1</v>
      </c>
      <c r="F6078" s="2" t="s">
        <v>16</v>
      </c>
    </row>
    <row r="6079" spans="1:6" ht="25.5">
      <c r="A6079" s="2">
        <v>6076</v>
      </c>
      <c r="B6079" s="2" t="s">
        <v>6155</v>
      </c>
      <c r="C6079" s="2" t="str">
        <f>"13993003"</f>
        <v>13993003</v>
      </c>
      <c r="D6079" s="2">
        <v>2.4329999999999998</v>
      </c>
      <c r="E6079" s="2">
        <v>153</v>
      </c>
      <c r="F6079" s="2" t="s">
        <v>31</v>
      </c>
    </row>
    <row r="6080" spans="1:6" ht="25.5">
      <c r="A6080" s="2">
        <v>6077</v>
      </c>
      <c r="B6080" s="2" t="s">
        <v>6156</v>
      </c>
      <c r="C6080" s="2" t="str">
        <f>"1025448X"</f>
        <v>1025448X</v>
      </c>
      <c r="D6080" s="2">
        <v>0.126</v>
      </c>
      <c r="E6080" s="2">
        <v>13</v>
      </c>
      <c r="F6080" s="2" t="s">
        <v>31</v>
      </c>
    </row>
    <row r="6081" spans="1:6" ht="25.5">
      <c r="A6081" s="2">
        <v>6078</v>
      </c>
      <c r="B6081" s="2" t="s">
        <v>6157</v>
      </c>
      <c r="C6081" s="2" t="str">
        <f>"09059180"</f>
        <v>09059180</v>
      </c>
      <c r="D6081" s="2">
        <v>1.0680000000000001</v>
      </c>
      <c r="E6081" s="2">
        <v>20</v>
      </c>
      <c r="F6081" s="2" t="s">
        <v>31</v>
      </c>
    </row>
    <row r="6082" spans="1:6" ht="25.5">
      <c r="A6082" s="2">
        <v>6079</v>
      </c>
      <c r="B6082" s="2" t="s">
        <v>6158</v>
      </c>
      <c r="C6082" s="2" t="str">
        <f>"14740575"</f>
        <v>14740575</v>
      </c>
      <c r="D6082" s="2">
        <v>0.152</v>
      </c>
      <c r="E6082" s="2">
        <v>10</v>
      </c>
      <c r="F6082" s="2" t="s">
        <v>16</v>
      </c>
    </row>
    <row r="6083" spans="1:6" ht="25.5">
      <c r="A6083" s="2">
        <v>6080</v>
      </c>
      <c r="B6083" s="2" t="s">
        <v>6159</v>
      </c>
      <c r="C6083" s="2" t="str">
        <f>"11283602"</f>
        <v>11283602</v>
      </c>
      <c r="D6083" s="2">
        <v>0.31</v>
      </c>
      <c r="E6083" s="2">
        <v>23</v>
      </c>
      <c r="F6083" s="2" t="s">
        <v>190</v>
      </c>
    </row>
    <row r="6084" spans="1:6" ht="25.5">
      <c r="A6084" s="2">
        <v>6081</v>
      </c>
      <c r="B6084" s="2" t="s">
        <v>6160</v>
      </c>
      <c r="C6084" s="2" t="str">
        <f>"18616909"</f>
        <v>18616909</v>
      </c>
      <c r="D6084" s="2">
        <v>0.185</v>
      </c>
      <c r="E6084" s="2">
        <v>8</v>
      </c>
      <c r="F6084" s="2" t="s">
        <v>12</v>
      </c>
    </row>
    <row r="6085" spans="1:6" ht="25.5">
      <c r="A6085" s="2">
        <v>6082</v>
      </c>
      <c r="B6085" s="2" t="s">
        <v>6161</v>
      </c>
      <c r="C6085" s="2" t="str">
        <f>"14643618"</f>
        <v>14643618</v>
      </c>
      <c r="D6085" s="2">
        <v>2.048</v>
      </c>
      <c r="E6085" s="2">
        <v>31</v>
      </c>
      <c r="F6085" s="2" t="s">
        <v>16</v>
      </c>
    </row>
    <row r="6086" spans="1:6" ht="25.5">
      <c r="A6086" s="2">
        <v>6083</v>
      </c>
      <c r="B6086" s="2" t="s">
        <v>6162</v>
      </c>
      <c r="C6086" s="2" t="str">
        <f>"14740044"</f>
        <v>14740044</v>
      </c>
      <c r="D6086" s="2">
        <v>1.9139999999999999</v>
      </c>
      <c r="E6086" s="2">
        <v>13</v>
      </c>
      <c r="F6086" s="2" t="s">
        <v>16</v>
      </c>
    </row>
    <row r="6087" spans="1:6" ht="25.5">
      <c r="A6087" s="2">
        <v>6084</v>
      </c>
      <c r="B6087" s="2" t="s">
        <v>6163</v>
      </c>
      <c r="C6087" s="2" t="str">
        <f>"14698293"</f>
        <v>14698293</v>
      </c>
      <c r="D6087" s="2">
        <v>0.126</v>
      </c>
      <c r="E6087" s="2">
        <v>3</v>
      </c>
      <c r="F6087" s="2" t="s">
        <v>6</v>
      </c>
    </row>
    <row r="6088" spans="1:6" ht="25.5">
      <c r="A6088" s="2">
        <v>6085</v>
      </c>
      <c r="B6088" s="2" t="s">
        <v>6164</v>
      </c>
      <c r="C6088" s="2" t="str">
        <f>"10463283"</f>
        <v>10463283</v>
      </c>
      <c r="D6088" s="2">
        <v>3.206</v>
      </c>
      <c r="E6088" s="2">
        <v>5</v>
      </c>
      <c r="F6088" s="2" t="s">
        <v>16</v>
      </c>
    </row>
    <row r="6089" spans="1:6" ht="25.5">
      <c r="A6089" s="2">
        <v>6086</v>
      </c>
      <c r="B6089" s="2" t="s">
        <v>6165</v>
      </c>
      <c r="C6089" s="2" t="str">
        <f>"17404657"</f>
        <v>17404657</v>
      </c>
      <c r="D6089" s="2">
        <v>0.11</v>
      </c>
      <c r="E6089" s="2">
        <v>6</v>
      </c>
      <c r="F6089" s="2" t="s">
        <v>16</v>
      </c>
    </row>
    <row r="6090" spans="1:6" ht="25.5">
      <c r="A6090" s="2">
        <v>6087</v>
      </c>
      <c r="B6090" s="2" t="s">
        <v>6166</v>
      </c>
      <c r="C6090" s="2" t="str">
        <f>"02583127"</f>
        <v>02583127</v>
      </c>
      <c r="D6090" s="2">
        <v>0.158</v>
      </c>
      <c r="E6090" s="2">
        <v>5</v>
      </c>
      <c r="F6090" s="2" t="s">
        <v>751</v>
      </c>
    </row>
    <row r="6091" spans="1:6" ht="25.5">
      <c r="A6091" s="2">
        <v>6088</v>
      </c>
      <c r="B6091" s="2" t="s">
        <v>6167</v>
      </c>
      <c r="C6091" s="2" t="str">
        <f>"14698307"</f>
        <v>14698307</v>
      </c>
      <c r="D6091" s="2">
        <v>0.48299999999999998</v>
      </c>
      <c r="E6091" s="2">
        <v>13</v>
      </c>
      <c r="F6091" s="2" t="s">
        <v>6</v>
      </c>
    </row>
    <row r="6092" spans="1:6" ht="25.5">
      <c r="A6092" s="2">
        <v>6089</v>
      </c>
      <c r="B6092" s="2" t="s">
        <v>6168</v>
      </c>
      <c r="C6092" s="2" t="str">
        <f>"14682672"</f>
        <v>14682672</v>
      </c>
      <c r="D6092" s="2">
        <v>1.847</v>
      </c>
      <c r="E6092" s="2">
        <v>36</v>
      </c>
      <c r="F6092" s="2" t="s">
        <v>16</v>
      </c>
    </row>
    <row r="6093" spans="1:6" ht="25.5">
      <c r="A6093" s="2">
        <v>6090</v>
      </c>
      <c r="B6093" s="2" t="s">
        <v>6169</v>
      </c>
      <c r="C6093" s="2" t="str">
        <f>"03764265"</f>
        <v>03764265</v>
      </c>
      <c r="D6093" s="2">
        <v>0.10299999999999999</v>
      </c>
      <c r="E6093" s="2">
        <v>7</v>
      </c>
      <c r="F6093" s="2" t="s">
        <v>75</v>
      </c>
    </row>
    <row r="6094" spans="1:6" ht="25.5">
      <c r="A6094" s="2">
        <v>6091</v>
      </c>
      <c r="B6094" s="2" t="s">
        <v>6170</v>
      </c>
      <c r="C6094" s="2" t="str">
        <f>"18961525"</f>
        <v>18961525</v>
      </c>
      <c r="D6094" s="2">
        <v>0.14000000000000001</v>
      </c>
      <c r="E6094" s="2">
        <v>3</v>
      </c>
      <c r="F6094" s="2" t="s">
        <v>169</v>
      </c>
    </row>
    <row r="6095" spans="1:6" ht="25.5">
      <c r="A6095" s="2">
        <v>6092</v>
      </c>
      <c r="B6095" s="2" t="s">
        <v>6171</v>
      </c>
      <c r="C6095" s="2" t="str">
        <f>"14320932"</f>
        <v>14320932</v>
      </c>
      <c r="D6095" s="2">
        <v>1.3109999999999999</v>
      </c>
      <c r="E6095" s="2">
        <v>73</v>
      </c>
      <c r="F6095" s="2" t="s">
        <v>12</v>
      </c>
    </row>
    <row r="6096" spans="1:6" ht="25.5">
      <c r="A6096" s="2">
        <v>6093</v>
      </c>
      <c r="B6096" s="2" t="s">
        <v>6172</v>
      </c>
      <c r="C6096" s="2" t="str">
        <f>"1746031X"</f>
        <v>1746031X</v>
      </c>
      <c r="D6096" s="2">
        <v>0.29299999999999998</v>
      </c>
      <c r="E6096" s="2">
        <v>4</v>
      </c>
      <c r="F6096" s="2" t="s">
        <v>16</v>
      </c>
    </row>
    <row r="6097" spans="1:6" ht="25.5">
      <c r="A6097" s="2">
        <v>6094</v>
      </c>
      <c r="B6097" s="2" t="s">
        <v>6173</v>
      </c>
      <c r="C6097" s="2" t="str">
        <f>"16828631"</f>
        <v>16828631</v>
      </c>
      <c r="D6097" s="2">
        <v>0.13500000000000001</v>
      </c>
      <c r="E6097" s="2">
        <v>13</v>
      </c>
      <c r="F6097" s="2" t="s">
        <v>288</v>
      </c>
    </row>
    <row r="6098" spans="1:6" ht="25.5">
      <c r="A6098" s="2">
        <v>6095</v>
      </c>
      <c r="B6098" s="2" t="s">
        <v>6174</v>
      </c>
      <c r="C6098" s="2" t="str">
        <f>"14219921"</f>
        <v>14219921</v>
      </c>
      <c r="D6098" s="2">
        <v>0.31900000000000001</v>
      </c>
      <c r="E6098" s="2">
        <v>31</v>
      </c>
      <c r="F6098" s="2" t="s">
        <v>31</v>
      </c>
    </row>
    <row r="6099" spans="1:6" ht="25.5">
      <c r="A6099" s="2">
        <v>6096</v>
      </c>
      <c r="B6099" s="2" t="s">
        <v>6175</v>
      </c>
      <c r="C6099" s="2" t="str">
        <f>"15463109"</f>
        <v>15463109</v>
      </c>
      <c r="D6099" s="2">
        <v>0.57599999999999996</v>
      </c>
      <c r="E6099" s="2">
        <v>18</v>
      </c>
      <c r="F6099" s="2" t="s">
        <v>16</v>
      </c>
    </row>
    <row r="6100" spans="1:6" ht="25.5">
      <c r="A6100" s="2">
        <v>6097</v>
      </c>
      <c r="B6100" s="2" t="s">
        <v>6176</v>
      </c>
      <c r="C6100" s="2" t="str">
        <f>"15418251"</f>
        <v>15418251</v>
      </c>
      <c r="D6100" s="2">
        <v>0.69599999999999995</v>
      </c>
      <c r="E6100" s="2">
        <v>26</v>
      </c>
      <c r="F6100" s="2" t="s">
        <v>190</v>
      </c>
    </row>
    <row r="6101" spans="1:6" ht="25.5">
      <c r="A6101" s="2">
        <v>6098</v>
      </c>
      <c r="B6101" s="2" t="s">
        <v>6177</v>
      </c>
      <c r="C6101" s="2" t="str">
        <f>"18670717"</f>
        <v>18670717</v>
      </c>
      <c r="D6101" s="2">
        <v>0.28899999999999998</v>
      </c>
      <c r="E6101" s="2">
        <v>4</v>
      </c>
      <c r="F6101" s="2" t="s">
        <v>12</v>
      </c>
    </row>
    <row r="6102" spans="1:6" ht="25.5">
      <c r="A6102" s="2">
        <v>6099</v>
      </c>
      <c r="B6102" s="2" t="s">
        <v>6178</v>
      </c>
      <c r="C6102" s="2" t="str">
        <f>"18253997"</f>
        <v>18253997</v>
      </c>
      <c r="D6102" s="2">
        <v>0.17399999999999999</v>
      </c>
      <c r="E6102" s="2">
        <v>2</v>
      </c>
      <c r="F6102" s="2" t="s">
        <v>190</v>
      </c>
    </row>
    <row r="6103" spans="1:6" ht="25.5">
      <c r="A6103" s="2">
        <v>6100</v>
      </c>
      <c r="B6103" s="2" t="s">
        <v>6179</v>
      </c>
      <c r="C6103" s="2" t="str">
        <f>"14651165"</f>
        <v>14651165</v>
      </c>
      <c r="D6103" s="2">
        <v>1.837</v>
      </c>
      <c r="E6103" s="2">
        <v>23</v>
      </c>
      <c r="F6103" s="2" t="s">
        <v>16</v>
      </c>
    </row>
    <row r="6104" spans="1:6" ht="25.5">
      <c r="A6104" s="2">
        <v>6101</v>
      </c>
      <c r="B6104" s="2" t="s">
        <v>6180</v>
      </c>
      <c r="C6104" s="2" t="str">
        <f>"09697764"</f>
        <v>09697764</v>
      </c>
      <c r="D6104" s="2">
        <v>1.23</v>
      </c>
      <c r="E6104" s="2">
        <v>29</v>
      </c>
      <c r="F6104" s="2" t="s">
        <v>16</v>
      </c>
    </row>
    <row r="6105" spans="1:6" ht="25.5">
      <c r="A6105" s="2">
        <v>6102</v>
      </c>
      <c r="B6105" s="2" t="s">
        <v>6181</v>
      </c>
      <c r="C6105" s="2" t="str">
        <f>"17583829"</f>
        <v>17583829</v>
      </c>
      <c r="D6105" s="2">
        <v>0.12</v>
      </c>
      <c r="E6105" s="2">
        <v>2</v>
      </c>
      <c r="F6105" s="2" t="s">
        <v>16</v>
      </c>
    </row>
    <row r="6106" spans="1:6" ht="25.5">
      <c r="A6106" s="2">
        <v>6103</v>
      </c>
      <c r="B6106" s="2" t="s">
        <v>6182</v>
      </c>
      <c r="C6106" s="2" t="str">
        <f>"1421993X"</f>
        <v>1421993X</v>
      </c>
      <c r="D6106" s="2">
        <v>4.0570000000000004</v>
      </c>
      <c r="E6106" s="2">
        <v>109</v>
      </c>
      <c r="F6106" s="2" t="s">
        <v>75</v>
      </c>
    </row>
    <row r="6107" spans="1:6" ht="25.5">
      <c r="A6107" s="2">
        <v>6104</v>
      </c>
      <c r="B6107" s="2" t="s">
        <v>6183</v>
      </c>
      <c r="C6107" s="2" t="str">
        <f>"15699056"</f>
        <v>15699056</v>
      </c>
      <c r="D6107" s="2">
        <v>0.41699999999999998</v>
      </c>
      <c r="E6107" s="2">
        <v>20</v>
      </c>
      <c r="F6107" s="2" t="s">
        <v>75</v>
      </c>
    </row>
    <row r="6108" spans="1:6" ht="25.5">
      <c r="A6108" s="2">
        <v>6105</v>
      </c>
      <c r="B6108" s="2" t="s">
        <v>6184</v>
      </c>
      <c r="C6108" s="2" t="str">
        <f>"14653427"</f>
        <v>14653427</v>
      </c>
      <c r="D6108" s="2">
        <v>0.67600000000000005</v>
      </c>
      <c r="E6108" s="2">
        <v>24</v>
      </c>
      <c r="F6108" s="2" t="s">
        <v>16</v>
      </c>
    </row>
    <row r="6109" spans="1:6" ht="25.5">
      <c r="A6109" s="2">
        <v>6106</v>
      </c>
      <c r="B6109" s="2" t="s">
        <v>6185</v>
      </c>
      <c r="C6109" s="2" t="str">
        <f>"18410413"</f>
        <v>18410413</v>
      </c>
      <c r="D6109" s="2">
        <v>0.122</v>
      </c>
      <c r="E6109" s="2">
        <v>1</v>
      </c>
      <c r="F6109" s="2" t="s">
        <v>19</v>
      </c>
    </row>
    <row r="6110" spans="1:6" ht="25.5">
      <c r="A6110" s="2">
        <v>6107</v>
      </c>
      <c r="B6110" s="2" t="s">
        <v>6186</v>
      </c>
      <c r="C6110" s="2" t="str">
        <f>"12864854"</f>
        <v>12864854</v>
      </c>
      <c r="D6110" s="2">
        <v>0.68600000000000005</v>
      </c>
      <c r="E6110" s="2">
        <v>96</v>
      </c>
      <c r="F6110" s="2" t="s">
        <v>16</v>
      </c>
    </row>
    <row r="6111" spans="1:6" ht="25.5">
      <c r="A6111" s="2">
        <v>6108</v>
      </c>
      <c r="B6111" s="2" t="s">
        <v>6187</v>
      </c>
      <c r="C6111" s="2" t="str">
        <f>"05317479"</f>
        <v>05317479</v>
      </c>
      <c r="D6111" s="2">
        <v>0.189</v>
      </c>
      <c r="E6111" s="2">
        <v>8</v>
      </c>
      <c r="F6111" s="2" t="s">
        <v>66</v>
      </c>
    </row>
    <row r="6112" spans="1:6" ht="25.5">
      <c r="A6112" s="2">
        <v>6109</v>
      </c>
      <c r="B6112" s="2" t="s">
        <v>6188</v>
      </c>
      <c r="C6112" s="2" t="str">
        <f>"15607917"</f>
        <v>15607917</v>
      </c>
      <c r="D6112" s="2">
        <v>1.8240000000000001</v>
      </c>
      <c r="E6112" s="2">
        <v>45</v>
      </c>
      <c r="F6112" s="2" t="s">
        <v>66</v>
      </c>
    </row>
    <row r="6113" spans="1:6" ht="25.5">
      <c r="A6113" s="2">
        <v>6110</v>
      </c>
      <c r="B6113" s="2" t="s">
        <v>6189</v>
      </c>
      <c r="C6113" s="2" t="str">
        <f>"14617153"</f>
        <v>14617153</v>
      </c>
      <c r="D6113" s="2">
        <v>0.43099999999999999</v>
      </c>
      <c r="E6113" s="2">
        <v>19</v>
      </c>
      <c r="F6113" s="2" t="s">
        <v>16</v>
      </c>
    </row>
    <row r="6114" spans="1:6" ht="25.5">
      <c r="A6114" s="2">
        <v>6111</v>
      </c>
      <c r="B6114" s="2" t="s">
        <v>6190</v>
      </c>
      <c r="C6114" s="2" t="str">
        <f>"01497189"</f>
        <v>01497189</v>
      </c>
      <c r="D6114" s="2">
        <v>0.49099999999999999</v>
      </c>
      <c r="E6114" s="2">
        <v>31</v>
      </c>
      <c r="F6114" s="2" t="s">
        <v>16</v>
      </c>
    </row>
    <row r="6115" spans="1:6" ht="25.5">
      <c r="A6115" s="2">
        <v>6112</v>
      </c>
      <c r="B6115" s="2" t="s">
        <v>6191</v>
      </c>
      <c r="C6115" s="2" t="str">
        <f>"09500790"</f>
        <v>09500790</v>
      </c>
      <c r="D6115" s="2">
        <v>0.23599999999999999</v>
      </c>
      <c r="E6115" s="2">
        <v>3</v>
      </c>
      <c r="F6115" s="2" t="s">
        <v>16</v>
      </c>
    </row>
    <row r="6116" spans="1:6" ht="25.5">
      <c r="A6116" s="2">
        <v>6113</v>
      </c>
      <c r="B6116" s="2" t="s">
        <v>6192</v>
      </c>
      <c r="C6116" s="2" t="str">
        <f>"01632787"</f>
        <v>01632787</v>
      </c>
      <c r="D6116" s="2">
        <v>0.44400000000000001</v>
      </c>
      <c r="E6116" s="2">
        <v>33</v>
      </c>
      <c r="F6116" s="2" t="s">
        <v>6</v>
      </c>
    </row>
    <row r="6117" spans="1:6" ht="25.5">
      <c r="A6117" s="2">
        <v>6114</v>
      </c>
      <c r="B6117" s="2" t="s">
        <v>6193</v>
      </c>
      <c r="C6117" s="2" t="str">
        <f>"0193841X"</f>
        <v>0193841X</v>
      </c>
      <c r="D6117" s="2">
        <v>0.54300000000000004</v>
      </c>
      <c r="E6117" s="2">
        <v>33</v>
      </c>
      <c r="F6117" s="2" t="s">
        <v>6</v>
      </c>
    </row>
    <row r="6118" spans="1:6" ht="25.5">
      <c r="A6118" s="2">
        <v>6115</v>
      </c>
      <c r="B6118" s="2" t="s">
        <v>6194</v>
      </c>
      <c r="C6118" s="2" t="str">
        <f>"15259951"</f>
        <v>15259951</v>
      </c>
      <c r="D6118" s="2">
        <v>0.35099999999999998</v>
      </c>
      <c r="E6118" s="2">
        <v>10</v>
      </c>
      <c r="F6118" s="2" t="s">
        <v>6</v>
      </c>
    </row>
    <row r="6119" spans="1:6" ht="25.5">
      <c r="A6119" s="2">
        <v>6116</v>
      </c>
      <c r="B6119" s="2" t="s">
        <v>6195</v>
      </c>
      <c r="C6119" s="2" t="str">
        <f>"17442648"</f>
        <v>17442648</v>
      </c>
      <c r="D6119" s="2">
        <v>0.621</v>
      </c>
      <c r="E6119" s="2">
        <v>12</v>
      </c>
      <c r="F6119" s="2" t="s">
        <v>16</v>
      </c>
    </row>
    <row r="6120" spans="1:6" ht="25.5">
      <c r="A6120" s="2">
        <v>6117</v>
      </c>
      <c r="B6120" s="2" t="s">
        <v>6196</v>
      </c>
      <c r="C6120" s="2" t="str">
        <f>"15576272"</f>
        <v>15576272</v>
      </c>
      <c r="D6120" s="2">
        <v>0</v>
      </c>
      <c r="E6120" s="2">
        <v>1</v>
      </c>
      <c r="F6120" s="2" t="s">
        <v>16</v>
      </c>
    </row>
    <row r="6121" spans="1:6" ht="25.5">
      <c r="A6121" s="2">
        <v>6118</v>
      </c>
      <c r="B6121" s="2" t="s">
        <v>6197</v>
      </c>
      <c r="C6121" s="2" t="str">
        <f>"17489547"</f>
        <v>17489547</v>
      </c>
      <c r="D6121" s="2">
        <v>0.125</v>
      </c>
      <c r="E6121" s="2">
        <v>7</v>
      </c>
      <c r="F6121" s="2" t="s">
        <v>16</v>
      </c>
    </row>
    <row r="6122" spans="1:6" ht="25.5">
      <c r="A6122" s="2">
        <v>6119</v>
      </c>
      <c r="B6122" s="2" t="s">
        <v>6198</v>
      </c>
      <c r="C6122" s="2" t="str">
        <f>"17414288"</f>
        <v>17414288</v>
      </c>
      <c r="D6122" s="2">
        <v>0.33400000000000002</v>
      </c>
      <c r="E6122" s="2">
        <v>35</v>
      </c>
      <c r="F6122" s="2" t="s">
        <v>6</v>
      </c>
    </row>
    <row r="6123" spans="1:6" ht="25.5">
      <c r="A6123" s="2">
        <v>6120</v>
      </c>
      <c r="B6123" s="2" t="s">
        <v>6199</v>
      </c>
      <c r="C6123" s="2" t="str">
        <f>"14765446"</f>
        <v>14765446</v>
      </c>
      <c r="D6123" s="2">
        <v>0.14000000000000001</v>
      </c>
      <c r="E6123" s="2">
        <v>7</v>
      </c>
      <c r="F6123" s="2" t="s">
        <v>16</v>
      </c>
    </row>
    <row r="6124" spans="1:6" ht="25.5">
      <c r="A6124" s="2">
        <v>6121</v>
      </c>
      <c r="B6124" s="2" t="s">
        <v>6200</v>
      </c>
      <c r="C6124" s="2" t="str">
        <f>"1715720X"</f>
        <v>1715720X</v>
      </c>
      <c r="D6124" s="2">
        <v>0.10100000000000001</v>
      </c>
      <c r="E6124" s="2">
        <v>2</v>
      </c>
      <c r="F6124" s="2" t="s">
        <v>64</v>
      </c>
    </row>
    <row r="6125" spans="1:6" ht="25.5">
      <c r="A6125" s="2">
        <v>6122</v>
      </c>
      <c r="B6125" s="2" t="s">
        <v>6201</v>
      </c>
      <c r="C6125" s="2" t="str">
        <f>"14736810"</f>
        <v>14736810</v>
      </c>
      <c r="D6125" s="2">
        <v>0.16600000000000001</v>
      </c>
      <c r="E6125" s="2">
        <v>14</v>
      </c>
      <c r="F6125" s="2" t="s">
        <v>16</v>
      </c>
    </row>
    <row r="6126" spans="1:6" ht="25.5">
      <c r="A6126" s="2">
        <v>6123</v>
      </c>
      <c r="B6126" s="2" t="s">
        <v>6202</v>
      </c>
      <c r="C6126" s="2" t="str">
        <f>"13620347"</f>
        <v>13620347</v>
      </c>
      <c r="D6126" s="2">
        <v>0.152</v>
      </c>
      <c r="E6126" s="2">
        <v>13</v>
      </c>
      <c r="F6126" s="2" t="s">
        <v>16</v>
      </c>
    </row>
    <row r="6127" spans="1:6" ht="25.5">
      <c r="A6127" s="2">
        <v>6124</v>
      </c>
      <c r="B6127" s="2" t="s">
        <v>6203</v>
      </c>
      <c r="C6127" s="2" t="str">
        <f>"14689618"</f>
        <v>14689618</v>
      </c>
      <c r="D6127" s="2">
        <v>0.17899999999999999</v>
      </c>
      <c r="E6127" s="2">
        <v>10</v>
      </c>
      <c r="F6127" s="2" t="s">
        <v>16</v>
      </c>
    </row>
    <row r="6128" spans="1:6" ht="25.5">
      <c r="A6128" s="2">
        <v>6125</v>
      </c>
      <c r="B6128" s="2" t="s">
        <v>6204</v>
      </c>
      <c r="C6128" s="2" t="str">
        <f>"15559211"</f>
        <v>15559211</v>
      </c>
      <c r="D6128" s="2">
        <v>0.13900000000000001</v>
      </c>
      <c r="E6128" s="2">
        <v>3</v>
      </c>
      <c r="F6128" s="2" t="s">
        <v>6</v>
      </c>
    </row>
    <row r="6129" spans="1:6" ht="25.5">
      <c r="A6129" s="2">
        <v>6126</v>
      </c>
      <c r="B6129" s="2" t="s">
        <v>6205</v>
      </c>
      <c r="C6129" s="2" t="str">
        <f>"10954120"</f>
        <v>10954120</v>
      </c>
      <c r="D6129" s="2">
        <v>0.10100000000000001</v>
      </c>
      <c r="E6129" s="2">
        <v>1</v>
      </c>
      <c r="F6129" s="2" t="s">
        <v>6</v>
      </c>
    </row>
    <row r="6130" spans="1:6" ht="25.5">
      <c r="A6130" s="2">
        <v>6127</v>
      </c>
      <c r="B6130" s="2" t="s">
        <v>6206</v>
      </c>
      <c r="C6130" s="2" t="str">
        <f>"15304396"</f>
        <v>15304396</v>
      </c>
      <c r="D6130" s="2">
        <v>1.198</v>
      </c>
      <c r="E6130" s="2">
        <v>17</v>
      </c>
      <c r="F6130" s="2" t="s">
        <v>6</v>
      </c>
    </row>
    <row r="6131" spans="1:6" ht="25.5">
      <c r="A6131" s="2">
        <v>6128</v>
      </c>
      <c r="B6131" s="2" t="s">
        <v>6207</v>
      </c>
      <c r="C6131" s="2" t="str">
        <f>"20419139"</f>
        <v>20419139</v>
      </c>
      <c r="D6131" s="2">
        <v>1.698</v>
      </c>
      <c r="E6131" s="2">
        <v>7</v>
      </c>
      <c r="F6131" s="2" t="s">
        <v>16</v>
      </c>
    </row>
    <row r="6132" spans="1:6" ht="25.5">
      <c r="A6132" s="2">
        <v>6129</v>
      </c>
      <c r="B6132" s="2" t="s">
        <v>6208</v>
      </c>
      <c r="C6132" s="2" t="str">
        <f>"1525142X"</f>
        <v>1525142X</v>
      </c>
      <c r="D6132" s="2">
        <v>1.3360000000000001</v>
      </c>
      <c r="E6132" s="2">
        <v>47</v>
      </c>
      <c r="F6132" s="2" t="s">
        <v>16</v>
      </c>
    </row>
    <row r="6133" spans="1:6" ht="25.5">
      <c r="A6133" s="2">
        <v>6130</v>
      </c>
      <c r="B6133" s="2" t="s">
        <v>6209</v>
      </c>
      <c r="C6133" s="2" t="str">
        <f>"10905138"</f>
        <v>10905138</v>
      </c>
      <c r="D6133" s="2">
        <v>1.712</v>
      </c>
      <c r="E6133" s="2">
        <v>60</v>
      </c>
      <c r="F6133" s="2" t="s">
        <v>6</v>
      </c>
    </row>
    <row r="6134" spans="1:6" ht="25.5">
      <c r="A6134" s="2">
        <v>6131</v>
      </c>
      <c r="B6134" s="2" t="s">
        <v>6210</v>
      </c>
      <c r="C6134" s="2" t="str">
        <f>"15206505"</f>
        <v>15206505</v>
      </c>
      <c r="D6134" s="2">
        <v>1.615</v>
      </c>
      <c r="E6134" s="2">
        <v>50</v>
      </c>
      <c r="F6134" s="2" t="s">
        <v>6</v>
      </c>
    </row>
    <row r="6135" spans="1:6" ht="25.5">
      <c r="A6135" s="2">
        <v>6132</v>
      </c>
      <c r="B6135" s="2" t="s">
        <v>6211</v>
      </c>
      <c r="C6135" s="2" t="str">
        <f>"17524563"</f>
        <v>17524563</v>
      </c>
      <c r="D6135" s="2">
        <v>1.7190000000000001</v>
      </c>
      <c r="E6135" s="2">
        <v>18</v>
      </c>
      <c r="F6135" s="2" t="s">
        <v>6</v>
      </c>
    </row>
    <row r="6136" spans="1:6" ht="25.5">
      <c r="A6136" s="2">
        <v>6133</v>
      </c>
      <c r="B6136" s="2" t="s">
        <v>6212</v>
      </c>
      <c r="C6136" s="2" t="str">
        <f>"11769343"</f>
        <v>11769343</v>
      </c>
      <c r="D6136" s="2">
        <v>0.41399999999999998</v>
      </c>
      <c r="E6136" s="2">
        <v>10</v>
      </c>
      <c r="F6136" s="2" t="s">
        <v>503</v>
      </c>
    </row>
    <row r="6137" spans="1:6" ht="25.5">
      <c r="A6137" s="2">
        <v>6134</v>
      </c>
      <c r="B6137" s="2" t="s">
        <v>6213</v>
      </c>
      <c r="C6137" s="2" t="str">
        <f>"00713260"</f>
        <v>00713260</v>
      </c>
      <c r="D6137" s="2">
        <v>1.093</v>
      </c>
      <c r="E6137" s="2">
        <v>16</v>
      </c>
      <c r="F6137" s="2" t="s">
        <v>12</v>
      </c>
    </row>
    <row r="6138" spans="1:6" ht="25.5">
      <c r="A6138" s="2">
        <v>6135</v>
      </c>
      <c r="B6138" s="2" t="s">
        <v>6214</v>
      </c>
      <c r="C6138" s="2" t="str">
        <f>"15309304"</f>
        <v>15309304</v>
      </c>
      <c r="D6138" s="2">
        <v>1.8420000000000001</v>
      </c>
      <c r="E6138" s="2">
        <v>51</v>
      </c>
      <c r="F6138" s="2" t="s">
        <v>6</v>
      </c>
    </row>
    <row r="6139" spans="1:6" ht="25.5">
      <c r="A6139" s="2">
        <v>6136</v>
      </c>
      <c r="B6139" s="2" t="s">
        <v>6215</v>
      </c>
      <c r="C6139" s="2" t="str">
        <f>"15738477"</f>
        <v>15738477</v>
      </c>
      <c r="D6139" s="2">
        <v>1.006</v>
      </c>
      <c r="E6139" s="2">
        <v>52</v>
      </c>
      <c r="F6139" s="2" t="s">
        <v>75</v>
      </c>
    </row>
    <row r="6140" spans="1:6" ht="25.5">
      <c r="A6140" s="2">
        <v>6137</v>
      </c>
      <c r="B6140" s="2" t="s">
        <v>6216</v>
      </c>
      <c r="C6140" s="2" t="str">
        <f>"15220613"</f>
        <v>15220613</v>
      </c>
      <c r="D6140" s="2">
        <v>0.54300000000000004</v>
      </c>
      <c r="E6140" s="2">
        <v>47</v>
      </c>
      <c r="F6140" s="2" t="s">
        <v>6</v>
      </c>
    </row>
    <row r="6141" spans="1:6" ht="25.5">
      <c r="A6141" s="2">
        <v>6138</v>
      </c>
      <c r="B6141" s="2" t="s">
        <v>6217</v>
      </c>
      <c r="C6141" s="2" t="str">
        <f>"18645909"</f>
        <v>18645909</v>
      </c>
      <c r="D6141" s="2">
        <v>0.42</v>
      </c>
      <c r="E6141" s="2">
        <v>9</v>
      </c>
      <c r="F6141" s="2" t="s">
        <v>12</v>
      </c>
    </row>
    <row r="6142" spans="1:6" ht="25.5">
      <c r="A6142" s="2">
        <v>6139</v>
      </c>
      <c r="B6142" s="2" t="s">
        <v>6218</v>
      </c>
      <c r="C6142" s="2" t="str">
        <f>"14747049"</f>
        <v>14747049</v>
      </c>
      <c r="D6142" s="2">
        <v>0.78900000000000003</v>
      </c>
      <c r="E6142" s="2">
        <v>7</v>
      </c>
      <c r="F6142" s="2" t="s">
        <v>16</v>
      </c>
    </row>
    <row r="6143" spans="1:6" ht="25.5">
      <c r="A6143" s="2">
        <v>6140</v>
      </c>
      <c r="B6143" s="2" t="s">
        <v>6219</v>
      </c>
      <c r="C6143" s="2" t="str">
        <f>"00143820"</f>
        <v>00143820</v>
      </c>
      <c r="D6143" s="2">
        <v>2.5819999999999999</v>
      </c>
      <c r="E6143" s="2">
        <v>129</v>
      </c>
      <c r="F6143" s="2" t="s">
        <v>6</v>
      </c>
    </row>
    <row r="6144" spans="1:6" ht="25.5">
      <c r="A6144" s="2">
        <v>6141</v>
      </c>
      <c r="B6144" s="2" t="s">
        <v>6220</v>
      </c>
      <c r="C6144" s="2" t="str">
        <f>"00143855"</f>
        <v>00143855</v>
      </c>
      <c r="D6144" s="2">
        <v>0.24199999999999999</v>
      </c>
      <c r="E6144" s="2">
        <v>9</v>
      </c>
      <c r="F6144" s="2" t="s">
        <v>66</v>
      </c>
    </row>
    <row r="6145" spans="1:6" ht="25.5">
      <c r="A6145" s="2">
        <v>6142</v>
      </c>
      <c r="B6145" s="2" t="s">
        <v>6221</v>
      </c>
      <c r="C6145" s="2" t="str">
        <f>"18686478"</f>
        <v>18686478</v>
      </c>
      <c r="D6145" s="2">
        <v>1.1140000000000001</v>
      </c>
      <c r="E6145" s="2">
        <v>8</v>
      </c>
      <c r="F6145" s="2" t="s">
        <v>12</v>
      </c>
    </row>
    <row r="6146" spans="1:6" ht="25.5">
      <c r="A6146" s="2">
        <v>6143</v>
      </c>
      <c r="B6146" s="2" t="s">
        <v>6222</v>
      </c>
      <c r="C6146" s="2" t="str">
        <f>"11095350"</f>
        <v>11095350</v>
      </c>
      <c r="D6146" s="2">
        <v>0.10199999999999999</v>
      </c>
      <c r="E6146" s="2">
        <v>0</v>
      </c>
      <c r="F6146" s="2" t="s">
        <v>313</v>
      </c>
    </row>
    <row r="6147" spans="1:6" ht="25.5">
      <c r="A6147" s="2">
        <v>6144</v>
      </c>
      <c r="B6147" s="2" t="s">
        <v>6223</v>
      </c>
      <c r="C6147" s="2" t="str">
        <f>"09322205"</f>
        <v>09322205</v>
      </c>
      <c r="D6147" s="2">
        <v>0.378</v>
      </c>
      <c r="E6147" s="2">
        <v>6</v>
      </c>
      <c r="F6147" s="2" t="s">
        <v>12</v>
      </c>
    </row>
    <row r="6148" spans="1:6" ht="25.5">
      <c r="A6148" s="2">
        <v>6145</v>
      </c>
      <c r="B6148" s="2" t="s">
        <v>6224</v>
      </c>
      <c r="C6148" s="2" t="str">
        <f>"00144029"</f>
        <v>00144029</v>
      </c>
      <c r="D6148" s="2">
        <v>1.9490000000000001</v>
      </c>
      <c r="E6148" s="2">
        <v>48</v>
      </c>
      <c r="F6148" s="2" t="s">
        <v>6</v>
      </c>
    </row>
    <row r="6149" spans="1:6" ht="25.5">
      <c r="A6149" s="2">
        <v>6146</v>
      </c>
      <c r="B6149" s="2" t="s">
        <v>6225</v>
      </c>
      <c r="C6149" s="2" t="str">
        <f>"15327035"</f>
        <v>15327035</v>
      </c>
      <c r="D6149" s="2">
        <v>0.33200000000000002</v>
      </c>
      <c r="E6149" s="2">
        <v>4</v>
      </c>
      <c r="F6149" s="2" t="s">
        <v>16</v>
      </c>
    </row>
    <row r="6150" spans="1:6" ht="25.5">
      <c r="A6150" s="2">
        <v>6147</v>
      </c>
      <c r="B6150" s="2" t="s">
        <v>6226</v>
      </c>
      <c r="C6150" s="2" t="str">
        <f>"19185227"</f>
        <v>19185227</v>
      </c>
      <c r="D6150" s="2">
        <v>0</v>
      </c>
      <c r="E6150" s="2">
        <v>0</v>
      </c>
      <c r="F6150" s="2" t="s">
        <v>64</v>
      </c>
    </row>
    <row r="6151" spans="1:6" ht="25.5">
      <c r="A6151" s="2">
        <v>6148</v>
      </c>
      <c r="B6151" s="2" t="s">
        <v>6227</v>
      </c>
      <c r="C6151" s="2" t="str">
        <f>"1572543X"</f>
        <v>1572543X</v>
      </c>
      <c r="D6151" s="2">
        <v>0.10100000000000001</v>
      </c>
      <c r="E6151" s="2">
        <v>1</v>
      </c>
      <c r="F6151" s="2" t="s">
        <v>75</v>
      </c>
    </row>
    <row r="6152" spans="1:6" ht="25.5">
      <c r="A6152" s="2">
        <v>6149</v>
      </c>
      <c r="B6152" s="2" t="s">
        <v>6228</v>
      </c>
      <c r="C6152" s="2" t="str">
        <f>"16112156"</f>
        <v>16112156</v>
      </c>
      <c r="D6152" s="2">
        <v>0.13800000000000001</v>
      </c>
      <c r="E6152" s="2">
        <v>6</v>
      </c>
      <c r="F6152" s="2" t="s">
        <v>12</v>
      </c>
    </row>
    <row r="6153" spans="1:6" ht="25.5">
      <c r="A6153" s="2">
        <v>6150</v>
      </c>
      <c r="B6153" s="2" t="s">
        <v>6229</v>
      </c>
      <c r="C6153" s="2" t="str">
        <f>"17533074"</f>
        <v>17533074</v>
      </c>
      <c r="D6153" s="2">
        <v>0.11</v>
      </c>
      <c r="E6153" s="2">
        <v>4</v>
      </c>
      <c r="F6153" s="2" t="s">
        <v>16</v>
      </c>
    </row>
    <row r="6154" spans="1:6" ht="25.5">
      <c r="A6154" s="2">
        <v>6151</v>
      </c>
      <c r="B6154" s="2" t="s">
        <v>6230</v>
      </c>
      <c r="C6154" s="2" t="str">
        <f>"16993225"</f>
        <v>16993225</v>
      </c>
      <c r="D6154" s="2">
        <v>0.104</v>
      </c>
      <c r="E6154" s="2">
        <v>0</v>
      </c>
      <c r="F6154" s="2" t="s">
        <v>351</v>
      </c>
    </row>
    <row r="6155" spans="1:6" ht="25.5">
      <c r="A6155" s="2">
        <v>6152</v>
      </c>
      <c r="B6155" s="2" t="s">
        <v>6231</v>
      </c>
      <c r="C6155" s="2" t="str">
        <f>"15383008"</f>
        <v>15383008</v>
      </c>
      <c r="D6155" s="2">
        <v>1.637</v>
      </c>
      <c r="E6155" s="2">
        <v>59</v>
      </c>
      <c r="F6155" s="2" t="s">
        <v>6</v>
      </c>
    </row>
    <row r="6156" spans="1:6" ht="25.5">
      <c r="A6156" s="2">
        <v>6153</v>
      </c>
      <c r="B6156" s="2" t="s">
        <v>6232</v>
      </c>
      <c r="C6156" s="2" t="str">
        <f>"10775552"</f>
        <v>10775552</v>
      </c>
      <c r="D6156" s="2">
        <v>1.5369999999999999</v>
      </c>
      <c r="E6156" s="2">
        <v>33</v>
      </c>
      <c r="F6156" s="2" t="s">
        <v>6</v>
      </c>
    </row>
    <row r="6157" spans="1:6" ht="25.5">
      <c r="A6157" s="2">
        <v>6154</v>
      </c>
      <c r="B6157" s="2" t="s">
        <v>6233</v>
      </c>
      <c r="C6157" s="2" t="str">
        <f>"10964657"</f>
        <v>10964657</v>
      </c>
      <c r="D6157" s="2">
        <v>0.498</v>
      </c>
      <c r="E6157" s="2">
        <v>29</v>
      </c>
      <c r="F6157" s="2" t="s">
        <v>16</v>
      </c>
    </row>
    <row r="6158" spans="1:6" ht="25.5">
      <c r="A6158" s="2">
        <v>6155</v>
      </c>
      <c r="B6158" s="2" t="s">
        <v>6234</v>
      </c>
      <c r="C6158" s="2" t="str">
        <f>"14694441"</f>
        <v>14694441</v>
      </c>
      <c r="D6158" s="2">
        <v>0.49399999999999999</v>
      </c>
      <c r="E6158" s="2">
        <v>22</v>
      </c>
      <c r="F6158" s="2" t="s">
        <v>16</v>
      </c>
    </row>
    <row r="6159" spans="1:6" ht="25.5">
      <c r="A6159" s="2">
        <v>6156</v>
      </c>
      <c r="B6159" s="2" t="s">
        <v>6235</v>
      </c>
      <c r="C6159" s="2" t="str">
        <f>"15729702"</f>
        <v>15729702</v>
      </c>
      <c r="D6159" s="2">
        <v>0.70399999999999996</v>
      </c>
      <c r="E6159" s="2">
        <v>39</v>
      </c>
      <c r="F6159" s="2" t="s">
        <v>75</v>
      </c>
    </row>
    <row r="6160" spans="1:6" ht="25.5">
      <c r="A6160" s="2">
        <v>6157</v>
      </c>
      <c r="B6160" s="2" t="s">
        <v>6236</v>
      </c>
      <c r="C6160" s="2" t="str">
        <f>"12056626"</f>
        <v>12056626</v>
      </c>
      <c r="D6160" s="2">
        <v>0.36</v>
      </c>
      <c r="E6160" s="2">
        <v>14</v>
      </c>
      <c r="F6160" s="2" t="s">
        <v>64</v>
      </c>
    </row>
    <row r="6161" spans="1:6" ht="25.5">
      <c r="A6161" s="2">
        <v>6158</v>
      </c>
      <c r="B6161" s="2" t="s">
        <v>6237</v>
      </c>
      <c r="C6161" s="2" t="str">
        <f>"09477349"</f>
        <v>09477349</v>
      </c>
      <c r="D6161" s="2">
        <v>0.53900000000000003</v>
      </c>
      <c r="E6161" s="2">
        <v>52</v>
      </c>
      <c r="F6161" s="2" t="s">
        <v>12</v>
      </c>
    </row>
    <row r="6162" spans="1:6" ht="25.5">
      <c r="A6162" s="2">
        <v>6159</v>
      </c>
      <c r="B6162" s="2" t="s">
        <v>6238</v>
      </c>
      <c r="C6162" s="2" t="str">
        <f>"17343038"</f>
        <v>17343038</v>
      </c>
      <c r="D6162" s="2">
        <v>0.10199999999999999</v>
      </c>
      <c r="E6162" s="2">
        <v>3</v>
      </c>
      <c r="F6162" s="2" t="s">
        <v>169</v>
      </c>
    </row>
    <row r="6163" spans="1:6" ht="25.5">
      <c r="A6163" s="2">
        <v>6160</v>
      </c>
      <c r="B6163" s="2" t="s">
        <v>6239</v>
      </c>
      <c r="C6163" s="2" t="str">
        <f>"10641297"</f>
        <v>10641297</v>
      </c>
      <c r="D6163" s="2">
        <v>1.1180000000000001</v>
      </c>
      <c r="E6163" s="2">
        <v>55</v>
      </c>
      <c r="F6163" s="2" t="s">
        <v>6</v>
      </c>
    </row>
    <row r="6164" spans="1:6" ht="25.5">
      <c r="A6164" s="2">
        <v>6161</v>
      </c>
      <c r="B6164" s="2" t="s">
        <v>6240</v>
      </c>
      <c r="C6164" s="2" t="str">
        <f>"13040855"</f>
        <v>13040855</v>
      </c>
      <c r="D6164" s="2">
        <v>0.25</v>
      </c>
      <c r="E6164" s="2">
        <v>12</v>
      </c>
      <c r="F6164" s="2" t="s">
        <v>345</v>
      </c>
    </row>
    <row r="6165" spans="1:6" ht="25.5">
      <c r="A6165" s="2">
        <v>6162</v>
      </c>
      <c r="B6165" s="2" t="s">
        <v>6241</v>
      </c>
      <c r="C6165" s="2" t="str">
        <f>"12263613"</f>
        <v>12263613</v>
      </c>
      <c r="D6165" s="2">
        <v>1.0089999999999999</v>
      </c>
      <c r="E6165" s="2">
        <v>43</v>
      </c>
      <c r="F6165" s="2" t="s">
        <v>274</v>
      </c>
    </row>
    <row r="6166" spans="1:6" ht="25.5">
      <c r="A6166" s="2">
        <v>6163</v>
      </c>
      <c r="B6166" s="2" t="s">
        <v>6242</v>
      </c>
      <c r="C6166" s="2" t="str">
        <f>"10960945"</f>
        <v>10960945</v>
      </c>
      <c r="D6166" s="2">
        <v>0.88</v>
      </c>
      <c r="E6166" s="2">
        <v>43</v>
      </c>
      <c r="F6166" s="2" t="s">
        <v>6</v>
      </c>
    </row>
    <row r="6167" spans="1:6" ht="25.5">
      <c r="A6167" s="2">
        <v>6164</v>
      </c>
      <c r="B6167" s="2" t="s">
        <v>6243</v>
      </c>
      <c r="C6167" s="2" t="str">
        <f>"17921015"</f>
        <v>17921015</v>
      </c>
      <c r="D6167" s="2">
        <v>0.16500000000000001</v>
      </c>
      <c r="E6167" s="2">
        <v>5</v>
      </c>
      <c r="F6167" s="2" t="s">
        <v>313</v>
      </c>
    </row>
    <row r="6168" spans="1:6" ht="25.5">
      <c r="A6168" s="2">
        <v>6165</v>
      </c>
      <c r="B6168" s="2" t="s">
        <v>6244</v>
      </c>
      <c r="C6168" s="2" t="str">
        <f>"09402993"</f>
        <v>09402993</v>
      </c>
      <c r="D6168" s="2">
        <v>0.622</v>
      </c>
      <c r="E6168" s="2">
        <v>34</v>
      </c>
      <c r="F6168" s="2" t="s">
        <v>12</v>
      </c>
    </row>
    <row r="6169" spans="1:6" ht="25.5">
      <c r="A6169" s="2">
        <v>6166</v>
      </c>
      <c r="B6169" s="2" t="s">
        <v>6245</v>
      </c>
      <c r="C6169" s="2" t="str">
        <f>"20407378"</f>
        <v>20407378</v>
      </c>
      <c r="D6169" s="2">
        <v>0.51</v>
      </c>
      <c r="E6169" s="2">
        <v>6</v>
      </c>
      <c r="F6169" s="2" t="s">
        <v>16</v>
      </c>
    </row>
    <row r="6170" spans="1:6" ht="25.5">
      <c r="A6170" s="2">
        <v>6167</v>
      </c>
      <c r="B6170" s="2" t="s">
        <v>6246</v>
      </c>
      <c r="C6170" s="2" t="str">
        <f>"13411357"</f>
        <v>13411357</v>
      </c>
      <c r="D6170" s="2">
        <v>0.55100000000000005</v>
      </c>
      <c r="E6170" s="2">
        <v>24</v>
      </c>
      <c r="F6170" s="2" t="s">
        <v>131</v>
      </c>
    </row>
    <row r="6171" spans="1:6" ht="25.5">
      <c r="A6171" s="2">
        <v>6168</v>
      </c>
      <c r="B6171" s="2" t="s">
        <v>6247</v>
      </c>
      <c r="C6171" s="2" t="str">
        <f>"15729508"</f>
        <v>15729508</v>
      </c>
      <c r="D6171" s="2">
        <v>0.73399999999999999</v>
      </c>
      <c r="E6171" s="2">
        <v>21</v>
      </c>
      <c r="F6171" s="2" t="s">
        <v>75</v>
      </c>
    </row>
    <row r="6172" spans="1:6" ht="25.5">
      <c r="A6172" s="2">
        <v>6169</v>
      </c>
      <c r="B6172" s="2" t="s">
        <v>6248</v>
      </c>
      <c r="C6172" s="2" t="str">
        <f>"15353702"</f>
        <v>15353702</v>
      </c>
      <c r="D6172" s="2">
        <v>0.93200000000000005</v>
      </c>
      <c r="E6172" s="2">
        <v>102</v>
      </c>
      <c r="F6172" s="2" t="s">
        <v>16</v>
      </c>
    </row>
    <row r="6173" spans="1:6" ht="25.5">
      <c r="A6173" s="2">
        <v>6170</v>
      </c>
      <c r="B6173" s="2" t="s">
        <v>6249</v>
      </c>
      <c r="C6173" s="2" t="str">
        <f>"14321106"</f>
        <v>14321106</v>
      </c>
      <c r="D6173" s="2">
        <v>1.1479999999999999</v>
      </c>
      <c r="E6173" s="2">
        <v>112</v>
      </c>
      <c r="F6173" s="2" t="s">
        <v>12</v>
      </c>
    </row>
    <row r="6174" spans="1:6" ht="25.5">
      <c r="A6174" s="2">
        <v>6171</v>
      </c>
      <c r="B6174" s="2" t="s">
        <v>6250</v>
      </c>
      <c r="C6174" s="2" t="str">
        <f>"10902422"</f>
        <v>10902422</v>
      </c>
      <c r="D6174" s="2">
        <v>1.6950000000000001</v>
      </c>
      <c r="E6174" s="2">
        <v>136</v>
      </c>
      <c r="F6174" s="2" t="s">
        <v>6</v>
      </c>
    </row>
    <row r="6175" spans="1:6" ht="25.5">
      <c r="A6175" s="2">
        <v>6172</v>
      </c>
      <c r="B6175" s="2" t="s">
        <v>6251</v>
      </c>
      <c r="C6175" s="2" t="str">
        <f>"16000625"</f>
        <v>16000625</v>
      </c>
      <c r="D6175" s="2">
        <v>1.228</v>
      </c>
      <c r="E6175" s="2">
        <v>59</v>
      </c>
      <c r="F6175" s="2" t="s">
        <v>16</v>
      </c>
    </row>
    <row r="6176" spans="1:6" ht="25.5">
      <c r="A6176" s="2">
        <v>6173</v>
      </c>
      <c r="B6176" s="2" t="s">
        <v>6252</v>
      </c>
      <c r="C6176" s="2" t="str">
        <f>"16875303"</f>
        <v>16875303</v>
      </c>
      <c r="D6176" s="2">
        <v>0.51500000000000001</v>
      </c>
      <c r="E6176" s="2">
        <v>24</v>
      </c>
      <c r="F6176" s="2" t="s">
        <v>6</v>
      </c>
    </row>
    <row r="6177" spans="1:6" ht="25.5">
      <c r="A6177" s="2">
        <v>6174</v>
      </c>
      <c r="B6177" s="2" t="s">
        <v>6253</v>
      </c>
      <c r="C6177" s="2" t="str">
        <f>"15736938"</f>
        <v>15736938</v>
      </c>
      <c r="D6177" s="2">
        <v>2.4409999999999998</v>
      </c>
      <c r="E6177" s="2">
        <v>23</v>
      </c>
      <c r="F6177" s="2" t="s">
        <v>6</v>
      </c>
    </row>
    <row r="6178" spans="1:6" ht="25.5">
      <c r="A6178" s="2">
        <v>6175</v>
      </c>
      <c r="B6178" s="2" t="s">
        <v>6254</v>
      </c>
      <c r="C6178" s="2" t="str">
        <f>"10960007"</f>
        <v>10960007</v>
      </c>
      <c r="D6178" s="2">
        <v>1.1990000000000001</v>
      </c>
      <c r="E6178" s="2">
        <v>78</v>
      </c>
      <c r="F6178" s="2" t="s">
        <v>6</v>
      </c>
    </row>
    <row r="6179" spans="1:6" ht="25.5">
      <c r="A6179" s="2">
        <v>6176</v>
      </c>
      <c r="B6179" s="2" t="s">
        <v>6255</v>
      </c>
      <c r="C6179" s="2" t="str">
        <f>"05315565"</f>
        <v>05315565</v>
      </c>
      <c r="D6179" s="2">
        <v>1.27</v>
      </c>
      <c r="E6179" s="2">
        <v>86</v>
      </c>
      <c r="F6179" s="2" t="s">
        <v>6</v>
      </c>
    </row>
    <row r="6180" spans="1:6" ht="25.5">
      <c r="A6180" s="2">
        <v>6177</v>
      </c>
      <c r="B6180" s="2" t="s">
        <v>6256</v>
      </c>
      <c r="C6180" s="2" t="str">
        <f>"15210480"</f>
        <v>15210480</v>
      </c>
      <c r="D6180" s="2">
        <v>0.61499999999999999</v>
      </c>
      <c r="E6180" s="2">
        <v>18</v>
      </c>
      <c r="F6180" s="2" t="s">
        <v>16</v>
      </c>
    </row>
    <row r="6181" spans="1:6" ht="25.5">
      <c r="A6181" s="2">
        <v>6178</v>
      </c>
      <c r="B6181" s="2" t="s">
        <v>6257</v>
      </c>
      <c r="C6181" s="2" t="str">
        <f>"0301472X"</f>
        <v>0301472X</v>
      </c>
      <c r="D6181" s="2">
        <v>1.248</v>
      </c>
      <c r="E6181" s="2">
        <v>88</v>
      </c>
      <c r="F6181" s="2" t="s">
        <v>6</v>
      </c>
    </row>
    <row r="6182" spans="1:6" ht="25.5">
      <c r="A6182" s="2">
        <v>6179</v>
      </c>
      <c r="B6182" s="2" t="s">
        <v>6258</v>
      </c>
      <c r="C6182" s="2" t="str">
        <f>"15210499"</f>
        <v>15210499</v>
      </c>
      <c r="D6182" s="2">
        <v>0.56100000000000005</v>
      </c>
      <c r="E6182" s="2">
        <v>36</v>
      </c>
      <c r="F6182" s="2" t="s">
        <v>16</v>
      </c>
    </row>
    <row r="6183" spans="1:6" ht="25.5">
      <c r="A6183" s="2">
        <v>6180</v>
      </c>
      <c r="B6183" s="2" t="s">
        <v>6259</v>
      </c>
      <c r="C6183" s="2" t="str">
        <f>"10586458"</f>
        <v>10586458</v>
      </c>
      <c r="D6183" s="2">
        <v>0.79</v>
      </c>
      <c r="E6183" s="2">
        <v>19</v>
      </c>
      <c r="F6183" s="2" t="s">
        <v>6</v>
      </c>
    </row>
    <row r="6184" spans="1:6" ht="25.5">
      <c r="A6184" s="2">
        <v>6181</v>
      </c>
      <c r="B6184" s="2" t="s">
        <v>6260</v>
      </c>
      <c r="C6184" s="2" t="str">
        <f>"00144851"</f>
        <v>00144851</v>
      </c>
      <c r="D6184" s="2">
        <v>0.63700000000000001</v>
      </c>
      <c r="E6184" s="2">
        <v>47</v>
      </c>
      <c r="F6184" s="2" t="s">
        <v>6</v>
      </c>
    </row>
    <row r="6185" spans="1:6" ht="25.5">
      <c r="A6185" s="2">
        <v>6182</v>
      </c>
      <c r="B6185" s="2" t="s">
        <v>6261</v>
      </c>
      <c r="C6185" s="2" t="str">
        <f>"10902430"</f>
        <v>10902430</v>
      </c>
      <c r="D6185" s="2">
        <v>1.7370000000000001</v>
      </c>
      <c r="E6185" s="2">
        <v>127</v>
      </c>
      <c r="F6185" s="2" t="s">
        <v>6</v>
      </c>
    </row>
    <row r="6186" spans="1:6" ht="25.5">
      <c r="A6186" s="2">
        <v>6183</v>
      </c>
      <c r="B6186" s="2" t="s">
        <v>6262</v>
      </c>
      <c r="C6186" s="2" t="str">
        <f>"10902449"</f>
        <v>10902449</v>
      </c>
      <c r="D6186" s="2">
        <v>0.70199999999999996</v>
      </c>
      <c r="E6186" s="2">
        <v>49</v>
      </c>
      <c r="F6186" s="2" t="s">
        <v>6</v>
      </c>
    </row>
    <row r="6187" spans="1:6" ht="25.5">
      <c r="A6187" s="2">
        <v>6184</v>
      </c>
      <c r="B6187" s="2" t="s">
        <v>6263</v>
      </c>
      <c r="C6187" s="2" t="str">
        <f>"1469445X"</f>
        <v>1469445X</v>
      </c>
      <c r="D6187" s="2">
        <v>1.0409999999999999</v>
      </c>
      <c r="E6187" s="2">
        <v>61</v>
      </c>
      <c r="F6187" s="2" t="s">
        <v>16</v>
      </c>
    </row>
    <row r="6188" spans="1:6" ht="25.5">
      <c r="A6188" s="2">
        <v>6185</v>
      </c>
      <c r="B6188" s="2" t="s">
        <v>6264</v>
      </c>
      <c r="C6188" s="2" t="str">
        <f>"16183169"</f>
        <v>16183169</v>
      </c>
      <c r="D6188" s="2">
        <v>1.1339999999999999</v>
      </c>
      <c r="E6188" s="2">
        <v>33</v>
      </c>
      <c r="F6188" s="2" t="s">
        <v>6</v>
      </c>
    </row>
    <row r="6189" spans="1:6" ht="25.5">
      <c r="A6189" s="2">
        <v>6186</v>
      </c>
      <c r="B6189" s="2" t="s">
        <v>6265</v>
      </c>
      <c r="C6189" s="2" t="str">
        <f>"07328818"</f>
        <v>07328818</v>
      </c>
      <c r="D6189" s="2">
        <v>0.30599999999999999</v>
      </c>
      <c r="E6189" s="2">
        <v>19</v>
      </c>
      <c r="F6189" s="2" t="s">
        <v>16</v>
      </c>
    </row>
    <row r="6190" spans="1:6" ht="25.5">
      <c r="A6190" s="2">
        <v>6187</v>
      </c>
      <c r="B6190" s="2" t="s">
        <v>6266</v>
      </c>
      <c r="C6190" s="2" t="str">
        <f>"08941777"</f>
        <v>08941777</v>
      </c>
      <c r="D6190" s="2">
        <v>1.02</v>
      </c>
      <c r="E6190" s="2">
        <v>48</v>
      </c>
      <c r="F6190" s="2" t="s">
        <v>6</v>
      </c>
    </row>
    <row r="6191" spans="1:6" ht="25.5">
      <c r="A6191" s="2">
        <v>6188</v>
      </c>
      <c r="B6191" s="2" t="s">
        <v>6267</v>
      </c>
      <c r="C6191" s="2" t="str">
        <f>"14321114"</f>
        <v>14321114</v>
      </c>
      <c r="D6191" s="2">
        <v>1.0329999999999999</v>
      </c>
      <c r="E6191" s="2">
        <v>62</v>
      </c>
      <c r="F6191" s="2" t="s">
        <v>12</v>
      </c>
    </row>
    <row r="6192" spans="1:6" ht="25.5">
      <c r="A6192" s="2">
        <v>6189</v>
      </c>
      <c r="B6192" s="2" t="s">
        <v>6268</v>
      </c>
      <c r="C6192" s="2" t="str">
        <f>"14712598"</f>
        <v>14712598</v>
      </c>
      <c r="D6192" s="2">
        <v>1.018</v>
      </c>
      <c r="E6192" s="2">
        <v>50</v>
      </c>
      <c r="F6192" s="2" t="s">
        <v>16</v>
      </c>
    </row>
    <row r="6193" spans="1:6" ht="25.5">
      <c r="A6193" s="2">
        <v>6190</v>
      </c>
      <c r="B6193" s="2" t="s">
        <v>6269</v>
      </c>
      <c r="C6193" s="2" t="str">
        <f>"17425247"</f>
        <v>17425247</v>
      </c>
      <c r="D6193" s="2">
        <v>1.6040000000000001</v>
      </c>
      <c r="E6193" s="2">
        <v>41</v>
      </c>
      <c r="F6193" s="2" t="s">
        <v>16</v>
      </c>
    </row>
    <row r="6194" spans="1:6" ht="25.5">
      <c r="A6194" s="2">
        <v>6191</v>
      </c>
      <c r="B6194" s="2" t="s">
        <v>6270</v>
      </c>
      <c r="C6194" s="2" t="str">
        <f>"1746045X"</f>
        <v>1746045X</v>
      </c>
      <c r="D6194" s="2">
        <v>0.66800000000000004</v>
      </c>
      <c r="E6194" s="2">
        <v>22</v>
      </c>
      <c r="F6194" s="2" t="s">
        <v>16</v>
      </c>
    </row>
    <row r="6195" spans="1:6" ht="25.5">
      <c r="A6195" s="2">
        <v>6192</v>
      </c>
      <c r="B6195" s="2" t="s">
        <v>6271</v>
      </c>
      <c r="C6195" s="2" t="str">
        <f>"17425255"</f>
        <v>17425255</v>
      </c>
      <c r="D6195" s="2">
        <v>0.79300000000000004</v>
      </c>
      <c r="E6195" s="2">
        <v>37</v>
      </c>
      <c r="F6195" s="2" t="s">
        <v>16</v>
      </c>
    </row>
    <row r="6196" spans="1:6" ht="25.5">
      <c r="A6196" s="2">
        <v>6193</v>
      </c>
      <c r="B6196" s="2" t="s">
        <v>6272</v>
      </c>
      <c r="C6196" s="2" t="str">
        <f>"14740338"</f>
        <v>14740338</v>
      </c>
      <c r="D6196" s="2">
        <v>0.84399999999999997</v>
      </c>
      <c r="E6196" s="2">
        <v>37</v>
      </c>
      <c r="F6196" s="2" t="s">
        <v>16</v>
      </c>
    </row>
    <row r="6197" spans="1:6" ht="25.5">
      <c r="A6197" s="2">
        <v>6194</v>
      </c>
      <c r="B6197" s="2" t="s">
        <v>6273</v>
      </c>
      <c r="C6197" s="2" t="str">
        <f>"17447623"</f>
        <v>17447623</v>
      </c>
      <c r="D6197" s="2">
        <v>0.78600000000000003</v>
      </c>
      <c r="E6197" s="2">
        <v>30</v>
      </c>
      <c r="F6197" s="2" t="s">
        <v>16</v>
      </c>
    </row>
    <row r="6198" spans="1:6" ht="25.5">
      <c r="A6198" s="2">
        <v>6195</v>
      </c>
      <c r="B6198" s="2" t="s">
        <v>6274</v>
      </c>
      <c r="C6198" s="2" t="str">
        <f>"13543784"</f>
        <v>13543784</v>
      </c>
      <c r="D6198" s="2">
        <v>1.222</v>
      </c>
      <c r="E6198" s="2">
        <v>72</v>
      </c>
      <c r="F6198" s="2" t="s">
        <v>16</v>
      </c>
    </row>
    <row r="6199" spans="1:6" ht="25.5">
      <c r="A6199" s="2">
        <v>6196</v>
      </c>
      <c r="B6199" s="2" t="s">
        <v>6275</v>
      </c>
      <c r="C6199" s="2" t="str">
        <f>"17530067"</f>
        <v>17530067</v>
      </c>
      <c r="D6199" s="2">
        <v>0.24199999999999999</v>
      </c>
      <c r="E6199" s="2">
        <v>8</v>
      </c>
      <c r="F6199" s="2" t="s">
        <v>16</v>
      </c>
    </row>
    <row r="6200" spans="1:6" ht="25.5">
      <c r="A6200" s="2">
        <v>6197</v>
      </c>
      <c r="B6200" s="2" t="s">
        <v>6276</v>
      </c>
      <c r="C6200" s="2" t="str">
        <f>"14656566"</f>
        <v>14656566</v>
      </c>
      <c r="D6200" s="2">
        <v>0.63400000000000001</v>
      </c>
      <c r="E6200" s="2">
        <v>47</v>
      </c>
      <c r="F6200" s="2" t="s">
        <v>16</v>
      </c>
    </row>
    <row r="6201" spans="1:6" ht="25.5">
      <c r="A6201" s="2">
        <v>6198</v>
      </c>
      <c r="B6201" s="2" t="s">
        <v>6277</v>
      </c>
      <c r="C6201" s="2" t="str">
        <f>"13543776"</f>
        <v>13543776</v>
      </c>
      <c r="D6201" s="2">
        <v>1.204</v>
      </c>
      <c r="E6201" s="2">
        <v>43</v>
      </c>
      <c r="F6201" s="2" t="s">
        <v>16</v>
      </c>
    </row>
    <row r="6202" spans="1:6" ht="25.5">
      <c r="A6202" s="2">
        <v>6199</v>
      </c>
      <c r="B6202" s="2" t="s">
        <v>6278</v>
      </c>
      <c r="C6202" s="2" t="str">
        <f>"14728222"</f>
        <v>14728222</v>
      </c>
      <c r="D6202" s="2">
        <v>1.4630000000000001</v>
      </c>
      <c r="E6202" s="2">
        <v>48</v>
      </c>
      <c r="F6202" s="2" t="s">
        <v>16</v>
      </c>
    </row>
    <row r="6203" spans="1:6" ht="25.5">
      <c r="A6203" s="2">
        <v>6200</v>
      </c>
      <c r="B6203" s="2" t="s">
        <v>6279</v>
      </c>
      <c r="C6203" s="2" t="str">
        <f>"14737140"</f>
        <v>14737140</v>
      </c>
      <c r="D6203" s="2">
        <v>0.72199999999999998</v>
      </c>
      <c r="E6203" s="2">
        <v>39</v>
      </c>
      <c r="F6203" s="2" t="s">
        <v>16</v>
      </c>
    </row>
    <row r="6204" spans="1:6" ht="25.5">
      <c r="A6204" s="2">
        <v>6201</v>
      </c>
      <c r="B6204" s="2" t="s">
        <v>6280</v>
      </c>
      <c r="C6204" s="2" t="str">
        <f>"17448336"</f>
        <v>17448336</v>
      </c>
      <c r="D6204" s="2">
        <v>1.044</v>
      </c>
      <c r="E6204" s="2">
        <v>37</v>
      </c>
      <c r="F6204" s="2" t="s">
        <v>16</v>
      </c>
    </row>
    <row r="6205" spans="1:6" ht="25.5">
      <c r="A6205" s="2">
        <v>6202</v>
      </c>
      <c r="B6205" s="2" t="s">
        <v>6281</v>
      </c>
      <c r="C6205" s="2" t="str">
        <f>"14779072"</f>
        <v>14779072</v>
      </c>
      <c r="D6205" s="2">
        <v>0.50700000000000001</v>
      </c>
      <c r="E6205" s="2">
        <v>27</v>
      </c>
      <c r="F6205" s="2" t="s">
        <v>16</v>
      </c>
    </row>
    <row r="6206" spans="1:6" ht="25.5">
      <c r="A6206" s="2">
        <v>6203</v>
      </c>
      <c r="B6206" s="2" t="s">
        <v>6282</v>
      </c>
      <c r="C6206" s="2" t="str">
        <f>"17448409"</f>
        <v>17448409</v>
      </c>
      <c r="D6206" s="2">
        <v>0.66300000000000003</v>
      </c>
      <c r="E6206" s="2">
        <v>15</v>
      </c>
      <c r="F6206" s="2" t="s">
        <v>16</v>
      </c>
    </row>
    <row r="6207" spans="1:6" ht="25.5">
      <c r="A6207" s="2">
        <v>6204</v>
      </c>
      <c r="B6207" s="2" t="s">
        <v>6283</v>
      </c>
      <c r="C6207" s="2" t="str">
        <f>"17512433"</f>
        <v>17512433</v>
      </c>
      <c r="D6207" s="2">
        <v>0.30299999999999999</v>
      </c>
      <c r="E6207" s="2">
        <v>9</v>
      </c>
      <c r="F6207" s="2" t="s">
        <v>16</v>
      </c>
    </row>
    <row r="6208" spans="1:6" ht="25.5">
      <c r="A6208" s="2">
        <v>6205</v>
      </c>
      <c r="B6208" s="2" t="s">
        <v>6284</v>
      </c>
      <c r="C6208" s="2" t="str">
        <f>"17469872"</f>
        <v>17469872</v>
      </c>
      <c r="D6208" s="2">
        <v>0.27400000000000002</v>
      </c>
      <c r="E6208" s="2">
        <v>9</v>
      </c>
      <c r="F6208" s="2" t="s">
        <v>16</v>
      </c>
    </row>
    <row r="6209" spans="1:6" ht="25.5">
      <c r="A6209" s="2">
        <v>6206</v>
      </c>
      <c r="B6209" s="2" t="s">
        <v>6285</v>
      </c>
      <c r="C6209" s="2" t="str">
        <f>"17446651"</f>
        <v>17446651</v>
      </c>
      <c r="D6209" s="2">
        <v>0.27700000000000002</v>
      </c>
      <c r="E6209" s="2">
        <v>9</v>
      </c>
      <c r="F6209" s="2" t="s">
        <v>16</v>
      </c>
    </row>
    <row r="6210" spans="1:6" ht="25.5">
      <c r="A6210" s="2">
        <v>6207</v>
      </c>
      <c r="B6210" s="2" t="s">
        <v>6286</v>
      </c>
      <c r="C6210" s="2" t="str">
        <f>"17474132"</f>
        <v>17474132</v>
      </c>
      <c r="D6210" s="2">
        <v>0.77200000000000002</v>
      </c>
      <c r="E6210" s="2">
        <v>16</v>
      </c>
      <c r="F6210" s="2" t="s">
        <v>16</v>
      </c>
    </row>
    <row r="6211" spans="1:6" ht="25.5">
      <c r="A6211" s="2">
        <v>6208</v>
      </c>
      <c r="B6211" s="2" t="s">
        <v>6287</v>
      </c>
      <c r="C6211" s="2" t="str">
        <f>"17474086"</f>
        <v>17474086</v>
      </c>
      <c r="D6211" s="2">
        <v>0.69199999999999995</v>
      </c>
      <c r="E6211" s="2">
        <v>10</v>
      </c>
      <c r="F6211" s="2" t="s">
        <v>16</v>
      </c>
    </row>
    <row r="6212" spans="1:6" ht="25.5">
      <c r="A6212" s="2">
        <v>6209</v>
      </c>
      <c r="B6212" s="2" t="s">
        <v>6288</v>
      </c>
      <c r="C6212" s="2" t="str">
        <f>"17434440"</f>
        <v>17434440</v>
      </c>
      <c r="D6212" s="2">
        <v>0.48299999999999998</v>
      </c>
      <c r="E6212" s="2">
        <v>30</v>
      </c>
      <c r="F6212" s="2" t="s">
        <v>16</v>
      </c>
    </row>
    <row r="6213" spans="1:6" ht="25.5">
      <c r="A6213" s="2">
        <v>6210</v>
      </c>
      <c r="B6213" s="2" t="s">
        <v>6289</v>
      </c>
      <c r="C6213" s="2" t="str">
        <f>"14737159"</f>
        <v>14737159</v>
      </c>
      <c r="D6213" s="2">
        <v>0.98499999999999999</v>
      </c>
      <c r="E6213" s="2">
        <v>44</v>
      </c>
      <c r="F6213" s="2" t="s">
        <v>16</v>
      </c>
    </row>
    <row r="6214" spans="1:6" ht="25.5">
      <c r="A6214" s="2">
        <v>6211</v>
      </c>
      <c r="B6214" s="2" t="s">
        <v>6290</v>
      </c>
      <c r="C6214" s="2" t="str">
        <f>"14737175"</f>
        <v>14737175</v>
      </c>
      <c r="D6214" s="2">
        <v>0.95599999999999996</v>
      </c>
      <c r="E6214" s="2">
        <v>33</v>
      </c>
      <c r="F6214" s="2" t="s">
        <v>16</v>
      </c>
    </row>
    <row r="6215" spans="1:6" ht="25.5">
      <c r="A6215" s="2">
        <v>6212</v>
      </c>
      <c r="B6215" s="2" t="s">
        <v>6291</v>
      </c>
      <c r="C6215" s="2" t="str">
        <f>"17474108"</f>
        <v>17474108</v>
      </c>
      <c r="D6215" s="2">
        <v>0.22600000000000001</v>
      </c>
      <c r="E6215" s="2">
        <v>7</v>
      </c>
      <c r="F6215" s="2" t="s">
        <v>16</v>
      </c>
    </row>
    <row r="6216" spans="1:6" ht="25.5">
      <c r="A6216" s="2">
        <v>6213</v>
      </c>
      <c r="B6216" s="2" t="s">
        <v>6292</v>
      </c>
      <c r="C6216" s="2" t="str">
        <f>"17469899"</f>
        <v>17469899</v>
      </c>
      <c r="D6216" s="2">
        <v>0.22900000000000001</v>
      </c>
      <c r="E6216" s="2">
        <v>7</v>
      </c>
      <c r="F6216" s="2" t="s">
        <v>16</v>
      </c>
    </row>
    <row r="6217" spans="1:6" ht="25.5">
      <c r="A6217" s="2">
        <v>6214</v>
      </c>
      <c r="B6217" s="2" t="s">
        <v>6293</v>
      </c>
      <c r="C6217" s="2" t="str">
        <f>"14737167"</f>
        <v>14737167</v>
      </c>
      <c r="D6217" s="2">
        <v>0.51900000000000002</v>
      </c>
      <c r="E6217" s="2">
        <v>21</v>
      </c>
      <c r="F6217" s="2" t="s">
        <v>16</v>
      </c>
    </row>
    <row r="6218" spans="1:6" ht="25.5">
      <c r="A6218" s="2">
        <v>6215</v>
      </c>
      <c r="B6218" s="2" t="s">
        <v>6294</v>
      </c>
      <c r="C6218" s="2" t="str">
        <f>"17448387"</f>
        <v>17448387</v>
      </c>
      <c r="D6218" s="2">
        <v>0.94799999999999995</v>
      </c>
      <c r="E6218" s="2">
        <v>33</v>
      </c>
      <c r="F6218" s="2" t="s">
        <v>16</v>
      </c>
    </row>
    <row r="6219" spans="1:6" ht="25.5">
      <c r="A6219" s="2">
        <v>6216</v>
      </c>
      <c r="B6219" s="2" t="s">
        <v>6295</v>
      </c>
      <c r="C6219" s="2" t="str">
        <f>"17476348"</f>
        <v>17476348</v>
      </c>
      <c r="D6219" s="2">
        <v>0.54500000000000004</v>
      </c>
      <c r="E6219" s="2">
        <v>12</v>
      </c>
      <c r="F6219" s="2" t="s">
        <v>16</v>
      </c>
    </row>
    <row r="6220" spans="1:6" ht="25.5">
      <c r="A6220" s="2">
        <v>6217</v>
      </c>
      <c r="B6220" s="2" t="s">
        <v>6296</v>
      </c>
      <c r="C6220" s="2" t="str">
        <f>"14760584"</f>
        <v>14760584</v>
      </c>
      <c r="D6220" s="2">
        <v>1.087</v>
      </c>
      <c r="E6220" s="2">
        <v>42</v>
      </c>
      <c r="F6220" s="2" t="s">
        <v>16</v>
      </c>
    </row>
    <row r="6221" spans="1:6" ht="25.5">
      <c r="A6221" s="2">
        <v>6218</v>
      </c>
      <c r="B6221" s="2" t="s">
        <v>6297</v>
      </c>
      <c r="C6221" s="2" t="str">
        <f>"14623994"</f>
        <v>14623994</v>
      </c>
      <c r="D6221" s="2">
        <v>2.9950000000000001</v>
      </c>
      <c r="E6221" s="2">
        <v>41</v>
      </c>
      <c r="F6221" s="2" t="s">
        <v>16</v>
      </c>
    </row>
    <row r="6222" spans="1:6" ht="25.5">
      <c r="A6222" s="2">
        <v>6219</v>
      </c>
      <c r="B6222" s="2" t="s">
        <v>6298</v>
      </c>
      <c r="C6222" s="2" t="str">
        <f>"14680394"</f>
        <v>14680394</v>
      </c>
      <c r="D6222" s="2">
        <v>0.41399999999999998</v>
      </c>
      <c r="E6222" s="2">
        <v>22</v>
      </c>
      <c r="F6222" s="2" t="s">
        <v>16</v>
      </c>
    </row>
    <row r="6223" spans="1:6" ht="25.5">
      <c r="A6223" s="2">
        <v>6220</v>
      </c>
      <c r="B6223" s="2" t="s">
        <v>6299</v>
      </c>
      <c r="C6223" s="2" t="str">
        <f>"09574174"</f>
        <v>09574174</v>
      </c>
      <c r="D6223" s="2">
        <v>1.3580000000000001</v>
      </c>
      <c r="E6223" s="2">
        <v>73</v>
      </c>
      <c r="F6223" s="2" t="s">
        <v>16</v>
      </c>
    </row>
    <row r="6224" spans="1:6" ht="25.5">
      <c r="A6224" s="2">
        <v>6221</v>
      </c>
      <c r="B6224" s="2" t="s">
        <v>6300</v>
      </c>
      <c r="C6224" s="2" t="str">
        <f>"1939926X"</f>
        <v>1939926X</v>
      </c>
      <c r="D6224" s="2">
        <v>0.1</v>
      </c>
      <c r="E6224" s="2">
        <v>2</v>
      </c>
      <c r="F6224" s="2" t="s">
        <v>16</v>
      </c>
    </row>
    <row r="6225" spans="1:6" ht="25.5">
      <c r="A6225" s="2">
        <v>6222</v>
      </c>
      <c r="B6225" s="2" t="s">
        <v>6301</v>
      </c>
      <c r="C6225" s="2" t="str">
        <f>"09709231"</f>
        <v>09709231</v>
      </c>
      <c r="D6225" s="2">
        <v>0.13200000000000001</v>
      </c>
      <c r="E6225" s="2">
        <v>7</v>
      </c>
      <c r="F6225" s="2" t="s">
        <v>488</v>
      </c>
    </row>
    <row r="6226" spans="1:6" ht="25.5">
      <c r="A6226" s="2">
        <v>6223</v>
      </c>
      <c r="B6226" s="2" t="s">
        <v>6302</v>
      </c>
      <c r="C6226" s="2" t="str">
        <f>"00713473"</f>
        <v>00713473</v>
      </c>
      <c r="D6226" s="2">
        <v>0.77700000000000002</v>
      </c>
      <c r="E6226" s="2">
        <v>7</v>
      </c>
      <c r="F6226" s="2" t="s">
        <v>6</v>
      </c>
    </row>
    <row r="6227" spans="1:6" ht="25.5">
      <c r="A6227" s="2">
        <v>6224</v>
      </c>
      <c r="B6227" s="2" t="s">
        <v>6303</v>
      </c>
      <c r="C6227" s="2" t="str">
        <f>"00144983"</f>
        <v>00144983</v>
      </c>
      <c r="D6227" s="2">
        <v>1.175</v>
      </c>
      <c r="E6227" s="2">
        <v>20</v>
      </c>
      <c r="F6227" s="2" t="s">
        <v>6</v>
      </c>
    </row>
    <row r="6228" spans="1:6" ht="25.5">
      <c r="A6228" s="2">
        <v>6225</v>
      </c>
      <c r="B6228" s="2" t="s">
        <v>6304</v>
      </c>
      <c r="C6228" s="2" t="str">
        <f>"15508307"</f>
        <v>15508307</v>
      </c>
      <c r="D6228" s="2">
        <v>0.27800000000000002</v>
      </c>
      <c r="E6228" s="2">
        <v>15</v>
      </c>
      <c r="F6228" s="2" t="s">
        <v>6</v>
      </c>
    </row>
    <row r="6229" spans="1:6" ht="25.5">
      <c r="A6229" s="2">
        <v>6226</v>
      </c>
      <c r="B6229" s="2" t="s">
        <v>6305</v>
      </c>
      <c r="C6229" s="2" t="str">
        <f>"0916801X"</f>
        <v>0916801X</v>
      </c>
      <c r="D6229" s="2">
        <v>0.1</v>
      </c>
      <c r="E6229" s="2">
        <v>2</v>
      </c>
      <c r="F6229" s="2" t="s">
        <v>131</v>
      </c>
    </row>
    <row r="6230" spans="1:6" ht="25.5">
      <c r="A6230" s="2">
        <v>6227</v>
      </c>
      <c r="B6230" s="2" t="s">
        <v>6306</v>
      </c>
      <c r="C6230" s="2" t="str">
        <f>"07230869"</f>
        <v>07230869</v>
      </c>
      <c r="D6230" s="2">
        <v>0.61</v>
      </c>
      <c r="E6230" s="2">
        <v>9</v>
      </c>
      <c r="F6230" s="2" t="s">
        <v>12</v>
      </c>
    </row>
    <row r="6231" spans="1:6" ht="25.5">
      <c r="A6231" s="2">
        <v>6228</v>
      </c>
      <c r="B6231" s="2" t="s">
        <v>6307</v>
      </c>
      <c r="C6231" s="2" t="str">
        <f>"00145246"</f>
        <v>00145246</v>
      </c>
      <c r="D6231" s="2">
        <v>0.10199999999999999</v>
      </c>
      <c r="E6231" s="2">
        <v>3</v>
      </c>
      <c r="F6231" s="2" t="s">
        <v>16</v>
      </c>
    </row>
    <row r="6232" spans="1:6" ht="25.5">
      <c r="A6232" s="2">
        <v>6229</v>
      </c>
      <c r="B6232" s="2" t="s">
        <v>6308</v>
      </c>
      <c r="C6232" s="2" t="str">
        <f>"15400085"</f>
        <v>15400085</v>
      </c>
      <c r="D6232" s="2">
        <v>0.1</v>
      </c>
      <c r="E6232" s="2">
        <v>2</v>
      </c>
      <c r="F6232" s="2" t="s">
        <v>6</v>
      </c>
    </row>
    <row r="6233" spans="1:6" ht="25.5">
      <c r="A6233" s="2">
        <v>6230</v>
      </c>
      <c r="B6233" s="2" t="s">
        <v>6309</v>
      </c>
      <c r="C6233" s="2" t="str">
        <f>"1788618X"</f>
        <v>1788618X</v>
      </c>
      <c r="D6233" s="2">
        <v>0.82799999999999996</v>
      </c>
      <c r="E6233" s="2">
        <v>23</v>
      </c>
      <c r="F6233" s="2" t="s">
        <v>135</v>
      </c>
    </row>
    <row r="6234" spans="1:6" ht="25.5">
      <c r="A6234" s="2">
        <v>6231</v>
      </c>
      <c r="B6234" s="2" t="s">
        <v>6310</v>
      </c>
      <c r="C6234" s="2" t="str">
        <f>"1023294X"</f>
        <v>1023294X</v>
      </c>
      <c r="D6234" s="2">
        <v>0.34899999999999998</v>
      </c>
      <c r="E6234" s="2">
        <v>33</v>
      </c>
      <c r="F6234" s="2" t="s">
        <v>31</v>
      </c>
    </row>
    <row r="6235" spans="1:6" ht="25.5">
      <c r="A6235" s="2">
        <v>6232</v>
      </c>
      <c r="B6235" s="2" t="s">
        <v>6311</v>
      </c>
      <c r="C6235" s="2" t="str">
        <f>"00145483"</f>
        <v>00145483</v>
      </c>
      <c r="D6235" s="2">
        <v>0.10199999999999999</v>
      </c>
      <c r="E6235" s="2">
        <v>0</v>
      </c>
      <c r="F6235" s="2" t="s">
        <v>6</v>
      </c>
    </row>
    <row r="6236" spans="1:6" ht="25.5">
      <c r="A6236" s="2">
        <v>6233</v>
      </c>
      <c r="B6236" s="2" t="s">
        <v>6312</v>
      </c>
      <c r="C6236" s="2" t="str">
        <f>"13861999"</f>
        <v>13861999</v>
      </c>
      <c r="D6236" s="2">
        <v>1.0309999999999999</v>
      </c>
      <c r="E6236" s="2">
        <v>13</v>
      </c>
      <c r="F6236" s="2" t="s">
        <v>75</v>
      </c>
    </row>
    <row r="6237" spans="1:6" ht="25.5">
      <c r="A6237" s="2">
        <v>6234</v>
      </c>
      <c r="B6237" s="2" t="s">
        <v>6313</v>
      </c>
      <c r="C6237" s="2" t="str">
        <f>"14334909"</f>
        <v>14334909</v>
      </c>
      <c r="D6237" s="2">
        <v>1.087</v>
      </c>
      <c r="E6237" s="2">
        <v>50</v>
      </c>
      <c r="F6237" s="2" t="s">
        <v>131</v>
      </c>
    </row>
    <row r="6238" spans="1:6" ht="25.5">
      <c r="A6238" s="2">
        <v>6235</v>
      </c>
      <c r="B6238" s="2" t="s">
        <v>6314</v>
      </c>
      <c r="C6238" s="2" t="str">
        <f>"14765454"</f>
        <v>14765454</v>
      </c>
      <c r="D6238" s="2">
        <v>1.181</v>
      </c>
      <c r="E6238" s="2">
        <v>57</v>
      </c>
      <c r="F6238" s="2" t="s">
        <v>16</v>
      </c>
    </row>
    <row r="6239" spans="1:6" ht="25.5">
      <c r="A6239" s="2">
        <v>6236</v>
      </c>
      <c r="B6239" s="2" t="s">
        <v>6315</v>
      </c>
      <c r="C6239" s="2" t="str">
        <f>"1542233X"</f>
        <v>1542233X</v>
      </c>
      <c r="D6239" s="2">
        <v>0.81399999999999995</v>
      </c>
      <c r="E6239" s="2">
        <v>34</v>
      </c>
      <c r="F6239" s="2" t="s">
        <v>6</v>
      </c>
    </row>
    <row r="6240" spans="1:6" ht="25.5">
      <c r="A6240" s="2">
        <v>6237</v>
      </c>
      <c r="B6240" s="2" t="s">
        <v>6316</v>
      </c>
      <c r="C6240" s="2" t="str">
        <f>"0960779X"</f>
        <v>0960779X</v>
      </c>
      <c r="D6240" s="2">
        <v>0.1</v>
      </c>
      <c r="E6240" s="2">
        <v>0</v>
      </c>
      <c r="F6240" s="2" t="s">
        <v>16</v>
      </c>
    </row>
    <row r="6241" spans="1:6" ht="25.5">
      <c r="A6241" s="2">
        <v>6238</v>
      </c>
      <c r="B6241" s="2" t="s">
        <v>6317</v>
      </c>
      <c r="C6241" s="2" t="str">
        <f>"17404118"</f>
        <v>17404118</v>
      </c>
      <c r="D6241" s="2">
        <v>0.85099999999999998</v>
      </c>
      <c r="E6241" s="2">
        <v>7</v>
      </c>
      <c r="F6241" s="2" t="s">
        <v>16</v>
      </c>
    </row>
    <row r="6242" spans="1:6" ht="25.5">
      <c r="A6242" s="2">
        <v>6239</v>
      </c>
      <c r="B6242" s="2" t="s">
        <v>6318</v>
      </c>
      <c r="C6242" s="2" t="str">
        <f>"17575931"</f>
        <v>17575931</v>
      </c>
      <c r="D6242" s="2">
        <v>0.376</v>
      </c>
      <c r="E6242" s="2">
        <v>6</v>
      </c>
      <c r="F6242" s="2" t="s">
        <v>16</v>
      </c>
    </row>
    <row r="6243" spans="1:6" ht="25.5">
      <c r="A6243" s="2">
        <v>6240</v>
      </c>
      <c r="B6243" s="2" t="s">
        <v>6319</v>
      </c>
      <c r="C6243" s="2" t="str">
        <f>"16130464"</f>
        <v>16130464</v>
      </c>
      <c r="D6243" s="2">
        <v>0.1</v>
      </c>
      <c r="E6243" s="2">
        <v>3</v>
      </c>
      <c r="F6243" s="2" t="s">
        <v>12</v>
      </c>
    </row>
    <row r="6244" spans="1:6" ht="25.5">
      <c r="A6244" s="2">
        <v>6241</v>
      </c>
      <c r="B6244" s="2" t="s">
        <v>6320</v>
      </c>
      <c r="C6244" s="2" t="str">
        <f>"10173285"</f>
        <v>10173285</v>
      </c>
      <c r="D6244" s="2">
        <v>0.10299999999999999</v>
      </c>
      <c r="E6244" s="2">
        <v>1</v>
      </c>
      <c r="F6244" s="2" t="s">
        <v>288</v>
      </c>
    </row>
    <row r="6245" spans="1:6" ht="25.5">
      <c r="A6245" s="2">
        <v>6242</v>
      </c>
      <c r="B6245" s="2" t="s">
        <v>6321</v>
      </c>
      <c r="C6245" s="2" t="str">
        <f>"10988793"</f>
        <v>10988793</v>
      </c>
      <c r="D6245" s="2">
        <v>0.502</v>
      </c>
      <c r="E6245" s="2">
        <v>25</v>
      </c>
      <c r="F6245" s="2" t="s">
        <v>6</v>
      </c>
    </row>
    <row r="6246" spans="1:6" ht="25.5">
      <c r="A6246" s="2">
        <v>6243</v>
      </c>
      <c r="B6246" s="2" t="s">
        <v>6322</v>
      </c>
      <c r="C6246" s="2" t="str">
        <f>"10647406"</f>
        <v>10647406</v>
      </c>
      <c r="D6246" s="2">
        <v>0.378</v>
      </c>
      <c r="E6246" s="2">
        <v>17</v>
      </c>
      <c r="F6246" s="2" t="s">
        <v>16</v>
      </c>
    </row>
    <row r="6247" spans="1:6" ht="25.5">
      <c r="A6247" s="2">
        <v>6244</v>
      </c>
      <c r="B6247" s="2" t="s">
        <v>6323</v>
      </c>
      <c r="C6247" s="2" t="str">
        <f>"01729179"</f>
        <v>01729179</v>
      </c>
      <c r="D6247" s="2">
        <v>0.82</v>
      </c>
      <c r="E6247" s="2">
        <v>33</v>
      </c>
      <c r="F6247" s="2" t="s">
        <v>12</v>
      </c>
    </row>
    <row r="6248" spans="1:6" ht="25.5">
      <c r="A6248" s="2">
        <v>6245</v>
      </c>
      <c r="B6248" s="2" t="s">
        <v>6324</v>
      </c>
      <c r="C6248" s="2" t="str">
        <f>"02632772"</f>
        <v>02632772</v>
      </c>
      <c r="D6248" s="2">
        <v>0.32300000000000001</v>
      </c>
      <c r="E6248" s="2">
        <v>11</v>
      </c>
      <c r="F6248" s="2" t="s">
        <v>16</v>
      </c>
    </row>
    <row r="6249" spans="1:6" ht="25.5">
      <c r="A6249" s="2">
        <v>6246</v>
      </c>
      <c r="B6249" s="2" t="s">
        <v>6325</v>
      </c>
      <c r="C6249" s="2" t="str">
        <f>"13899600"</f>
        <v>13899600</v>
      </c>
      <c r="D6249" s="2">
        <v>0.80700000000000005</v>
      </c>
      <c r="E6249" s="2">
        <v>33</v>
      </c>
      <c r="F6249" s="2" t="s">
        <v>75</v>
      </c>
    </row>
    <row r="6250" spans="1:6" ht="25.5">
      <c r="A6250" s="2">
        <v>6247</v>
      </c>
      <c r="B6250" s="2" t="s">
        <v>6326</v>
      </c>
      <c r="C6250" s="2" t="str">
        <f>"03422747"</f>
        <v>03422747</v>
      </c>
      <c r="D6250" s="2">
        <v>0.14299999999999999</v>
      </c>
      <c r="E6250" s="2">
        <v>4</v>
      </c>
      <c r="F6250" s="2" t="s">
        <v>12</v>
      </c>
    </row>
    <row r="6251" spans="1:6" ht="25.5">
      <c r="A6251" s="2">
        <v>6248</v>
      </c>
      <c r="B6251" s="2" t="s">
        <v>6327</v>
      </c>
      <c r="C6251" s="2" t="str">
        <f>"10443894"</f>
        <v>10443894</v>
      </c>
      <c r="D6251" s="2">
        <v>0.33500000000000002</v>
      </c>
      <c r="E6251" s="2">
        <v>27</v>
      </c>
      <c r="F6251" s="2" t="s">
        <v>6</v>
      </c>
    </row>
    <row r="6252" spans="1:6" ht="25.5">
      <c r="A6252" s="2">
        <v>6249</v>
      </c>
      <c r="B6252" s="2" t="s">
        <v>6328</v>
      </c>
      <c r="C6252" s="2" t="str">
        <f>"10917527"</f>
        <v>10917527</v>
      </c>
      <c r="D6252" s="2">
        <v>0.69899999999999995</v>
      </c>
      <c r="E6252" s="2">
        <v>24</v>
      </c>
      <c r="F6252" s="2" t="s">
        <v>6</v>
      </c>
    </row>
    <row r="6253" spans="1:6" ht="25.5">
      <c r="A6253" s="2">
        <v>6250</v>
      </c>
      <c r="B6253" s="2" t="s">
        <v>6329</v>
      </c>
      <c r="C6253" s="2" t="str">
        <f>"15505057"</f>
        <v>15505057</v>
      </c>
      <c r="D6253" s="2">
        <v>0.435</v>
      </c>
      <c r="E6253" s="2">
        <v>24</v>
      </c>
      <c r="F6253" s="2" t="s">
        <v>6</v>
      </c>
    </row>
    <row r="6254" spans="1:6" ht="25.5">
      <c r="A6254" s="2">
        <v>6251</v>
      </c>
      <c r="B6254" s="2" t="s">
        <v>6330</v>
      </c>
      <c r="C6254" s="2" t="str">
        <f>"1077727X"</f>
        <v>1077727X</v>
      </c>
      <c r="D6254" s="2">
        <v>0.22700000000000001</v>
      </c>
      <c r="E6254" s="2">
        <v>3</v>
      </c>
      <c r="F6254" s="2" t="s">
        <v>16</v>
      </c>
    </row>
    <row r="6255" spans="1:6" ht="25.5">
      <c r="A6255" s="2">
        <v>6252</v>
      </c>
      <c r="B6255" s="2" t="s">
        <v>6331</v>
      </c>
      <c r="C6255" s="2" t="str">
        <f>"17416248"</f>
        <v>17416248</v>
      </c>
      <c r="D6255" s="2">
        <v>0.90300000000000002</v>
      </c>
      <c r="E6255" s="2">
        <v>32</v>
      </c>
      <c r="F6255" s="2" t="s">
        <v>6</v>
      </c>
    </row>
    <row r="6256" spans="1:6" ht="25.5">
      <c r="A6256" s="2">
        <v>6253</v>
      </c>
      <c r="B6256" s="2" t="s">
        <v>6332</v>
      </c>
      <c r="C6256" s="2" t="str">
        <f>"10664807"</f>
        <v>10664807</v>
      </c>
      <c r="D6256" s="2">
        <v>0.24199999999999999</v>
      </c>
      <c r="E6256" s="2">
        <v>12</v>
      </c>
      <c r="F6256" s="2" t="s">
        <v>6</v>
      </c>
    </row>
    <row r="6257" spans="1:6" ht="25.5">
      <c r="A6257" s="2">
        <v>6254</v>
      </c>
      <c r="B6257" s="2" t="s">
        <v>6333</v>
      </c>
      <c r="C6257" s="2" t="str">
        <f>"0014729X"</f>
        <v>0014729X</v>
      </c>
      <c r="D6257" s="2">
        <v>0.124</v>
      </c>
      <c r="E6257" s="2">
        <v>9</v>
      </c>
      <c r="F6257" s="2" t="s">
        <v>6</v>
      </c>
    </row>
    <row r="6258" spans="1:6" ht="25.5">
      <c r="A6258" s="2">
        <v>6255</v>
      </c>
      <c r="B6258" s="2" t="s">
        <v>6334</v>
      </c>
      <c r="C6258" s="2" t="str">
        <f>"10302646"</f>
        <v>10302646</v>
      </c>
      <c r="D6258" s="2">
        <v>0.26</v>
      </c>
      <c r="E6258" s="2">
        <v>4</v>
      </c>
      <c r="F6258" s="2" t="s">
        <v>127</v>
      </c>
    </row>
    <row r="6259" spans="1:6" ht="25.5">
      <c r="A6259" s="2">
        <v>6256</v>
      </c>
      <c r="B6259" s="2" t="s">
        <v>6335</v>
      </c>
      <c r="C6259" s="2" t="str">
        <f>"07423225"</f>
        <v>07423225</v>
      </c>
      <c r="D6259" s="2">
        <v>0.502</v>
      </c>
      <c r="E6259" s="2">
        <v>43</v>
      </c>
      <c r="F6259" s="2" t="s">
        <v>6</v>
      </c>
    </row>
    <row r="6260" spans="1:6" ht="25.5">
      <c r="A6260" s="2">
        <v>6257</v>
      </c>
      <c r="B6260" s="2" t="s">
        <v>6336</v>
      </c>
      <c r="C6260" s="2" t="str">
        <f>"17343402"</f>
        <v>17343402</v>
      </c>
      <c r="D6260" s="2">
        <v>0.10100000000000001</v>
      </c>
      <c r="E6260" s="2">
        <v>4</v>
      </c>
      <c r="F6260" s="2" t="s">
        <v>169</v>
      </c>
    </row>
    <row r="6261" spans="1:6" ht="25.5">
      <c r="A6261" s="2">
        <v>6258</v>
      </c>
      <c r="B6261" s="2" t="s">
        <v>6337</v>
      </c>
      <c r="C6261" s="2" t="str">
        <f>"14602229"</f>
        <v>14602229</v>
      </c>
      <c r="D6261" s="2">
        <v>0.89700000000000002</v>
      </c>
      <c r="E6261" s="2">
        <v>62</v>
      </c>
      <c r="F6261" s="2" t="s">
        <v>16</v>
      </c>
    </row>
    <row r="6262" spans="1:6" ht="25.5">
      <c r="A6262" s="2">
        <v>6259</v>
      </c>
      <c r="B6262" s="2" t="s">
        <v>6338</v>
      </c>
      <c r="C6262" s="2" t="str">
        <f>"15311929"</f>
        <v>15311929</v>
      </c>
      <c r="D6262" s="2">
        <v>0.314</v>
      </c>
      <c r="E6262" s="2">
        <v>15</v>
      </c>
      <c r="F6262" s="2" t="s">
        <v>6</v>
      </c>
    </row>
    <row r="6263" spans="1:6" ht="25.5">
      <c r="A6263" s="2">
        <v>6260</v>
      </c>
      <c r="B6263" s="2" t="s">
        <v>6339</v>
      </c>
      <c r="C6263" s="2" t="str">
        <f>"15455300"</f>
        <v>15455300</v>
      </c>
      <c r="D6263" s="2">
        <v>0.85399999999999998</v>
      </c>
      <c r="E6263" s="2">
        <v>38</v>
      </c>
      <c r="F6263" s="2" t="s">
        <v>16</v>
      </c>
    </row>
    <row r="6264" spans="1:6" ht="25.5">
      <c r="A6264" s="2">
        <v>6261</v>
      </c>
      <c r="B6264" s="2" t="s">
        <v>6340</v>
      </c>
      <c r="C6264" s="2" t="str">
        <f>"17413729"</f>
        <v>17413729</v>
      </c>
      <c r="D6264" s="2">
        <v>0.70499999999999996</v>
      </c>
      <c r="E6264" s="2">
        <v>46</v>
      </c>
      <c r="F6264" s="2" t="s">
        <v>16</v>
      </c>
    </row>
    <row r="6265" spans="1:6" ht="25.5">
      <c r="A6265" s="2">
        <v>6262</v>
      </c>
      <c r="B6265" s="2" t="s">
        <v>6341</v>
      </c>
      <c r="C6265" s="2" t="str">
        <f>"19424639"</f>
        <v>19424639</v>
      </c>
      <c r="D6265" s="2">
        <v>0.307</v>
      </c>
      <c r="E6265" s="2">
        <v>3</v>
      </c>
      <c r="F6265" s="2" t="s">
        <v>16</v>
      </c>
    </row>
    <row r="6266" spans="1:6" ht="25.5">
      <c r="A6266" s="2">
        <v>6263</v>
      </c>
      <c r="B6266" s="2" t="s">
        <v>6342</v>
      </c>
      <c r="C6266" s="2" t="str">
        <f>"10068341"</f>
        <v>10068341</v>
      </c>
      <c r="D6266" s="2">
        <v>0.10100000000000001</v>
      </c>
      <c r="E6266" s="2">
        <v>3</v>
      </c>
      <c r="F6266" s="2" t="s">
        <v>46</v>
      </c>
    </row>
    <row r="6267" spans="1:6" ht="25.5">
      <c r="A6267" s="2">
        <v>6264</v>
      </c>
      <c r="B6267" s="2" t="s">
        <v>6343</v>
      </c>
      <c r="C6267" s="2" t="str">
        <f>"13645498"</f>
        <v>13645498</v>
      </c>
      <c r="D6267" s="2">
        <v>1.4610000000000001</v>
      </c>
      <c r="E6267" s="2">
        <v>60</v>
      </c>
      <c r="F6267" s="2" t="s">
        <v>16</v>
      </c>
    </row>
    <row r="6268" spans="1:6" ht="25.5">
      <c r="A6268" s="2">
        <v>6265</v>
      </c>
      <c r="B6268" s="2" t="s">
        <v>6344</v>
      </c>
      <c r="C6268" s="2" t="str">
        <f>"09720871"</f>
        <v>09720871</v>
      </c>
      <c r="D6268" s="2">
        <v>0.216</v>
      </c>
      <c r="E6268" s="2">
        <v>7</v>
      </c>
      <c r="F6268" s="2" t="s">
        <v>488</v>
      </c>
    </row>
    <row r="6269" spans="1:6" ht="25.5">
      <c r="A6269" s="2">
        <v>6266</v>
      </c>
      <c r="B6269" s="2" t="s">
        <v>6345</v>
      </c>
      <c r="C6269" s="2" t="str">
        <f>"00148172"</f>
        <v>00148172</v>
      </c>
      <c r="D6269" s="2">
        <v>0.13100000000000001</v>
      </c>
      <c r="E6269" s="2">
        <v>6</v>
      </c>
      <c r="F6269" s="2" t="s">
        <v>241</v>
      </c>
    </row>
    <row r="6270" spans="1:6" ht="25.5">
      <c r="A6270" s="2">
        <v>6267</v>
      </c>
      <c r="B6270" s="2" t="s">
        <v>6346</v>
      </c>
      <c r="C6270" s="2" t="str">
        <f>"21736359"</f>
        <v>21736359</v>
      </c>
      <c r="D6270" s="2">
        <v>0.105</v>
      </c>
      <c r="E6270" s="2">
        <v>1</v>
      </c>
      <c r="F6270" s="2" t="s">
        <v>351</v>
      </c>
    </row>
    <row r="6271" spans="1:6" ht="25.5">
      <c r="A6271" s="2">
        <v>6268</v>
      </c>
      <c r="B6271" s="2" t="s">
        <v>6347</v>
      </c>
      <c r="C6271" s="2" t="str">
        <f>"07712367"</f>
        <v>07712367</v>
      </c>
      <c r="D6271" s="2">
        <v>0.111</v>
      </c>
      <c r="E6271" s="2">
        <v>2</v>
      </c>
      <c r="F6271" s="2" t="s">
        <v>161</v>
      </c>
    </row>
    <row r="6272" spans="1:6" ht="25.5">
      <c r="A6272" s="2">
        <v>6269</v>
      </c>
      <c r="B6272" s="2" t="s">
        <v>6348</v>
      </c>
      <c r="C6272" s="2" t="str">
        <f>"00148202"</f>
        <v>00148202</v>
      </c>
      <c r="D6272" s="2">
        <v>0.13</v>
      </c>
      <c r="E6272" s="2">
        <v>5</v>
      </c>
      <c r="F6272" s="2" t="s">
        <v>149</v>
      </c>
    </row>
    <row r="6273" spans="1:6" ht="25.5">
      <c r="A6273" s="2">
        <v>6270</v>
      </c>
      <c r="B6273" s="2" t="s">
        <v>6349</v>
      </c>
      <c r="C6273" s="2" t="str">
        <f>"14255073"</f>
        <v>14255073</v>
      </c>
      <c r="D6273" s="2">
        <v>0.10199999999999999</v>
      </c>
      <c r="E6273" s="2">
        <v>2</v>
      </c>
      <c r="F6273" s="2" t="s">
        <v>169</v>
      </c>
    </row>
    <row r="6274" spans="1:6" ht="25.5">
      <c r="A6274" s="2">
        <v>6271</v>
      </c>
      <c r="B6274" s="2" t="s">
        <v>6350</v>
      </c>
      <c r="C6274" s="2" t="str">
        <f>"00148229"</f>
        <v>00148229</v>
      </c>
      <c r="D6274" s="2">
        <v>0.11600000000000001</v>
      </c>
      <c r="E6274" s="2">
        <v>4</v>
      </c>
      <c r="F6274" s="2" t="s">
        <v>154</v>
      </c>
    </row>
    <row r="6275" spans="1:6" ht="25.5">
      <c r="A6275" s="2">
        <v>6272</v>
      </c>
      <c r="B6275" s="2" t="s">
        <v>6351</v>
      </c>
      <c r="C6275" s="2" t="str">
        <f>"00148237"</f>
        <v>00148237</v>
      </c>
      <c r="D6275" s="2">
        <v>0.28499999999999998</v>
      </c>
      <c r="E6275" s="2">
        <v>8</v>
      </c>
      <c r="F6275" s="2" t="s">
        <v>19</v>
      </c>
    </row>
    <row r="6276" spans="1:6" ht="25.5">
      <c r="A6276" s="2">
        <v>6273</v>
      </c>
      <c r="B6276" s="2" t="s">
        <v>6352</v>
      </c>
      <c r="C6276" s="2" t="str">
        <f>"11306343"</f>
        <v>11306343</v>
      </c>
      <c r="D6276" s="2">
        <v>0.19</v>
      </c>
      <c r="E6276" s="2">
        <v>15</v>
      </c>
      <c r="F6276" s="2" t="s">
        <v>351</v>
      </c>
    </row>
    <row r="6277" spans="1:6" ht="25.5">
      <c r="A6277" s="2">
        <v>6274</v>
      </c>
      <c r="B6277" s="2" t="s">
        <v>6353</v>
      </c>
      <c r="C6277" s="2" t="str">
        <f>"15306860"</f>
        <v>15306860</v>
      </c>
      <c r="D6277" s="2">
        <v>2.5</v>
      </c>
      <c r="E6277" s="2">
        <v>198</v>
      </c>
      <c r="F6277" s="2" t="s">
        <v>6</v>
      </c>
    </row>
    <row r="6278" spans="1:6" ht="25.5">
      <c r="A6278" s="2">
        <v>6275</v>
      </c>
      <c r="B6278" s="2" t="s">
        <v>6354</v>
      </c>
      <c r="C6278" s="2" t="str">
        <f>"1362704X"</f>
        <v>1362704X</v>
      </c>
      <c r="D6278" s="2">
        <v>0.19700000000000001</v>
      </c>
      <c r="E6278" s="2">
        <v>8</v>
      </c>
      <c r="F6278" s="2" t="s">
        <v>6</v>
      </c>
    </row>
    <row r="6279" spans="1:6" ht="25.5">
      <c r="A6279" s="2">
        <v>6276</v>
      </c>
      <c r="B6279" s="2" t="s">
        <v>6355</v>
      </c>
      <c r="C6279" s="2" t="str">
        <f>"1933026X"</f>
        <v>1933026X</v>
      </c>
      <c r="D6279" s="2">
        <v>0</v>
      </c>
      <c r="E6279" s="2">
        <v>0</v>
      </c>
      <c r="F6279" s="2" t="s">
        <v>6</v>
      </c>
    </row>
    <row r="6280" spans="1:6" ht="25.5">
      <c r="A6280" s="2">
        <v>6277</v>
      </c>
      <c r="B6280" s="2" t="s">
        <v>6356</v>
      </c>
      <c r="C6280" s="2" t="str">
        <f>"8756758X"</f>
        <v>8756758X</v>
      </c>
      <c r="D6280" s="2">
        <v>0.77200000000000002</v>
      </c>
      <c r="E6280" s="2">
        <v>47</v>
      </c>
      <c r="F6280" s="2" t="s">
        <v>16</v>
      </c>
    </row>
    <row r="6281" spans="1:6" ht="25.5">
      <c r="A6281" s="2">
        <v>6278</v>
      </c>
      <c r="B6281" s="2" t="s">
        <v>6357</v>
      </c>
      <c r="C6281" s="2" t="str">
        <f>"15024873"</f>
        <v>15024873</v>
      </c>
      <c r="D6281" s="2">
        <v>0.11</v>
      </c>
      <c r="E6281" s="2">
        <v>4</v>
      </c>
      <c r="F6281" s="2" t="s">
        <v>2637</v>
      </c>
    </row>
    <row r="6282" spans="1:6" ht="25.5">
      <c r="A6282" s="2">
        <v>6279</v>
      </c>
      <c r="B6282" s="2" t="s">
        <v>6358</v>
      </c>
      <c r="C6282" s="2" t="str">
        <f>"1742464X"</f>
        <v>1742464X</v>
      </c>
      <c r="D6282" s="2">
        <v>1.6579999999999999</v>
      </c>
      <c r="E6282" s="2">
        <v>139</v>
      </c>
      <c r="F6282" s="2" t="s">
        <v>16</v>
      </c>
    </row>
    <row r="6283" spans="1:6" ht="25.5">
      <c r="A6283" s="2">
        <v>6280</v>
      </c>
      <c r="B6283" s="2" t="s">
        <v>6359</v>
      </c>
      <c r="C6283" s="2" t="str">
        <f>"00145793"</f>
        <v>00145793</v>
      </c>
      <c r="D6283" s="2">
        <v>1.8480000000000001</v>
      </c>
      <c r="E6283" s="2">
        <v>185</v>
      </c>
      <c r="F6283" s="2" t="s">
        <v>75</v>
      </c>
    </row>
    <row r="6284" spans="1:6" ht="25.5">
      <c r="A6284" s="2">
        <v>6281</v>
      </c>
      <c r="B6284" s="2" t="s">
        <v>6360</v>
      </c>
      <c r="C6284" s="2" t="str">
        <f>"22115463"</f>
        <v>22115463</v>
      </c>
      <c r="D6284" s="2">
        <v>0.19400000000000001</v>
      </c>
      <c r="E6284" s="2">
        <v>1</v>
      </c>
      <c r="F6284" s="2" t="s">
        <v>75</v>
      </c>
    </row>
    <row r="6285" spans="1:6" ht="25.5">
      <c r="A6285" s="2">
        <v>6282</v>
      </c>
      <c r="B6285" s="2" t="s">
        <v>6361</v>
      </c>
      <c r="C6285" s="2" t="str">
        <f>"1522239X"</f>
        <v>1522239X</v>
      </c>
      <c r="D6285" s="2">
        <v>0.22700000000000001</v>
      </c>
      <c r="E6285" s="2">
        <v>14</v>
      </c>
      <c r="F6285" s="2" t="s">
        <v>12</v>
      </c>
    </row>
    <row r="6286" spans="1:6" ht="25.5">
      <c r="A6286" s="2">
        <v>6283</v>
      </c>
      <c r="B6286" s="2" t="s">
        <v>6362</v>
      </c>
      <c r="C6286" s="2" t="str">
        <f>"00149128"</f>
        <v>00149128</v>
      </c>
      <c r="D6286" s="2">
        <v>0.28699999999999998</v>
      </c>
      <c r="E6286" s="2">
        <v>16</v>
      </c>
      <c r="F6286" s="2" t="s">
        <v>6</v>
      </c>
    </row>
    <row r="6287" spans="1:6" ht="25.5">
      <c r="A6287" s="2">
        <v>6284</v>
      </c>
      <c r="B6287" s="2" t="s">
        <v>6363</v>
      </c>
      <c r="C6287" s="2" t="str">
        <f>"00976326"</f>
        <v>00976326</v>
      </c>
      <c r="D6287" s="2">
        <v>0.26</v>
      </c>
      <c r="E6287" s="2">
        <v>23</v>
      </c>
      <c r="F6287" s="2" t="s">
        <v>6</v>
      </c>
    </row>
    <row r="6288" spans="1:6" ht="25.5">
      <c r="A6288" s="2">
        <v>6285</v>
      </c>
      <c r="B6288" s="2" t="s">
        <v>6364</v>
      </c>
      <c r="C6288" s="2" t="str">
        <f>"00149187"</f>
        <v>00149187</v>
      </c>
      <c r="D6288" s="2">
        <v>1.157</v>
      </c>
      <c r="E6288" s="2">
        <v>14</v>
      </c>
      <c r="F6288" s="2" t="s">
        <v>6</v>
      </c>
    </row>
    <row r="6289" spans="1:6" ht="25.5">
      <c r="A6289" s="2">
        <v>6286</v>
      </c>
      <c r="B6289" s="2" t="s">
        <v>6365</v>
      </c>
      <c r="C6289" s="2" t="str">
        <f>"18660134"</f>
        <v>18660134</v>
      </c>
      <c r="D6289" s="2">
        <v>0.1</v>
      </c>
      <c r="E6289" s="2">
        <v>1</v>
      </c>
      <c r="F6289" s="2" t="s">
        <v>12</v>
      </c>
    </row>
    <row r="6290" spans="1:6" ht="25.5">
      <c r="A6290" s="2">
        <v>6287</v>
      </c>
      <c r="B6290" s="2" t="s">
        <v>6366</v>
      </c>
      <c r="C6290" s="2" t="str">
        <f>"21544212"</f>
        <v>21544212</v>
      </c>
      <c r="D6290" s="2">
        <v>0.21199999999999999</v>
      </c>
      <c r="E6290" s="2">
        <v>6</v>
      </c>
      <c r="F6290" s="2" t="s">
        <v>6</v>
      </c>
    </row>
    <row r="6291" spans="1:6" ht="25.5">
      <c r="A6291" s="2">
        <v>6288</v>
      </c>
      <c r="B6291" s="2" t="s">
        <v>6367</v>
      </c>
      <c r="C6291" s="2" t="str">
        <f>"09593535"</f>
        <v>09593535</v>
      </c>
      <c r="D6291" s="2">
        <v>0.47399999999999998</v>
      </c>
      <c r="E6291" s="2">
        <v>23</v>
      </c>
      <c r="F6291" s="2" t="s">
        <v>16</v>
      </c>
    </row>
    <row r="6292" spans="1:6" ht="25.5">
      <c r="A6292" s="2">
        <v>6289</v>
      </c>
      <c r="B6292" s="2" t="s">
        <v>6368</v>
      </c>
      <c r="C6292" s="2" t="str">
        <f>"15570851"</f>
        <v>15570851</v>
      </c>
      <c r="D6292" s="2">
        <v>0.76200000000000001</v>
      </c>
      <c r="E6292" s="2">
        <v>6</v>
      </c>
      <c r="F6292" s="2" t="s">
        <v>16</v>
      </c>
    </row>
    <row r="6293" spans="1:6" ht="25.5">
      <c r="A6293" s="2">
        <v>6290</v>
      </c>
      <c r="B6293" s="2" t="s">
        <v>6369</v>
      </c>
      <c r="C6293" s="2" t="str">
        <f>"14664372"</f>
        <v>14664372</v>
      </c>
      <c r="D6293" s="2">
        <v>0.749</v>
      </c>
      <c r="E6293" s="2">
        <v>27</v>
      </c>
      <c r="F6293" s="2" t="s">
        <v>6</v>
      </c>
    </row>
    <row r="6294" spans="1:6" ht="25.5">
      <c r="A6294" s="2">
        <v>6291</v>
      </c>
      <c r="B6294" s="2" t="s">
        <v>6370</v>
      </c>
      <c r="C6294" s="2" t="str">
        <f>"07235186"</f>
        <v>07235186</v>
      </c>
      <c r="D6294" s="2">
        <v>0.105</v>
      </c>
      <c r="E6294" s="2">
        <v>2</v>
      </c>
      <c r="F6294" s="2" t="s">
        <v>12</v>
      </c>
    </row>
    <row r="6295" spans="1:6" ht="25.5">
      <c r="A6295" s="2">
        <v>6292</v>
      </c>
      <c r="B6295" s="2" t="s">
        <v>6371</v>
      </c>
      <c r="C6295" s="2" t="str">
        <f>"09663622"</f>
        <v>09663622</v>
      </c>
      <c r="D6295" s="2">
        <v>0.23499999999999999</v>
      </c>
      <c r="E6295" s="2">
        <v>11</v>
      </c>
      <c r="F6295" s="2" t="s">
        <v>75</v>
      </c>
    </row>
    <row r="6296" spans="1:6" ht="25.5">
      <c r="A6296" s="2">
        <v>6293</v>
      </c>
      <c r="B6296" s="2" t="s">
        <v>6372</v>
      </c>
      <c r="C6296" s="2" t="str">
        <f>"14680777"</f>
        <v>14680777</v>
      </c>
      <c r="D6296" s="2">
        <v>0.309</v>
      </c>
      <c r="E6296" s="2">
        <v>14</v>
      </c>
      <c r="F6296" s="2" t="s">
        <v>16</v>
      </c>
    </row>
    <row r="6297" spans="1:6" ht="25.5">
      <c r="A6297" s="2">
        <v>6294</v>
      </c>
      <c r="B6297" s="2" t="s">
        <v>6373</v>
      </c>
      <c r="C6297" s="2" t="str">
        <f>"14664380"</f>
        <v>14664380</v>
      </c>
      <c r="D6297" s="2">
        <v>0.32400000000000001</v>
      </c>
      <c r="E6297" s="2">
        <v>21</v>
      </c>
      <c r="F6297" s="2" t="s">
        <v>16</v>
      </c>
    </row>
    <row r="6298" spans="1:6" ht="25.5">
      <c r="A6298" s="2">
        <v>6295</v>
      </c>
      <c r="B6298" s="2" t="s">
        <v>6374</v>
      </c>
      <c r="C6298" s="2" t="str">
        <f>"00463663"</f>
        <v>00463663</v>
      </c>
      <c r="D6298" s="2">
        <v>0.28699999999999998</v>
      </c>
      <c r="E6298" s="2">
        <v>16</v>
      </c>
      <c r="F6298" s="2" t="s">
        <v>6</v>
      </c>
    </row>
    <row r="6299" spans="1:6" ht="25.5">
      <c r="A6299" s="2">
        <v>6296</v>
      </c>
      <c r="B6299" s="2" t="s">
        <v>6375</v>
      </c>
      <c r="C6299" s="2" t="str">
        <f>"09667350"</f>
        <v>09667350</v>
      </c>
      <c r="D6299" s="2">
        <v>0.11</v>
      </c>
      <c r="E6299" s="2">
        <v>3</v>
      </c>
      <c r="F6299" s="2" t="s">
        <v>16</v>
      </c>
    </row>
    <row r="6300" spans="1:6" ht="25.5">
      <c r="A6300" s="2">
        <v>6297</v>
      </c>
      <c r="B6300" s="2" t="s">
        <v>6376</v>
      </c>
      <c r="C6300" s="2" t="str">
        <f>"14647001"</f>
        <v>14647001</v>
      </c>
      <c r="D6300" s="2">
        <v>0.37</v>
      </c>
      <c r="E6300" s="2">
        <v>10</v>
      </c>
      <c r="F6300" s="2" t="s">
        <v>16</v>
      </c>
    </row>
    <row r="6301" spans="1:6" ht="25.5">
      <c r="A6301" s="2">
        <v>6298</v>
      </c>
      <c r="B6301" s="2" t="s">
        <v>6377</v>
      </c>
      <c r="C6301" s="2" t="str">
        <f>"1574695X"</f>
        <v>1574695X</v>
      </c>
      <c r="D6301" s="2">
        <v>0.874</v>
      </c>
      <c r="E6301" s="2">
        <v>62</v>
      </c>
      <c r="F6301" s="2" t="s">
        <v>16</v>
      </c>
    </row>
    <row r="6302" spans="1:6" ht="25.5">
      <c r="A6302" s="2">
        <v>6299</v>
      </c>
      <c r="B6302" s="2" t="s">
        <v>6378</v>
      </c>
      <c r="C6302" s="2" t="str">
        <f>"01686496"</f>
        <v>01686496</v>
      </c>
      <c r="D6302" s="2">
        <v>1.3720000000000001</v>
      </c>
      <c r="E6302" s="2">
        <v>92</v>
      </c>
      <c r="F6302" s="2" t="s">
        <v>16</v>
      </c>
    </row>
    <row r="6303" spans="1:6" ht="25.5">
      <c r="A6303" s="2">
        <v>6300</v>
      </c>
      <c r="B6303" s="2" t="s">
        <v>6379</v>
      </c>
      <c r="C6303" s="2" t="str">
        <f>"03781097"</f>
        <v>03781097</v>
      </c>
      <c r="D6303" s="2">
        <v>0.89500000000000002</v>
      </c>
      <c r="E6303" s="2">
        <v>96</v>
      </c>
      <c r="F6303" s="2" t="s">
        <v>16</v>
      </c>
    </row>
    <row r="6304" spans="1:6" ht="25.5">
      <c r="A6304" s="2">
        <v>6301</v>
      </c>
      <c r="B6304" s="2" t="s">
        <v>6380</v>
      </c>
      <c r="C6304" s="2" t="str">
        <f>"01686445"</f>
        <v>01686445</v>
      </c>
      <c r="D6304" s="2">
        <v>4.9050000000000002</v>
      </c>
      <c r="E6304" s="2">
        <v>120</v>
      </c>
      <c r="F6304" s="2" t="s">
        <v>16</v>
      </c>
    </row>
    <row r="6305" spans="1:6" ht="25.5">
      <c r="A6305" s="2">
        <v>6302</v>
      </c>
      <c r="B6305" s="2" t="s">
        <v>6381</v>
      </c>
      <c r="C6305" s="2" t="str">
        <f>"15671364"</f>
        <v>15671364</v>
      </c>
      <c r="D6305" s="2">
        <v>1</v>
      </c>
      <c r="E6305" s="2">
        <v>50</v>
      </c>
      <c r="F6305" s="2" t="s">
        <v>16</v>
      </c>
    </row>
    <row r="6306" spans="1:6" ht="25.5">
      <c r="A6306" s="2">
        <v>6303</v>
      </c>
      <c r="B6306" s="2" t="s">
        <v>6382</v>
      </c>
      <c r="C6306" s="2" t="str">
        <f>"16730224"</f>
        <v>16730224</v>
      </c>
      <c r="D6306" s="2">
        <v>0.22900000000000001</v>
      </c>
      <c r="E6306" s="2">
        <v>6</v>
      </c>
      <c r="F6306" s="2" t="s">
        <v>46</v>
      </c>
    </row>
    <row r="6307" spans="1:6" ht="25.5">
      <c r="A6307" s="2">
        <v>6304</v>
      </c>
      <c r="B6307" s="2" t="s">
        <v>6383</v>
      </c>
      <c r="C6307" s="2" t="str">
        <f>"10013784"</f>
        <v>10013784</v>
      </c>
      <c r="D6307" s="2">
        <v>0.11600000000000001</v>
      </c>
      <c r="E6307" s="2">
        <v>7</v>
      </c>
      <c r="F6307" s="2" t="s">
        <v>46</v>
      </c>
    </row>
    <row r="6308" spans="1:6" ht="25.5">
      <c r="A6308" s="2">
        <v>6305</v>
      </c>
      <c r="B6308" s="2" t="s">
        <v>6384</v>
      </c>
      <c r="C6308" s="2" t="str">
        <f>"00150010"</f>
        <v>00150010</v>
      </c>
      <c r="D6308" s="2">
        <v>0.16300000000000001</v>
      </c>
      <c r="E6308" s="2">
        <v>11</v>
      </c>
      <c r="F6308" s="2" t="s">
        <v>751</v>
      </c>
    </row>
    <row r="6309" spans="1:6" ht="25.5">
      <c r="A6309" s="2">
        <v>6306</v>
      </c>
      <c r="B6309" s="2" t="s">
        <v>6385</v>
      </c>
      <c r="C6309" s="2" t="str">
        <f>"02533820"</f>
        <v>02533820</v>
      </c>
      <c r="D6309" s="2">
        <v>0.26400000000000001</v>
      </c>
      <c r="E6309" s="2">
        <v>14</v>
      </c>
      <c r="F6309" s="2" t="s">
        <v>46</v>
      </c>
    </row>
    <row r="6310" spans="1:6" ht="25.5">
      <c r="A6310" s="2">
        <v>6307</v>
      </c>
      <c r="B6310" s="2" t="s">
        <v>6386</v>
      </c>
      <c r="C6310" s="2" t="str">
        <f>"03080838"</f>
        <v>03080838</v>
      </c>
      <c r="D6310" s="2">
        <v>0.107</v>
      </c>
      <c r="E6310" s="2">
        <v>5</v>
      </c>
      <c r="F6310" s="2" t="s">
        <v>16</v>
      </c>
    </row>
    <row r="6311" spans="1:6" ht="25.5">
      <c r="A6311" s="2">
        <v>6308</v>
      </c>
      <c r="B6311" s="2" t="s">
        <v>6387</v>
      </c>
      <c r="C6311" s="2" t="str">
        <f>"00150193"</f>
        <v>00150193</v>
      </c>
      <c r="D6311" s="2">
        <v>0.26400000000000001</v>
      </c>
      <c r="E6311" s="2">
        <v>41</v>
      </c>
      <c r="F6311" s="2" t="s">
        <v>16</v>
      </c>
    </row>
    <row r="6312" spans="1:6" ht="25.5">
      <c r="A6312" s="2">
        <v>6309</v>
      </c>
      <c r="B6312" s="2" t="s">
        <v>6388</v>
      </c>
      <c r="C6312" s="2" t="str">
        <f>"15635228"</f>
        <v>15635228</v>
      </c>
      <c r="D6312" s="2">
        <v>0.28599999999999998</v>
      </c>
      <c r="E6312" s="2">
        <v>12</v>
      </c>
      <c r="F6312" s="2" t="s">
        <v>16</v>
      </c>
    </row>
    <row r="6313" spans="1:6" ht="25.5">
      <c r="A6313" s="2">
        <v>6310</v>
      </c>
      <c r="B6313" s="2" t="s">
        <v>6389</v>
      </c>
      <c r="C6313" s="2" t="str">
        <f>"00150282"</f>
        <v>00150282</v>
      </c>
      <c r="D6313" s="2">
        <v>1.2749999999999999</v>
      </c>
      <c r="E6313" s="2">
        <v>133</v>
      </c>
      <c r="F6313" s="2" t="s">
        <v>6</v>
      </c>
    </row>
    <row r="6314" spans="1:6" ht="25.5">
      <c r="A6314" s="2">
        <v>6311</v>
      </c>
      <c r="B6314" s="2" t="s">
        <v>6390</v>
      </c>
      <c r="C6314" s="2" t="str">
        <f>"14695065"</f>
        <v>14695065</v>
      </c>
      <c r="D6314" s="2">
        <v>0.159</v>
      </c>
      <c r="E6314" s="2">
        <v>12</v>
      </c>
      <c r="F6314" s="2" t="s">
        <v>16</v>
      </c>
    </row>
    <row r="6315" spans="1:6" ht="25.5">
      <c r="A6315" s="2">
        <v>6312</v>
      </c>
      <c r="B6315" s="2" t="s">
        <v>6391</v>
      </c>
      <c r="C6315" s="2" t="str">
        <f>"15513823"</f>
        <v>15513823</v>
      </c>
      <c r="D6315" s="2">
        <v>0.23799999999999999</v>
      </c>
      <c r="E6315" s="2">
        <v>27</v>
      </c>
      <c r="F6315" s="2" t="s">
        <v>16</v>
      </c>
    </row>
    <row r="6316" spans="1:6" ht="25.5">
      <c r="A6316" s="2">
        <v>6313</v>
      </c>
      <c r="B6316" s="2" t="s">
        <v>6392</v>
      </c>
      <c r="C6316" s="2" t="str">
        <f>"14219964"</f>
        <v>14219964</v>
      </c>
      <c r="D6316" s="2">
        <v>0.59099999999999997</v>
      </c>
      <c r="E6316" s="2">
        <v>36</v>
      </c>
      <c r="F6316" s="2" t="s">
        <v>31</v>
      </c>
    </row>
    <row r="6317" spans="1:6" ht="25.5">
      <c r="A6317" s="2">
        <v>6314</v>
      </c>
      <c r="B6317" s="2" t="s">
        <v>6393</v>
      </c>
      <c r="C6317" s="2" t="str">
        <f>"04282779"</f>
        <v>04282779</v>
      </c>
      <c r="D6317" s="2">
        <v>0.105</v>
      </c>
      <c r="E6317" s="2">
        <v>5</v>
      </c>
      <c r="F6317" s="2" t="s">
        <v>66</v>
      </c>
    </row>
    <row r="6318" spans="1:6" ht="25.5">
      <c r="A6318" s="2">
        <v>6315</v>
      </c>
      <c r="B6318" s="2" t="s">
        <v>6394</v>
      </c>
      <c r="C6318" s="2" t="str">
        <f>"01819801"</f>
        <v>01819801</v>
      </c>
      <c r="D6318" s="2">
        <v>0.158</v>
      </c>
      <c r="E6318" s="2">
        <v>5</v>
      </c>
      <c r="F6318" s="2" t="s">
        <v>66</v>
      </c>
    </row>
    <row r="6319" spans="1:6" ht="25.5">
      <c r="A6319" s="2">
        <v>6316</v>
      </c>
      <c r="B6319" s="2" t="s">
        <v>6395</v>
      </c>
      <c r="C6319" s="2" t="str">
        <f>"14325411"</f>
        <v>14325411</v>
      </c>
      <c r="D6319" s="2">
        <v>0.68300000000000005</v>
      </c>
      <c r="E6319" s="2">
        <v>26</v>
      </c>
      <c r="F6319" s="2" t="s">
        <v>288</v>
      </c>
    </row>
    <row r="6320" spans="1:6" ht="25.5">
      <c r="A6320" s="2">
        <v>6317</v>
      </c>
      <c r="B6320" s="2" t="s">
        <v>6396</v>
      </c>
      <c r="C6320" s="2" t="str">
        <f>"10964681"</f>
        <v>10964681</v>
      </c>
      <c r="D6320" s="2">
        <v>0.35399999999999998</v>
      </c>
      <c r="E6320" s="2">
        <v>18</v>
      </c>
      <c r="F6320" s="2" t="s">
        <v>16</v>
      </c>
    </row>
    <row r="6321" spans="1:6" ht="25.5">
      <c r="A6321" s="2">
        <v>6318</v>
      </c>
      <c r="B6321" s="2" t="s">
        <v>6397</v>
      </c>
      <c r="C6321" s="2" t="str">
        <f>"12299197"</f>
        <v>12299197</v>
      </c>
      <c r="D6321" s="2">
        <v>0.48599999999999999</v>
      </c>
      <c r="E6321" s="2">
        <v>19</v>
      </c>
      <c r="F6321" s="2" t="s">
        <v>274</v>
      </c>
    </row>
    <row r="6322" spans="1:6" ht="25.5">
      <c r="A6322" s="2">
        <v>6319</v>
      </c>
      <c r="B6322" s="2" t="s">
        <v>6398</v>
      </c>
      <c r="C6322" s="2" t="str">
        <f>"00150517"</f>
        <v>00150517</v>
      </c>
      <c r="D6322" s="2">
        <v>0.252</v>
      </c>
      <c r="E6322" s="2">
        <v>13</v>
      </c>
      <c r="F6322" s="2" t="s">
        <v>6</v>
      </c>
    </row>
    <row r="6323" spans="1:6" ht="25.5">
      <c r="A6323" s="2">
        <v>6320</v>
      </c>
      <c r="B6323" s="2" t="s">
        <v>6399</v>
      </c>
      <c r="C6323" s="2" t="str">
        <f>"15738493"</f>
        <v>15738493</v>
      </c>
      <c r="D6323" s="2">
        <v>0.113</v>
      </c>
      <c r="E6323" s="2">
        <v>8</v>
      </c>
      <c r="F6323" s="2" t="s">
        <v>6</v>
      </c>
    </row>
    <row r="6324" spans="1:6" ht="25.5">
      <c r="A6324" s="2">
        <v>6321</v>
      </c>
      <c r="B6324" s="2" t="s">
        <v>6400</v>
      </c>
      <c r="C6324" s="2" t="str">
        <f>"12303666"</f>
        <v>12303666</v>
      </c>
      <c r="D6324" s="2">
        <v>0.433</v>
      </c>
      <c r="E6324" s="2">
        <v>17</v>
      </c>
      <c r="F6324" s="2" t="s">
        <v>169</v>
      </c>
    </row>
    <row r="6325" spans="1:6" ht="25.5">
      <c r="A6325" s="2">
        <v>6322</v>
      </c>
      <c r="B6325" s="2" t="s">
        <v>6401</v>
      </c>
      <c r="C6325" s="2" t="str">
        <f>"09250166"</f>
        <v>09250166</v>
      </c>
      <c r="D6325" s="2">
        <v>0</v>
      </c>
      <c r="E6325" s="2">
        <v>0</v>
      </c>
      <c r="F6325" s="2" t="s">
        <v>75</v>
      </c>
    </row>
    <row r="6326" spans="1:6" ht="25.5">
      <c r="A6326" s="2">
        <v>6323</v>
      </c>
      <c r="B6326" s="2" t="s">
        <v>6402</v>
      </c>
      <c r="C6326" s="2" t="str">
        <f>"18678521"</f>
        <v>18678521</v>
      </c>
      <c r="D6326" s="2">
        <v>0</v>
      </c>
      <c r="E6326" s="2">
        <v>0</v>
      </c>
      <c r="F6326" s="2" t="s">
        <v>66</v>
      </c>
    </row>
    <row r="6327" spans="1:6" ht="25.5">
      <c r="A6327" s="2">
        <v>6324</v>
      </c>
      <c r="B6327" s="2" t="s">
        <v>6403</v>
      </c>
      <c r="C6327" s="2" t="str">
        <f>"03784290"</f>
        <v>03784290</v>
      </c>
      <c r="D6327" s="2">
        <v>1.17</v>
      </c>
      <c r="E6327" s="2">
        <v>69</v>
      </c>
      <c r="F6327" s="2" t="s">
        <v>75</v>
      </c>
    </row>
    <row r="6328" spans="1:6" ht="25.5">
      <c r="A6328" s="2">
        <v>6325</v>
      </c>
      <c r="B6328" s="2" t="s">
        <v>6404</v>
      </c>
      <c r="C6328" s="2" t="str">
        <f>"1525822X"</f>
        <v>1525822X</v>
      </c>
      <c r="D6328" s="2">
        <v>0.34300000000000003</v>
      </c>
      <c r="E6328" s="2">
        <v>12</v>
      </c>
      <c r="F6328" s="2" t="s">
        <v>6</v>
      </c>
    </row>
    <row r="6329" spans="1:6" ht="25.5">
      <c r="A6329" s="2">
        <v>6326</v>
      </c>
      <c r="B6329" s="2" t="s">
        <v>6405</v>
      </c>
      <c r="C6329" s="2" t="str">
        <f>"14681641"</f>
        <v>14681641</v>
      </c>
      <c r="D6329" s="2">
        <v>0.13500000000000001</v>
      </c>
      <c r="E6329" s="2">
        <v>3</v>
      </c>
      <c r="F6329" s="2" t="s">
        <v>75</v>
      </c>
    </row>
    <row r="6330" spans="1:6" ht="25.5">
      <c r="A6330" s="2">
        <v>6327</v>
      </c>
      <c r="B6330" s="2" t="s">
        <v>6406</v>
      </c>
      <c r="C6330" s="2" t="str">
        <f>"01640933"</f>
        <v>01640933</v>
      </c>
      <c r="D6330" s="2">
        <v>0.10100000000000001</v>
      </c>
      <c r="E6330" s="2">
        <v>3</v>
      </c>
      <c r="F6330" s="2" t="s">
        <v>6</v>
      </c>
    </row>
    <row r="6331" spans="1:6" ht="25.5">
      <c r="A6331" s="2">
        <v>6328</v>
      </c>
      <c r="B6331" s="2" t="s">
        <v>6407</v>
      </c>
      <c r="C6331" s="2" t="str">
        <f>"17762847"</f>
        <v>17762847</v>
      </c>
      <c r="D6331" s="2">
        <v>0.1</v>
      </c>
      <c r="E6331" s="2">
        <v>2</v>
      </c>
      <c r="F6331" s="2" t="s">
        <v>66</v>
      </c>
    </row>
    <row r="6332" spans="1:6" ht="25.5">
      <c r="A6332" s="2">
        <v>6329</v>
      </c>
      <c r="B6332" s="2" t="s">
        <v>6408</v>
      </c>
      <c r="C6332" s="2" t="str">
        <f>"15489922"</f>
        <v>15489922</v>
      </c>
      <c r="D6332" s="2">
        <v>0.10299999999999999</v>
      </c>
      <c r="E6332" s="2">
        <v>0</v>
      </c>
      <c r="F6332" s="2" t="s">
        <v>6</v>
      </c>
    </row>
    <row r="6333" spans="1:6" ht="25.5">
      <c r="A6333" s="2">
        <v>6330</v>
      </c>
      <c r="B6333" s="2" t="s">
        <v>6409</v>
      </c>
      <c r="C6333" s="2" t="str">
        <f>"0015119X"</f>
        <v>0015119X</v>
      </c>
      <c r="D6333" s="2">
        <v>0.105</v>
      </c>
      <c r="E6333" s="2">
        <v>2</v>
      </c>
      <c r="F6333" s="2" t="s">
        <v>6</v>
      </c>
    </row>
    <row r="6334" spans="1:6" ht="25.5">
      <c r="A6334" s="2">
        <v>6331</v>
      </c>
      <c r="B6334" s="2" t="s">
        <v>6410</v>
      </c>
      <c r="C6334" s="2" t="str">
        <f>"01635069"</f>
        <v>01635069</v>
      </c>
      <c r="D6334" s="2">
        <v>0.10100000000000001</v>
      </c>
      <c r="E6334" s="2">
        <v>2</v>
      </c>
      <c r="F6334" s="2" t="s">
        <v>6</v>
      </c>
    </row>
    <row r="6335" spans="1:6" ht="25.5">
      <c r="A6335" s="2">
        <v>6332</v>
      </c>
      <c r="B6335" s="2" t="s">
        <v>6411</v>
      </c>
      <c r="C6335" s="2" t="str">
        <f>"15533905"</f>
        <v>15533905</v>
      </c>
      <c r="D6335" s="2">
        <v>0.13200000000000001</v>
      </c>
      <c r="E6335" s="2">
        <v>4</v>
      </c>
      <c r="F6335" s="2" t="s">
        <v>6</v>
      </c>
    </row>
    <row r="6336" spans="1:6" ht="25.5">
      <c r="A6336" s="2">
        <v>6333</v>
      </c>
      <c r="B6336" s="2" t="s">
        <v>6412</v>
      </c>
      <c r="C6336" s="2" t="str">
        <f>"20403801"</f>
        <v>20403801</v>
      </c>
      <c r="D6336" s="2">
        <v>0</v>
      </c>
      <c r="E6336" s="2">
        <v>0</v>
      </c>
      <c r="F6336" s="2" t="s">
        <v>16</v>
      </c>
    </row>
    <row r="6337" spans="1:6" ht="25.5">
      <c r="A6337" s="2">
        <v>6334</v>
      </c>
      <c r="B6337" s="2" t="s">
        <v>6413</v>
      </c>
      <c r="C6337" s="2" t="str">
        <f>"00151386"</f>
        <v>00151386</v>
      </c>
      <c r="D6337" s="2">
        <v>0.14599999999999999</v>
      </c>
      <c r="E6337" s="2">
        <v>7</v>
      </c>
      <c r="F6337" s="2" t="s">
        <v>6</v>
      </c>
    </row>
    <row r="6338" spans="1:6" ht="25.5">
      <c r="A6338" s="2">
        <v>6335</v>
      </c>
      <c r="B6338" s="2" t="s">
        <v>6414</v>
      </c>
      <c r="C6338" s="2" t="str">
        <f>"0449363X"</f>
        <v>0449363X</v>
      </c>
      <c r="D6338" s="2">
        <v>0.10199999999999999</v>
      </c>
      <c r="E6338" s="2">
        <v>0</v>
      </c>
      <c r="F6338" s="2" t="s">
        <v>149</v>
      </c>
    </row>
    <row r="6339" spans="1:6" ht="25.5">
      <c r="A6339" s="2">
        <v>6336</v>
      </c>
      <c r="B6339" s="2" t="s">
        <v>6415</v>
      </c>
      <c r="C6339" s="2" t="str">
        <f>"03545180"</f>
        <v>03545180</v>
      </c>
      <c r="D6339" s="2">
        <v>0.48199999999999998</v>
      </c>
      <c r="E6339" s="2">
        <v>5</v>
      </c>
      <c r="F6339" s="2" t="s">
        <v>2268</v>
      </c>
    </row>
    <row r="6340" spans="1:6" ht="25.5">
      <c r="A6340" s="2">
        <v>6337</v>
      </c>
      <c r="B6340" s="2" t="s">
        <v>6416</v>
      </c>
      <c r="C6340" s="2" t="str">
        <f>"03947297"</f>
        <v>03947297</v>
      </c>
      <c r="D6340" s="2">
        <v>0</v>
      </c>
      <c r="E6340" s="2">
        <v>0</v>
      </c>
      <c r="F6340" s="2" t="s">
        <v>190</v>
      </c>
    </row>
    <row r="6341" spans="1:6" ht="25.5">
      <c r="A6341" s="2">
        <v>6338</v>
      </c>
      <c r="B6341" s="2" t="s">
        <v>6417</v>
      </c>
      <c r="C6341" s="2" t="str">
        <f>"00151831"</f>
        <v>00151831</v>
      </c>
      <c r="D6341" s="2">
        <v>0.29499999999999998</v>
      </c>
      <c r="E6341" s="2">
        <v>4</v>
      </c>
      <c r="F6341" s="2" t="s">
        <v>208</v>
      </c>
    </row>
    <row r="6342" spans="1:6" ht="25.5">
      <c r="A6342" s="2">
        <v>6339</v>
      </c>
      <c r="B6342" s="2" t="s">
        <v>6418</v>
      </c>
      <c r="C6342" s="2" t="str">
        <f>"02357186"</f>
        <v>02357186</v>
      </c>
      <c r="D6342" s="2">
        <v>0.20200000000000001</v>
      </c>
      <c r="E6342" s="2">
        <v>3</v>
      </c>
      <c r="F6342" s="2" t="s">
        <v>426</v>
      </c>
    </row>
    <row r="6343" spans="1:6" ht="25.5">
      <c r="A6343" s="2">
        <v>6340</v>
      </c>
      <c r="B6343" s="2" t="s">
        <v>6419</v>
      </c>
      <c r="C6343" s="2" t="str">
        <f>"0046385X"</f>
        <v>0046385X</v>
      </c>
      <c r="D6343" s="2">
        <v>0.19500000000000001</v>
      </c>
      <c r="E6343" s="2">
        <v>4</v>
      </c>
      <c r="F6343" s="2" t="s">
        <v>241</v>
      </c>
    </row>
    <row r="6344" spans="1:6" ht="25.5">
      <c r="A6344" s="2">
        <v>6341</v>
      </c>
      <c r="B6344" s="2" t="s">
        <v>6420</v>
      </c>
      <c r="C6344" s="2" t="str">
        <f>"12306894"</f>
        <v>12306894</v>
      </c>
      <c r="D6344" s="2">
        <v>0.10100000000000001</v>
      </c>
      <c r="E6344" s="2">
        <v>1</v>
      </c>
      <c r="F6344" s="2" t="s">
        <v>169</v>
      </c>
    </row>
    <row r="6345" spans="1:6" ht="25.5">
      <c r="A6345" s="2">
        <v>6342</v>
      </c>
      <c r="B6345" s="2" t="s">
        <v>6421</v>
      </c>
      <c r="C6345" s="2" t="str">
        <f>"03514706"</f>
        <v>03514706</v>
      </c>
      <c r="D6345" s="2">
        <v>0.1</v>
      </c>
      <c r="E6345" s="2">
        <v>2</v>
      </c>
      <c r="F6345" s="2" t="s">
        <v>149</v>
      </c>
    </row>
    <row r="6346" spans="1:6" ht="25.5">
      <c r="A6346" s="2">
        <v>6343</v>
      </c>
      <c r="B6346" s="2" t="s">
        <v>6422</v>
      </c>
      <c r="C6346" s="2" t="str">
        <f>"15811239"</f>
        <v>15811239</v>
      </c>
      <c r="D6346" s="2">
        <v>0.10199999999999999</v>
      </c>
      <c r="E6346" s="2">
        <v>2</v>
      </c>
      <c r="F6346" s="2" t="s">
        <v>154</v>
      </c>
    </row>
    <row r="6347" spans="1:6" ht="25.5">
      <c r="A6347" s="2">
        <v>6344</v>
      </c>
      <c r="B6347" s="2" t="s">
        <v>6423</v>
      </c>
      <c r="C6347" s="2" t="str">
        <f>"14790602"</f>
        <v>14790602</v>
      </c>
      <c r="D6347" s="2">
        <v>0.13</v>
      </c>
      <c r="E6347" s="2">
        <v>6</v>
      </c>
      <c r="F6347" s="2" t="s">
        <v>16</v>
      </c>
    </row>
    <row r="6348" spans="1:6" ht="25.5">
      <c r="A6348" s="2">
        <v>6345</v>
      </c>
      <c r="B6348" s="2" t="s">
        <v>6424</v>
      </c>
      <c r="C6348" s="2" t="str">
        <f>"00151882"</f>
        <v>00151882</v>
      </c>
      <c r="D6348" s="2">
        <v>0.113</v>
      </c>
      <c r="E6348" s="2">
        <v>17</v>
      </c>
      <c r="F6348" s="2" t="s">
        <v>75</v>
      </c>
    </row>
    <row r="6349" spans="1:6" ht="25.5">
      <c r="A6349" s="2">
        <v>6346</v>
      </c>
      <c r="B6349" s="2" t="s">
        <v>6425</v>
      </c>
      <c r="C6349" s="2" t="str">
        <f>"15645142"</f>
        <v>15645142</v>
      </c>
      <c r="D6349" s="2">
        <v>0.128</v>
      </c>
      <c r="E6349" s="2">
        <v>16</v>
      </c>
      <c r="F6349" s="2" t="s">
        <v>6</v>
      </c>
    </row>
    <row r="6350" spans="1:6" ht="25.5">
      <c r="A6350" s="2">
        <v>6347</v>
      </c>
      <c r="B6350" s="2" t="s">
        <v>6426</v>
      </c>
      <c r="C6350" s="2" t="str">
        <f>"14321122"</f>
        <v>14321122</v>
      </c>
      <c r="D6350" s="2">
        <v>1.911</v>
      </c>
      <c r="E6350" s="2">
        <v>22</v>
      </c>
      <c r="F6350" s="2" t="s">
        <v>12</v>
      </c>
    </row>
    <row r="6351" spans="1:6" ht="25.5">
      <c r="A6351" s="2">
        <v>6348</v>
      </c>
      <c r="B6351" s="2" t="s">
        <v>6427</v>
      </c>
      <c r="C6351" s="2" t="str">
        <f>"00151920"</f>
        <v>00151920</v>
      </c>
      <c r="D6351" s="2">
        <v>0.33200000000000002</v>
      </c>
      <c r="E6351" s="2">
        <v>8</v>
      </c>
      <c r="F6351" s="2" t="s">
        <v>208</v>
      </c>
    </row>
    <row r="6352" spans="1:6" ht="25.5">
      <c r="A6352" s="2">
        <v>6349</v>
      </c>
      <c r="B6352" s="2" t="s">
        <v>6428</v>
      </c>
      <c r="C6352" s="2" t="str">
        <f>"15446131"</f>
        <v>15446131</v>
      </c>
      <c r="D6352" s="2">
        <v>0.32</v>
      </c>
      <c r="E6352" s="2">
        <v>12</v>
      </c>
      <c r="F6352" s="2" t="s">
        <v>75</v>
      </c>
    </row>
    <row r="6353" spans="1:6" ht="25.5">
      <c r="A6353" s="2">
        <v>6350</v>
      </c>
      <c r="B6353" s="2" t="s">
        <v>6429</v>
      </c>
      <c r="C6353" s="2" t="str">
        <f>"0015198X"</f>
        <v>0015198X</v>
      </c>
      <c r="D6353" s="2">
        <v>1.472</v>
      </c>
      <c r="E6353" s="2">
        <v>42</v>
      </c>
      <c r="F6353" s="2" t="s">
        <v>6</v>
      </c>
    </row>
    <row r="6354" spans="1:6" ht="25.5">
      <c r="A6354" s="2">
        <v>6351</v>
      </c>
      <c r="B6354" s="2" t="s">
        <v>6430</v>
      </c>
      <c r="C6354" s="2" t="str">
        <f>"14740052"</f>
        <v>14740052</v>
      </c>
      <c r="D6354" s="2">
        <v>0.57199999999999995</v>
      </c>
      <c r="E6354" s="2">
        <v>6</v>
      </c>
      <c r="F6354" s="2" t="s">
        <v>16</v>
      </c>
    </row>
    <row r="6355" spans="1:6" ht="25.5">
      <c r="A6355" s="2">
        <v>6352</v>
      </c>
      <c r="B6355" s="2" t="s">
        <v>6431</v>
      </c>
      <c r="C6355" s="2" t="str">
        <f>"00463892"</f>
        <v>00463892</v>
      </c>
      <c r="D6355" s="2">
        <v>2.4449999999999998</v>
      </c>
      <c r="E6355" s="2">
        <v>36</v>
      </c>
      <c r="F6355" s="2" t="s">
        <v>6</v>
      </c>
    </row>
    <row r="6356" spans="1:6" ht="25.5">
      <c r="A6356" s="2">
        <v>6353</v>
      </c>
      <c r="B6356" s="2" t="s">
        <v>6432</v>
      </c>
      <c r="C6356" s="2" t="str">
        <f>"1555497X"</f>
        <v>1555497X</v>
      </c>
      <c r="D6356" s="2">
        <v>0.33400000000000002</v>
      </c>
      <c r="E6356" s="2">
        <v>8</v>
      </c>
      <c r="F6356" s="2" t="s">
        <v>6</v>
      </c>
    </row>
    <row r="6357" spans="1:6" ht="25.5">
      <c r="A6357" s="2">
        <v>6354</v>
      </c>
      <c r="B6357" s="2" t="s">
        <v>6433</v>
      </c>
      <c r="C6357" s="2" t="str">
        <f>"14680416"</f>
        <v>14680416</v>
      </c>
      <c r="D6357" s="2">
        <v>0.13400000000000001</v>
      </c>
      <c r="E6357" s="2">
        <v>11</v>
      </c>
      <c r="F6357" s="2" t="s">
        <v>16</v>
      </c>
    </row>
    <row r="6358" spans="1:6" ht="25.5">
      <c r="A6358" s="2">
        <v>6355</v>
      </c>
      <c r="B6358" s="2" t="s">
        <v>6434</v>
      </c>
      <c r="C6358" s="2" t="str">
        <f>"15406288"</f>
        <v>15406288</v>
      </c>
      <c r="D6358" s="2">
        <v>0.17699999999999999</v>
      </c>
      <c r="E6358" s="2">
        <v>2</v>
      </c>
      <c r="F6358" s="2" t="s">
        <v>6</v>
      </c>
    </row>
    <row r="6359" spans="1:6" ht="25.5">
      <c r="A6359" s="2">
        <v>6356</v>
      </c>
      <c r="B6359" s="2" t="s">
        <v>6435</v>
      </c>
      <c r="C6359" s="2" t="str">
        <f>"16140974"</f>
        <v>16140974</v>
      </c>
      <c r="D6359" s="2">
        <v>0.254</v>
      </c>
      <c r="E6359" s="2">
        <v>7</v>
      </c>
      <c r="F6359" s="2" t="s">
        <v>12</v>
      </c>
    </row>
    <row r="6360" spans="1:6" ht="25.5">
      <c r="A6360" s="2">
        <v>6357</v>
      </c>
      <c r="B6360" s="2" t="s">
        <v>6436</v>
      </c>
      <c r="C6360" s="2" t="str">
        <f>"15530302"</f>
        <v>15530302</v>
      </c>
      <c r="D6360" s="2">
        <v>0.10299999999999999</v>
      </c>
      <c r="E6360" s="2">
        <v>1</v>
      </c>
      <c r="F6360" s="2" t="s">
        <v>6</v>
      </c>
    </row>
    <row r="6361" spans="1:6" ht="25.5">
      <c r="A6361" s="2">
        <v>6358</v>
      </c>
      <c r="B6361" s="2" t="s">
        <v>6437</v>
      </c>
      <c r="C6361" s="2" t="str">
        <f>"04305027"</f>
        <v>04305027</v>
      </c>
      <c r="D6361" s="2">
        <v>0</v>
      </c>
      <c r="E6361" s="2">
        <v>4</v>
      </c>
      <c r="F6361" s="2" t="s">
        <v>306</v>
      </c>
    </row>
    <row r="6362" spans="1:6" ht="25.5">
      <c r="A6362" s="2">
        <v>6359</v>
      </c>
      <c r="B6362" s="2" t="s">
        <v>6438</v>
      </c>
      <c r="C6362" s="2" t="str">
        <f>"0168874X"</f>
        <v>0168874X</v>
      </c>
      <c r="D6362" s="2">
        <v>0.91</v>
      </c>
      <c r="E6362" s="2">
        <v>40</v>
      </c>
      <c r="F6362" s="2" t="s">
        <v>75</v>
      </c>
    </row>
    <row r="6363" spans="1:6" ht="25.5">
      <c r="A6363" s="2">
        <v>6360</v>
      </c>
      <c r="B6363" s="2" t="s">
        <v>6439</v>
      </c>
      <c r="C6363" s="2" t="str">
        <f>"10902465"</f>
        <v>10902465</v>
      </c>
      <c r="D6363" s="2">
        <v>0.625</v>
      </c>
      <c r="E6363" s="2">
        <v>21</v>
      </c>
      <c r="F6363" s="2" t="s">
        <v>6</v>
      </c>
    </row>
    <row r="6364" spans="1:6" ht="25.5">
      <c r="A6364" s="2">
        <v>6361</v>
      </c>
      <c r="B6364" s="2" t="s">
        <v>6440</v>
      </c>
      <c r="C6364" s="2" t="str">
        <f>"10991018"</f>
        <v>10991018</v>
      </c>
      <c r="D6364" s="2">
        <v>0.624</v>
      </c>
      <c r="E6364" s="2">
        <v>30</v>
      </c>
      <c r="F6364" s="2" t="s">
        <v>16</v>
      </c>
    </row>
    <row r="6365" spans="1:6" ht="25.5">
      <c r="A6365" s="2">
        <v>6362</v>
      </c>
      <c r="B6365" s="2" t="s">
        <v>6441</v>
      </c>
      <c r="C6365" s="2" t="str">
        <f>"19339747"</f>
        <v>19339747</v>
      </c>
      <c r="D6365" s="2">
        <v>0.70099999999999996</v>
      </c>
      <c r="E6365" s="2">
        <v>7</v>
      </c>
      <c r="F6365" s="2" t="s">
        <v>6</v>
      </c>
    </row>
    <row r="6366" spans="1:6" ht="25.5">
      <c r="A6366" s="2">
        <v>6363</v>
      </c>
      <c r="B6366" s="2" t="s">
        <v>6442</v>
      </c>
      <c r="C6366" s="2" t="str">
        <f>"10940529"</f>
        <v>10940529</v>
      </c>
      <c r="D6366" s="2">
        <v>0.1</v>
      </c>
      <c r="E6366" s="2">
        <v>1</v>
      </c>
      <c r="F6366" s="2" t="s">
        <v>6</v>
      </c>
    </row>
    <row r="6367" spans="1:6" ht="25.5">
      <c r="A6367" s="2">
        <v>6364</v>
      </c>
      <c r="B6367" s="2" t="s">
        <v>6443</v>
      </c>
      <c r="C6367" s="2" t="str">
        <f>"03797112"</f>
        <v>03797112</v>
      </c>
      <c r="D6367" s="2">
        <v>0.88100000000000001</v>
      </c>
      <c r="E6367" s="2">
        <v>37</v>
      </c>
      <c r="F6367" s="2" t="s">
        <v>16</v>
      </c>
    </row>
    <row r="6368" spans="1:6" ht="25.5">
      <c r="A6368" s="2">
        <v>6365</v>
      </c>
      <c r="B6368" s="2" t="s">
        <v>6444</v>
      </c>
      <c r="C6368" s="2" t="str">
        <f>"15728099"</f>
        <v>15728099</v>
      </c>
      <c r="D6368" s="2">
        <v>0.439</v>
      </c>
      <c r="E6368" s="2">
        <v>17</v>
      </c>
      <c r="F6368" s="2" t="s">
        <v>75</v>
      </c>
    </row>
    <row r="6369" spans="1:6" ht="25.5">
      <c r="A6369" s="2">
        <v>6366</v>
      </c>
      <c r="B6369" s="2" t="s">
        <v>6445</v>
      </c>
      <c r="C6369" s="2" t="str">
        <f>"13652397"</f>
        <v>13652397</v>
      </c>
      <c r="D6369" s="2">
        <v>0.44400000000000001</v>
      </c>
      <c r="E6369" s="2">
        <v>21</v>
      </c>
      <c r="F6369" s="2" t="s">
        <v>75</v>
      </c>
    </row>
    <row r="6370" spans="1:6" ht="25.5">
      <c r="A6370" s="2">
        <v>6367</v>
      </c>
      <c r="B6370" s="2" t="s">
        <v>6446</v>
      </c>
      <c r="C6370" s="2" t="str">
        <f>"17402344"</f>
        <v>17402344</v>
      </c>
      <c r="D6370" s="2">
        <v>0.51500000000000001</v>
      </c>
      <c r="E6370" s="2">
        <v>21</v>
      </c>
      <c r="F6370" s="2" t="s">
        <v>16</v>
      </c>
    </row>
    <row r="6371" spans="1:6" ht="25.5">
      <c r="A6371" s="2">
        <v>6368</v>
      </c>
      <c r="B6371" s="2" t="s">
        <v>6447</v>
      </c>
      <c r="C6371" s="2" t="str">
        <f>"13960466"</f>
        <v>13960466</v>
      </c>
      <c r="D6371" s="2">
        <v>0.57199999999999995</v>
      </c>
      <c r="E6371" s="2">
        <v>32</v>
      </c>
      <c r="F6371" s="2" t="s">
        <v>6</v>
      </c>
    </row>
    <row r="6372" spans="1:6" ht="25.5">
      <c r="A6372" s="2">
        <v>6369</v>
      </c>
      <c r="B6372" s="2" t="s">
        <v>6448</v>
      </c>
      <c r="C6372" s="2" t="str">
        <f>"19475039"</f>
        <v>19475039</v>
      </c>
      <c r="D6372" s="2">
        <v>0.124</v>
      </c>
      <c r="E6372" s="2">
        <v>1</v>
      </c>
      <c r="F6372" s="2" t="s">
        <v>16</v>
      </c>
    </row>
    <row r="6373" spans="1:6" ht="25.5">
      <c r="A6373" s="2">
        <v>6370</v>
      </c>
      <c r="B6373" s="2" t="s">
        <v>6449</v>
      </c>
      <c r="C6373" s="2" t="str">
        <f>"14755890"</f>
        <v>14755890</v>
      </c>
      <c r="D6373" s="2">
        <v>0.28599999999999998</v>
      </c>
      <c r="E6373" s="2">
        <v>22</v>
      </c>
      <c r="F6373" s="2" t="s">
        <v>16</v>
      </c>
    </row>
    <row r="6374" spans="1:6" ht="25.5">
      <c r="A6374" s="2">
        <v>6371</v>
      </c>
      <c r="B6374" s="2" t="s">
        <v>6450</v>
      </c>
      <c r="C6374" s="2" t="str">
        <f>"14672979"</f>
        <v>14672979</v>
      </c>
      <c r="D6374" s="2">
        <v>2.8730000000000002</v>
      </c>
      <c r="E6374" s="2">
        <v>52</v>
      </c>
      <c r="F6374" s="2" t="s">
        <v>16</v>
      </c>
    </row>
    <row r="6375" spans="1:6" ht="25.5">
      <c r="A6375" s="2">
        <v>6372</v>
      </c>
      <c r="B6375" s="2" t="s">
        <v>6451</v>
      </c>
      <c r="C6375" s="2" t="str">
        <f>"10959947"</f>
        <v>10959947</v>
      </c>
      <c r="D6375" s="2">
        <v>0.99099999999999999</v>
      </c>
      <c r="E6375" s="2">
        <v>61</v>
      </c>
      <c r="F6375" s="2" t="s">
        <v>6</v>
      </c>
    </row>
    <row r="6376" spans="1:6" ht="25.5">
      <c r="A6376" s="2">
        <v>6373</v>
      </c>
      <c r="B6376" s="2" t="s">
        <v>6452</v>
      </c>
      <c r="C6376" s="2" t="str">
        <f>"03632415"</f>
        <v>03632415</v>
      </c>
      <c r="D6376" s="2">
        <v>0.77100000000000002</v>
      </c>
      <c r="E6376" s="2">
        <v>48</v>
      </c>
      <c r="F6376" s="2" t="s">
        <v>6</v>
      </c>
    </row>
    <row r="6377" spans="1:6" ht="25.5">
      <c r="A6377" s="2">
        <v>6374</v>
      </c>
      <c r="B6377" s="2" t="s">
        <v>6453</v>
      </c>
      <c r="C6377" s="2" t="str">
        <f>"13652400"</f>
        <v>13652400</v>
      </c>
      <c r="D6377" s="2">
        <v>0.56999999999999995</v>
      </c>
      <c r="E6377" s="2">
        <v>28</v>
      </c>
      <c r="F6377" s="2" t="s">
        <v>16</v>
      </c>
    </row>
    <row r="6378" spans="1:6" ht="25.5">
      <c r="A6378" s="2">
        <v>6375</v>
      </c>
      <c r="B6378" s="2" t="s">
        <v>6454</v>
      </c>
      <c r="C6378" s="2" t="str">
        <f>"13652419"</f>
        <v>13652419</v>
      </c>
      <c r="D6378" s="2">
        <v>1.2629999999999999</v>
      </c>
      <c r="E6378" s="2">
        <v>52</v>
      </c>
      <c r="F6378" s="2" t="s">
        <v>16</v>
      </c>
    </row>
    <row r="6379" spans="1:6" ht="25.5">
      <c r="A6379" s="2">
        <v>6376</v>
      </c>
      <c r="B6379" s="2" t="s">
        <v>6455</v>
      </c>
      <c r="C6379" s="2" t="str">
        <f>"01657836"</f>
        <v>01657836</v>
      </c>
      <c r="D6379" s="2">
        <v>0.77500000000000002</v>
      </c>
      <c r="E6379" s="2">
        <v>50</v>
      </c>
      <c r="F6379" s="2" t="s">
        <v>75</v>
      </c>
    </row>
    <row r="6380" spans="1:6" ht="25.5">
      <c r="A6380" s="2">
        <v>6377</v>
      </c>
      <c r="B6380" s="2" t="s">
        <v>6456</v>
      </c>
      <c r="C6380" s="2" t="str">
        <f>"14442906"</f>
        <v>14442906</v>
      </c>
      <c r="D6380" s="2">
        <v>0.46899999999999997</v>
      </c>
      <c r="E6380" s="2">
        <v>38</v>
      </c>
      <c r="F6380" s="2" t="s">
        <v>131</v>
      </c>
    </row>
    <row r="6381" spans="1:6" ht="25.5">
      <c r="A6381" s="2">
        <v>6378</v>
      </c>
      <c r="B6381" s="2" t="s">
        <v>6457</v>
      </c>
      <c r="C6381" s="2" t="str">
        <f>"00900656"</f>
        <v>00900656</v>
      </c>
      <c r="D6381" s="2">
        <v>0.67</v>
      </c>
      <c r="E6381" s="2">
        <v>43</v>
      </c>
      <c r="F6381" s="2" t="s">
        <v>6</v>
      </c>
    </row>
    <row r="6382" spans="1:6" ht="25.5">
      <c r="A6382" s="2">
        <v>6379</v>
      </c>
      <c r="B6382" s="2" t="s">
        <v>6458</v>
      </c>
      <c r="C6382" s="2" t="str">
        <f>"0388788X"</f>
        <v>0388788X</v>
      </c>
      <c r="D6382" s="2">
        <v>0.48299999999999998</v>
      </c>
      <c r="E6382" s="2">
        <v>29</v>
      </c>
      <c r="F6382" s="2" t="s">
        <v>131</v>
      </c>
    </row>
    <row r="6383" spans="1:6" ht="25.5">
      <c r="A6383" s="2">
        <v>6380</v>
      </c>
      <c r="B6383" s="2" t="s">
        <v>6459</v>
      </c>
      <c r="C6383" s="2" t="str">
        <f>"15465098"</f>
        <v>15465098</v>
      </c>
      <c r="D6383" s="2">
        <v>0</v>
      </c>
      <c r="E6383" s="2">
        <v>18</v>
      </c>
      <c r="F6383" s="2" t="s">
        <v>6</v>
      </c>
    </row>
    <row r="6384" spans="1:6" ht="25.5">
      <c r="A6384" s="2">
        <v>6381</v>
      </c>
      <c r="B6384" s="2" t="s">
        <v>6460</v>
      </c>
      <c r="C6384" s="2" t="str">
        <f>"15735168"</f>
        <v>15735168</v>
      </c>
      <c r="D6384" s="2">
        <v>0.53700000000000003</v>
      </c>
      <c r="E6384" s="2">
        <v>47</v>
      </c>
      <c r="F6384" s="2" t="s">
        <v>75</v>
      </c>
    </row>
    <row r="6385" spans="1:6" ht="25.5">
      <c r="A6385" s="2">
        <v>6382</v>
      </c>
      <c r="B6385" s="2" t="s">
        <v>6461</v>
      </c>
      <c r="C6385" s="2" t="str">
        <f>"15782107"</f>
        <v>15782107</v>
      </c>
      <c r="D6385" s="2">
        <v>0.17199999999999999</v>
      </c>
      <c r="E6385" s="2">
        <v>4</v>
      </c>
      <c r="F6385" s="2" t="s">
        <v>351</v>
      </c>
    </row>
    <row r="6386" spans="1:6" ht="25.5">
      <c r="A6386" s="2">
        <v>6383</v>
      </c>
      <c r="B6386" s="2" t="s">
        <v>6462</v>
      </c>
      <c r="C6386" s="2" t="str">
        <f>"11259078"</f>
        <v>11259078</v>
      </c>
      <c r="D6386" s="2">
        <v>0.152</v>
      </c>
      <c r="E6386" s="2">
        <v>8</v>
      </c>
      <c r="F6386" s="2" t="s">
        <v>190</v>
      </c>
    </row>
    <row r="6387" spans="1:6" ht="25.5">
      <c r="A6387" s="2">
        <v>6384</v>
      </c>
      <c r="B6387" s="2" t="s">
        <v>6463</v>
      </c>
      <c r="C6387" s="2" t="str">
        <f>"0367326X"</f>
        <v>0367326X</v>
      </c>
      <c r="D6387" s="2">
        <v>0.71199999999999997</v>
      </c>
      <c r="E6387" s="2">
        <v>52</v>
      </c>
      <c r="F6387" s="2" t="s">
        <v>75</v>
      </c>
    </row>
    <row r="6388" spans="1:6" ht="25.5">
      <c r="A6388" s="2">
        <v>6385</v>
      </c>
      <c r="B6388" s="2" t="s">
        <v>6464</v>
      </c>
      <c r="C6388" s="2" t="str">
        <f>"20669208"</f>
        <v>20669208</v>
      </c>
      <c r="D6388" s="2">
        <v>0.62</v>
      </c>
      <c r="E6388" s="2">
        <v>8</v>
      </c>
      <c r="F6388" s="2" t="s">
        <v>19</v>
      </c>
    </row>
    <row r="6389" spans="1:6" ht="25.5">
      <c r="A6389" s="2">
        <v>6386</v>
      </c>
      <c r="B6389" s="2" t="s">
        <v>6465</v>
      </c>
      <c r="C6389" s="2" t="str">
        <f>"16871820"</f>
        <v>16871820</v>
      </c>
      <c r="D6389" s="2">
        <v>0.96899999999999997</v>
      </c>
      <c r="E6389" s="2">
        <v>24</v>
      </c>
      <c r="F6389" s="2" t="s">
        <v>6</v>
      </c>
    </row>
    <row r="6390" spans="1:6" ht="25.5">
      <c r="A6390" s="2">
        <v>6387</v>
      </c>
      <c r="B6390" s="2" t="s">
        <v>6466</v>
      </c>
      <c r="C6390" s="2" t="str">
        <f>"13339133"</f>
        <v>13339133</v>
      </c>
      <c r="D6390" s="2">
        <v>0.10100000000000001</v>
      </c>
      <c r="E6390" s="2">
        <v>1</v>
      </c>
      <c r="F6390" s="2" t="s">
        <v>149</v>
      </c>
    </row>
    <row r="6391" spans="1:6" ht="25.5">
      <c r="A6391" s="2">
        <v>6388</v>
      </c>
      <c r="B6391" s="2" t="s">
        <v>6467</v>
      </c>
      <c r="C6391" s="2" t="str">
        <f>"02018489"</f>
        <v>02018489</v>
      </c>
      <c r="D6391" s="2">
        <v>0.115</v>
      </c>
      <c r="E6391" s="2">
        <v>6</v>
      </c>
      <c r="F6391" s="2" t="s">
        <v>438</v>
      </c>
    </row>
    <row r="6392" spans="1:6" ht="25.5">
      <c r="A6392" s="2">
        <v>6389</v>
      </c>
      <c r="B6392" s="2" t="s">
        <v>6468</v>
      </c>
      <c r="C6392" s="2" t="str">
        <f>"01311646"</f>
        <v>01311646</v>
      </c>
      <c r="D6392" s="2">
        <v>0.107</v>
      </c>
      <c r="E6392" s="2">
        <v>10</v>
      </c>
      <c r="F6392" s="2" t="s">
        <v>129</v>
      </c>
    </row>
    <row r="6393" spans="1:6" ht="25.5">
      <c r="A6393" s="2">
        <v>6390</v>
      </c>
      <c r="B6393" s="2" t="s">
        <v>6469</v>
      </c>
      <c r="C6393" s="2" t="str">
        <f>"12308323"</f>
        <v>12308323</v>
      </c>
      <c r="D6393" s="2">
        <v>0.127</v>
      </c>
      <c r="E6393" s="2">
        <v>4</v>
      </c>
      <c r="F6393" s="2" t="s">
        <v>169</v>
      </c>
    </row>
    <row r="6394" spans="1:6" ht="25.5">
      <c r="A6394" s="2">
        <v>6391</v>
      </c>
      <c r="B6394" s="2" t="s">
        <v>6470</v>
      </c>
      <c r="C6394" s="2" t="str">
        <f>"16420136"</f>
        <v>16420136</v>
      </c>
      <c r="D6394" s="2">
        <v>0.20899999999999999</v>
      </c>
      <c r="E6394" s="2">
        <v>7</v>
      </c>
      <c r="F6394" s="2" t="s">
        <v>169</v>
      </c>
    </row>
    <row r="6395" spans="1:6" ht="25.5">
      <c r="A6395" s="2">
        <v>6392</v>
      </c>
      <c r="B6395" s="2" t="s">
        <v>6471</v>
      </c>
      <c r="C6395" s="2" t="str">
        <f>"13008757"</f>
        <v>13008757</v>
      </c>
      <c r="D6395" s="2">
        <v>0.10100000000000001</v>
      </c>
      <c r="E6395" s="2">
        <v>5</v>
      </c>
      <c r="F6395" s="2" t="s">
        <v>345</v>
      </c>
    </row>
    <row r="6396" spans="1:6" ht="25.5">
      <c r="A6396" s="2">
        <v>6393</v>
      </c>
      <c r="B6396" s="2" t="s">
        <v>6472</v>
      </c>
      <c r="C6396" s="2" t="str">
        <f>"10991026"</f>
        <v>10991026</v>
      </c>
      <c r="D6396" s="2">
        <v>0.58699999999999997</v>
      </c>
      <c r="E6396" s="2">
        <v>38</v>
      </c>
      <c r="F6396" s="2" t="s">
        <v>16</v>
      </c>
    </row>
    <row r="6397" spans="1:6" ht="25.5">
      <c r="A6397" s="2">
        <v>6394</v>
      </c>
      <c r="B6397" s="2" t="s">
        <v>6473</v>
      </c>
      <c r="C6397" s="2" t="str">
        <f>"19366590"</f>
        <v>19366590</v>
      </c>
      <c r="D6397" s="2">
        <v>0.67100000000000004</v>
      </c>
      <c r="E6397" s="2">
        <v>25</v>
      </c>
      <c r="F6397" s="2" t="s">
        <v>6</v>
      </c>
    </row>
    <row r="6398" spans="1:6" ht="25.5">
      <c r="A6398" s="2">
        <v>6395</v>
      </c>
      <c r="B6398" s="2" t="s">
        <v>6474</v>
      </c>
      <c r="C6398" s="2" t="str">
        <f>"03672530"</f>
        <v>03672530</v>
      </c>
      <c r="D6398" s="2">
        <v>0.64400000000000002</v>
      </c>
      <c r="E6398" s="2">
        <v>30</v>
      </c>
      <c r="F6398" s="2" t="s">
        <v>12</v>
      </c>
    </row>
    <row r="6399" spans="1:6" ht="25.5">
      <c r="A6399" s="2">
        <v>6396</v>
      </c>
      <c r="B6399" s="2" t="s">
        <v>6475</v>
      </c>
      <c r="C6399" s="2" t="str">
        <f>"19824688"</f>
        <v>19824688</v>
      </c>
      <c r="D6399" s="2">
        <v>0.23100000000000001</v>
      </c>
      <c r="E6399" s="2">
        <v>2</v>
      </c>
      <c r="F6399" s="2" t="s">
        <v>159</v>
      </c>
    </row>
    <row r="6400" spans="1:6" ht="25.5">
      <c r="A6400" s="2">
        <v>6397</v>
      </c>
      <c r="B6400" s="2" t="s">
        <v>6476</v>
      </c>
      <c r="C6400" s="2" t="str">
        <f>"00154040"</f>
        <v>00154040</v>
      </c>
      <c r="D6400" s="2">
        <v>0.51400000000000001</v>
      </c>
      <c r="E6400" s="2">
        <v>32</v>
      </c>
      <c r="F6400" s="2" t="s">
        <v>6</v>
      </c>
    </row>
    <row r="6401" spans="1:6" ht="25.5">
      <c r="A6401" s="2">
        <v>6398</v>
      </c>
      <c r="B6401" s="2" t="s">
        <v>6477</v>
      </c>
      <c r="C6401" s="2" t="str">
        <f>"07390041"</f>
        <v>07390041</v>
      </c>
      <c r="D6401" s="2">
        <v>0.10199999999999999</v>
      </c>
      <c r="E6401" s="2">
        <v>2</v>
      </c>
      <c r="F6401" s="2" t="s">
        <v>6</v>
      </c>
    </row>
    <row r="6402" spans="1:6" ht="25.5">
      <c r="A6402" s="2">
        <v>6399</v>
      </c>
      <c r="B6402" s="2" t="s">
        <v>6478</v>
      </c>
      <c r="C6402" s="2" t="str">
        <f>"00154199"</f>
        <v>00154199</v>
      </c>
      <c r="D6402" s="2">
        <v>0.10100000000000001</v>
      </c>
      <c r="E6402" s="2">
        <v>2</v>
      </c>
      <c r="F6402" s="2" t="s">
        <v>6</v>
      </c>
    </row>
    <row r="6403" spans="1:6" ht="25.5">
      <c r="A6403" s="2">
        <v>6400</v>
      </c>
      <c r="B6403" s="2" t="s">
        <v>6479</v>
      </c>
      <c r="C6403" s="2" t="str">
        <f>"09555986"</f>
        <v>09555986</v>
      </c>
      <c r="D6403" s="2">
        <v>0.48799999999999999</v>
      </c>
      <c r="E6403" s="2">
        <v>28</v>
      </c>
      <c r="F6403" s="2" t="s">
        <v>75</v>
      </c>
    </row>
    <row r="6404" spans="1:6" ht="25.5">
      <c r="A6404" s="2">
        <v>6401</v>
      </c>
      <c r="B6404" s="2" t="s">
        <v>6480</v>
      </c>
      <c r="C6404" s="2" t="str">
        <f>"15731987"</f>
        <v>15731987</v>
      </c>
      <c r="D6404" s="2">
        <v>0.46600000000000003</v>
      </c>
      <c r="E6404" s="2">
        <v>33</v>
      </c>
      <c r="F6404" s="2" t="s">
        <v>75</v>
      </c>
    </row>
    <row r="6405" spans="1:6" ht="25.5">
      <c r="A6405" s="2">
        <v>6402</v>
      </c>
      <c r="B6405" s="2" t="s">
        <v>6481</v>
      </c>
      <c r="C6405" s="2" t="str">
        <f>"02194775"</f>
        <v>02194775</v>
      </c>
      <c r="D6405" s="2">
        <v>0.37</v>
      </c>
      <c r="E6405" s="2">
        <v>16</v>
      </c>
      <c r="F6405" s="2" t="s">
        <v>543</v>
      </c>
    </row>
    <row r="6406" spans="1:6" ht="25.5">
      <c r="A6406" s="2">
        <v>6403</v>
      </c>
      <c r="B6406" s="2" t="s">
        <v>6482</v>
      </c>
      <c r="C6406" s="2" t="str">
        <f>"15738507"</f>
        <v>15738507</v>
      </c>
      <c r="D6406" s="2">
        <v>0.252</v>
      </c>
      <c r="E6406" s="2">
        <v>13</v>
      </c>
      <c r="F6406" s="2" t="s">
        <v>129</v>
      </c>
    </row>
    <row r="6407" spans="1:6" ht="25.5">
      <c r="A6407" s="2">
        <v>6404</v>
      </c>
      <c r="B6407" s="2" t="s">
        <v>6483</v>
      </c>
      <c r="C6407" s="2" t="str">
        <f>"15552578"</f>
        <v>15552578</v>
      </c>
      <c r="D6407" s="2">
        <v>0.45100000000000001</v>
      </c>
      <c r="E6407" s="2">
        <v>8</v>
      </c>
      <c r="F6407" s="2" t="s">
        <v>6</v>
      </c>
    </row>
    <row r="6408" spans="1:6" ht="25.5">
      <c r="A6408" s="2">
        <v>6405</v>
      </c>
      <c r="B6408" s="2" t="s">
        <v>6484</v>
      </c>
      <c r="C6408" s="2" t="str">
        <f>"01695983"</f>
        <v>01695983</v>
      </c>
      <c r="D6408" s="2">
        <v>0.47</v>
      </c>
      <c r="E6408" s="2">
        <v>29</v>
      </c>
      <c r="F6408" s="2" t="s">
        <v>16</v>
      </c>
    </row>
    <row r="6409" spans="1:6" ht="25.5">
      <c r="A6409" s="2">
        <v>6406</v>
      </c>
      <c r="B6409" s="2" t="s">
        <v>6485</v>
      </c>
      <c r="C6409" s="2" t="str">
        <f>"09265112"</f>
        <v>09265112</v>
      </c>
      <c r="D6409" s="2">
        <v>0.11600000000000001</v>
      </c>
      <c r="E6409" s="2">
        <v>5</v>
      </c>
      <c r="F6409" s="2" t="s">
        <v>12</v>
      </c>
    </row>
    <row r="6410" spans="1:6" ht="25.5">
      <c r="A6410" s="2">
        <v>6407</v>
      </c>
      <c r="B6410" s="2" t="s">
        <v>6486</v>
      </c>
      <c r="C6410" s="2" t="str">
        <f>"03783812"</f>
        <v>03783812</v>
      </c>
      <c r="D6410" s="2">
        <v>1.0269999999999999</v>
      </c>
      <c r="E6410" s="2">
        <v>61</v>
      </c>
      <c r="F6410" s="2" t="s">
        <v>75</v>
      </c>
    </row>
    <row r="6411" spans="1:6" ht="25.5">
      <c r="A6411" s="2">
        <v>6408</v>
      </c>
      <c r="B6411" s="2" t="s">
        <v>6487</v>
      </c>
      <c r="C6411" s="2" t="str">
        <f>"20458118"</f>
        <v>20458118</v>
      </c>
      <c r="D6411" s="2">
        <v>0.91</v>
      </c>
      <c r="E6411" s="2">
        <v>17</v>
      </c>
      <c r="F6411" s="2" t="s">
        <v>16</v>
      </c>
    </row>
    <row r="6412" spans="1:6" ht="25.5">
      <c r="A6412" s="2">
        <v>6409</v>
      </c>
      <c r="B6412" s="2" t="s">
        <v>6488</v>
      </c>
      <c r="C6412" s="2" t="str">
        <f>"03534642"</f>
        <v>03534642</v>
      </c>
      <c r="D6412" s="2">
        <v>0.10100000000000001</v>
      </c>
      <c r="E6412" s="2">
        <v>1</v>
      </c>
      <c r="F6412" s="2" t="s">
        <v>149</v>
      </c>
    </row>
    <row r="6413" spans="1:6" ht="25.5">
      <c r="A6413" s="2">
        <v>6410</v>
      </c>
      <c r="B6413" s="2" t="s">
        <v>6489</v>
      </c>
      <c r="C6413" s="2" t="str">
        <f>"00154725"</f>
        <v>00154725</v>
      </c>
      <c r="D6413" s="2">
        <v>0.23499999999999999</v>
      </c>
      <c r="E6413" s="2">
        <v>26</v>
      </c>
      <c r="F6413" s="2" t="s">
        <v>503</v>
      </c>
    </row>
    <row r="6414" spans="1:6" ht="25.5">
      <c r="A6414" s="2">
        <v>6411</v>
      </c>
      <c r="B6414" s="2" t="s">
        <v>6490</v>
      </c>
      <c r="C6414" s="2" t="str">
        <f>"11542721"</f>
        <v>11542721</v>
      </c>
      <c r="D6414" s="2">
        <v>0.20100000000000001</v>
      </c>
      <c r="E6414" s="2">
        <v>5</v>
      </c>
      <c r="F6414" s="2" t="s">
        <v>66</v>
      </c>
    </row>
    <row r="6415" spans="1:6" ht="25.5">
      <c r="A6415" s="2">
        <v>6412</v>
      </c>
      <c r="B6415" s="2" t="s">
        <v>6491</v>
      </c>
      <c r="C6415" s="2" t="str">
        <f>"19336942"</f>
        <v>19336942</v>
      </c>
      <c r="D6415" s="2">
        <v>0.748</v>
      </c>
      <c r="E6415" s="2">
        <v>12</v>
      </c>
      <c r="F6415" s="2" t="s">
        <v>6</v>
      </c>
    </row>
    <row r="6416" spans="1:6" ht="25.5">
      <c r="A6416" s="2">
        <v>6413</v>
      </c>
      <c r="B6416" s="2" t="s">
        <v>6492</v>
      </c>
      <c r="C6416" s="2" t="str">
        <f>"11342072"</f>
        <v>11342072</v>
      </c>
      <c r="D6416" s="2">
        <v>0.108</v>
      </c>
      <c r="E6416" s="2">
        <v>3</v>
      </c>
      <c r="F6416" s="2" t="s">
        <v>351</v>
      </c>
    </row>
    <row r="6417" spans="1:6" ht="25.5">
      <c r="A6417" s="2">
        <v>6414</v>
      </c>
      <c r="B6417" s="2" t="s">
        <v>6493</v>
      </c>
      <c r="C6417" s="2" t="str">
        <f>"14512092"</f>
        <v>14512092</v>
      </c>
      <c r="D6417" s="2">
        <v>0.16800000000000001</v>
      </c>
      <c r="E6417" s="2">
        <v>2</v>
      </c>
      <c r="F6417" s="2" t="s">
        <v>212</v>
      </c>
    </row>
    <row r="6418" spans="1:6" ht="25.5">
      <c r="A6418" s="2">
        <v>6415</v>
      </c>
      <c r="B6418" s="2" t="s">
        <v>6494</v>
      </c>
      <c r="C6418" s="2" t="str">
        <f>"15585263"</f>
        <v>15585263</v>
      </c>
      <c r="D6418" s="2">
        <v>0.60499999999999998</v>
      </c>
      <c r="E6418" s="2">
        <v>2</v>
      </c>
      <c r="F6418" s="2" t="s">
        <v>75</v>
      </c>
    </row>
    <row r="6419" spans="1:6" ht="25.5">
      <c r="A6419" s="2">
        <v>6416</v>
      </c>
      <c r="B6419" s="2" t="s">
        <v>6495</v>
      </c>
      <c r="C6419" s="2" t="str">
        <f>"14653753"</f>
        <v>14653753</v>
      </c>
      <c r="D6419" s="2">
        <v>0.17</v>
      </c>
      <c r="E6419" s="2">
        <v>6</v>
      </c>
      <c r="F6419" s="2" t="s">
        <v>6</v>
      </c>
    </row>
    <row r="6420" spans="1:6" ht="25.5">
      <c r="A6420" s="2">
        <v>6417</v>
      </c>
      <c r="B6420" s="2" t="s">
        <v>6496</v>
      </c>
      <c r="C6420" s="2" t="str">
        <f>"15384829"</f>
        <v>15384829</v>
      </c>
      <c r="D6420" s="2">
        <v>0.85</v>
      </c>
      <c r="E6420" s="2">
        <v>18</v>
      </c>
      <c r="F6420" s="2" t="s">
        <v>16</v>
      </c>
    </row>
    <row r="6421" spans="1:6" ht="25.5">
      <c r="A6421" s="2">
        <v>6418</v>
      </c>
      <c r="B6421" s="2" t="s">
        <v>6497</v>
      </c>
      <c r="C6421" s="2" t="str">
        <f>"17561205"</f>
        <v>17561205</v>
      </c>
      <c r="D6421" s="2">
        <v>0.10199999999999999</v>
      </c>
      <c r="E6421" s="2">
        <v>2</v>
      </c>
      <c r="F6421" s="2" t="s">
        <v>16</v>
      </c>
    </row>
    <row r="6422" spans="1:6" ht="25.5">
      <c r="A6422" s="2">
        <v>6419</v>
      </c>
      <c r="B6422" s="2" t="s">
        <v>6498</v>
      </c>
      <c r="C6422" s="2" t="str">
        <f>"0015511X"</f>
        <v>0015511X</v>
      </c>
      <c r="D6422" s="2">
        <v>0.48199999999999998</v>
      </c>
      <c r="E6422" s="2">
        <v>13</v>
      </c>
      <c r="F6422" s="2" t="s">
        <v>6</v>
      </c>
    </row>
    <row r="6423" spans="1:6" ht="25.5">
      <c r="A6423" s="2">
        <v>6420</v>
      </c>
      <c r="B6423" s="2" t="s">
        <v>6499</v>
      </c>
      <c r="C6423" s="2" t="str">
        <f>"15494934"</f>
        <v>15494934</v>
      </c>
      <c r="D6423" s="2">
        <v>0.115</v>
      </c>
      <c r="E6423" s="2">
        <v>3</v>
      </c>
      <c r="F6423" s="2" t="s">
        <v>6</v>
      </c>
    </row>
    <row r="6424" spans="1:6" ht="25.5">
      <c r="A6424" s="2">
        <v>6421</v>
      </c>
      <c r="B6424" s="2" t="s">
        <v>6500</v>
      </c>
      <c r="C6424" s="2" t="str">
        <f>"09242015"</f>
        <v>09242015</v>
      </c>
      <c r="D6424" s="2">
        <v>0.10299999999999999</v>
      </c>
      <c r="E6424" s="2">
        <v>2</v>
      </c>
      <c r="F6424" s="2" t="s">
        <v>6</v>
      </c>
    </row>
    <row r="6425" spans="1:6" ht="25.5">
      <c r="A6425" s="2">
        <v>6422</v>
      </c>
      <c r="B6425" s="2" t="s">
        <v>6501</v>
      </c>
      <c r="C6425" s="2" t="str">
        <f>"14347512"</f>
        <v>14347512</v>
      </c>
      <c r="D6425" s="2">
        <v>0.124</v>
      </c>
      <c r="E6425" s="2">
        <v>2</v>
      </c>
      <c r="F6425" s="2" t="s">
        <v>12</v>
      </c>
    </row>
    <row r="6426" spans="1:6" ht="25.5">
      <c r="A6426" s="2">
        <v>6423</v>
      </c>
      <c r="B6426" s="2" t="s">
        <v>6502</v>
      </c>
      <c r="C6426" s="2" t="str">
        <f>"00155314"</f>
        <v>00155314</v>
      </c>
      <c r="D6426" s="2">
        <v>0.10100000000000001</v>
      </c>
      <c r="E6426" s="2">
        <v>6</v>
      </c>
      <c r="F6426" s="2" t="s">
        <v>135</v>
      </c>
    </row>
    <row r="6427" spans="1:6" ht="25.5">
      <c r="A6427" s="2">
        <v>6424</v>
      </c>
      <c r="B6427" s="2" t="s">
        <v>6503</v>
      </c>
      <c r="C6427" s="2" t="str">
        <f>"00155403"</f>
        <v>00155403</v>
      </c>
      <c r="D6427" s="2">
        <v>0.224</v>
      </c>
      <c r="E6427" s="2">
        <v>4</v>
      </c>
      <c r="F6427" s="2" t="s">
        <v>6</v>
      </c>
    </row>
    <row r="6428" spans="1:6" ht="25.5">
      <c r="A6428" s="2">
        <v>6425</v>
      </c>
      <c r="B6428" s="2" t="s">
        <v>6504</v>
      </c>
      <c r="C6428" s="2" t="str">
        <f>"0015542X"</f>
        <v>0015542X</v>
      </c>
      <c r="D6428" s="2">
        <v>0.158</v>
      </c>
      <c r="E6428" s="2">
        <v>4</v>
      </c>
      <c r="F6428" s="2" t="s">
        <v>135</v>
      </c>
    </row>
    <row r="6429" spans="1:6" ht="25.5">
      <c r="A6429" s="2">
        <v>6426</v>
      </c>
      <c r="B6429" s="2" t="s">
        <v>6505</v>
      </c>
      <c r="C6429" s="2" t="str">
        <f>"00155500"</f>
        <v>00155500</v>
      </c>
      <c r="D6429" s="2">
        <v>0.371</v>
      </c>
      <c r="E6429" s="2">
        <v>20</v>
      </c>
      <c r="F6429" s="2" t="s">
        <v>208</v>
      </c>
    </row>
    <row r="6430" spans="1:6" ht="25.5">
      <c r="A6430" s="2">
        <v>6427</v>
      </c>
      <c r="B6430" s="2" t="s">
        <v>6505</v>
      </c>
      <c r="C6430" s="2" t="str">
        <f>"00155497"</f>
        <v>00155497</v>
      </c>
      <c r="D6430" s="2">
        <v>0.25</v>
      </c>
      <c r="E6430" s="2">
        <v>15</v>
      </c>
      <c r="F6430" s="2" t="s">
        <v>169</v>
      </c>
    </row>
    <row r="6431" spans="1:6" ht="25.5">
      <c r="A6431" s="2">
        <v>6428</v>
      </c>
      <c r="B6431" s="2" t="s">
        <v>6506</v>
      </c>
      <c r="C6431" s="2" t="str">
        <f>"17367786"</f>
        <v>17367786</v>
      </c>
      <c r="D6431" s="2">
        <v>0.23599999999999999</v>
      </c>
      <c r="E6431" s="2">
        <v>4</v>
      </c>
      <c r="F6431" s="2" t="s">
        <v>265</v>
      </c>
    </row>
    <row r="6432" spans="1:6" ht="25.5">
      <c r="A6432" s="2">
        <v>6429</v>
      </c>
      <c r="B6432" s="2" t="s">
        <v>6507</v>
      </c>
      <c r="C6432" s="2" t="str">
        <f>"00716677"</f>
        <v>00716677</v>
      </c>
      <c r="D6432" s="2">
        <v>0.127</v>
      </c>
      <c r="E6432" s="2">
        <v>3</v>
      </c>
      <c r="F6432" s="2" t="s">
        <v>169</v>
      </c>
    </row>
    <row r="6433" spans="1:6" ht="25.5">
      <c r="A6433" s="2">
        <v>6430</v>
      </c>
      <c r="B6433" s="2" t="s">
        <v>6508</v>
      </c>
      <c r="C6433" s="2" t="str">
        <f>"12119520"</f>
        <v>12119520</v>
      </c>
      <c r="D6433" s="2">
        <v>0.48799999999999999</v>
      </c>
      <c r="E6433" s="2">
        <v>30</v>
      </c>
      <c r="F6433" s="2" t="s">
        <v>75</v>
      </c>
    </row>
    <row r="6434" spans="1:6" ht="25.5">
      <c r="A6434" s="2">
        <v>6431</v>
      </c>
      <c r="B6434" s="2" t="s">
        <v>6509</v>
      </c>
      <c r="C6434" s="2" t="str">
        <f>"02398508"</f>
        <v>02398508</v>
      </c>
      <c r="D6434" s="2">
        <v>0.33600000000000002</v>
      </c>
      <c r="E6434" s="2">
        <v>23</v>
      </c>
      <c r="F6434" s="2" t="s">
        <v>169</v>
      </c>
    </row>
    <row r="6435" spans="1:6" ht="25.5">
      <c r="A6435" s="2">
        <v>6432</v>
      </c>
      <c r="B6435" s="2" t="s">
        <v>6510</v>
      </c>
      <c r="C6435" s="2" t="str">
        <f>"18825176"</f>
        <v>18825176</v>
      </c>
      <c r="D6435" s="2">
        <v>0.1</v>
      </c>
      <c r="E6435" s="2">
        <v>1</v>
      </c>
      <c r="F6435" s="2" t="s">
        <v>131</v>
      </c>
    </row>
    <row r="6436" spans="1:6" ht="25.5">
      <c r="A6436" s="2">
        <v>6433</v>
      </c>
      <c r="B6436" s="2" t="s">
        <v>6511</v>
      </c>
      <c r="C6436" s="2" t="str">
        <f>"01654004"</f>
        <v>01654004</v>
      </c>
      <c r="D6436" s="2">
        <v>0.27400000000000002</v>
      </c>
      <c r="E6436" s="2">
        <v>6</v>
      </c>
      <c r="F6436" s="2" t="s">
        <v>12</v>
      </c>
    </row>
    <row r="6437" spans="1:6" ht="25.5">
      <c r="A6437" s="2">
        <v>6434</v>
      </c>
      <c r="B6437" s="2" t="s">
        <v>6512</v>
      </c>
      <c r="C6437" s="2" t="str">
        <f>"0168647X"</f>
        <v>0168647X</v>
      </c>
      <c r="D6437" s="2">
        <v>0.13100000000000001</v>
      </c>
      <c r="E6437" s="2">
        <v>4</v>
      </c>
      <c r="F6437" s="2" t="s">
        <v>12</v>
      </c>
    </row>
    <row r="6438" spans="1:6" ht="25.5">
      <c r="A6438" s="2">
        <v>6435</v>
      </c>
      <c r="B6438" s="2" t="s">
        <v>6513</v>
      </c>
      <c r="C6438" s="2" t="str">
        <f>"02048043"</f>
        <v>02048043</v>
      </c>
      <c r="D6438" s="2">
        <v>0.13800000000000001</v>
      </c>
      <c r="E6438" s="2">
        <v>12</v>
      </c>
      <c r="F6438" s="2" t="s">
        <v>293</v>
      </c>
    </row>
    <row r="6439" spans="1:6" ht="25.5">
      <c r="A6439" s="2">
        <v>6436</v>
      </c>
      <c r="B6439" s="2" t="s">
        <v>6514</v>
      </c>
      <c r="C6439" s="2" t="str">
        <f>"00155616"</f>
        <v>00155616</v>
      </c>
      <c r="D6439" s="2">
        <v>0.10199999999999999</v>
      </c>
      <c r="E6439" s="2">
        <v>7</v>
      </c>
      <c r="F6439" s="2" t="s">
        <v>169</v>
      </c>
    </row>
    <row r="6440" spans="1:6" ht="25.5">
      <c r="A6440" s="2">
        <v>6437</v>
      </c>
      <c r="B6440" s="2" t="s">
        <v>6515</v>
      </c>
      <c r="C6440" s="2" t="str">
        <f>"00155632"</f>
        <v>00155632</v>
      </c>
      <c r="D6440" s="2">
        <v>0.30599999999999999</v>
      </c>
      <c r="E6440" s="2">
        <v>27</v>
      </c>
      <c r="F6440" s="2" t="s">
        <v>75</v>
      </c>
    </row>
    <row r="6441" spans="1:6" ht="25.5">
      <c r="A6441" s="2">
        <v>6438</v>
      </c>
      <c r="B6441" s="2" t="s">
        <v>6516</v>
      </c>
      <c r="C6441" s="2" t="str">
        <f>"00155659"</f>
        <v>00155659</v>
      </c>
      <c r="D6441" s="2">
        <v>0.20699999999999999</v>
      </c>
      <c r="E6441" s="2">
        <v>14</v>
      </c>
      <c r="F6441" s="2" t="s">
        <v>169</v>
      </c>
    </row>
    <row r="6442" spans="1:6" ht="25.5">
      <c r="A6442" s="2">
        <v>6439</v>
      </c>
      <c r="B6442" s="2" t="s">
        <v>6517</v>
      </c>
      <c r="C6442" s="2" t="str">
        <f>"16414640"</f>
        <v>16414640</v>
      </c>
      <c r="D6442" s="2">
        <v>0.42199999999999999</v>
      </c>
      <c r="E6442" s="2">
        <v>20</v>
      </c>
      <c r="F6442" s="2" t="s">
        <v>169</v>
      </c>
    </row>
    <row r="6443" spans="1:6" ht="25.5">
      <c r="A6443" s="2">
        <v>6440</v>
      </c>
      <c r="B6443" s="2" t="s">
        <v>6518</v>
      </c>
      <c r="C6443" s="2" t="str">
        <f>"13365266"</f>
        <v>13365266</v>
      </c>
      <c r="D6443" s="2">
        <v>0.17899999999999999</v>
      </c>
      <c r="E6443" s="2">
        <v>3</v>
      </c>
      <c r="F6443" s="2" t="s">
        <v>241</v>
      </c>
    </row>
    <row r="6444" spans="1:6" ht="25.5">
      <c r="A6444" s="2">
        <v>6441</v>
      </c>
      <c r="B6444" s="2" t="s">
        <v>6519</v>
      </c>
      <c r="C6444" s="2" t="str">
        <f>"13300695"</f>
        <v>13300695</v>
      </c>
      <c r="D6444" s="2">
        <v>0.10299999999999999</v>
      </c>
      <c r="E6444" s="2">
        <v>0</v>
      </c>
      <c r="F6444" s="2" t="s">
        <v>149</v>
      </c>
    </row>
    <row r="6445" spans="1:6" ht="25.5">
      <c r="A6445" s="2">
        <v>6442</v>
      </c>
      <c r="B6445" s="2" t="s">
        <v>6520</v>
      </c>
      <c r="C6445" s="2" t="str">
        <f>"00155683"</f>
        <v>00155683</v>
      </c>
      <c r="D6445" s="2">
        <v>0.94299999999999995</v>
      </c>
      <c r="E6445" s="2">
        <v>28</v>
      </c>
      <c r="F6445" s="2" t="s">
        <v>208</v>
      </c>
    </row>
    <row r="6446" spans="1:6" ht="25.5">
      <c r="A6446" s="2">
        <v>6443</v>
      </c>
      <c r="B6446" s="2" t="s">
        <v>6521</v>
      </c>
      <c r="C6446" s="2" t="str">
        <f>"13478397"</f>
        <v>13478397</v>
      </c>
      <c r="D6446" s="2">
        <v>0.108</v>
      </c>
      <c r="E6446" s="2">
        <v>15</v>
      </c>
      <c r="F6446" s="2" t="s">
        <v>131</v>
      </c>
    </row>
    <row r="6447" spans="1:6" ht="25.5">
      <c r="A6447" s="2">
        <v>6444</v>
      </c>
      <c r="B6447" s="2" t="s">
        <v>6522</v>
      </c>
      <c r="C6447" s="2" t="str">
        <f>"14219972"</f>
        <v>14219972</v>
      </c>
      <c r="D6447" s="2">
        <v>0.51900000000000002</v>
      </c>
      <c r="E6447" s="2">
        <v>30</v>
      </c>
      <c r="F6447" s="2" t="s">
        <v>31</v>
      </c>
    </row>
    <row r="6448" spans="1:6" ht="25.5">
      <c r="A6448" s="2">
        <v>6445</v>
      </c>
      <c r="B6448" s="2" t="s">
        <v>6523</v>
      </c>
      <c r="C6448" s="2" t="str">
        <f>"14219980"</f>
        <v>14219980</v>
      </c>
      <c r="D6448" s="2">
        <v>0.57799999999999996</v>
      </c>
      <c r="E6448" s="2">
        <v>30</v>
      </c>
      <c r="F6448" s="2" t="s">
        <v>31</v>
      </c>
    </row>
    <row r="6449" spans="1:6" ht="25.5">
      <c r="A6449" s="2">
        <v>6446</v>
      </c>
      <c r="B6449" s="2" t="s">
        <v>6524</v>
      </c>
      <c r="C6449" s="2" t="str">
        <f>"01397893"</f>
        <v>01397893</v>
      </c>
      <c r="D6449" s="2">
        <v>0.20599999999999999</v>
      </c>
      <c r="E6449" s="2">
        <v>22</v>
      </c>
      <c r="F6449" s="2" t="s">
        <v>208</v>
      </c>
    </row>
    <row r="6450" spans="1:6" ht="25.5">
      <c r="A6450" s="2">
        <v>6447</v>
      </c>
      <c r="B6450" s="2" t="s">
        <v>6525</v>
      </c>
      <c r="C6450" s="2" t="str">
        <f>"04308778"</f>
        <v>04308778</v>
      </c>
      <c r="D6450" s="2">
        <v>0.13300000000000001</v>
      </c>
      <c r="E6450" s="2">
        <v>3</v>
      </c>
      <c r="F6450" s="2" t="s">
        <v>16</v>
      </c>
    </row>
    <row r="6451" spans="1:6" ht="25.5">
      <c r="A6451" s="2">
        <v>6448</v>
      </c>
      <c r="B6451" s="2" t="s">
        <v>6526</v>
      </c>
      <c r="C6451" s="2" t="str">
        <f>"14698315"</f>
        <v>14698315</v>
      </c>
      <c r="D6451" s="2">
        <v>0.16</v>
      </c>
      <c r="E6451" s="2">
        <v>7</v>
      </c>
      <c r="F6451" s="2" t="s">
        <v>16</v>
      </c>
    </row>
    <row r="6452" spans="1:6" ht="25.5">
      <c r="A6452" s="2">
        <v>6449</v>
      </c>
      <c r="B6452" s="2" t="s">
        <v>6527</v>
      </c>
      <c r="C6452" s="2" t="str">
        <f>"14060957"</f>
        <v>14060957</v>
      </c>
      <c r="D6452" s="2">
        <v>0</v>
      </c>
      <c r="E6452" s="2">
        <v>0</v>
      </c>
      <c r="F6452" s="2" t="s">
        <v>265</v>
      </c>
    </row>
    <row r="6453" spans="1:6" ht="25.5">
      <c r="A6453" s="2">
        <v>6450</v>
      </c>
      <c r="B6453" s="2" t="s">
        <v>6528</v>
      </c>
      <c r="C6453" s="2" t="str">
        <f>"05319684"</f>
        <v>05319684</v>
      </c>
      <c r="D6453" s="2">
        <v>0.104</v>
      </c>
      <c r="E6453" s="2">
        <v>2</v>
      </c>
      <c r="F6453" s="2" t="s">
        <v>16</v>
      </c>
    </row>
    <row r="6454" spans="1:6" ht="25.5">
      <c r="A6454" s="2">
        <v>6451</v>
      </c>
      <c r="B6454" s="2" t="s">
        <v>6529</v>
      </c>
      <c r="C6454" s="2" t="str">
        <f>"00156191"</f>
        <v>00156191</v>
      </c>
      <c r="D6454" s="2">
        <v>0.10100000000000001</v>
      </c>
      <c r="E6454" s="2">
        <v>1</v>
      </c>
      <c r="F6454" s="2" t="s">
        <v>6</v>
      </c>
    </row>
    <row r="6455" spans="1:6" ht="25.5">
      <c r="A6455" s="2">
        <v>6452</v>
      </c>
      <c r="B6455" s="2" t="s">
        <v>6530</v>
      </c>
      <c r="C6455" s="2" t="str">
        <f>"19440057"</f>
        <v>19440057</v>
      </c>
      <c r="D6455" s="2">
        <v>0.81699999999999995</v>
      </c>
      <c r="E6455" s="2">
        <v>23</v>
      </c>
      <c r="F6455" s="2" t="s">
        <v>16</v>
      </c>
    </row>
    <row r="6456" spans="1:6" ht="25.5">
      <c r="A6456" s="2">
        <v>6453</v>
      </c>
      <c r="B6456" s="2" t="s">
        <v>6531</v>
      </c>
      <c r="C6456" s="2" t="str">
        <f>"19393229"</f>
        <v>19393229</v>
      </c>
      <c r="D6456" s="2">
        <v>0.44</v>
      </c>
      <c r="E6456" s="2">
        <v>8</v>
      </c>
      <c r="F6456" s="2" t="s">
        <v>16</v>
      </c>
    </row>
    <row r="6457" spans="1:6" ht="25.5">
      <c r="A6457" s="2">
        <v>6454</v>
      </c>
      <c r="B6457" s="2" t="s">
        <v>6532</v>
      </c>
      <c r="C6457" s="2" t="str">
        <f>"1936976X"</f>
        <v>1936976X</v>
      </c>
      <c r="D6457" s="2">
        <v>0.68100000000000005</v>
      </c>
      <c r="E6457" s="2">
        <v>10</v>
      </c>
      <c r="F6457" s="2" t="s">
        <v>6</v>
      </c>
    </row>
    <row r="6458" spans="1:6" ht="25.5">
      <c r="A6458" s="2">
        <v>6455</v>
      </c>
      <c r="B6458" s="2" t="s">
        <v>6533</v>
      </c>
      <c r="C6458" s="2" t="str">
        <f>"14653443"</f>
        <v>14653443</v>
      </c>
      <c r="D6458" s="2">
        <v>0.33900000000000002</v>
      </c>
      <c r="E6458" s="2">
        <v>22</v>
      </c>
      <c r="F6458" s="2" t="s">
        <v>16</v>
      </c>
    </row>
    <row r="6459" spans="1:6" ht="25.5">
      <c r="A6459" s="2">
        <v>6456</v>
      </c>
      <c r="B6459" s="2" t="s">
        <v>6534</v>
      </c>
      <c r="C6459" s="2" t="str">
        <f>"19355149"</f>
        <v>19355149</v>
      </c>
      <c r="D6459" s="2">
        <v>1.1870000000000001</v>
      </c>
      <c r="E6459" s="2">
        <v>20</v>
      </c>
      <c r="F6459" s="2" t="s">
        <v>6</v>
      </c>
    </row>
    <row r="6460" spans="1:6" ht="25.5">
      <c r="A6460" s="2">
        <v>6457</v>
      </c>
      <c r="B6460" s="2" t="s">
        <v>6535</v>
      </c>
      <c r="C6460" s="2" t="str">
        <f>"17443571"</f>
        <v>17443571</v>
      </c>
      <c r="D6460" s="2">
        <v>0.70299999999999996</v>
      </c>
      <c r="E6460" s="2">
        <v>24</v>
      </c>
      <c r="F6460" s="2" t="s">
        <v>16</v>
      </c>
    </row>
    <row r="6461" spans="1:6" ht="25.5">
      <c r="A6461" s="2">
        <v>6458</v>
      </c>
      <c r="B6461" s="2" t="s">
        <v>6536</v>
      </c>
      <c r="C6461" s="2" t="str">
        <f>"02786915"</f>
        <v>02786915</v>
      </c>
      <c r="D6461" s="2">
        <v>0.99399999999999999</v>
      </c>
      <c r="E6461" s="2">
        <v>90</v>
      </c>
      <c r="F6461" s="2" t="s">
        <v>16</v>
      </c>
    </row>
    <row r="6462" spans="1:6" ht="25.5">
      <c r="A6462" s="2">
        <v>6459</v>
      </c>
      <c r="B6462" s="2" t="s">
        <v>6537</v>
      </c>
      <c r="C6462" s="2" t="str">
        <f>"1064590X"</f>
        <v>1064590X</v>
      </c>
      <c r="D6462" s="2">
        <v>0.16</v>
      </c>
      <c r="E6462" s="2">
        <v>13</v>
      </c>
      <c r="F6462" s="2" t="s">
        <v>6</v>
      </c>
    </row>
    <row r="6463" spans="1:6" ht="25.5">
      <c r="A6463" s="2">
        <v>6460</v>
      </c>
      <c r="B6463" s="2" t="s">
        <v>6538</v>
      </c>
      <c r="C6463" s="2" t="str">
        <f>"18670334"</f>
        <v>18670334</v>
      </c>
      <c r="D6463" s="2">
        <v>0.69099999999999995</v>
      </c>
      <c r="E6463" s="2">
        <v>6</v>
      </c>
      <c r="F6463" s="2" t="s">
        <v>6</v>
      </c>
    </row>
    <row r="6464" spans="1:6" ht="25.5">
      <c r="A6464" s="2">
        <v>6461</v>
      </c>
      <c r="B6464" s="2" t="s">
        <v>6539</v>
      </c>
      <c r="C6464" s="2" t="str">
        <f>"07409710"</f>
        <v>07409710</v>
      </c>
      <c r="D6464" s="2">
        <v>0.14000000000000001</v>
      </c>
      <c r="E6464" s="2">
        <v>4</v>
      </c>
      <c r="F6464" s="2" t="s">
        <v>16</v>
      </c>
    </row>
    <row r="6465" spans="1:6" ht="25.5">
      <c r="A6465" s="2">
        <v>6462</v>
      </c>
      <c r="B6465" s="2" t="s">
        <v>6540</v>
      </c>
      <c r="C6465" s="2" t="str">
        <f>"2042650X"</f>
        <v>2042650X</v>
      </c>
      <c r="D6465" s="2">
        <v>0.83699999999999997</v>
      </c>
      <c r="E6465" s="2">
        <v>9</v>
      </c>
      <c r="F6465" s="2" t="s">
        <v>16</v>
      </c>
    </row>
    <row r="6466" spans="1:6" ht="25.5">
      <c r="A6466" s="2">
        <v>6463</v>
      </c>
      <c r="B6466" s="2" t="s">
        <v>6541</v>
      </c>
      <c r="C6466" s="2" t="str">
        <f>"03795721"</f>
        <v>03795721</v>
      </c>
      <c r="D6466" s="2">
        <v>1.2410000000000001</v>
      </c>
      <c r="E6466" s="2">
        <v>34</v>
      </c>
      <c r="F6466" s="2" t="s">
        <v>131</v>
      </c>
    </row>
    <row r="6467" spans="1:6" ht="25.5">
      <c r="A6467" s="2">
        <v>6464</v>
      </c>
      <c r="B6467" s="2" t="s">
        <v>6542</v>
      </c>
      <c r="C6467" s="2" t="str">
        <f>"10325298"</f>
        <v>10325298</v>
      </c>
      <c r="D6467" s="2">
        <v>0.106</v>
      </c>
      <c r="E6467" s="2">
        <v>17</v>
      </c>
      <c r="F6467" s="2" t="s">
        <v>127</v>
      </c>
    </row>
    <row r="6468" spans="1:6" ht="25.5">
      <c r="A6468" s="2">
        <v>6465</v>
      </c>
      <c r="B6468" s="2" t="s">
        <v>6543</v>
      </c>
      <c r="C6468" s="2" t="str">
        <f>"15571866"</f>
        <v>15571866</v>
      </c>
      <c r="D6468" s="2">
        <v>0.64</v>
      </c>
      <c r="E6468" s="2">
        <v>17</v>
      </c>
      <c r="F6468" s="2" t="s">
        <v>6</v>
      </c>
    </row>
    <row r="6469" spans="1:6" ht="25.5">
      <c r="A6469" s="2">
        <v>6466</v>
      </c>
      <c r="B6469" s="2" t="s">
        <v>6544</v>
      </c>
      <c r="C6469" s="2" t="str">
        <f>"15324249"</f>
        <v>15324249</v>
      </c>
      <c r="D6469" s="2">
        <v>0.249</v>
      </c>
      <c r="E6469" s="2">
        <v>18</v>
      </c>
      <c r="F6469" s="2" t="s">
        <v>16</v>
      </c>
    </row>
    <row r="6470" spans="1:6" ht="25.5">
      <c r="A6470" s="2">
        <v>6467</v>
      </c>
      <c r="B6470" s="2" t="s">
        <v>6545</v>
      </c>
      <c r="C6470" s="2" t="str">
        <f>"15567125"</f>
        <v>15567125</v>
      </c>
      <c r="D6470" s="2">
        <v>1.0149999999999999</v>
      </c>
      <c r="E6470" s="2">
        <v>29</v>
      </c>
      <c r="F6470" s="2" t="s">
        <v>6</v>
      </c>
    </row>
    <row r="6471" spans="1:6" ht="25.5">
      <c r="A6471" s="2">
        <v>6468</v>
      </c>
      <c r="B6471" s="2" t="s">
        <v>6546</v>
      </c>
      <c r="C6471" s="2" t="str">
        <f>"03088146"</f>
        <v>03088146</v>
      </c>
      <c r="D6471" s="2">
        <v>1.5760000000000001</v>
      </c>
      <c r="E6471" s="2">
        <v>113</v>
      </c>
      <c r="F6471" s="2" t="s">
        <v>16</v>
      </c>
    </row>
    <row r="6472" spans="1:6" ht="25.5">
      <c r="A6472" s="2">
        <v>6469</v>
      </c>
      <c r="B6472" s="2" t="s">
        <v>6547</v>
      </c>
      <c r="C6472" s="2" t="str">
        <f>"09567135"</f>
        <v>09567135</v>
      </c>
      <c r="D6472" s="2">
        <v>1.1040000000000001</v>
      </c>
      <c r="E6472" s="2">
        <v>49</v>
      </c>
      <c r="F6472" s="2" t="s">
        <v>75</v>
      </c>
    </row>
    <row r="6473" spans="1:6" ht="25.5">
      <c r="A6473" s="2">
        <v>6470</v>
      </c>
      <c r="B6473" s="2" t="s">
        <v>6548</v>
      </c>
      <c r="C6473" s="2" t="str">
        <f>"15528014"</f>
        <v>15528014</v>
      </c>
      <c r="D6473" s="2">
        <v>0.33500000000000002</v>
      </c>
      <c r="E6473" s="2">
        <v>5</v>
      </c>
      <c r="F6473" s="2" t="s">
        <v>16</v>
      </c>
    </row>
    <row r="6474" spans="1:6" ht="25.5">
      <c r="A6474" s="2">
        <v>6471</v>
      </c>
      <c r="B6474" s="2" t="s">
        <v>6549</v>
      </c>
      <c r="C6474" s="2" t="str">
        <f>"18691986"</f>
        <v>18691986</v>
      </c>
      <c r="D6474" s="2">
        <v>0.28699999999999998</v>
      </c>
      <c r="E6474" s="2">
        <v>2</v>
      </c>
      <c r="F6474" s="2" t="s">
        <v>6</v>
      </c>
    </row>
    <row r="6475" spans="1:6" ht="25.5">
      <c r="A6475" s="2">
        <v>6472</v>
      </c>
      <c r="B6475" s="2" t="s">
        <v>6550</v>
      </c>
      <c r="C6475" s="2" t="str">
        <f>"18667929"</f>
        <v>18667929</v>
      </c>
      <c r="D6475" s="2">
        <v>1.1499999999999999</v>
      </c>
      <c r="E6475" s="2">
        <v>8</v>
      </c>
      <c r="F6475" s="2" t="s">
        <v>6</v>
      </c>
    </row>
    <row r="6476" spans="1:6" ht="25.5">
      <c r="A6476" s="2">
        <v>6473</v>
      </c>
      <c r="B6476" s="2" t="s">
        <v>6551</v>
      </c>
      <c r="C6476" s="2" t="str">
        <f>"0268005X"</f>
        <v>0268005X</v>
      </c>
      <c r="D6476" s="2">
        <v>1.641</v>
      </c>
      <c r="E6476" s="2">
        <v>61</v>
      </c>
      <c r="F6476" s="2" t="s">
        <v>75</v>
      </c>
    </row>
    <row r="6477" spans="1:6" ht="25.5">
      <c r="A6477" s="2">
        <v>6474</v>
      </c>
      <c r="B6477" s="2" t="s">
        <v>6552</v>
      </c>
      <c r="C6477" s="2" t="str">
        <f>"10959998"</f>
        <v>10959998</v>
      </c>
      <c r="D6477" s="2">
        <v>1.3759999999999999</v>
      </c>
      <c r="E6477" s="2">
        <v>57</v>
      </c>
      <c r="F6477" s="2" t="s">
        <v>6</v>
      </c>
    </row>
    <row r="6478" spans="1:6" ht="25.5">
      <c r="A6478" s="2">
        <v>6475</v>
      </c>
      <c r="B6478" s="2" t="s">
        <v>6553</v>
      </c>
      <c r="C6478" s="2" t="str">
        <f>"03069192"</f>
        <v>03069192</v>
      </c>
      <c r="D6478" s="2">
        <v>1.3720000000000001</v>
      </c>
      <c r="E6478" s="2">
        <v>39</v>
      </c>
      <c r="F6478" s="2" t="s">
        <v>75</v>
      </c>
    </row>
    <row r="6479" spans="1:6" ht="25.5">
      <c r="A6479" s="2">
        <v>6476</v>
      </c>
      <c r="B6479" s="2" t="s">
        <v>6554</v>
      </c>
      <c r="C6479" s="2" t="str">
        <f>"15419576"</f>
        <v>15419576</v>
      </c>
      <c r="D6479" s="2">
        <v>0.126</v>
      </c>
      <c r="E6479" s="2">
        <v>1</v>
      </c>
      <c r="F6479" s="2" t="s">
        <v>6</v>
      </c>
    </row>
    <row r="6480" spans="1:6" ht="25.5">
      <c r="A6480" s="2">
        <v>6477</v>
      </c>
      <c r="B6480" s="2" t="s">
        <v>6555</v>
      </c>
      <c r="C6480" s="2" t="str">
        <f>"09503293"</f>
        <v>09503293</v>
      </c>
      <c r="D6480" s="2">
        <v>0.81499999999999995</v>
      </c>
      <c r="E6480" s="2">
        <v>54</v>
      </c>
      <c r="F6480" s="2" t="s">
        <v>16</v>
      </c>
    </row>
    <row r="6481" spans="1:6" ht="25.5">
      <c r="A6481" s="2">
        <v>6478</v>
      </c>
      <c r="B6481" s="2" t="s">
        <v>6556</v>
      </c>
      <c r="C6481" s="2" t="str">
        <f>"09639969"</f>
        <v>09639969</v>
      </c>
      <c r="D6481" s="2">
        <v>1.3959999999999999</v>
      </c>
      <c r="E6481" s="2">
        <v>67</v>
      </c>
      <c r="F6481" s="2" t="s">
        <v>16</v>
      </c>
    </row>
    <row r="6482" spans="1:6" ht="25.5">
      <c r="A6482" s="2">
        <v>6479</v>
      </c>
      <c r="B6482" s="2" t="s">
        <v>6557</v>
      </c>
      <c r="C6482" s="2" t="str">
        <f>"87559129"</f>
        <v>87559129</v>
      </c>
      <c r="D6482" s="2">
        <v>0.81599999999999995</v>
      </c>
      <c r="E6482" s="2">
        <v>37</v>
      </c>
      <c r="F6482" s="2" t="s">
        <v>16</v>
      </c>
    </row>
    <row r="6483" spans="1:6" ht="25.5">
      <c r="A6483" s="2">
        <v>6480</v>
      </c>
      <c r="B6483" s="2" t="s">
        <v>6558</v>
      </c>
      <c r="C6483" s="2" t="str">
        <f>"20926456"</f>
        <v>20926456</v>
      </c>
      <c r="D6483" s="2">
        <v>0.314</v>
      </c>
      <c r="E6483" s="2">
        <v>13</v>
      </c>
      <c r="F6483" s="2" t="s">
        <v>75</v>
      </c>
    </row>
    <row r="6484" spans="1:6" ht="25.5">
      <c r="A6484" s="2">
        <v>6481</v>
      </c>
      <c r="B6484" s="2" t="s">
        <v>6559</v>
      </c>
      <c r="C6484" s="2" t="str">
        <f>"14753324"</f>
        <v>14753324</v>
      </c>
      <c r="D6484" s="2">
        <v>0.104</v>
      </c>
      <c r="E6484" s="2">
        <v>3</v>
      </c>
      <c r="F6484" s="2" t="s">
        <v>16</v>
      </c>
    </row>
    <row r="6485" spans="1:6" ht="25.5">
      <c r="A6485" s="2">
        <v>6482</v>
      </c>
      <c r="B6485" s="2" t="s">
        <v>6560</v>
      </c>
      <c r="C6485" s="2" t="str">
        <f>"10820132"</f>
        <v>10820132</v>
      </c>
      <c r="D6485" s="2">
        <v>0.48299999999999998</v>
      </c>
      <c r="E6485" s="2">
        <v>31</v>
      </c>
      <c r="F6485" s="2" t="s">
        <v>6</v>
      </c>
    </row>
    <row r="6486" spans="1:6" ht="25.5">
      <c r="A6486" s="2">
        <v>6483</v>
      </c>
      <c r="B6486" s="2" t="s">
        <v>6561</v>
      </c>
      <c r="C6486" s="2" t="str">
        <f>"13446606"</f>
        <v>13446606</v>
      </c>
      <c r="D6486" s="2">
        <v>0.31900000000000001</v>
      </c>
      <c r="E6486" s="2">
        <v>22</v>
      </c>
      <c r="F6486" s="2" t="s">
        <v>131</v>
      </c>
    </row>
    <row r="6487" spans="1:6" ht="25.5">
      <c r="A6487" s="2">
        <v>6484</v>
      </c>
      <c r="B6487" s="2" t="s">
        <v>6562</v>
      </c>
      <c r="C6487" s="2" t="str">
        <f>"18764525"</f>
        <v>18764525</v>
      </c>
      <c r="D6487" s="2">
        <v>0.68799999999999994</v>
      </c>
      <c r="E6487" s="2">
        <v>7</v>
      </c>
      <c r="F6487" s="2" t="s">
        <v>75</v>
      </c>
    </row>
    <row r="6488" spans="1:6" ht="25.5">
      <c r="A6488" s="2">
        <v>6485</v>
      </c>
      <c r="B6488" s="2" t="s">
        <v>6563</v>
      </c>
      <c r="C6488" s="2" t="str">
        <f>"13309862"</f>
        <v>13309862</v>
      </c>
      <c r="D6488" s="2">
        <v>0.42099999999999999</v>
      </c>
      <c r="E6488" s="2">
        <v>32</v>
      </c>
      <c r="F6488" s="2" t="s">
        <v>149</v>
      </c>
    </row>
    <row r="6489" spans="1:6" ht="25.5">
      <c r="A6489" s="2">
        <v>6486</v>
      </c>
      <c r="B6489" s="2" t="s">
        <v>6564</v>
      </c>
      <c r="C6489" s="2" t="str">
        <f>"15322963"</f>
        <v>15322963</v>
      </c>
      <c r="D6489" s="2">
        <v>0.38100000000000001</v>
      </c>
      <c r="E6489" s="2">
        <v>15</v>
      </c>
      <c r="F6489" s="2" t="s">
        <v>16</v>
      </c>
    </row>
    <row r="6490" spans="1:6" ht="25.5">
      <c r="A6490" s="2">
        <v>6487</v>
      </c>
      <c r="B6490" s="2" t="s">
        <v>6565</v>
      </c>
      <c r="C6490" s="2" t="str">
        <f>"10837515"</f>
        <v>10837515</v>
      </c>
      <c r="D6490" s="2">
        <v>0.58899999999999997</v>
      </c>
      <c r="E6490" s="2">
        <v>31</v>
      </c>
      <c r="F6490" s="2" t="s">
        <v>16</v>
      </c>
    </row>
    <row r="6491" spans="1:6" ht="25.5">
      <c r="A6491" s="2">
        <v>6488</v>
      </c>
      <c r="B6491" s="2" t="s">
        <v>6566</v>
      </c>
      <c r="C6491" s="2" t="str">
        <f>"10711007"</f>
        <v>10711007</v>
      </c>
      <c r="D6491" s="2">
        <v>1.0209999999999999</v>
      </c>
      <c r="E6491" s="2">
        <v>62</v>
      </c>
      <c r="F6491" s="2" t="s">
        <v>6</v>
      </c>
    </row>
    <row r="6492" spans="1:6" ht="25.5">
      <c r="A6492" s="2">
        <v>6489</v>
      </c>
      <c r="B6492" s="2" t="s">
        <v>6567</v>
      </c>
      <c r="C6492" s="2" t="str">
        <f>"19387636"</f>
        <v>19387636</v>
      </c>
      <c r="D6492" s="2">
        <v>0.32400000000000001</v>
      </c>
      <c r="E6492" s="2">
        <v>8</v>
      </c>
      <c r="F6492" s="2" t="s">
        <v>16</v>
      </c>
    </row>
    <row r="6493" spans="1:6" ht="25.5">
      <c r="A6493" s="2">
        <v>6490</v>
      </c>
      <c r="B6493" s="2" t="s">
        <v>6568</v>
      </c>
      <c r="C6493" s="2" t="str">
        <f>"14609584"</f>
        <v>14609584</v>
      </c>
      <c r="D6493" s="2">
        <v>0.42399999999999999</v>
      </c>
      <c r="E6493" s="2">
        <v>14</v>
      </c>
      <c r="F6493" s="2" t="s">
        <v>16</v>
      </c>
    </row>
    <row r="6494" spans="1:6" ht="25.5">
      <c r="A6494" s="2">
        <v>6491</v>
      </c>
      <c r="B6494" s="2" t="s">
        <v>6569</v>
      </c>
      <c r="C6494" s="2" t="str">
        <f>"18751504"</f>
        <v>18751504</v>
      </c>
      <c r="D6494" s="2">
        <v>0.10199999999999999</v>
      </c>
      <c r="E6494" s="2">
        <v>0</v>
      </c>
      <c r="F6494" s="2" t="s">
        <v>75</v>
      </c>
    </row>
    <row r="6495" spans="1:6" ht="25.5">
      <c r="A6495" s="2">
        <v>6492</v>
      </c>
      <c r="B6495" s="2" t="s">
        <v>6570</v>
      </c>
      <c r="C6495" s="2" t="str">
        <f>"0015704X"</f>
        <v>0015704X</v>
      </c>
      <c r="D6495" s="2">
        <v>0.55200000000000005</v>
      </c>
      <c r="E6495" s="2">
        <v>14</v>
      </c>
      <c r="F6495" s="2" t="s">
        <v>6</v>
      </c>
    </row>
    <row r="6496" spans="1:6" ht="25.5">
      <c r="A6496" s="2">
        <v>6493</v>
      </c>
      <c r="B6496" s="2" t="s">
        <v>6571</v>
      </c>
      <c r="C6496" s="2" t="str">
        <f>"00157120"</f>
        <v>00157120</v>
      </c>
      <c r="D6496" s="2">
        <v>0.68799999999999994</v>
      </c>
      <c r="E6496" s="2">
        <v>41</v>
      </c>
      <c r="F6496" s="2" t="s">
        <v>6</v>
      </c>
    </row>
    <row r="6497" spans="1:6" ht="25.5">
      <c r="A6497" s="2">
        <v>6494</v>
      </c>
      <c r="B6497" s="2" t="s">
        <v>6572</v>
      </c>
      <c r="C6497" s="2" t="str">
        <f>"0015718X"</f>
        <v>0015718X</v>
      </c>
      <c r="D6497" s="2">
        <v>0.62</v>
      </c>
      <c r="E6497" s="2">
        <v>17</v>
      </c>
      <c r="F6497" s="2" t="s">
        <v>6</v>
      </c>
    </row>
    <row r="6498" spans="1:6" ht="25.5">
      <c r="A6498" s="2">
        <v>6495</v>
      </c>
      <c r="B6498" s="2" t="s">
        <v>6573</v>
      </c>
      <c r="C6498" s="2" t="str">
        <f>"00157228"</f>
        <v>00157228</v>
      </c>
      <c r="D6498" s="2">
        <v>0.192</v>
      </c>
      <c r="E6498" s="2">
        <v>19</v>
      </c>
      <c r="F6498" s="2" t="s">
        <v>6</v>
      </c>
    </row>
    <row r="6499" spans="1:6" ht="25.5">
      <c r="A6499" s="2">
        <v>6496</v>
      </c>
      <c r="B6499" s="2" t="s">
        <v>6574</v>
      </c>
      <c r="C6499" s="2" t="str">
        <f>"17438594"</f>
        <v>17438594</v>
      </c>
      <c r="D6499" s="2">
        <v>0.39200000000000002</v>
      </c>
      <c r="E6499" s="2">
        <v>2</v>
      </c>
      <c r="F6499" s="2" t="s">
        <v>6</v>
      </c>
    </row>
    <row r="6500" spans="1:6" ht="25.5">
      <c r="A6500" s="2">
        <v>6497</v>
      </c>
      <c r="B6500" s="2" t="s">
        <v>6575</v>
      </c>
      <c r="C6500" s="2" t="str">
        <f>"18726283"</f>
        <v>18726283</v>
      </c>
      <c r="D6500" s="2">
        <v>1.093</v>
      </c>
      <c r="E6500" s="2">
        <v>67</v>
      </c>
      <c r="F6500" s="2" t="s">
        <v>732</v>
      </c>
    </row>
    <row r="6501" spans="1:6" ht="25.5">
      <c r="A6501" s="2">
        <v>6498</v>
      </c>
      <c r="B6501" s="2" t="s">
        <v>6576</v>
      </c>
      <c r="C6501" s="2" t="str">
        <f>"18724973"</f>
        <v>18724973</v>
      </c>
      <c r="D6501" s="2">
        <v>0.98</v>
      </c>
      <c r="E6501" s="2">
        <v>25</v>
      </c>
      <c r="F6501" s="2" t="s">
        <v>732</v>
      </c>
    </row>
    <row r="6502" spans="1:6" ht="25.5">
      <c r="A6502" s="2">
        <v>6499</v>
      </c>
      <c r="B6502" s="2" t="s">
        <v>6577</v>
      </c>
      <c r="C6502" s="2" t="str">
        <f>"18751768"</f>
        <v>18751768</v>
      </c>
      <c r="D6502" s="2">
        <v>0.17699999999999999</v>
      </c>
      <c r="E6502" s="2">
        <v>7</v>
      </c>
      <c r="F6502" s="2" t="s">
        <v>732</v>
      </c>
    </row>
    <row r="6503" spans="1:6" ht="25.5">
      <c r="A6503" s="2">
        <v>6500</v>
      </c>
      <c r="B6503" s="2" t="s">
        <v>6578</v>
      </c>
      <c r="C6503" s="2" t="str">
        <f>"15562891"</f>
        <v>15562891</v>
      </c>
      <c r="D6503" s="2">
        <v>0.56000000000000005</v>
      </c>
      <c r="E6503" s="2">
        <v>12</v>
      </c>
      <c r="F6503" s="2" t="s">
        <v>6</v>
      </c>
    </row>
    <row r="6504" spans="1:6" ht="25.5">
      <c r="A6504" s="2">
        <v>6501</v>
      </c>
      <c r="B6504" s="2" t="s">
        <v>6579</v>
      </c>
      <c r="C6504" s="2" t="str">
        <f>"18608973"</f>
        <v>18608973</v>
      </c>
      <c r="D6504" s="2">
        <v>1.607</v>
      </c>
      <c r="E6504" s="2">
        <v>14</v>
      </c>
      <c r="F6504" s="2" t="s">
        <v>131</v>
      </c>
    </row>
    <row r="6505" spans="1:6" ht="25.5">
      <c r="A6505" s="2">
        <v>6502</v>
      </c>
      <c r="B6505" s="2" t="s">
        <v>6580</v>
      </c>
      <c r="C6505" s="2" t="str">
        <f>"18627080"</f>
        <v>18627080</v>
      </c>
      <c r="D6505" s="2">
        <v>0.17499999999999999</v>
      </c>
      <c r="E6505" s="2">
        <v>6</v>
      </c>
      <c r="F6505" s="2" t="s">
        <v>12</v>
      </c>
    </row>
    <row r="6506" spans="1:6" ht="25.5">
      <c r="A6506" s="2">
        <v>6503</v>
      </c>
      <c r="B6506" s="2" t="s">
        <v>6581</v>
      </c>
      <c r="C6506" s="2" t="str">
        <f>"14659832"</f>
        <v>14659832</v>
      </c>
      <c r="D6506" s="2">
        <v>0.47</v>
      </c>
      <c r="E6506" s="2">
        <v>14</v>
      </c>
      <c r="F6506" s="2" t="s">
        <v>16</v>
      </c>
    </row>
    <row r="6507" spans="1:6" ht="25.5">
      <c r="A6507" s="2">
        <v>6504</v>
      </c>
      <c r="B6507" s="2" t="s">
        <v>6582</v>
      </c>
      <c r="C6507" s="2" t="str">
        <f>"03781127"</f>
        <v>03781127</v>
      </c>
      <c r="D6507" s="2">
        <v>1.5289999999999999</v>
      </c>
      <c r="E6507" s="2">
        <v>96</v>
      </c>
      <c r="F6507" s="2" t="s">
        <v>75</v>
      </c>
    </row>
    <row r="6508" spans="1:6" ht="25.5">
      <c r="A6508" s="2">
        <v>6505</v>
      </c>
      <c r="B6508" s="2" t="s">
        <v>6583</v>
      </c>
      <c r="C6508" s="2" t="str">
        <f>"14390329"</f>
        <v>14390329</v>
      </c>
      <c r="D6508" s="2">
        <v>0.64800000000000002</v>
      </c>
      <c r="E6508" s="2">
        <v>27</v>
      </c>
      <c r="F6508" s="2" t="s">
        <v>16</v>
      </c>
    </row>
    <row r="6509" spans="1:6" ht="25.5">
      <c r="A6509" s="2">
        <v>6506</v>
      </c>
      <c r="B6509" s="2" t="s">
        <v>6584</v>
      </c>
      <c r="C6509" s="2" t="str">
        <f>"13899341"</f>
        <v>13899341</v>
      </c>
      <c r="D6509" s="2">
        <v>0.90600000000000003</v>
      </c>
      <c r="E6509" s="2">
        <v>28</v>
      </c>
      <c r="F6509" s="2" t="s">
        <v>75</v>
      </c>
    </row>
    <row r="6510" spans="1:6" ht="25.5">
      <c r="A6510" s="2">
        <v>6507</v>
      </c>
      <c r="B6510" s="2" t="s">
        <v>6585</v>
      </c>
      <c r="C6510" s="2" t="str">
        <f>"00157473"</f>
        <v>00157473</v>
      </c>
      <c r="D6510" s="2">
        <v>0.28199999999999997</v>
      </c>
      <c r="E6510" s="2">
        <v>30</v>
      </c>
      <c r="F6510" s="2" t="s">
        <v>6</v>
      </c>
    </row>
    <row r="6511" spans="1:6" ht="25.5">
      <c r="A6511" s="2">
        <v>6508</v>
      </c>
      <c r="B6511" s="2" t="s">
        <v>6586</v>
      </c>
      <c r="C6511" s="2" t="str">
        <f>"10011498"</f>
        <v>10011498</v>
      </c>
      <c r="D6511" s="2">
        <v>0.12</v>
      </c>
      <c r="E6511" s="2">
        <v>9</v>
      </c>
      <c r="F6511" s="2" t="s">
        <v>46</v>
      </c>
    </row>
    <row r="6512" spans="1:6" ht="25.5">
      <c r="A6512" s="2">
        <v>6509</v>
      </c>
      <c r="B6512" s="2" t="s">
        <v>6587</v>
      </c>
      <c r="C6512" s="2" t="str">
        <f>"14643626"</f>
        <v>14643626</v>
      </c>
      <c r="D6512" s="2">
        <v>0.83399999999999996</v>
      </c>
      <c r="E6512" s="2">
        <v>33</v>
      </c>
      <c r="F6512" s="2" t="s">
        <v>16</v>
      </c>
    </row>
    <row r="6513" spans="1:6" ht="25.5">
      <c r="A6513" s="2">
        <v>6510</v>
      </c>
      <c r="B6513" s="2" t="s">
        <v>6588</v>
      </c>
      <c r="C6513" s="2" t="str">
        <f>"00157546"</f>
        <v>00157546</v>
      </c>
      <c r="D6513" s="2">
        <v>0.52400000000000002</v>
      </c>
      <c r="E6513" s="2">
        <v>32</v>
      </c>
      <c r="F6513" s="2" t="s">
        <v>64</v>
      </c>
    </row>
    <row r="6514" spans="1:6" ht="25.5">
      <c r="A6514" s="2">
        <v>6511</v>
      </c>
      <c r="B6514" s="2" t="s">
        <v>6589</v>
      </c>
      <c r="C6514" s="2" t="str">
        <f>"14069954"</f>
        <v>14069954</v>
      </c>
      <c r="D6514" s="2">
        <v>0.13300000000000001</v>
      </c>
      <c r="E6514" s="2">
        <v>5</v>
      </c>
      <c r="F6514" s="2" t="s">
        <v>265</v>
      </c>
    </row>
    <row r="6515" spans="1:6" ht="25.5">
      <c r="A6515" s="2">
        <v>6512</v>
      </c>
      <c r="B6515" s="2" t="s">
        <v>6590</v>
      </c>
      <c r="C6515" s="2" t="str">
        <f>"19930372"</f>
        <v>19930372</v>
      </c>
      <c r="D6515" s="2">
        <v>0.24099999999999999</v>
      </c>
      <c r="E6515" s="2">
        <v>5</v>
      </c>
      <c r="F6515" s="2" t="s">
        <v>46</v>
      </c>
    </row>
    <row r="6516" spans="1:6" ht="25.5">
      <c r="A6516" s="2">
        <v>6513</v>
      </c>
      <c r="B6516" s="2" t="s">
        <v>6591</v>
      </c>
      <c r="C6516" s="2" t="str">
        <f>"19994907"</f>
        <v>19994907</v>
      </c>
      <c r="D6516" s="2">
        <v>0.439</v>
      </c>
      <c r="E6516" s="2">
        <v>5</v>
      </c>
      <c r="F6516" s="2" t="s">
        <v>31</v>
      </c>
    </row>
    <row r="6517" spans="1:6" ht="25.5">
      <c r="A6517" s="2">
        <v>6514</v>
      </c>
      <c r="B6517" s="2" t="s">
        <v>6592</v>
      </c>
      <c r="C6517" s="2" t="str">
        <f>"0015749X"</f>
        <v>0015749X</v>
      </c>
      <c r="D6517" s="2">
        <v>0.78900000000000003</v>
      </c>
      <c r="E6517" s="2">
        <v>48</v>
      </c>
      <c r="F6517" s="2" t="s">
        <v>6</v>
      </c>
    </row>
    <row r="6518" spans="1:6" ht="25.5">
      <c r="A6518" s="2">
        <v>6515</v>
      </c>
      <c r="B6518" s="2" t="s">
        <v>6593</v>
      </c>
      <c r="C6518" s="2" t="str">
        <f>"21580715"</f>
        <v>21580715</v>
      </c>
      <c r="D6518" s="2">
        <v>0.14199999999999999</v>
      </c>
      <c r="E6518" s="2">
        <v>1</v>
      </c>
      <c r="F6518" s="2" t="s">
        <v>16</v>
      </c>
    </row>
    <row r="6519" spans="1:6" ht="25.5">
      <c r="A6519" s="2">
        <v>6516</v>
      </c>
      <c r="B6519" s="2" t="s">
        <v>6594</v>
      </c>
      <c r="C6519" s="2" t="str">
        <f>"14728028"</f>
        <v>14728028</v>
      </c>
      <c r="D6519" s="2">
        <v>0.14199999999999999</v>
      </c>
      <c r="E6519" s="2">
        <v>14</v>
      </c>
      <c r="F6519" s="2" t="s">
        <v>16</v>
      </c>
    </row>
    <row r="6520" spans="1:6" ht="25.5">
      <c r="A6520" s="2">
        <v>6517</v>
      </c>
      <c r="B6520" s="2" t="s">
        <v>6595</v>
      </c>
      <c r="C6520" s="2" t="str">
        <f>"21719845"</f>
        <v>21719845</v>
      </c>
      <c r="D6520" s="2">
        <v>0.29499999999999998</v>
      </c>
      <c r="E6520" s="2">
        <v>7</v>
      </c>
      <c r="F6520" s="2" t="s">
        <v>351</v>
      </c>
    </row>
    <row r="6521" spans="1:6" ht="25.5">
      <c r="A6521" s="2">
        <v>6518</v>
      </c>
      <c r="B6521" s="2" t="s">
        <v>6596</v>
      </c>
      <c r="C6521" s="2" t="str">
        <f>"1433299X"</f>
        <v>1433299X</v>
      </c>
      <c r="D6521" s="2">
        <v>0.78100000000000003</v>
      </c>
      <c r="E6521" s="2">
        <v>24</v>
      </c>
      <c r="F6521" s="2" t="s">
        <v>16</v>
      </c>
    </row>
    <row r="6522" spans="1:6" ht="25.5">
      <c r="A6522" s="2">
        <v>6519</v>
      </c>
      <c r="B6522" s="2" t="s">
        <v>6597</v>
      </c>
      <c r="C6522" s="2" t="str">
        <f>"18989934"</f>
        <v>18989934</v>
      </c>
      <c r="D6522" s="2">
        <v>0.10100000000000001</v>
      </c>
      <c r="E6522" s="2">
        <v>3</v>
      </c>
      <c r="F6522" s="2" t="s">
        <v>169</v>
      </c>
    </row>
    <row r="6523" spans="1:6" ht="25.5">
      <c r="A6523" s="2">
        <v>6520</v>
      </c>
      <c r="B6523" s="2" t="s">
        <v>6598</v>
      </c>
      <c r="C6523" s="2" t="str">
        <f>"15728102"</f>
        <v>15728102</v>
      </c>
      <c r="D6523" s="2">
        <v>1.6040000000000001</v>
      </c>
      <c r="E6523" s="2">
        <v>30</v>
      </c>
      <c r="F6523" s="2" t="s">
        <v>75</v>
      </c>
    </row>
    <row r="6524" spans="1:6" ht="25.5">
      <c r="A6524" s="2">
        <v>6521</v>
      </c>
      <c r="B6524" s="2" t="s">
        <v>6599</v>
      </c>
      <c r="C6524" s="2" t="str">
        <f>"1682606X"</f>
        <v>1682606X</v>
      </c>
      <c r="D6524" s="2">
        <v>0.10100000000000001</v>
      </c>
      <c r="E6524" s="2">
        <v>5</v>
      </c>
      <c r="F6524" s="2" t="s">
        <v>75</v>
      </c>
    </row>
    <row r="6525" spans="1:6" ht="25.5">
      <c r="A6525" s="2">
        <v>6522</v>
      </c>
      <c r="B6525" s="2" t="s">
        <v>6600</v>
      </c>
      <c r="C6525" s="2" t="str">
        <f>"1082801X"</f>
        <v>1082801X</v>
      </c>
      <c r="D6525" s="2">
        <v>0.112</v>
      </c>
      <c r="E6525" s="2">
        <v>11</v>
      </c>
      <c r="F6525" s="2" t="s">
        <v>6</v>
      </c>
    </row>
    <row r="6526" spans="1:6" ht="25.5">
      <c r="A6526" s="2">
        <v>6523</v>
      </c>
      <c r="B6526" s="2" t="s">
        <v>6601</v>
      </c>
      <c r="C6526" s="2" t="str">
        <f>"16614127"</f>
        <v>16614127</v>
      </c>
      <c r="D6526" s="2">
        <v>0.35299999999999998</v>
      </c>
      <c r="E6526" s="2">
        <v>25</v>
      </c>
      <c r="F6526" s="2" t="s">
        <v>31</v>
      </c>
    </row>
    <row r="6527" spans="1:6" ht="25.5">
      <c r="A6527" s="2">
        <v>6524</v>
      </c>
      <c r="B6527" s="2" t="s">
        <v>6602</v>
      </c>
      <c r="C6527" s="2" t="str">
        <f>"14340860"</f>
        <v>14340860</v>
      </c>
      <c r="D6527" s="2">
        <v>0.13100000000000001</v>
      </c>
      <c r="E6527" s="2">
        <v>10</v>
      </c>
      <c r="F6527" s="2" t="s">
        <v>12</v>
      </c>
    </row>
    <row r="6528" spans="1:6" ht="25.5">
      <c r="A6528" s="2">
        <v>6525</v>
      </c>
      <c r="B6528" s="2" t="s">
        <v>6603</v>
      </c>
      <c r="C6528" s="2" t="str">
        <f>"03004112"</f>
        <v>03004112</v>
      </c>
      <c r="D6528" s="2">
        <v>0.222</v>
      </c>
      <c r="E6528" s="2">
        <v>3</v>
      </c>
      <c r="F6528" s="2" t="s">
        <v>12</v>
      </c>
    </row>
    <row r="6529" spans="1:6" ht="25.5">
      <c r="A6529" s="2">
        <v>6526</v>
      </c>
      <c r="B6529" s="2" t="s">
        <v>6604</v>
      </c>
      <c r="C6529" s="2" t="str">
        <f>"02280671"</f>
        <v>02280671</v>
      </c>
      <c r="D6529" s="2">
        <v>0.23</v>
      </c>
      <c r="E6529" s="2">
        <v>2</v>
      </c>
      <c r="F6529" s="2" t="s">
        <v>64</v>
      </c>
    </row>
    <row r="6530" spans="1:6" ht="25.5">
      <c r="A6530" s="2">
        <v>6527</v>
      </c>
      <c r="B6530" s="2" t="s">
        <v>6605</v>
      </c>
      <c r="C6530" s="2" t="str">
        <f>"00717886"</f>
        <v>00717886</v>
      </c>
      <c r="D6530" s="2">
        <v>0.436</v>
      </c>
      <c r="E6530" s="2">
        <v>17</v>
      </c>
      <c r="F6530" s="2" t="s">
        <v>12</v>
      </c>
    </row>
    <row r="6531" spans="1:6" ht="25.5">
      <c r="A6531" s="2">
        <v>6528</v>
      </c>
      <c r="B6531" s="2" t="s">
        <v>6606</v>
      </c>
      <c r="C6531" s="2" t="str">
        <f>"14393522"</f>
        <v>14393522</v>
      </c>
      <c r="D6531" s="2">
        <v>0.251</v>
      </c>
      <c r="E6531" s="2">
        <v>22</v>
      </c>
      <c r="F6531" s="2" t="s">
        <v>12</v>
      </c>
    </row>
    <row r="6532" spans="1:6" ht="25.5">
      <c r="A6532" s="2">
        <v>6529</v>
      </c>
      <c r="B6532" s="2" t="s">
        <v>6607</v>
      </c>
      <c r="C6532" s="2" t="str">
        <f>"15213978"</f>
        <v>15213978</v>
      </c>
      <c r="D6532" s="2">
        <v>0.503</v>
      </c>
      <c r="E6532" s="2">
        <v>38</v>
      </c>
      <c r="F6532" s="2" t="s">
        <v>12</v>
      </c>
    </row>
    <row r="6533" spans="1:6" ht="25.5">
      <c r="A6533" s="2">
        <v>6530</v>
      </c>
      <c r="B6533" s="2" t="s">
        <v>6608</v>
      </c>
      <c r="C6533" s="2" t="str">
        <f>"00158259"</f>
        <v>00158259</v>
      </c>
      <c r="D6533" s="2">
        <v>0.105</v>
      </c>
      <c r="E6533" s="2">
        <v>10</v>
      </c>
      <c r="F6533" s="2" t="s">
        <v>6</v>
      </c>
    </row>
    <row r="6534" spans="1:6" ht="25.5">
      <c r="A6534" s="2">
        <v>6531</v>
      </c>
      <c r="B6534" s="2" t="s">
        <v>6609</v>
      </c>
      <c r="C6534" s="2" t="str">
        <f>"15408884"</f>
        <v>15408884</v>
      </c>
      <c r="D6534" s="2">
        <v>0.21299999999999999</v>
      </c>
      <c r="E6534" s="2">
        <v>5</v>
      </c>
      <c r="F6534" s="2" t="s">
        <v>6</v>
      </c>
    </row>
    <row r="6535" spans="1:6" ht="25.5">
      <c r="A6535" s="2">
        <v>6532</v>
      </c>
      <c r="B6535" s="2" t="s">
        <v>6610</v>
      </c>
      <c r="C6535" s="2" t="str">
        <f>"14370751"</f>
        <v>14370751</v>
      </c>
      <c r="D6535" s="2">
        <v>0.19800000000000001</v>
      </c>
      <c r="E6535" s="2">
        <v>10</v>
      </c>
      <c r="F6535" s="2" t="s">
        <v>12</v>
      </c>
    </row>
    <row r="6536" spans="1:6" ht="25.5">
      <c r="A6536" s="2">
        <v>6533</v>
      </c>
      <c r="B6536" s="2" t="s">
        <v>6611</v>
      </c>
      <c r="C6536" s="2" t="str">
        <f>"08039410"</f>
        <v>08039410</v>
      </c>
      <c r="D6536" s="2">
        <v>0.30299999999999999</v>
      </c>
      <c r="E6536" s="2">
        <v>9</v>
      </c>
      <c r="F6536" s="2" t="s">
        <v>2637</v>
      </c>
    </row>
    <row r="6537" spans="1:6" ht="25.5">
      <c r="A6537" s="2">
        <v>6534</v>
      </c>
      <c r="B6537" s="2" t="s">
        <v>6612</v>
      </c>
      <c r="C6537" s="2" t="str">
        <f>"14716860"</f>
        <v>14716860</v>
      </c>
      <c r="D6537" s="2">
        <v>0.125</v>
      </c>
      <c r="E6537" s="2">
        <v>3</v>
      </c>
      <c r="F6537" s="2" t="s">
        <v>16</v>
      </c>
    </row>
    <row r="6538" spans="1:6" ht="25.5">
      <c r="A6538" s="2">
        <v>6535</v>
      </c>
      <c r="B6538" s="2" t="s">
        <v>6613</v>
      </c>
      <c r="C6538" s="2" t="str">
        <f>"14022915"</f>
        <v>14022915</v>
      </c>
      <c r="D6538" s="2">
        <v>0.1</v>
      </c>
      <c r="E6538" s="2">
        <v>2</v>
      </c>
      <c r="F6538" s="2" t="s">
        <v>151</v>
      </c>
    </row>
    <row r="6539" spans="1:6" ht="25.5">
      <c r="A6539" s="2">
        <v>6536</v>
      </c>
      <c r="B6539" s="2" t="s">
        <v>6614</v>
      </c>
      <c r="C6539" s="2" t="str">
        <f>"19498519"</f>
        <v>19498519</v>
      </c>
      <c r="D6539" s="2">
        <v>0.1</v>
      </c>
      <c r="E6539" s="2">
        <v>1</v>
      </c>
      <c r="F6539" s="2" t="s">
        <v>46</v>
      </c>
    </row>
    <row r="6540" spans="1:6" ht="25.5">
      <c r="A6540" s="2">
        <v>6537</v>
      </c>
      <c r="B6540" s="2" t="s">
        <v>6615</v>
      </c>
      <c r="C6540" s="2" t="str">
        <f>"00145858"</f>
        <v>00145858</v>
      </c>
      <c r="D6540" s="2">
        <v>0.1</v>
      </c>
      <c r="E6540" s="2">
        <v>2</v>
      </c>
      <c r="F6540" s="2" t="s">
        <v>6</v>
      </c>
    </row>
    <row r="6541" spans="1:6" ht="25.5">
      <c r="A6541" s="2">
        <v>6538</v>
      </c>
      <c r="B6541" s="2" t="s">
        <v>6616</v>
      </c>
      <c r="C6541" s="2" t="str">
        <f>"09320547"</f>
        <v>09320547</v>
      </c>
      <c r="D6541" s="2">
        <v>0.23599999999999999</v>
      </c>
      <c r="E6541" s="2">
        <v>6</v>
      </c>
      <c r="F6541" s="2" t="s">
        <v>12</v>
      </c>
    </row>
    <row r="6542" spans="1:6" ht="25.5">
      <c r="A6542" s="2">
        <v>6539</v>
      </c>
      <c r="B6542" s="2" t="s">
        <v>6617</v>
      </c>
      <c r="C6542" s="2" t="str">
        <f>"14355337"</f>
        <v>14355337</v>
      </c>
      <c r="D6542" s="2">
        <v>0.8</v>
      </c>
      <c r="E6542" s="2">
        <v>21</v>
      </c>
      <c r="F6542" s="2" t="s">
        <v>12</v>
      </c>
    </row>
    <row r="6543" spans="1:6" ht="25.5">
      <c r="A6543" s="2">
        <v>6540</v>
      </c>
      <c r="B6543" s="2" t="s">
        <v>6618</v>
      </c>
      <c r="C6543" s="2" t="str">
        <f>"1792362X"</f>
        <v>1792362X</v>
      </c>
      <c r="D6543" s="2">
        <v>0</v>
      </c>
      <c r="E6543" s="2">
        <v>1</v>
      </c>
      <c r="F6543" s="2" t="s">
        <v>313</v>
      </c>
    </row>
    <row r="6544" spans="1:6" ht="25.5">
      <c r="A6544" s="2">
        <v>6541</v>
      </c>
      <c r="B6544" s="2" t="s">
        <v>6619</v>
      </c>
      <c r="C6544" s="2" t="str">
        <f>"14385627"</f>
        <v>14385627</v>
      </c>
      <c r="D6544" s="2">
        <v>0.14299999999999999</v>
      </c>
      <c r="E6544" s="2">
        <v>13</v>
      </c>
      <c r="F6544" s="2" t="s">
        <v>12</v>
      </c>
    </row>
    <row r="6545" spans="1:6" ht="25.5">
      <c r="A6545" s="2">
        <v>6542</v>
      </c>
      <c r="B6545" s="2" t="s">
        <v>6620</v>
      </c>
      <c r="C6545" s="2" t="str">
        <f>"10533389"</f>
        <v>10533389</v>
      </c>
      <c r="D6545" s="2">
        <v>0.44600000000000001</v>
      </c>
      <c r="E6545" s="2">
        <v>6</v>
      </c>
      <c r="F6545" s="2" t="s">
        <v>12</v>
      </c>
    </row>
    <row r="6546" spans="1:6" ht="25.5">
      <c r="A6546" s="2">
        <v>6543</v>
      </c>
      <c r="B6546" s="2" t="s">
        <v>6621</v>
      </c>
      <c r="C6546" s="2" t="str">
        <f>"00229202"</f>
        <v>00229202</v>
      </c>
      <c r="D6546" s="2">
        <v>0.123</v>
      </c>
      <c r="E6546" s="2">
        <v>5</v>
      </c>
      <c r="F6546" s="2" t="s">
        <v>131</v>
      </c>
    </row>
    <row r="6547" spans="1:6" ht="25.5">
      <c r="A6547" s="2">
        <v>6544</v>
      </c>
      <c r="B6547" s="2" t="s">
        <v>6622</v>
      </c>
      <c r="C6547" s="2" t="str">
        <f>"18025439"</f>
        <v>18025439</v>
      </c>
      <c r="D6547" s="2">
        <v>0.52200000000000002</v>
      </c>
      <c r="E6547" s="2">
        <v>7</v>
      </c>
      <c r="F6547" s="2" t="s">
        <v>208</v>
      </c>
    </row>
    <row r="6548" spans="1:6" ht="25.5">
      <c r="A6548" s="2">
        <v>6545</v>
      </c>
      <c r="B6548" s="2" t="s">
        <v>6623</v>
      </c>
      <c r="C6548" s="2" t="str">
        <f>"15540642"</f>
        <v>15540642</v>
      </c>
      <c r="D6548" s="2">
        <v>0.29899999999999999</v>
      </c>
      <c r="E6548" s="2">
        <v>5</v>
      </c>
      <c r="F6548" s="2" t="s">
        <v>6</v>
      </c>
    </row>
    <row r="6549" spans="1:6" ht="25.5">
      <c r="A6549" s="2">
        <v>6546</v>
      </c>
      <c r="B6549" s="2" t="s">
        <v>6624</v>
      </c>
      <c r="C6549" s="2" t="str">
        <f>"15672328"</f>
        <v>15672328</v>
      </c>
      <c r="D6549" s="2">
        <v>5.0339999999999998</v>
      </c>
      <c r="E6549" s="2">
        <v>11</v>
      </c>
      <c r="F6549" s="2" t="s">
        <v>6</v>
      </c>
    </row>
    <row r="6550" spans="1:6" ht="25.5">
      <c r="A6550" s="2">
        <v>6547</v>
      </c>
      <c r="B6550" s="2" t="s">
        <v>6625</v>
      </c>
      <c r="C6550" s="2" t="str">
        <f>"15722740"</f>
        <v>15722740</v>
      </c>
      <c r="D6550" s="2">
        <v>5.0780000000000003</v>
      </c>
      <c r="E6550" s="2">
        <v>12</v>
      </c>
      <c r="F6550" s="2" t="s">
        <v>6</v>
      </c>
    </row>
    <row r="6551" spans="1:6" ht="25.5">
      <c r="A6551" s="2">
        <v>6548</v>
      </c>
      <c r="B6551" s="2" t="s">
        <v>6626</v>
      </c>
      <c r="C6551" s="2" t="str">
        <f>"19317883"</f>
        <v>19317883</v>
      </c>
      <c r="D6551" s="2">
        <v>1.8360000000000001</v>
      </c>
      <c r="E6551" s="2">
        <v>5</v>
      </c>
      <c r="F6551" s="2" t="s">
        <v>6</v>
      </c>
    </row>
    <row r="6552" spans="1:6" ht="25.5">
      <c r="A6552" s="2">
        <v>6549</v>
      </c>
      <c r="B6552" s="2" t="s">
        <v>6627</v>
      </c>
      <c r="C6552" s="2" t="str">
        <f>"15513947"</f>
        <v>15513947</v>
      </c>
      <c r="D6552" s="2">
        <v>0.59299999999999997</v>
      </c>
      <c r="E6552" s="2">
        <v>6</v>
      </c>
      <c r="F6552" s="2" t="s">
        <v>6</v>
      </c>
    </row>
    <row r="6553" spans="1:6" ht="25.5">
      <c r="A6553" s="2">
        <v>6550</v>
      </c>
      <c r="B6553" s="2" t="s">
        <v>6628</v>
      </c>
      <c r="C6553" s="2" t="str">
        <f>"15513114"</f>
        <v>15513114</v>
      </c>
      <c r="D6553" s="2">
        <v>1.103</v>
      </c>
      <c r="E6553" s="2">
        <v>9</v>
      </c>
      <c r="F6553" s="2" t="s">
        <v>6</v>
      </c>
    </row>
    <row r="6554" spans="1:6" ht="25.5">
      <c r="A6554" s="2">
        <v>6551</v>
      </c>
      <c r="B6554" s="2" t="s">
        <v>6629</v>
      </c>
      <c r="C6554" s="2" t="str">
        <f>"15672409"</f>
        <v>15672409</v>
      </c>
      <c r="D6554" s="2">
        <v>2.4980000000000002</v>
      </c>
      <c r="E6554" s="2">
        <v>7</v>
      </c>
      <c r="F6554" s="2" t="s">
        <v>6</v>
      </c>
    </row>
    <row r="6555" spans="1:6" ht="25.5">
      <c r="A6555" s="2">
        <v>6552</v>
      </c>
      <c r="B6555" s="2" t="s">
        <v>6630</v>
      </c>
      <c r="C6555" s="2" t="str">
        <f>"15513963"</f>
        <v>15513963</v>
      </c>
      <c r="D6555" s="2">
        <v>0.67</v>
      </c>
      <c r="E6555" s="2">
        <v>6</v>
      </c>
      <c r="F6555" s="2" t="s">
        <v>6</v>
      </c>
    </row>
    <row r="6556" spans="1:6" ht="25.5">
      <c r="A6556" s="2">
        <v>6553</v>
      </c>
      <c r="B6556" s="2" t="s">
        <v>6631</v>
      </c>
      <c r="C6556" s="2" t="str">
        <f>"15540677"</f>
        <v>15540677</v>
      </c>
      <c r="D6556" s="2">
        <v>6.5359999999999996</v>
      </c>
      <c r="E6556" s="2">
        <v>12</v>
      </c>
      <c r="F6556" s="2" t="s">
        <v>6</v>
      </c>
    </row>
    <row r="6557" spans="1:6" ht="25.5">
      <c r="A6557" s="2">
        <v>6554</v>
      </c>
      <c r="B6557" s="2" t="s">
        <v>6632</v>
      </c>
      <c r="C6557" s="2" t="str">
        <f>"19358237"</f>
        <v>19358237</v>
      </c>
      <c r="D6557" s="2">
        <v>5.9489999999999998</v>
      </c>
      <c r="E6557" s="2">
        <v>6</v>
      </c>
      <c r="F6557" s="2" t="s">
        <v>6</v>
      </c>
    </row>
    <row r="6558" spans="1:6" ht="25.5">
      <c r="A6558" s="2">
        <v>6555</v>
      </c>
      <c r="B6558" s="2" t="s">
        <v>6633</v>
      </c>
      <c r="C6558" s="2" t="str">
        <f>"15550753"</f>
        <v>15550753</v>
      </c>
      <c r="D6558" s="2">
        <v>0.34699999999999998</v>
      </c>
      <c r="E6558" s="2">
        <v>4</v>
      </c>
      <c r="F6558" s="2" t="s">
        <v>6</v>
      </c>
    </row>
    <row r="6559" spans="1:6" ht="25.5">
      <c r="A6559" s="2">
        <v>6556</v>
      </c>
      <c r="B6559" s="2" t="s">
        <v>6634</v>
      </c>
      <c r="C6559" s="2" t="str">
        <f>"15479846"</f>
        <v>15479846</v>
      </c>
      <c r="D6559" s="2">
        <v>0.29099999999999998</v>
      </c>
      <c r="E6559" s="2">
        <v>7</v>
      </c>
      <c r="F6559" s="2" t="s">
        <v>6</v>
      </c>
    </row>
    <row r="6560" spans="1:6" ht="25.5">
      <c r="A6560" s="2">
        <v>6557</v>
      </c>
      <c r="B6560" s="2" t="s">
        <v>6635</v>
      </c>
      <c r="C6560" s="2" t="str">
        <f>"15540588"</f>
        <v>15540588</v>
      </c>
      <c r="D6560" s="2">
        <v>5.9969999999999999</v>
      </c>
      <c r="E6560" s="2">
        <v>11</v>
      </c>
      <c r="F6560" s="2" t="s">
        <v>6</v>
      </c>
    </row>
    <row r="6561" spans="1:6" ht="25.5">
      <c r="A6561" s="2">
        <v>6558</v>
      </c>
      <c r="B6561" s="2" t="s">
        <v>6636</v>
      </c>
      <c r="C6561" s="2" t="str">
        <f>"19328354"</f>
        <v>19328354</v>
      </c>
      <c r="D6561" s="2">
        <v>0.17699999999999999</v>
      </c>
      <c r="E6561" s="2">
        <v>5</v>
      </c>
      <c r="F6561" s="2" t="s">
        <v>6</v>
      </c>
    </row>
    <row r="6562" spans="1:6" ht="25.5">
      <c r="A6562" s="2">
        <v>6559</v>
      </c>
      <c r="B6562" s="2" t="s">
        <v>6637</v>
      </c>
      <c r="C6562" s="2" t="str">
        <f>"15719545"</f>
        <v>15719545</v>
      </c>
      <c r="D6562" s="2">
        <v>1.3240000000000001</v>
      </c>
      <c r="E6562" s="2">
        <v>4</v>
      </c>
      <c r="F6562" s="2" t="s">
        <v>6</v>
      </c>
    </row>
    <row r="6563" spans="1:6" ht="25.5">
      <c r="A6563" s="2">
        <v>6560</v>
      </c>
      <c r="B6563" s="2" t="s">
        <v>6638</v>
      </c>
      <c r="C6563" s="2" t="str">
        <f>"15513068"</f>
        <v>15513068</v>
      </c>
      <c r="D6563" s="2">
        <v>7.5289999999999999</v>
      </c>
      <c r="E6563" s="2">
        <v>9</v>
      </c>
      <c r="F6563" s="2" t="s">
        <v>6</v>
      </c>
    </row>
    <row r="6564" spans="1:6" ht="25.5">
      <c r="A6564" s="2">
        <v>6561</v>
      </c>
      <c r="B6564" s="2" t="s">
        <v>6639</v>
      </c>
      <c r="C6564" s="2" t="str">
        <f>"15550788"</f>
        <v>15550788</v>
      </c>
      <c r="D6564" s="2">
        <v>2.9740000000000002</v>
      </c>
      <c r="E6564" s="2">
        <v>5</v>
      </c>
      <c r="F6564" s="2" t="s">
        <v>6</v>
      </c>
    </row>
    <row r="6565" spans="1:6" ht="25.5">
      <c r="A6565" s="2">
        <v>6562</v>
      </c>
      <c r="B6565" s="2" t="s">
        <v>6640</v>
      </c>
      <c r="C6565" s="2" t="str">
        <f>"16121384"</f>
        <v>16121384</v>
      </c>
      <c r="D6565" s="2">
        <v>0.10100000000000001</v>
      </c>
      <c r="E6565" s="2">
        <v>0</v>
      </c>
      <c r="F6565" s="2" t="s">
        <v>6</v>
      </c>
    </row>
    <row r="6566" spans="1:6" ht="25.5">
      <c r="A6566" s="2">
        <v>6563</v>
      </c>
      <c r="B6566" s="2" t="s">
        <v>6641</v>
      </c>
      <c r="C6566" s="2" t="str">
        <f>"15728463"</f>
        <v>15728463</v>
      </c>
      <c r="D6566" s="2">
        <v>0.35499999999999998</v>
      </c>
      <c r="E6566" s="2">
        <v>9</v>
      </c>
      <c r="F6566" s="2" t="s">
        <v>75</v>
      </c>
    </row>
    <row r="6567" spans="1:6" ht="25.5">
      <c r="A6567" s="2">
        <v>6564</v>
      </c>
      <c r="B6567" s="2" t="s">
        <v>6642</v>
      </c>
      <c r="C6567" s="2" t="str">
        <f>"16153383"</f>
        <v>16153383</v>
      </c>
      <c r="D6567" s="2">
        <v>3.4260000000000002</v>
      </c>
      <c r="E6567" s="2">
        <v>25</v>
      </c>
      <c r="F6567" s="2" t="s">
        <v>6</v>
      </c>
    </row>
    <row r="6568" spans="1:6" ht="25.5">
      <c r="A6568" s="2">
        <v>6565</v>
      </c>
      <c r="B6568" s="2" t="s">
        <v>6643</v>
      </c>
      <c r="C6568" s="2" t="str">
        <f>"15729516"</f>
        <v>15729516</v>
      </c>
      <c r="D6568" s="2">
        <v>0.82799999999999996</v>
      </c>
      <c r="E6568" s="2">
        <v>31</v>
      </c>
      <c r="F6568" s="2" t="s">
        <v>75</v>
      </c>
    </row>
    <row r="6569" spans="1:6" ht="25.5">
      <c r="A6569" s="2">
        <v>6566</v>
      </c>
      <c r="B6569" s="2" t="s">
        <v>6644</v>
      </c>
      <c r="C6569" s="2" t="str">
        <f>"12331821"</f>
        <v>12331821</v>
      </c>
      <c r="D6569" s="2">
        <v>0.32400000000000001</v>
      </c>
      <c r="E6569" s="2">
        <v>13</v>
      </c>
      <c r="F6569" s="2" t="s">
        <v>75</v>
      </c>
    </row>
    <row r="6570" spans="1:6" ht="25.5">
      <c r="A6570" s="2">
        <v>6567</v>
      </c>
      <c r="B6570" s="2" t="s">
        <v>6645</v>
      </c>
      <c r="C6570" s="2" t="str">
        <f>"15223868"</f>
        <v>15223868</v>
      </c>
      <c r="D6570" s="2">
        <v>0.1</v>
      </c>
      <c r="E6570" s="2">
        <v>0</v>
      </c>
      <c r="F6570" s="2" t="s">
        <v>6</v>
      </c>
    </row>
    <row r="6571" spans="1:6" ht="25.5">
      <c r="A6571" s="2">
        <v>6568</v>
      </c>
      <c r="B6571" s="2" t="s">
        <v>6646</v>
      </c>
      <c r="C6571" s="2" t="str">
        <f>"0218348X"</f>
        <v>0218348X</v>
      </c>
      <c r="D6571" s="2">
        <v>0.251</v>
      </c>
      <c r="E6571" s="2">
        <v>24</v>
      </c>
      <c r="F6571" s="2" t="s">
        <v>543</v>
      </c>
    </row>
    <row r="6572" spans="1:6" ht="25.5">
      <c r="A6572" s="2">
        <v>6569</v>
      </c>
      <c r="B6572" s="2" t="s">
        <v>6647</v>
      </c>
      <c r="C6572" s="2" t="str">
        <f>"1640629X"</f>
        <v>1640629X</v>
      </c>
      <c r="D6572" s="2">
        <v>0.19600000000000001</v>
      </c>
      <c r="E6572" s="2">
        <v>5</v>
      </c>
      <c r="F6572" s="2" t="s">
        <v>169</v>
      </c>
    </row>
    <row r="6573" spans="1:6" ht="25.5">
      <c r="A6573" s="2">
        <v>6570</v>
      </c>
      <c r="B6573" s="2" t="s">
        <v>6648</v>
      </c>
      <c r="C6573" s="2" t="str">
        <f>"00159409"</f>
        <v>00159409</v>
      </c>
      <c r="D6573" s="2">
        <v>0.10100000000000001</v>
      </c>
      <c r="E6573" s="2">
        <v>4</v>
      </c>
      <c r="F6573" s="2" t="s">
        <v>66</v>
      </c>
    </row>
    <row r="6574" spans="1:6" ht="25.5">
      <c r="A6574" s="2">
        <v>6571</v>
      </c>
      <c r="B6574" s="2" t="s">
        <v>6649</v>
      </c>
      <c r="C6574" s="2" t="str">
        <f>"09377743"</f>
        <v>09377743</v>
      </c>
      <c r="D6574" s="2">
        <v>0.1</v>
      </c>
      <c r="E6574" s="2">
        <v>2</v>
      </c>
      <c r="F6574" s="2" t="s">
        <v>12</v>
      </c>
    </row>
    <row r="6575" spans="1:6" ht="25.5">
      <c r="A6575" s="2">
        <v>6572</v>
      </c>
      <c r="B6575" s="2" t="s">
        <v>6650</v>
      </c>
      <c r="C6575" s="2" t="str">
        <f>"00805459"</f>
        <v>00805459</v>
      </c>
      <c r="D6575" s="2">
        <v>0.112</v>
      </c>
      <c r="E6575" s="2">
        <v>1</v>
      </c>
      <c r="F6575" s="2" t="s">
        <v>6</v>
      </c>
    </row>
    <row r="6576" spans="1:6" ht="25.5">
      <c r="A6576" s="2">
        <v>6573</v>
      </c>
      <c r="B6576" s="2" t="s">
        <v>6651</v>
      </c>
      <c r="C6576" s="2" t="str">
        <f>"08915849"</f>
        <v>08915849</v>
      </c>
      <c r="D6576" s="2">
        <v>1.732</v>
      </c>
      <c r="E6576" s="2">
        <v>167</v>
      </c>
      <c r="F6576" s="2" t="s">
        <v>6</v>
      </c>
    </row>
    <row r="6577" spans="1:6" ht="25.5">
      <c r="A6577" s="2">
        <v>6574</v>
      </c>
      <c r="B6577" s="2" t="s">
        <v>6652</v>
      </c>
      <c r="C6577" s="2" t="str">
        <f>"10715762"</f>
        <v>10715762</v>
      </c>
      <c r="D6577" s="2">
        <v>0.82099999999999995</v>
      </c>
      <c r="E6577" s="2">
        <v>82</v>
      </c>
      <c r="F6577" s="2" t="s">
        <v>16</v>
      </c>
    </row>
    <row r="6578" spans="1:6" ht="25.5">
      <c r="A6578" s="2">
        <v>6575</v>
      </c>
      <c r="B6578" s="2" t="s">
        <v>6653</v>
      </c>
      <c r="C6578" s="2" t="str">
        <f>"15393402"</f>
        <v>15393402</v>
      </c>
      <c r="D6578" s="2">
        <v>0.10100000000000001</v>
      </c>
      <c r="E6578" s="2">
        <v>1</v>
      </c>
      <c r="F6578" s="2" t="s">
        <v>6</v>
      </c>
    </row>
    <row r="6579" spans="1:6" ht="25.5">
      <c r="A6579" s="2">
        <v>6576</v>
      </c>
      <c r="B6579" s="2" t="s">
        <v>6654</v>
      </c>
      <c r="C6579" s="2" t="str">
        <f>"17402352"</f>
        <v>17402352</v>
      </c>
      <c r="D6579" s="2">
        <v>0.105</v>
      </c>
      <c r="E6579" s="2">
        <v>5</v>
      </c>
      <c r="F6579" s="2" t="s">
        <v>16</v>
      </c>
    </row>
    <row r="6580" spans="1:6" ht="25.5">
      <c r="A6580" s="2">
        <v>6577</v>
      </c>
      <c r="B6580" s="2" t="s">
        <v>6655</v>
      </c>
      <c r="C6580" s="2" t="str">
        <f>"15341836"</f>
        <v>15341836</v>
      </c>
      <c r="D6580" s="2">
        <v>0.1</v>
      </c>
      <c r="E6580" s="2">
        <v>3</v>
      </c>
      <c r="F6580" s="2" t="s">
        <v>6</v>
      </c>
    </row>
    <row r="6581" spans="1:6" ht="25.5">
      <c r="A6581" s="2">
        <v>6578</v>
      </c>
      <c r="B6581" s="2" t="s">
        <v>6656</v>
      </c>
      <c r="C6581" s="2" t="str">
        <f>"15275493"</f>
        <v>15275493</v>
      </c>
      <c r="D6581" s="2">
        <v>0.29699999999999999</v>
      </c>
      <c r="E6581" s="2">
        <v>9</v>
      </c>
      <c r="F6581" s="2" t="s">
        <v>6</v>
      </c>
    </row>
    <row r="6582" spans="1:6" ht="25.5">
      <c r="A6582" s="2">
        <v>6579</v>
      </c>
      <c r="B6582" s="2" t="s">
        <v>6657</v>
      </c>
      <c r="C6582" s="2" t="str">
        <f>"14774542"</f>
        <v>14774542</v>
      </c>
      <c r="D6582" s="2">
        <v>0.22</v>
      </c>
      <c r="E6582" s="2">
        <v>6</v>
      </c>
      <c r="F6582" s="2" t="s">
        <v>16</v>
      </c>
    </row>
    <row r="6583" spans="1:6" ht="25.5">
      <c r="A6583" s="2">
        <v>6580</v>
      </c>
      <c r="B6583" s="2" t="s">
        <v>6658</v>
      </c>
      <c r="C6583" s="2" t="str">
        <f>"02716607"</f>
        <v>02716607</v>
      </c>
      <c r="D6583" s="2">
        <v>0.10199999999999999</v>
      </c>
      <c r="E6583" s="2">
        <v>0</v>
      </c>
      <c r="F6583" s="2" t="s">
        <v>75</v>
      </c>
    </row>
    <row r="6584" spans="1:6" ht="25.5">
      <c r="A6584" s="2">
        <v>6581</v>
      </c>
      <c r="B6584" s="2" t="s">
        <v>6659</v>
      </c>
      <c r="C6584" s="2" t="str">
        <f>"14763427"</f>
        <v>14763427</v>
      </c>
      <c r="D6584" s="2">
        <v>0.30199999999999999</v>
      </c>
      <c r="E6584" s="2">
        <v>4</v>
      </c>
      <c r="F6584" s="2" t="s">
        <v>16</v>
      </c>
    </row>
    <row r="6585" spans="1:6" ht="25.5">
      <c r="A6585" s="2">
        <v>6582</v>
      </c>
      <c r="B6585" s="2" t="s">
        <v>6660</v>
      </c>
      <c r="C6585" s="2" t="str">
        <f>"0016111X"</f>
        <v>0016111X</v>
      </c>
      <c r="D6585" s="2">
        <v>0.126</v>
      </c>
      <c r="E6585" s="2">
        <v>4</v>
      </c>
      <c r="F6585" s="2" t="s">
        <v>6</v>
      </c>
    </row>
    <row r="6586" spans="1:6" ht="25.5">
      <c r="A6586" s="2">
        <v>6583</v>
      </c>
      <c r="B6586" s="2" t="s">
        <v>6661</v>
      </c>
      <c r="C6586" s="2" t="str">
        <f>"00161128"</f>
        <v>00161128</v>
      </c>
      <c r="D6586" s="2">
        <v>0.1</v>
      </c>
      <c r="E6586" s="2">
        <v>5</v>
      </c>
      <c r="F6586" s="2" t="s">
        <v>16</v>
      </c>
    </row>
    <row r="6587" spans="1:6" ht="25.5">
      <c r="A6587" s="2">
        <v>6584</v>
      </c>
      <c r="B6587" s="2" t="s">
        <v>6662</v>
      </c>
      <c r="C6587" s="2" t="str">
        <f>"17489180"</f>
        <v>17489180</v>
      </c>
      <c r="D6587" s="2">
        <v>0.1</v>
      </c>
      <c r="E6587" s="2">
        <v>2</v>
      </c>
      <c r="F6587" s="2" t="s">
        <v>16</v>
      </c>
    </row>
    <row r="6588" spans="1:6" ht="25.5">
      <c r="A6588" s="2">
        <v>6585</v>
      </c>
      <c r="B6588" s="2" t="s">
        <v>6663</v>
      </c>
      <c r="C6588" s="2" t="str">
        <f>"00161136"</f>
        <v>00161136</v>
      </c>
      <c r="D6588" s="2">
        <v>0.14099999999999999</v>
      </c>
      <c r="E6588" s="2">
        <v>16</v>
      </c>
      <c r="F6588" s="2" t="s">
        <v>12</v>
      </c>
    </row>
    <row r="6589" spans="1:6" ht="25.5">
      <c r="A6589" s="2">
        <v>6586</v>
      </c>
      <c r="B6589" s="2" t="s">
        <v>6664</v>
      </c>
      <c r="C6589" s="2" t="str">
        <f>"10184619"</f>
        <v>10184619</v>
      </c>
      <c r="D6589" s="2">
        <v>0.23300000000000001</v>
      </c>
      <c r="E6589" s="2">
        <v>24</v>
      </c>
      <c r="F6589" s="2" t="s">
        <v>12</v>
      </c>
    </row>
    <row r="6590" spans="1:6" ht="25.5">
      <c r="A6590" s="2">
        <v>6587</v>
      </c>
      <c r="B6590" s="2" t="s">
        <v>6665</v>
      </c>
      <c r="C6590" s="2" t="str">
        <f>"13652427"</f>
        <v>13652427</v>
      </c>
      <c r="D6590" s="2">
        <v>1.615</v>
      </c>
      <c r="E6590" s="2">
        <v>92</v>
      </c>
      <c r="F6590" s="2" t="s">
        <v>16</v>
      </c>
    </row>
    <row r="6591" spans="1:6" ht="25.5">
      <c r="A6591" s="2">
        <v>6588</v>
      </c>
      <c r="B6591" s="2" t="s">
        <v>6666</v>
      </c>
      <c r="C6591" s="2" t="str">
        <f>"15360334"</f>
        <v>15360334</v>
      </c>
      <c r="D6591" s="2">
        <v>0.20300000000000001</v>
      </c>
      <c r="E6591" s="2">
        <v>8</v>
      </c>
      <c r="F6591" s="2" t="s">
        <v>6</v>
      </c>
    </row>
    <row r="6592" spans="1:6" ht="25.5">
      <c r="A6592" s="2">
        <v>6589</v>
      </c>
      <c r="B6592" s="2" t="s">
        <v>6667</v>
      </c>
      <c r="C6592" s="2" t="str">
        <f>"16634365"</f>
        <v>16634365</v>
      </c>
      <c r="D6592" s="2">
        <v>0.78800000000000003</v>
      </c>
      <c r="E6592" s="2">
        <v>4</v>
      </c>
      <c r="F6592" s="2" t="s">
        <v>31</v>
      </c>
    </row>
    <row r="6593" spans="1:6" ht="25.5">
      <c r="A6593" s="2">
        <v>6590</v>
      </c>
      <c r="B6593" s="2" t="s">
        <v>6668</v>
      </c>
      <c r="C6593" s="2" t="str">
        <f>"15356698"</f>
        <v>15356698</v>
      </c>
      <c r="D6593" s="2">
        <v>0.19700000000000001</v>
      </c>
      <c r="E6593" s="2">
        <v>7</v>
      </c>
      <c r="F6593" s="2" t="s">
        <v>75</v>
      </c>
    </row>
    <row r="6594" spans="1:6" ht="25.5">
      <c r="A6594" s="2">
        <v>6591</v>
      </c>
      <c r="B6594" s="2" t="s">
        <v>6669</v>
      </c>
      <c r="C6594" s="2" t="str">
        <f>"16625153"</f>
        <v>16625153</v>
      </c>
      <c r="D6594" s="2">
        <v>1.363</v>
      </c>
      <c r="E6594" s="2">
        <v>10</v>
      </c>
      <c r="F6594" s="2" t="s">
        <v>31</v>
      </c>
    </row>
    <row r="6595" spans="1:6" ht="25.5">
      <c r="A6595" s="2">
        <v>6592</v>
      </c>
      <c r="B6595" s="2" t="s">
        <v>6670</v>
      </c>
      <c r="C6595" s="2" t="str">
        <f>"10939946"</f>
        <v>10939946</v>
      </c>
      <c r="D6595" s="2">
        <v>1.2050000000000001</v>
      </c>
      <c r="E6595" s="2">
        <v>92</v>
      </c>
      <c r="F6595" s="2" t="s">
        <v>6</v>
      </c>
    </row>
    <row r="6596" spans="1:6" ht="25.5">
      <c r="A6596" s="2">
        <v>6593</v>
      </c>
      <c r="B6596" s="2" t="s">
        <v>6671</v>
      </c>
      <c r="C6596" s="2" t="str">
        <f>"19450508"</f>
        <v>19450508</v>
      </c>
      <c r="D6596" s="2">
        <v>0.49399999999999999</v>
      </c>
      <c r="E6596" s="2">
        <v>14</v>
      </c>
      <c r="F6596" s="2" t="s">
        <v>6</v>
      </c>
    </row>
    <row r="6597" spans="1:6" ht="25.5">
      <c r="A6597" s="2">
        <v>6594</v>
      </c>
      <c r="B6597" s="2" t="s">
        <v>6672</v>
      </c>
      <c r="C6597" s="2" t="str">
        <f>"19450524"</f>
        <v>19450524</v>
      </c>
      <c r="D6597" s="2">
        <v>0.76500000000000001</v>
      </c>
      <c r="E6597" s="2">
        <v>13</v>
      </c>
      <c r="F6597" s="2" t="s">
        <v>6</v>
      </c>
    </row>
    <row r="6598" spans="1:6" ht="25.5">
      <c r="A6598" s="2">
        <v>6595</v>
      </c>
      <c r="B6598" s="2" t="s">
        <v>6673</v>
      </c>
      <c r="C6598" s="2" t="str">
        <f>"16625102"</f>
        <v>16625102</v>
      </c>
      <c r="D6598" s="2">
        <v>1.1759999999999999</v>
      </c>
      <c r="E6598" s="2">
        <v>6</v>
      </c>
      <c r="F6598" s="2" t="s">
        <v>31</v>
      </c>
    </row>
    <row r="6599" spans="1:6" ht="25.5">
      <c r="A6599" s="2">
        <v>6596</v>
      </c>
      <c r="B6599" s="2" t="s">
        <v>6674</v>
      </c>
      <c r="C6599" s="2" t="str">
        <f>"16625188"</f>
        <v>16625188</v>
      </c>
      <c r="D6599" s="2">
        <v>1.02</v>
      </c>
      <c r="E6599" s="2">
        <v>10</v>
      </c>
      <c r="F6599" s="2" t="s">
        <v>31</v>
      </c>
    </row>
    <row r="6600" spans="1:6" ht="25.5">
      <c r="A6600" s="2">
        <v>6597</v>
      </c>
      <c r="B6600" s="2" t="s">
        <v>6675</v>
      </c>
      <c r="C6600" s="2" t="str">
        <f>"16622995"</f>
        <v>16622995</v>
      </c>
      <c r="D6600" s="2">
        <v>0.104</v>
      </c>
      <c r="E6600" s="2">
        <v>2</v>
      </c>
      <c r="F6600" s="2" t="s">
        <v>31</v>
      </c>
    </row>
    <row r="6601" spans="1:6" ht="25.5">
      <c r="A6601" s="2">
        <v>6598</v>
      </c>
      <c r="B6601" s="2" t="s">
        <v>6676</v>
      </c>
      <c r="C6601" s="2" t="str">
        <f>"18634621"</f>
        <v>18634621</v>
      </c>
      <c r="D6601" s="2">
        <v>0.28399999999999997</v>
      </c>
      <c r="E6601" s="2">
        <v>1</v>
      </c>
      <c r="F6601" s="2" t="s">
        <v>12</v>
      </c>
    </row>
    <row r="6602" spans="1:6" ht="25.5">
      <c r="A6602" s="2">
        <v>6599</v>
      </c>
      <c r="B6602" s="2" t="s">
        <v>6677</v>
      </c>
      <c r="C6602" s="2" t="str">
        <f>"15409309"</f>
        <v>15409309</v>
      </c>
      <c r="D6602" s="2">
        <v>3.6440000000000001</v>
      </c>
      <c r="E6602" s="2">
        <v>57</v>
      </c>
      <c r="F6602" s="2" t="s">
        <v>6</v>
      </c>
    </row>
    <row r="6603" spans="1:6" ht="25.5">
      <c r="A6603" s="2">
        <v>6600</v>
      </c>
      <c r="B6603" s="2" t="s">
        <v>6678</v>
      </c>
      <c r="C6603" s="2" t="str">
        <f>"16625161"</f>
        <v>16625161</v>
      </c>
      <c r="D6603" s="2">
        <v>1.9950000000000001</v>
      </c>
      <c r="E6603" s="2">
        <v>15</v>
      </c>
      <c r="F6603" s="2" t="s">
        <v>31</v>
      </c>
    </row>
    <row r="6604" spans="1:6" ht="25.5">
      <c r="A6604" s="2">
        <v>6601</v>
      </c>
      <c r="B6604" s="2" t="s">
        <v>6679</v>
      </c>
      <c r="C6604" s="2" t="str">
        <f>"16625145"</f>
        <v>16625145</v>
      </c>
      <c r="D6604" s="2">
        <v>0.77400000000000002</v>
      </c>
      <c r="E6604" s="2">
        <v>9</v>
      </c>
      <c r="F6604" s="2" t="s">
        <v>31</v>
      </c>
    </row>
    <row r="6605" spans="1:6" ht="25.5">
      <c r="A6605" s="2">
        <v>6602</v>
      </c>
      <c r="B6605" s="2" t="s">
        <v>6680</v>
      </c>
      <c r="C6605" s="2" t="str">
        <f>"16608054"</f>
        <v>16608054</v>
      </c>
      <c r="D6605" s="2">
        <v>0.1</v>
      </c>
      <c r="E6605" s="2">
        <v>2</v>
      </c>
      <c r="F6605" s="2" t="s">
        <v>31</v>
      </c>
    </row>
    <row r="6606" spans="1:6" ht="25.5">
      <c r="A6606" s="2">
        <v>6603</v>
      </c>
      <c r="B6606" s="2" t="s">
        <v>6681</v>
      </c>
      <c r="C6606" s="2" t="str">
        <f>"16625099"</f>
        <v>16625099</v>
      </c>
      <c r="D6606" s="2">
        <v>4.0439999999999996</v>
      </c>
      <c r="E6606" s="2">
        <v>5</v>
      </c>
      <c r="F6606" s="2" t="s">
        <v>31</v>
      </c>
    </row>
    <row r="6607" spans="1:6" ht="25.5">
      <c r="A6607" s="2">
        <v>6604</v>
      </c>
      <c r="B6607" s="2" t="s">
        <v>6682</v>
      </c>
      <c r="C6607" s="2" t="str">
        <f>"16625110"</f>
        <v>16625110</v>
      </c>
      <c r="D6607" s="2">
        <v>2.5819999999999999</v>
      </c>
      <c r="E6607" s="2">
        <v>4</v>
      </c>
      <c r="F6607" s="2" t="s">
        <v>31</v>
      </c>
    </row>
    <row r="6608" spans="1:6" ht="25.5">
      <c r="A6608" s="2">
        <v>6605</v>
      </c>
      <c r="B6608" s="2" t="s">
        <v>6683</v>
      </c>
      <c r="C6608" s="2" t="str">
        <f>"16625129"</f>
        <v>16625129</v>
      </c>
      <c r="D6608" s="2">
        <v>1.839</v>
      </c>
      <c r="E6608" s="2">
        <v>12</v>
      </c>
      <c r="F6608" s="2" t="s">
        <v>31</v>
      </c>
    </row>
    <row r="6609" spans="1:6" ht="25.5">
      <c r="A6609" s="2">
        <v>6606</v>
      </c>
      <c r="B6609" s="2" t="s">
        <v>6684</v>
      </c>
      <c r="C6609" s="2" t="str">
        <f>"10956808"</f>
        <v>10956808</v>
      </c>
      <c r="D6609" s="2">
        <v>3.274</v>
      </c>
      <c r="E6609" s="2">
        <v>77</v>
      </c>
      <c r="F6609" s="2" t="s">
        <v>6</v>
      </c>
    </row>
    <row r="6610" spans="1:6" ht="25.5">
      <c r="A6610" s="2">
        <v>6607</v>
      </c>
      <c r="B6610" s="2" t="s">
        <v>6685</v>
      </c>
      <c r="C6610" s="2" t="str">
        <f>"16626427"</f>
        <v>16626427</v>
      </c>
      <c r="D6610" s="2">
        <v>1.109</v>
      </c>
      <c r="E6610" s="2">
        <v>4</v>
      </c>
      <c r="F6610" s="2" t="s">
        <v>31</v>
      </c>
    </row>
    <row r="6611" spans="1:6" ht="25.5">
      <c r="A6611" s="2">
        <v>6608</v>
      </c>
      <c r="B6611" s="2" t="s">
        <v>6686</v>
      </c>
      <c r="C6611" s="2" t="str">
        <f>"16626443"</f>
        <v>16626443</v>
      </c>
      <c r="D6611" s="2">
        <v>0.36899999999999999</v>
      </c>
      <c r="E6611" s="2">
        <v>5</v>
      </c>
      <c r="F6611" s="2" t="s">
        <v>31</v>
      </c>
    </row>
    <row r="6612" spans="1:6" ht="25.5">
      <c r="A6612" s="2">
        <v>6609</v>
      </c>
      <c r="B6612" s="2" t="s">
        <v>6687</v>
      </c>
      <c r="C6612" s="2" t="str">
        <f>"16625196"</f>
        <v>16625196</v>
      </c>
      <c r="D6612" s="2">
        <v>0.55900000000000005</v>
      </c>
      <c r="E6612" s="2">
        <v>3</v>
      </c>
      <c r="F6612" s="2" t="s">
        <v>31</v>
      </c>
    </row>
    <row r="6613" spans="1:6" ht="25.5">
      <c r="A6613" s="2">
        <v>6610</v>
      </c>
      <c r="B6613" s="2" t="s">
        <v>6688</v>
      </c>
      <c r="C6613" s="2" t="str">
        <f>"16625218"</f>
        <v>16625218</v>
      </c>
      <c r="D6613" s="2">
        <v>0.21199999999999999</v>
      </c>
      <c r="E6613" s="2">
        <v>2</v>
      </c>
      <c r="F6613" s="2" t="s">
        <v>31</v>
      </c>
    </row>
    <row r="6614" spans="1:6" ht="25.5">
      <c r="A6614" s="2">
        <v>6611</v>
      </c>
      <c r="B6614" s="2" t="s">
        <v>6689</v>
      </c>
      <c r="C6614" s="2" t="str">
        <f>"16624548"</f>
        <v>16624548</v>
      </c>
      <c r="D6614" s="2">
        <v>1.143</v>
      </c>
      <c r="E6614" s="2">
        <v>10</v>
      </c>
      <c r="F6614" s="2" t="s">
        <v>31</v>
      </c>
    </row>
    <row r="6615" spans="1:6" ht="25.5">
      <c r="A6615" s="2">
        <v>6612</v>
      </c>
      <c r="B6615" s="2" t="s">
        <v>6690</v>
      </c>
      <c r="C6615" s="2" t="str">
        <f>"16639812"</f>
        <v>16639812</v>
      </c>
      <c r="D6615" s="2">
        <v>0.58799999999999997</v>
      </c>
      <c r="E6615" s="2">
        <v>8</v>
      </c>
      <c r="F6615" s="2" t="s">
        <v>6</v>
      </c>
    </row>
    <row r="6616" spans="1:6" ht="25.5">
      <c r="A6616" s="2">
        <v>6613</v>
      </c>
      <c r="B6616" s="2" t="s">
        <v>6691</v>
      </c>
      <c r="C6616" s="2" t="str">
        <f>"1664042X"</f>
        <v>1664042X</v>
      </c>
      <c r="D6616" s="2">
        <v>0.67100000000000004</v>
      </c>
      <c r="E6616" s="2">
        <v>10</v>
      </c>
      <c r="F6616" s="2" t="s">
        <v>31</v>
      </c>
    </row>
    <row r="6617" spans="1:6" ht="25.5">
      <c r="A6617" s="2">
        <v>6614</v>
      </c>
      <c r="B6617" s="2" t="s">
        <v>6692</v>
      </c>
      <c r="C6617" s="2" t="str">
        <f>"16640640"</f>
        <v>16640640</v>
      </c>
      <c r="D6617" s="2">
        <v>0.61</v>
      </c>
      <c r="E6617" s="2">
        <v>6</v>
      </c>
      <c r="F6617" s="2" t="s">
        <v>31</v>
      </c>
    </row>
    <row r="6618" spans="1:6" ht="25.5">
      <c r="A6618" s="2">
        <v>6615</v>
      </c>
      <c r="B6618" s="2" t="s">
        <v>6693</v>
      </c>
      <c r="C6618" s="2" t="str">
        <f>"16641078"</f>
        <v>16641078</v>
      </c>
      <c r="D6618" s="2">
        <v>1.1100000000000001</v>
      </c>
      <c r="E6618" s="2">
        <v>13</v>
      </c>
      <c r="F6618" s="2" t="s">
        <v>31</v>
      </c>
    </row>
    <row r="6619" spans="1:6" ht="25.5">
      <c r="A6619" s="2">
        <v>6616</v>
      </c>
      <c r="B6619" s="2" t="s">
        <v>6694</v>
      </c>
      <c r="C6619" s="2" t="str">
        <f>"16633563"</f>
        <v>16633563</v>
      </c>
      <c r="D6619" s="2">
        <v>2.2000000000000002</v>
      </c>
      <c r="E6619" s="2">
        <v>11</v>
      </c>
      <c r="F6619" s="2" t="s">
        <v>31</v>
      </c>
    </row>
    <row r="6620" spans="1:6" ht="25.5">
      <c r="A6620" s="2">
        <v>6617</v>
      </c>
      <c r="B6620" s="2" t="s">
        <v>6695</v>
      </c>
      <c r="C6620" s="2" t="str">
        <f>"16625137"</f>
        <v>16625137</v>
      </c>
      <c r="D6620" s="2">
        <v>2.8380000000000001</v>
      </c>
      <c r="E6620" s="2">
        <v>18</v>
      </c>
      <c r="F6620" s="2" t="s">
        <v>31</v>
      </c>
    </row>
    <row r="6621" spans="1:6" ht="25.5">
      <c r="A6621" s="2">
        <v>6618</v>
      </c>
      <c r="B6621" s="2" t="s">
        <v>6696</v>
      </c>
      <c r="C6621" s="2" t="str">
        <f>"17429994"</f>
        <v>17429994</v>
      </c>
      <c r="D6621" s="2">
        <v>1.728</v>
      </c>
      <c r="E6621" s="2">
        <v>25</v>
      </c>
      <c r="F6621" s="2" t="s">
        <v>16</v>
      </c>
    </row>
    <row r="6622" spans="1:6" ht="25.5">
      <c r="A6622" s="2">
        <v>6619</v>
      </c>
      <c r="B6622" s="2" t="s">
        <v>6697</v>
      </c>
      <c r="C6622" s="2" t="str">
        <f>"1673744X"</f>
        <v>1673744X</v>
      </c>
      <c r="D6622" s="2">
        <v>0.14499999999999999</v>
      </c>
      <c r="E6622" s="2">
        <v>6</v>
      </c>
      <c r="F6622" s="2" t="s">
        <v>46</v>
      </c>
    </row>
    <row r="6623" spans="1:6" ht="25.5">
      <c r="A6623" s="2">
        <v>6620</v>
      </c>
      <c r="B6623" s="2" t="s">
        <v>6698</v>
      </c>
      <c r="C6623" s="2" t="str">
        <f>"16733622"</f>
        <v>16733622</v>
      </c>
      <c r="D6623" s="2">
        <v>0.18099999999999999</v>
      </c>
      <c r="E6623" s="2">
        <v>7</v>
      </c>
      <c r="F6623" s="2" t="s">
        <v>46</v>
      </c>
    </row>
    <row r="6624" spans="1:6" ht="25.5">
      <c r="A6624" s="2">
        <v>6621</v>
      </c>
      <c r="B6624" s="2" t="s">
        <v>6699</v>
      </c>
      <c r="C6624" s="2" t="str">
        <f>"16737431"</f>
        <v>16737431</v>
      </c>
      <c r="D6624" s="2">
        <v>0.105</v>
      </c>
      <c r="E6624" s="2">
        <v>3</v>
      </c>
      <c r="F6624" s="2" t="s">
        <v>46</v>
      </c>
    </row>
    <row r="6625" spans="1:6" ht="25.5">
      <c r="A6625" s="2">
        <v>6622</v>
      </c>
      <c r="B6625" s="2" t="s">
        <v>6700</v>
      </c>
      <c r="C6625" s="2" t="str">
        <f>"20950187"</f>
        <v>20950187</v>
      </c>
      <c r="D6625" s="2">
        <v>0.215</v>
      </c>
      <c r="E6625" s="2">
        <v>8</v>
      </c>
      <c r="F6625" s="2" t="s">
        <v>46</v>
      </c>
    </row>
    <row r="6626" spans="1:6" ht="25.5">
      <c r="A6626" s="2">
        <v>6623</v>
      </c>
      <c r="B6626" s="2" t="s">
        <v>6701</v>
      </c>
      <c r="C6626" s="2" t="str">
        <f>"16733614"</f>
        <v>16733614</v>
      </c>
      <c r="D6626" s="2">
        <v>0.17599999999999999</v>
      </c>
      <c r="E6626" s="2">
        <v>7</v>
      </c>
      <c r="F6626" s="2" t="s">
        <v>46</v>
      </c>
    </row>
    <row r="6627" spans="1:6" ht="25.5">
      <c r="A6627" s="2">
        <v>6624</v>
      </c>
      <c r="B6627" s="2" t="s">
        <v>6702</v>
      </c>
      <c r="C6627" s="2" t="str">
        <f>"20952236"</f>
        <v>20952236</v>
      </c>
      <c r="D6627" s="2">
        <v>0.248</v>
      </c>
      <c r="E6627" s="2">
        <v>11</v>
      </c>
      <c r="F6627" s="2" t="s">
        <v>6</v>
      </c>
    </row>
    <row r="6628" spans="1:6" ht="25.5">
      <c r="A6628" s="2">
        <v>6625</v>
      </c>
      <c r="B6628" s="2" t="s">
        <v>6703</v>
      </c>
      <c r="C6628" s="2" t="str">
        <f>"16733568"</f>
        <v>16733568</v>
      </c>
      <c r="D6628" s="2">
        <v>0.14000000000000001</v>
      </c>
      <c r="E6628" s="2">
        <v>3</v>
      </c>
      <c r="F6628" s="2" t="s">
        <v>46</v>
      </c>
    </row>
    <row r="6629" spans="1:6" ht="25.5">
      <c r="A6629" s="2">
        <v>6626</v>
      </c>
      <c r="B6629" s="2" t="s">
        <v>6704</v>
      </c>
      <c r="C6629" s="2" t="str">
        <f>"16733533"</f>
        <v>16733533</v>
      </c>
      <c r="D6629" s="2">
        <v>0.191</v>
      </c>
      <c r="E6629" s="2">
        <v>4</v>
      </c>
      <c r="F6629" s="2" t="s">
        <v>46</v>
      </c>
    </row>
    <row r="6630" spans="1:6" ht="25.5">
      <c r="A6630" s="2">
        <v>6627</v>
      </c>
      <c r="B6630" s="2" t="s">
        <v>6705</v>
      </c>
      <c r="C6630" s="2" t="str">
        <f>"16733584"</f>
        <v>16733584</v>
      </c>
      <c r="D6630" s="2">
        <v>0.19500000000000001</v>
      </c>
      <c r="E6630" s="2">
        <v>8</v>
      </c>
      <c r="F6630" s="2" t="s">
        <v>46</v>
      </c>
    </row>
    <row r="6631" spans="1:6" ht="25.5">
      <c r="A6631" s="2">
        <v>6628</v>
      </c>
      <c r="B6631" s="2" t="s">
        <v>6706</v>
      </c>
      <c r="C6631" s="2" t="str">
        <f>"16737504"</f>
        <v>16737504</v>
      </c>
      <c r="D6631" s="2">
        <v>0.23899999999999999</v>
      </c>
      <c r="E6631" s="2">
        <v>8</v>
      </c>
      <c r="F6631" s="2" t="s">
        <v>46</v>
      </c>
    </row>
    <row r="6632" spans="1:6" ht="25.5">
      <c r="A6632" s="2">
        <v>6629</v>
      </c>
      <c r="B6632" s="2" t="s">
        <v>6707</v>
      </c>
      <c r="C6632" s="2" t="str">
        <f>"2095221X"</f>
        <v>2095221X</v>
      </c>
      <c r="D6632" s="2">
        <v>0</v>
      </c>
      <c r="E6632" s="2">
        <v>0</v>
      </c>
      <c r="F6632" s="2" t="s">
        <v>6</v>
      </c>
    </row>
    <row r="6633" spans="1:6" ht="25.5">
      <c r="A6633" s="2">
        <v>6630</v>
      </c>
      <c r="B6633" s="2" t="s">
        <v>6708</v>
      </c>
      <c r="C6633" s="2" t="str">
        <f>"03020665"</f>
        <v>03020665</v>
      </c>
      <c r="D6633" s="2">
        <v>0.10199999999999999</v>
      </c>
      <c r="E6633" s="2">
        <v>2</v>
      </c>
      <c r="F6633" s="2" t="s">
        <v>31</v>
      </c>
    </row>
    <row r="6634" spans="1:6" ht="25.5">
      <c r="A6634" s="2">
        <v>6631</v>
      </c>
      <c r="B6634" s="2" t="s">
        <v>6709</v>
      </c>
      <c r="C6634" s="2" t="str">
        <f>"07488157"</f>
        <v>07488157</v>
      </c>
      <c r="D6634" s="2">
        <v>0.34699999999999998</v>
      </c>
      <c r="E6634" s="2">
        <v>13</v>
      </c>
      <c r="F6634" s="2" t="s">
        <v>6</v>
      </c>
    </row>
    <row r="6635" spans="1:6" ht="25.5">
      <c r="A6635" s="2">
        <v>6632</v>
      </c>
      <c r="B6635" s="2" t="s">
        <v>6710</v>
      </c>
      <c r="C6635" s="2" t="str">
        <f>"16733525"</f>
        <v>16733525</v>
      </c>
      <c r="D6635" s="2">
        <v>0.1</v>
      </c>
      <c r="E6635" s="2">
        <v>1</v>
      </c>
      <c r="F6635" s="2" t="s">
        <v>46</v>
      </c>
    </row>
    <row r="6636" spans="1:6" ht="25.5">
      <c r="A6636" s="2">
        <v>6633</v>
      </c>
      <c r="B6636" s="2" t="s">
        <v>6711</v>
      </c>
      <c r="C6636" s="2" t="str">
        <f>"03013073"</f>
        <v>03013073</v>
      </c>
      <c r="D6636" s="2">
        <v>0.53</v>
      </c>
      <c r="E6636" s="2">
        <v>23</v>
      </c>
      <c r="F6636" s="2" t="s">
        <v>31</v>
      </c>
    </row>
    <row r="6637" spans="1:6" ht="25.5">
      <c r="A6637" s="2">
        <v>6634</v>
      </c>
      <c r="B6637" s="2" t="s">
        <v>6712</v>
      </c>
      <c r="C6637" s="2" t="str">
        <f>"16733541"</f>
        <v>16733541</v>
      </c>
      <c r="D6637" s="2">
        <v>0.1</v>
      </c>
      <c r="E6637" s="2">
        <v>2</v>
      </c>
      <c r="F6637" s="2" t="s">
        <v>46</v>
      </c>
    </row>
    <row r="6638" spans="1:6" ht="25.5">
      <c r="A6638" s="2">
        <v>6635</v>
      </c>
      <c r="B6638" s="2" t="s">
        <v>6713</v>
      </c>
      <c r="C6638" s="2" t="str">
        <f>"16737423"</f>
        <v>16737423</v>
      </c>
      <c r="D6638" s="2">
        <v>0.1</v>
      </c>
      <c r="E6638" s="2">
        <v>1</v>
      </c>
      <c r="F6638" s="2" t="s">
        <v>46</v>
      </c>
    </row>
    <row r="6639" spans="1:6" ht="25.5">
      <c r="A6639" s="2">
        <v>6636</v>
      </c>
      <c r="B6639" s="2" t="s">
        <v>6714</v>
      </c>
      <c r="C6639" s="2" t="str">
        <f>"2095025X"</f>
        <v>2095025X</v>
      </c>
      <c r="D6639" s="2">
        <v>0.253</v>
      </c>
      <c r="E6639" s="2">
        <v>8</v>
      </c>
      <c r="F6639" s="2" t="s">
        <v>46</v>
      </c>
    </row>
    <row r="6640" spans="1:6" ht="25.5">
      <c r="A6640" s="2">
        <v>6637</v>
      </c>
      <c r="B6640" s="2" t="s">
        <v>6715</v>
      </c>
      <c r="C6640" s="2" t="str">
        <f>"16733576"</f>
        <v>16733576</v>
      </c>
      <c r="D6640" s="2">
        <v>0.34699999999999998</v>
      </c>
      <c r="E6640" s="2">
        <v>9</v>
      </c>
      <c r="F6640" s="2" t="s">
        <v>46</v>
      </c>
    </row>
    <row r="6641" spans="1:6" ht="25.5">
      <c r="A6641" s="2">
        <v>6638</v>
      </c>
      <c r="B6641" s="2" t="s">
        <v>6716</v>
      </c>
      <c r="C6641" s="2" t="str">
        <f>"20950225"</f>
        <v>20950225</v>
      </c>
      <c r="D6641" s="2">
        <v>0</v>
      </c>
      <c r="E6641" s="2">
        <v>1</v>
      </c>
      <c r="F6641" s="2" t="s">
        <v>6</v>
      </c>
    </row>
    <row r="6642" spans="1:6" ht="25.5">
      <c r="A6642" s="2">
        <v>6639</v>
      </c>
      <c r="B6642" s="2" t="s">
        <v>6717</v>
      </c>
      <c r="C6642" s="2" t="str">
        <f>"18762778"</f>
        <v>18762778</v>
      </c>
      <c r="D6642" s="2">
        <v>0.11700000000000001</v>
      </c>
      <c r="E6642" s="2">
        <v>1</v>
      </c>
      <c r="F6642" s="2" t="s">
        <v>16</v>
      </c>
    </row>
    <row r="6643" spans="1:6" ht="25.5">
      <c r="A6643" s="2">
        <v>6640</v>
      </c>
      <c r="B6643" s="2" t="s">
        <v>6718</v>
      </c>
      <c r="C6643" s="2" t="str">
        <f>"16604431"</f>
        <v>16604431</v>
      </c>
      <c r="D6643" s="2">
        <v>0.25900000000000001</v>
      </c>
      <c r="E6643" s="2">
        <v>13</v>
      </c>
      <c r="F6643" s="2" t="s">
        <v>31</v>
      </c>
    </row>
    <row r="6644" spans="1:6" ht="25.5">
      <c r="A6644" s="2">
        <v>6641</v>
      </c>
      <c r="B6644" s="2" t="s">
        <v>6719</v>
      </c>
      <c r="C6644" s="2" t="str">
        <f>"20952767"</f>
        <v>20952767</v>
      </c>
      <c r="D6644" s="2">
        <v>0</v>
      </c>
      <c r="E6644" s="2">
        <v>1</v>
      </c>
      <c r="F6644" s="2" t="s">
        <v>6</v>
      </c>
    </row>
    <row r="6645" spans="1:6" ht="25.5">
      <c r="A6645" s="2">
        <v>6642</v>
      </c>
      <c r="B6645" s="2" t="s">
        <v>6720</v>
      </c>
      <c r="C6645" s="2" t="str">
        <f>"16744594"</f>
        <v>16744594</v>
      </c>
      <c r="D6645" s="2">
        <v>0.21</v>
      </c>
      <c r="E6645" s="2">
        <v>5</v>
      </c>
      <c r="F6645" s="2" t="s">
        <v>12</v>
      </c>
    </row>
    <row r="6646" spans="1:6" ht="25.5">
      <c r="A6646" s="2">
        <v>6643</v>
      </c>
      <c r="B6646" s="2" t="s">
        <v>6721</v>
      </c>
      <c r="C6646" s="2" t="str">
        <f>"16623770"</f>
        <v>16623770</v>
      </c>
      <c r="D6646" s="2">
        <v>0.33800000000000002</v>
      </c>
      <c r="E6646" s="2">
        <v>8</v>
      </c>
      <c r="F6646" s="2" t="s">
        <v>31</v>
      </c>
    </row>
    <row r="6647" spans="1:6" ht="25.5">
      <c r="A6647" s="2">
        <v>6644</v>
      </c>
      <c r="B6647" s="2" t="s">
        <v>6722</v>
      </c>
      <c r="C6647" s="2" t="str">
        <f>"1673355X"</f>
        <v>1673355X</v>
      </c>
      <c r="D6647" s="2">
        <v>0.10199999999999999</v>
      </c>
      <c r="E6647" s="2">
        <v>2</v>
      </c>
      <c r="F6647" s="2" t="s">
        <v>46</v>
      </c>
    </row>
    <row r="6648" spans="1:6" ht="25.5">
      <c r="A6648" s="2">
        <v>6645</v>
      </c>
      <c r="B6648" s="2" t="s">
        <v>6723</v>
      </c>
      <c r="C6648" s="2" t="str">
        <f>"16733487"</f>
        <v>16733487</v>
      </c>
      <c r="D6648" s="2">
        <v>0.45</v>
      </c>
      <c r="E6648" s="2">
        <v>10</v>
      </c>
      <c r="F6648" s="2" t="s">
        <v>46</v>
      </c>
    </row>
    <row r="6649" spans="1:6" ht="25.5">
      <c r="A6649" s="2">
        <v>6646</v>
      </c>
      <c r="B6649" s="2" t="s">
        <v>6724</v>
      </c>
      <c r="C6649" s="2" t="str">
        <f>"00719676"</f>
        <v>00719676</v>
      </c>
      <c r="D6649" s="2">
        <v>0.45</v>
      </c>
      <c r="E6649" s="2">
        <v>16</v>
      </c>
      <c r="F6649" s="2" t="s">
        <v>31</v>
      </c>
    </row>
    <row r="6650" spans="1:6" ht="25.5">
      <c r="A6650" s="2">
        <v>6647</v>
      </c>
      <c r="B6650" s="2" t="s">
        <v>6725</v>
      </c>
      <c r="C6650" s="2" t="str">
        <f>"20952449"</f>
        <v>20952449</v>
      </c>
      <c r="D6650" s="2">
        <v>0</v>
      </c>
      <c r="E6650" s="2">
        <v>0</v>
      </c>
      <c r="F6650" s="2" t="s">
        <v>6</v>
      </c>
    </row>
    <row r="6651" spans="1:6" ht="25.5">
      <c r="A6651" s="2">
        <v>6648</v>
      </c>
      <c r="B6651" s="2" t="s">
        <v>6726</v>
      </c>
      <c r="C6651" s="2" t="str">
        <f>"1625967X"</f>
        <v>1625967X</v>
      </c>
      <c r="D6651" s="2">
        <v>0.38200000000000001</v>
      </c>
      <c r="E6651" s="2">
        <v>11</v>
      </c>
      <c r="F6651" s="2" t="s">
        <v>66</v>
      </c>
    </row>
    <row r="6652" spans="1:6" ht="25.5">
      <c r="A6652" s="2">
        <v>6649</v>
      </c>
      <c r="B6652" s="2" t="s">
        <v>6727</v>
      </c>
      <c r="C6652" s="2" t="str">
        <f>"13020234"</f>
        <v>13020234</v>
      </c>
      <c r="D6652" s="2">
        <v>0.108</v>
      </c>
      <c r="E6652" s="2">
        <v>5</v>
      </c>
      <c r="F6652" s="2" t="s">
        <v>345</v>
      </c>
    </row>
    <row r="6653" spans="1:6" ht="25.5">
      <c r="A6653" s="2">
        <v>6650</v>
      </c>
      <c r="B6653" s="2" t="s">
        <v>6728</v>
      </c>
      <c r="C6653" s="2" t="str">
        <f>"16728467"</f>
        <v>16728467</v>
      </c>
      <c r="D6653" s="2">
        <v>0.104</v>
      </c>
      <c r="E6653" s="2">
        <v>5</v>
      </c>
      <c r="F6653" s="2" t="s">
        <v>46</v>
      </c>
    </row>
    <row r="6654" spans="1:6" ht="25.5">
      <c r="A6654" s="2">
        <v>6651</v>
      </c>
      <c r="B6654" s="2" t="s">
        <v>6729</v>
      </c>
      <c r="C6654" s="2" t="str">
        <f>"00162361"</f>
        <v>00162361</v>
      </c>
      <c r="D6654" s="2">
        <v>1.617</v>
      </c>
      <c r="E6654" s="2">
        <v>92</v>
      </c>
      <c r="F6654" s="2" t="s">
        <v>75</v>
      </c>
    </row>
    <row r="6655" spans="1:6" ht="25.5">
      <c r="A6655" s="2">
        <v>6652</v>
      </c>
      <c r="B6655" s="2" t="s">
        <v>6730</v>
      </c>
      <c r="C6655" s="2" t="str">
        <f>"16156854"</f>
        <v>16156854</v>
      </c>
      <c r="D6655" s="2">
        <v>1.056</v>
      </c>
      <c r="E6655" s="2">
        <v>39</v>
      </c>
      <c r="F6655" s="2" t="s">
        <v>16</v>
      </c>
    </row>
    <row r="6656" spans="1:6" ht="25.5">
      <c r="A6656" s="2">
        <v>6653</v>
      </c>
      <c r="B6656" s="2" t="s">
        <v>6731</v>
      </c>
      <c r="C6656" s="2" t="str">
        <f>"14642859"</f>
        <v>14642859</v>
      </c>
      <c r="D6656" s="2">
        <v>0.13500000000000001</v>
      </c>
      <c r="E6656" s="2">
        <v>13</v>
      </c>
      <c r="F6656" s="2" t="s">
        <v>75</v>
      </c>
    </row>
    <row r="6657" spans="1:6" ht="25.5">
      <c r="A6657" s="2">
        <v>6654</v>
      </c>
      <c r="B6657" s="2" t="s">
        <v>6732</v>
      </c>
      <c r="C6657" s="2" t="str">
        <f>"03783820"</f>
        <v>03783820</v>
      </c>
      <c r="D6657" s="2">
        <v>1.4790000000000001</v>
      </c>
      <c r="E6657" s="2">
        <v>69</v>
      </c>
      <c r="F6657" s="2" t="s">
        <v>75</v>
      </c>
    </row>
    <row r="6658" spans="1:6" ht="25.5">
      <c r="A6658" s="2">
        <v>6655</v>
      </c>
      <c r="B6658" s="2" t="s">
        <v>6733</v>
      </c>
      <c r="C6658" s="2" t="str">
        <f>"01179470"</f>
        <v>01179470</v>
      </c>
      <c r="D6658" s="2">
        <v>0.1</v>
      </c>
      <c r="E6658" s="2">
        <v>1</v>
      </c>
      <c r="F6658" s="2" t="s">
        <v>304</v>
      </c>
    </row>
    <row r="6659" spans="1:6" ht="25.5">
      <c r="A6659" s="2">
        <v>6656</v>
      </c>
      <c r="B6659" s="2" t="s">
        <v>6734</v>
      </c>
      <c r="C6659" s="2" t="str">
        <f>"10003851"</f>
        <v>10003851</v>
      </c>
      <c r="D6659" s="2">
        <v>0.26800000000000002</v>
      </c>
      <c r="E6659" s="2">
        <v>14</v>
      </c>
      <c r="F6659" s="2" t="s">
        <v>46</v>
      </c>
    </row>
    <row r="6660" spans="1:6" ht="25.5">
      <c r="A6660" s="2">
        <v>6657</v>
      </c>
      <c r="B6660" s="2" t="s">
        <v>6735</v>
      </c>
      <c r="C6660" s="2" t="str">
        <f>"00162523"</f>
        <v>00162523</v>
      </c>
      <c r="D6660" s="2">
        <v>0.19900000000000001</v>
      </c>
      <c r="E6660" s="2">
        <v>13</v>
      </c>
      <c r="F6660" s="2" t="s">
        <v>131</v>
      </c>
    </row>
    <row r="6661" spans="1:6" ht="25.5">
      <c r="A6661" s="2">
        <v>6658</v>
      </c>
      <c r="B6661" s="2" t="s">
        <v>6736</v>
      </c>
      <c r="C6661" s="2" t="str">
        <f>"0016254X"</f>
        <v>0016254X</v>
      </c>
      <c r="D6661" s="2">
        <v>0.111</v>
      </c>
      <c r="E6661" s="2">
        <v>11</v>
      </c>
      <c r="F6661" s="2" t="s">
        <v>131</v>
      </c>
    </row>
    <row r="6662" spans="1:6" ht="25.5">
      <c r="A6662" s="2">
        <v>6659</v>
      </c>
      <c r="B6662" s="2" t="s">
        <v>6737</v>
      </c>
      <c r="C6662" s="2" t="str">
        <f>"00162590"</f>
        <v>00162590</v>
      </c>
      <c r="D6662" s="2">
        <v>0.14399999999999999</v>
      </c>
      <c r="E6662" s="2">
        <v>9</v>
      </c>
      <c r="F6662" s="2" t="s">
        <v>131</v>
      </c>
    </row>
    <row r="6663" spans="1:6" ht="25.5">
      <c r="A6663" s="2">
        <v>6660</v>
      </c>
      <c r="B6663" s="2" t="s">
        <v>6738</v>
      </c>
      <c r="C6663" s="2" t="str">
        <f>"15364046"</f>
        <v>15364046</v>
      </c>
      <c r="D6663" s="2">
        <v>0.34200000000000003</v>
      </c>
      <c r="E6663" s="2">
        <v>29</v>
      </c>
      <c r="F6663" s="2" t="s">
        <v>16</v>
      </c>
    </row>
    <row r="6664" spans="1:6" ht="25.5">
      <c r="A6664" s="2">
        <v>6661</v>
      </c>
      <c r="B6664" s="2" t="s">
        <v>6739</v>
      </c>
      <c r="C6664" s="2" t="str">
        <f>"15738485"</f>
        <v>15738485</v>
      </c>
      <c r="D6664" s="2">
        <v>0.52300000000000002</v>
      </c>
      <c r="E6664" s="2">
        <v>16</v>
      </c>
      <c r="F6664" s="2" t="s">
        <v>6</v>
      </c>
    </row>
    <row r="6665" spans="1:6" ht="25.5">
      <c r="A6665" s="2">
        <v>6662</v>
      </c>
      <c r="B6665" s="2" t="s">
        <v>6740</v>
      </c>
      <c r="C6665" s="2" t="str">
        <f>"14387948"</f>
        <v>14387948</v>
      </c>
      <c r="D6665" s="2">
        <v>1.272</v>
      </c>
      <c r="E6665" s="2">
        <v>39</v>
      </c>
      <c r="F6665" s="2" t="s">
        <v>12</v>
      </c>
    </row>
    <row r="6666" spans="1:6" ht="25.5">
      <c r="A6666" s="2">
        <v>6663</v>
      </c>
      <c r="B6666" s="2" t="s">
        <v>6741</v>
      </c>
      <c r="C6666" s="2" t="str">
        <f>"13652435"</f>
        <v>13652435</v>
      </c>
      <c r="D6666" s="2">
        <v>2.4430000000000001</v>
      </c>
      <c r="E6666" s="2">
        <v>85</v>
      </c>
      <c r="F6666" s="2" t="s">
        <v>16</v>
      </c>
    </row>
    <row r="6667" spans="1:6" ht="25.5">
      <c r="A6667" s="2">
        <v>6664</v>
      </c>
      <c r="B6667" s="2" t="s">
        <v>6742</v>
      </c>
      <c r="C6667" s="2" t="str">
        <f>"17937213"</f>
        <v>17937213</v>
      </c>
      <c r="D6667" s="2">
        <v>0.45100000000000001</v>
      </c>
      <c r="E6667" s="2">
        <v>12</v>
      </c>
      <c r="F6667" s="2" t="s">
        <v>543</v>
      </c>
    </row>
    <row r="6668" spans="1:6" ht="25.5">
      <c r="A6668" s="2">
        <v>6665</v>
      </c>
      <c r="B6668" s="2" t="s">
        <v>6743</v>
      </c>
      <c r="C6668" s="2" t="str">
        <f>"03935264"</f>
        <v>03935264</v>
      </c>
      <c r="D6668" s="2">
        <v>0.42299999999999999</v>
      </c>
      <c r="E6668" s="2">
        <v>25</v>
      </c>
      <c r="F6668" s="2" t="s">
        <v>190</v>
      </c>
    </row>
    <row r="6669" spans="1:6" ht="25.5">
      <c r="A6669" s="2">
        <v>6666</v>
      </c>
      <c r="B6669" s="2" t="s">
        <v>6744</v>
      </c>
      <c r="C6669" s="2" t="str">
        <f>"14454408"</f>
        <v>14454408</v>
      </c>
      <c r="D6669" s="2">
        <v>1.121</v>
      </c>
      <c r="E6669" s="2">
        <v>64</v>
      </c>
      <c r="F6669" s="2" t="s">
        <v>127</v>
      </c>
    </row>
    <row r="6670" spans="1:6" ht="25.5">
      <c r="A6670" s="2">
        <v>6667</v>
      </c>
      <c r="B6670" s="2" t="s">
        <v>6745</v>
      </c>
      <c r="C6670" s="2" t="str">
        <f>"0929998X"</f>
        <v>0929998X</v>
      </c>
      <c r="D6670" s="2">
        <v>0.55300000000000005</v>
      </c>
      <c r="E6670" s="2">
        <v>8</v>
      </c>
      <c r="F6670" s="2" t="s">
        <v>75</v>
      </c>
    </row>
    <row r="6671" spans="1:6" ht="25.5">
      <c r="A6671" s="2">
        <v>6668</v>
      </c>
      <c r="B6671" s="2" t="s">
        <v>6746</v>
      </c>
      <c r="C6671" s="2" t="str">
        <f>"01692968"</f>
        <v>01692968</v>
      </c>
      <c r="D6671" s="2">
        <v>0.74399999999999999</v>
      </c>
      <c r="E6671" s="2">
        <v>36</v>
      </c>
      <c r="F6671" s="2" t="s">
        <v>75</v>
      </c>
    </row>
    <row r="6672" spans="1:6" ht="25.5">
      <c r="A6672" s="2">
        <v>6669</v>
      </c>
      <c r="B6672" s="2" t="s">
        <v>6747</v>
      </c>
      <c r="C6672" s="2" t="str">
        <f>"18639135"</f>
        <v>18639135</v>
      </c>
      <c r="D6672" s="2">
        <v>0.48899999999999999</v>
      </c>
      <c r="E6672" s="2">
        <v>42</v>
      </c>
      <c r="F6672" s="2" t="s">
        <v>12</v>
      </c>
    </row>
    <row r="6673" spans="1:6" ht="25.5">
      <c r="A6673" s="2">
        <v>6670</v>
      </c>
      <c r="B6673" s="2" t="s">
        <v>6748</v>
      </c>
      <c r="C6673" s="2" t="str">
        <f>"15605159"</f>
        <v>15605159</v>
      </c>
      <c r="D6673" s="2">
        <v>0.14899999999999999</v>
      </c>
      <c r="E6673" s="2">
        <v>2</v>
      </c>
      <c r="F6673" s="2" t="s">
        <v>129</v>
      </c>
    </row>
    <row r="6674" spans="1:6" ht="25.5">
      <c r="A6674" s="2">
        <v>6671</v>
      </c>
      <c r="B6674" s="2" t="s">
        <v>6749</v>
      </c>
      <c r="C6674" s="2" t="str">
        <f>"14728206"</f>
        <v>14728206</v>
      </c>
      <c r="D6674" s="2">
        <v>0.503</v>
      </c>
      <c r="E6674" s="2">
        <v>47</v>
      </c>
      <c r="F6674" s="2" t="s">
        <v>16</v>
      </c>
    </row>
    <row r="6675" spans="1:6" ht="25.5">
      <c r="A6675" s="2">
        <v>6672</v>
      </c>
      <c r="B6675" s="2" t="s">
        <v>6750</v>
      </c>
      <c r="C6675" s="2" t="str">
        <f>"00162736"</f>
        <v>00162736</v>
      </c>
      <c r="D6675" s="2">
        <v>0.628</v>
      </c>
      <c r="E6675" s="2">
        <v>19</v>
      </c>
      <c r="F6675" s="2" t="s">
        <v>169</v>
      </c>
    </row>
    <row r="6676" spans="1:6" ht="25.5">
      <c r="A6676" s="2">
        <v>6673</v>
      </c>
      <c r="B6676" s="2" t="s">
        <v>6751</v>
      </c>
      <c r="C6676" s="2" t="str">
        <f>"18786146"</f>
        <v>18786146</v>
      </c>
      <c r="D6676" s="2">
        <v>0.82</v>
      </c>
      <c r="E6676" s="2">
        <v>63</v>
      </c>
      <c r="F6676" s="2" t="s">
        <v>75</v>
      </c>
    </row>
    <row r="6677" spans="1:6" ht="25.5">
      <c r="A6677" s="2">
        <v>6674</v>
      </c>
      <c r="B6677" s="2" t="s">
        <v>6752</v>
      </c>
      <c r="C6677" s="2" t="str">
        <f>"17494613"</f>
        <v>17494613</v>
      </c>
      <c r="D6677" s="2">
        <v>1.121</v>
      </c>
      <c r="E6677" s="2">
        <v>24</v>
      </c>
      <c r="F6677" s="2" t="s">
        <v>75</v>
      </c>
    </row>
    <row r="6678" spans="1:6" ht="25.5">
      <c r="A6678" s="2">
        <v>6675</v>
      </c>
      <c r="B6678" s="2" t="s">
        <v>6753</v>
      </c>
      <c r="C6678" s="2" t="str">
        <f>"18789129"</f>
        <v>18789129</v>
      </c>
      <c r="D6678" s="2">
        <v>1.893</v>
      </c>
      <c r="E6678" s="2">
        <v>36</v>
      </c>
      <c r="F6678" s="2" t="s">
        <v>75</v>
      </c>
    </row>
    <row r="6679" spans="1:6" ht="25.5">
      <c r="A6679" s="2">
        <v>6676</v>
      </c>
      <c r="B6679" s="2" t="s">
        <v>6754</v>
      </c>
      <c r="C6679" s="2" t="str">
        <f>"17545048"</f>
        <v>17545048</v>
      </c>
      <c r="D6679" s="2">
        <v>0.97099999999999997</v>
      </c>
      <c r="E6679" s="2">
        <v>13</v>
      </c>
      <c r="F6679" s="2" t="s">
        <v>75</v>
      </c>
    </row>
    <row r="6680" spans="1:6" ht="25.5">
      <c r="A6680" s="2">
        <v>6677</v>
      </c>
      <c r="B6680" s="2" t="s">
        <v>6755</v>
      </c>
      <c r="C6680" s="2" t="str">
        <f>"10960937"</f>
        <v>10960937</v>
      </c>
      <c r="D6680" s="2">
        <v>1.4219999999999999</v>
      </c>
      <c r="E6680" s="2">
        <v>68</v>
      </c>
      <c r="F6680" s="2" t="s">
        <v>6</v>
      </c>
    </row>
    <row r="6681" spans="1:6" ht="25.5">
      <c r="A6681" s="2">
        <v>6678</v>
      </c>
      <c r="B6681" s="2" t="s">
        <v>6756</v>
      </c>
      <c r="C6681" s="2" t="str">
        <f>"05328721"</f>
        <v>05328721</v>
      </c>
      <c r="D6681" s="2">
        <v>0.49</v>
      </c>
      <c r="E6681" s="2">
        <v>3</v>
      </c>
      <c r="F6681" s="2" t="s">
        <v>131</v>
      </c>
    </row>
    <row r="6682" spans="1:6" ht="25.5">
      <c r="A6682" s="2">
        <v>6679</v>
      </c>
      <c r="B6682" s="2" t="s">
        <v>6757</v>
      </c>
      <c r="C6682" s="2" t="str">
        <f>"05328799"</f>
        <v>05328799</v>
      </c>
      <c r="D6682" s="2">
        <v>0.107</v>
      </c>
      <c r="E6682" s="2">
        <v>14</v>
      </c>
      <c r="F6682" s="2" t="s">
        <v>131</v>
      </c>
    </row>
    <row r="6683" spans="1:6" ht="25.5">
      <c r="A6683" s="2">
        <v>6680</v>
      </c>
      <c r="B6683" s="2" t="s">
        <v>6758</v>
      </c>
      <c r="C6683" s="2" t="str">
        <f>"09119280"</f>
        <v>09119280</v>
      </c>
      <c r="D6683" s="2">
        <v>0.14299999999999999</v>
      </c>
      <c r="E6683" s="2">
        <v>7</v>
      </c>
      <c r="F6683" s="2" t="s">
        <v>131</v>
      </c>
    </row>
    <row r="6684" spans="1:6" ht="25.5">
      <c r="A6684" s="2">
        <v>6681</v>
      </c>
      <c r="B6684" s="2" t="s">
        <v>6759</v>
      </c>
      <c r="C6684" s="2" t="str">
        <f>"09203796"</f>
        <v>09203796</v>
      </c>
      <c r="D6684" s="2">
        <v>0.59899999999999998</v>
      </c>
      <c r="E6684" s="2">
        <v>42</v>
      </c>
      <c r="F6684" s="2" t="s">
        <v>75</v>
      </c>
    </row>
    <row r="6685" spans="1:6" ht="25.5">
      <c r="A6685" s="2">
        <v>6682</v>
      </c>
      <c r="B6685" s="2" t="s">
        <v>6760</v>
      </c>
      <c r="C6685" s="2" t="str">
        <f>"15361055"</f>
        <v>15361055</v>
      </c>
      <c r="D6685" s="2">
        <v>0.437</v>
      </c>
      <c r="E6685" s="2">
        <v>31</v>
      </c>
      <c r="F6685" s="2" t="s">
        <v>6</v>
      </c>
    </row>
    <row r="6686" spans="1:6" ht="25.5">
      <c r="A6686" s="2">
        <v>6683</v>
      </c>
      <c r="B6686" s="2" t="s">
        <v>6761</v>
      </c>
      <c r="C6686" s="2" t="str">
        <f>"16199995"</f>
        <v>16199995</v>
      </c>
      <c r="D6686" s="2">
        <v>0.13</v>
      </c>
      <c r="E6686" s="2">
        <v>4</v>
      </c>
      <c r="F6686" s="2" t="s">
        <v>12</v>
      </c>
    </row>
    <row r="6687" spans="1:6" ht="25.5">
      <c r="A6687" s="2">
        <v>6684</v>
      </c>
      <c r="B6687" s="2" t="s">
        <v>6762</v>
      </c>
      <c r="C6687" s="2" t="str">
        <f>"14796678"</f>
        <v>14796678</v>
      </c>
      <c r="D6687" s="2">
        <v>0.46200000000000002</v>
      </c>
      <c r="E6687" s="2">
        <v>13</v>
      </c>
      <c r="F6687" s="2" t="s">
        <v>16</v>
      </c>
    </row>
    <row r="6688" spans="1:6" ht="25.5">
      <c r="A6688" s="2">
        <v>6685</v>
      </c>
      <c r="B6688" s="2" t="s">
        <v>6763</v>
      </c>
      <c r="C6688" s="2" t="str">
        <f>"0167739X"</f>
        <v>0167739X</v>
      </c>
      <c r="D6688" s="2">
        <v>1.698</v>
      </c>
      <c r="E6688" s="2">
        <v>52</v>
      </c>
      <c r="F6688" s="2" t="s">
        <v>75</v>
      </c>
    </row>
    <row r="6689" spans="1:6" ht="25.5">
      <c r="A6689" s="2">
        <v>6686</v>
      </c>
      <c r="B6689" s="2" t="s">
        <v>6764</v>
      </c>
      <c r="C6689" s="2" t="str">
        <f>"17460883"</f>
        <v>17460883</v>
      </c>
      <c r="D6689" s="2">
        <v>0.32800000000000001</v>
      </c>
      <c r="E6689" s="2">
        <v>10</v>
      </c>
      <c r="F6689" s="2" t="s">
        <v>16</v>
      </c>
    </row>
    <row r="6690" spans="1:6" ht="25.5">
      <c r="A6690" s="2">
        <v>6687</v>
      </c>
      <c r="B6690" s="2" t="s">
        <v>6765</v>
      </c>
      <c r="C6690" s="2" t="str">
        <f>"17568927"</f>
        <v>17568927</v>
      </c>
      <c r="D6690" s="2">
        <v>0.874</v>
      </c>
      <c r="E6690" s="2">
        <v>17</v>
      </c>
      <c r="F6690" s="2" t="s">
        <v>16</v>
      </c>
    </row>
    <row r="6691" spans="1:6" ht="25.5">
      <c r="A6691" s="2">
        <v>6688</v>
      </c>
      <c r="B6691" s="2" t="s">
        <v>6766</v>
      </c>
      <c r="C6691" s="2" t="str">
        <f>"17460921"</f>
        <v>17460921</v>
      </c>
      <c r="D6691" s="2">
        <v>1.3129999999999999</v>
      </c>
      <c r="E6691" s="2">
        <v>27</v>
      </c>
      <c r="F6691" s="2" t="s">
        <v>16</v>
      </c>
    </row>
    <row r="6692" spans="1:6" ht="25.5">
      <c r="A6692" s="2">
        <v>6689</v>
      </c>
      <c r="B6692" s="2" t="s">
        <v>6767</v>
      </c>
      <c r="C6692" s="2" t="str">
        <f>"17486971"</f>
        <v>17486971</v>
      </c>
      <c r="D6692" s="2">
        <v>0.42899999999999999</v>
      </c>
      <c r="E6692" s="2">
        <v>12</v>
      </c>
      <c r="F6692" s="2" t="s">
        <v>16</v>
      </c>
    </row>
    <row r="6693" spans="1:6" ht="25.5">
      <c r="A6693" s="2">
        <v>6690</v>
      </c>
      <c r="B6693" s="2" t="s">
        <v>6768</v>
      </c>
      <c r="C6693" s="2" t="str">
        <f>"15501558"</f>
        <v>15501558</v>
      </c>
      <c r="D6693" s="2">
        <v>0.96299999999999997</v>
      </c>
      <c r="E6693" s="2">
        <v>46</v>
      </c>
      <c r="F6693" s="2" t="s">
        <v>6</v>
      </c>
    </row>
    <row r="6694" spans="1:6" ht="25.5">
      <c r="A6694" s="2">
        <v>6691</v>
      </c>
      <c r="B6694" s="2" t="s">
        <v>6769</v>
      </c>
      <c r="C6694" s="2" t="str">
        <f>"17448301"</f>
        <v>17448301</v>
      </c>
      <c r="D6694" s="2">
        <v>1.1679999999999999</v>
      </c>
      <c r="E6694" s="2">
        <v>31</v>
      </c>
      <c r="F6694" s="2" t="s">
        <v>16</v>
      </c>
    </row>
    <row r="6695" spans="1:6" ht="25.5">
      <c r="A6695" s="2">
        <v>6692</v>
      </c>
      <c r="B6695" s="2" t="s">
        <v>6770</v>
      </c>
      <c r="C6695" s="2" t="str">
        <f>"00163287"</f>
        <v>00163287</v>
      </c>
      <c r="D6695" s="2">
        <v>0.69399999999999995</v>
      </c>
      <c r="E6695" s="2">
        <v>40</v>
      </c>
      <c r="F6695" s="2" t="s">
        <v>16</v>
      </c>
    </row>
    <row r="6696" spans="1:6" ht="25.5">
      <c r="A6696" s="2">
        <v>6693</v>
      </c>
      <c r="B6696" s="2" t="s">
        <v>6771</v>
      </c>
      <c r="C6696" s="2" t="str">
        <f>"17460794"</f>
        <v>17460794</v>
      </c>
      <c r="D6696" s="2">
        <v>0.40600000000000003</v>
      </c>
      <c r="E6696" s="2">
        <v>12</v>
      </c>
      <c r="F6696" s="2" t="s">
        <v>16</v>
      </c>
    </row>
    <row r="6697" spans="1:6" ht="25.5">
      <c r="A6697" s="2">
        <v>6694</v>
      </c>
      <c r="B6697" s="2" t="s">
        <v>6772</v>
      </c>
      <c r="C6697" s="2" t="str">
        <f>"0337307X"</f>
        <v>0337307X</v>
      </c>
      <c r="D6697" s="2">
        <v>0.186</v>
      </c>
      <c r="E6697" s="2">
        <v>3</v>
      </c>
      <c r="F6697" s="2" t="s">
        <v>66</v>
      </c>
    </row>
    <row r="6698" spans="1:6" ht="25.5">
      <c r="A6698" s="2">
        <v>6695</v>
      </c>
      <c r="B6698" s="2" t="s">
        <v>6773</v>
      </c>
      <c r="C6698" s="2" t="str">
        <f>"00163317"</f>
        <v>00163317</v>
      </c>
      <c r="D6698" s="2">
        <v>0.108</v>
      </c>
      <c r="E6698" s="2">
        <v>5</v>
      </c>
      <c r="F6698" s="2" t="s">
        <v>6</v>
      </c>
    </row>
    <row r="6699" spans="1:6" ht="25.5">
      <c r="A6699" s="2">
        <v>6696</v>
      </c>
      <c r="B6699" s="2" t="s">
        <v>6774</v>
      </c>
      <c r="C6699" s="2" t="str">
        <f>"11360593"</f>
        <v>11360593</v>
      </c>
      <c r="D6699" s="2">
        <v>0.10299999999999999</v>
      </c>
      <c r="E6699" s="2">
        <v>0</v>
      </c>
      <c r="F6699" s="2" t="s">
        <v>351</v>
      </c>
    </row>
    <row r="6700" spans="1:6" ht="25.5">
      <c r="A6700" s="2">
        <v>6697</v>
      </c>
      <c r="B6700" s="2" t="s">
        <v>6775</v>
      </c>
      <c r="C6700" s="2" t="str">
        <f>"15732908"</f>
        <v>15732908</v>
      </c>
      <c r="D6700" s="2">
        <v>2.4009999999999998</v>
      </c>
      <c r="E6700" s="2">
        <v>23</v>
      </c>
      <c r="F6700" s="2" t="s">
        <v>6</v>
      </c>
    </row>
    <row r="6701" spans="1:6" ht="25.5">
      <c r="A6701" s="2">
        <v>6698</v>
      </c>
      <c r="B6701" s="2" t="s">
        <v>6776</v>
      </c>
      <c r="C6701" s="2" t="str">
        <f>"01650114"</f>
        <v>01650114</v>
      </c>
      <c r="D6701" s="2">
        <v>2.0070000000000001</v>
      </c>
      <c r="E6701" s="2">
        <v>99</v>
      </c>
      <c r="F6701" s="2" t="s">
        <v>75</v>
      </c>
    </row>
    <row r="6702" spans="1:6" ht="25.5">
      <c r="A6702" s="2">
        <v>6699</v>
      </c>
      <c r="B6702" s="2" t="s">
        <v>6777</v>
      </c>
      <c r="C6702" s="2" t="str">
        <f>"03044858"</f>
        <v>03044858</v>
      </c>
      <c r="D6702" s="2">
        <v>0.10100000000000001</v>
      </c>
      <c r="E6702" s="2">
        <v>1</v>
      </c>
      <c r="F6702" s="2" t="s">
        <v>351</v>
      </c>
    </row>
    <row r="6703" spans="1:6" ht="25.5">
      <c r="A6703" s="2">
        <v>6700</v>
      </c>
      <c r="B6703" s="2" t="s">
        <v>6778</v>
      </c>
      <c r="C6703" s="2" t="str">
        <f>"03674762"</f>
        <v>03674762</v>
      </c>
      <c r="D6703" s="2">
        <v>0.159</v>
      </c>
      <c r="E6703" s="2">
        <v>3</v>
      </c>
      <c r="F6703" s="2" t="s">
        <v>40</v>
      </c>
    </row>
    <row r="6704" spans="1:6" ht="25.5">
      <c r="A6704" s="2">
        <v>6701</v>
      </c>
      <c r="B6704" s="2" t="s">
        <v>6779</v>
      </c>
      <c r="C6704" s="2" t="str">
        <f>"00163813"</f>
        <v>00163813</v>
      </c>
      <c r="D6704" s="2">
        <v>0.127</v>
      </c>
      <c r="E6704" s="2">
        <v>12</v>
      </c>
      <c r="F6704" s="2" t="s">
        <v>200</v>
      </c>
    </row>
    <row r="6705" spans="1:6" ht="25.5">
      <c r="A6705" s="2">
        <v>6702</v>
      </c>
      <c r="B6705" s="2" t="s">
        <v>6780</v>
      </c>
      <c r="C6705" s="2" t="str">
        <f>"02139111"</f>
        <v>02139111</v>
      </c>
      <c r="D6705" s="2">
        <v>0.32800000000000001</v>
      </c>
      <c r="E6705" s="2">
        <v>24</v>
      </c>
      <c r="F6705" s="2" t="s">
        <v>351</v>
      </c>
    </row>
    <row r="6706" spans="1:6" ht="25.5">
      <c r="A6706" s="2">
        <v>6703</v>
      </c>
      <c r="B6706" s="2" t="s">
        <v>6781</v>
      </c>
      <c r="C6706" s="2" t="str">
        <f>"14111128"</f>
        <v>14111128</v>
      </c>
      <c r="D6706" s="2">
        <v>0.10100000000000001</v>
      </c>
      <c r="E6706" s="2">
        <v>0</v>
      </c>
      <c r="F6706" s="2" t="s">
        <v>297</v>
      </c>
    </row>
    <row r="6707" spans="1:6" ht="25.5">
      <c r="A6707" s="2">
        <v>6704</v>
      </c>
      <c r="B6707" s="2" t="s">
        <v>6782</v>
      </c>
      <c r="C6707" s="2" t="str">
        <f>"09405550"</f>
        <v>09405550</v>
      </c>
      <c r="D6707" s="2">
        <v>0.42</v>
      </c>
      <c r="E6707" s="2">
        <v>12</v>
      </c>
      <c r="F6707" s="2" t="s">
        <v>12</v>
      </c>
    </row>
    <row r="6708" spans="1:6" ht="25.5">
      <c r="A6708" s="2">
        <v>6705</v>
      </c>
      <c r="B6708" s="2" t="s">
        <v>6783</v>
      </c>
      <c r="C6708" s="2" t="str">
        <f>"09666362"</f>
        <v>09666362</v>
      </c>
      <c r="D6708" s="2">
        <v>1.0880000000000001</v>
      </c>
      <c r="E6708" s="2">
        <v>74</v>
      </c>
      <c r="F6708" s="2" t="s">
        <v>75</v>
      </c>
    </row>
    <row r="6709" spans="1:6" ht="25.5">
      <c r="A6709" s="2">
        <v>6706</v>
      </c>
      <c r="B6709" s="2" t="s">
        <v>6784</v>
      </c>
      <c r="C6709" s="2" t="str">
        <f>"15554120"</f>
        <v>15554120</v>
      </c>
      <c r="D6709" s="2">
        <v>1.137</v>
      </c>
      <c r="E6709" s="2">
        <v>18</v>
      </c>
      <c r="F6709" s="2" t="s">
        <v>6</v>
      </c>
    </row>
    <row r="6710" spans="1:6" ht="25.5">
      <c r="A6710" s="2">
        <v>6707</v>
      </c>
      <c r="B6710" s="2" t="s">
        <v>6785</v>
      </c>
      <c r="C6710" s="2" t="str">
        <f>"10902473"</f>
        <v>10902473</v>
      </c>
      <c r="D6710" s="2">
        <v>2.3250000000000002</v>
      </c>
      <c r="E6710" s="2">
        <v>52</v>
      </c>
      <c r="F6710" s="2" t="s">
        <v>6</v>
      </c>
    </row>
    <row r="6711" spans="1:6">
      <c r="A6711" s="2">
        <v>6708</v>
      </c>
      <c r="B6711" s="2" t="s">
        <v>6786</v>
      </c>
      <c r="C6711" s="2" t="str">
        <f>"0"</f>
        <v>0</v>
      </c>
      <c r="D6711" s="2">
        <v>0.316</v>
      </c>
      <c r="E6711" s="2">
        <v>12</v>
      </c>
      <c r="F6711" s="2" t="s">
        <v>2637</v>
      </c>
    </row>
    <row r="6712" spans="1:6">
      <c r="A6712" s="2">
        <v>6709</v>
      </c>
      <c r="B6712" s="2" t="s">
        <v>6787</v>
      </c>
      <c r="C6712" s="2" t="str">
        <f>"0"</f>
        <v>0</v>
      </c>
      <c r="D6712" s="2">
        <v>0.10100000000000001</v>
      </c>
      <c r="E6712" s="2">
        <v>0</v>
      </c>
      <c r="F6712" s="2" t="s">
        <v>6</v>
      </c>
    </row>
    <row r="6713" spans="1:6" ht="25.5">
      <c r="A6713" s="2">
        <v>6710</v>
      </c>
      <c r="B6713" s="2" t="s">
        <v>6788</v>
      </c>
      <c r="C6713" s="2" t="str">
        <f>"09367195"</f>
        <v>09367195</v>
      </c>
      <c r="D6713" s="2">
        <v>0.22800000000000001</v>
      </c>
      <c r="E6713" s="2">
        <v>3</v>
      </c>
      <c r="F6713" s="2" t="s">
        <v>12</v>
      </c>
    </row>
    <row r="6714" spans="1:6" ht="25.5">
      <c r="A6714" s="2">
        <v>6711</v>
      </c>
      <c r="B6714" s="2" t="s">
        <v>6789</v>
      </c>
      <c r="C6714" s="2" t="str">
        <f>"10036520"</f>
        <v>10036520</v>
      </c>
      <c r="D6714" s="2">
        <v>0.48699999999999999</v>
      </c>
      <c r="E6714" s="2">
        <v>22</v>
      </c>
      <c r="F6714" s="2" t="s">
        <v>46</v>
      </c>
    </row>
    <row r="6715" spans="1:6" ht="25.5">
      <c r="A6715" s="2">
        <v>6712</v>
      </c>
      <c r="B6715" s="2" t="s">
        <v>6790</v>
      </c>
      <c r="C6715" s="2" t="str">
        <f>"10007555"</f>
        <v>10007555</v>
      </c>
      <c r="D6715" s="2">
        <v>0.14899999999999999</v>
      </c>
      <c r="E6715" s="2">
        <v>8</v>
      </c>
      <c r="F6715" s="2" t="s">
        <v>46</v>
      </c>
    </row>
    <row r="6716" spans="1:6" ht="25.5">
      <c r="A6716" s="2">
        <v>6713</v>
      </c>
      <c r="B6716" s="2" t="s">
        <v>6791</v>
      </c>
      <c r="C6716" s="2" t="str">
        <f>"10020470"</f>
        <v>10020470</v>
      </c>
      <c r="D6716" s="2">
        <v>0.114</v>
      </c>
      <c r="E6716" s="2">
        <v>9</v>
      </c>
      <c r="F6716" s="2" t="s">
        <v>46</v>
      </c>
    </row>
    <row r="6717" spans="1:6" ht="25.5">
      <c r="A6717" s="2">
        <v>6714</v>
      </c>
      <c r="B6717" s="2" t="s">
        <v>6792</v>
      </c>
      <c r="C6717" s="2" t="str">
        <f>"10039015"</f>
        <v>10039015</v>
      </c>
      <c r="D6717" s="2">
        <v>0.22500000000000001</v>
      </c>
      <c r="E6717" s="2">
        <v>11</v>
      </c>
      <c r="F6717" s="2" t="s">
        <v>46</v>
      </c>
    </row>
    <row r="6718" spans="1:6" ht="25.5">
      <c r="A6718" s="2">
        <v>6715</v>
      </c>
      <c r="B6718" s="2" t="s">
        <v>6793</v>
      </c>
      <c r="C6718" s="2" t="str">
        <f>"10011609"</f>
        <v>10011609</v>
      </c>
      <c r="D6718" s="2">
        <v>0.30299999999999999</v>
      </c>
      <c r="E6718" s="2">
        <v>11</v>
      </c>
      <c r="F6718" s="2" t="s">
        <v>46</v>
      </c>
    </row>
    <row r="6719" spans="1:6" ht="25.5">
      <c r="A6719" s="2">
        <v>6716</v>
      </c>
      <c r="B6719" s="2" t="s">
        <v>6794</v>
      </c>
      <c r="C6719" s="2" t="str">
        <f>"10005773"</f>
        <v>10005773</v>
      </c>
      <c r="D6719" s="2">
        <v>0.253</v>
      </c>
      <c r="E6719" s="2">
        <v>8</v>
      </c>
      <c r="F6719" s="2" t="s">
        <v>46</v>
      </c>
    </row>
    <row r="6720" spans="1:6" ht="25.5">
      <c r="A6720" s="2">
        <v>6717</v>
      </c>
      <c r="B6720" s="2" t="s">
        <v>6795</v>
      </c>
      <c r="C6720" s="2" t="str">
        <f>"17555477"</f>
        <v>17555477</v>
      </c>
      <c r="D6720" s="2">
        <v>0.10100000000000001</v>
      </c>
      <c r="E6720" s="2">
        <v>0</v>
      </c>
      <c r="F6720" s="2" t="s">
        <v>16</v>
      </c>
    </row>
    <row r="6721" spans="1:6" ht="25.5">
      <c r="A6721" s="2">
        <v>6718</v>
      </c>
      <c r="B6721" s="2" t="s">
        <v>6796</v>
      </c>
      <c r="C6721" s="2" t="str">
        <f>"11097655"</f>
        <v>11097655</v>
      </c>
      <c r="D6721" s="2">
        <v>0.121</v>
      </c>
      <c r="E6721" s="2">
        <v>5</v>
      </c>
      <c r="F6721" s="2" t="s">
        <v>313</v>
      </c>
    </row>
    <row r="6722" spans="1:6" ht="25.5">
      <c r="A6722" s="2">
        <v>6719</v>
      </c>
      <c r="B6722" s="2" t="s">
        <v>6797</v>
      </c>
      <c r="C6722" s="2" t="str">
        <f>"14363305"</f>
        <v>14363305</v>
      </c>
      <c r="D6722" s="2">
        <v>1.286</v>
      </c>
      <c r="E6722" s="2">
        <v>41</v>
      </c>
      <c r="F6722" s="2" t="s">
        <v>131</v>
      </c>
    </row>
    <row r="6723" spans="1:6" ht="25.5">
      <c r="A6723" s="2">
        <v>6720</v>
      </c>
      <c r="B6723" s="2" t="s">
        <v>6798</v>
      </c>
      <c r="C6723" s="2" t="str">
        <f>"1861969X"</f>
        <v>1861969X</v>
      </c>
      <c r="D6723" s="2">
        <v>0.10100000000000001</v>
      </c>
      <c r="E6723" s="2">
        <v>3</v>
      </c>
      <c r="F6723" s="2" t="s">
        <v>12</v>
      </c>
    </row>
    <row r="6724" spans="1:6" ht="25.5">
      <c r="A6724" s="2">
        <v>6721</v>
      </c>
      <c r="B6724" s="2" t="s">
        <v>6799</v>
      </c>
      <c r="C6724" s="2" t="str">
        <f>"12329886"</f>
        <v>12329886</v>
      </c>
      <c r="D6724" s="2">
        <v>0.11799999999999999</v>
      </c>
      <c r="E6724" s="2">
        <v>8</v>
      </c>
      <c r="F6724" s="2" t="s">
        <v>169</v>
      </c>
    </row>
    <row r="6725" spans="1:6" ht="25.5">
      <c r="A6725" s="2">
        <v>6722</v>
      </c>
      <c r="B6725" s="2" t="s">
        <v>6800</v>
      </c>
      <c r="C6725" s="2" t="str">
        <f>"02105705"</f>
        <v>02105705</v>
      </c>
      <c r="D6725" s="2">
        <v>0.193</v>
      </c>
      <c r="E6725" s="2">
        <v>19</v>
      </c>
      <c r="F6725" s="2" t="s">
        <v>351</v>
      </c>
    </row>
    <row r="6726" spans="1:6" ht="25.5">
      <c r="A6726" s="2">
        <v>6723</v>
      </c>
      <c r="B6726" s="2" t="s">
        <v>6801</v>
      </c>
      <c r="C6726" s="2" t="str">
        <f>"15787575"</f>
        <v>15787575</v>
      </c>
      <c r="D6726" s="2">
        <v>0.10100000000000001</v>
      </c>
      <c r="E6726" s="2">
        <v>1</v>
      </c>
      <c r="F6726" s="2" t="s">
        <v>351</v>
      </c>
    </row>
    <row r="6727" spans="1:6" ht="25.5">
      <c r="A6727" s="2">
        <v>6724</v>
      </c>
      <c r="B6727" s="2" t="s">
        <v>6802</v>
      </c>
      <c r="C6727" s="2" t="str">
        <f>"03871207"</f>
        <v>03871207</v>
      </c>
      <c r="D6727" s="2">
        <v>0.14000000000000001</v>
      </c>
      <c r="E6727" s="2">
        <v>9</v>
      </c>
      <c r="F6727" s="2" t="s">
        <v>131</v>
      </c>
    </row>
    <row r="6728" spans="1:6" ht="25.5">
      <c r="A6728" s="2">
        <v>6725</v>
      </c>
      <c r="B6728" s="2" t="s">
        <v>6803</v>
      </c>
      <c r="C6728" s="2" t="str">
        <f>"1804803X"</f>
        <v>1804803X</v>
      </c>
      <c r="D6728" s="2">
        <v>0.105</v>
      </c>
      <c r="E6728" s="2">
        <v>1</v>
      </c>
      <c r="F6728" s="2" t="s">
        <v>208</v>
      </c>
    </row>
    <row r="6729" spans="1:6" ht="25.5">
      <c r="A6729" s="2">
        <v>6726</v>
      </c>
      <c r="B6729" s="2" t="s">
        <v>6804</v>
      </c>
      <c r="C6729" s="2" t="str">
        <f>"15280012"</f>
        <v>15280012</v>
      </c>
      <c r="D6729" s="2">
        <v>3.649</v>
      </c>
      <c r="E6729" s="2">
        <v>266</v>
      </c>
      <c r="F6729" s="2" t="s">
        <v>16</v>
      </c>
    </row>
    <row r="6730" spans="1:6" ht="25.5">
      <c r="A6730" s="2">
        <v>6727</v>
      </c>
      <c r="B6730" s="2" t="s">
        <v>6805</v>
      </c>
      <c r="C6730" s="2" t="str">
        <f>"15547914"</f>
        <v>15547914</v>
      </c>
      <c r="D6730" s="2">
        <v>0.28699999999999998</v>
      </c>
      <c r="E6730" s="2">
        <v>9</v>
      </c>
      <c r="F6730" s="2" t="s">
        <v>6</v>
      </c>
    </row>
    <row r="6731" spans="1:6" ht="25.5">
      <c r="A6731" s="2">
        <v>6728</v>
      </c>
      <c r="B6731" s="2" t="s">
        <v>6806</v>
      </c>
      <c r="C6731" s="2" t="str">
        <f>"11203757"</f>
        <v>11203757</v>
      </c>
      <c r="D6731" s="2">
        <v>0.98799999999999999</v>
      </c>
      <c r="E6731" s="2">
        <v>56</v>
      </c>
      <c r="F6731" s="2" t="s">
        <v>16</v>
      </c>
    </row>
    <row r="6732" spans="1:6" ht="25.5">
      <c r="A6732" s="2">
        <v>6729</v>
      </c>
      <c r="B6732" s="2" t="s">
        <v>6807</v>
      </c>
      <c r="C6732" s="2" t="str">
        <f>"15389766"</f>
        <v>15389766</v>
      </c>
      <c r="D6732" s="2">
        <v>0.19400000000000001</v>
      </c>
      <c r="E6732" s="2">
        <v>17</v>
      </c>
      <c r="F6732" s="2" t="s">
        <v>6</v>
      </c>
    </row>
    <row r="6733" spans="1:6" ht="25.5">
      <c r="A6733" s="2">
        <v>6730</v>
      </c>
      <c r="B6733" s="2" t="s">
        <v>6808</v>
      </c>
      <c r="C6733" s="2" t="str">
        <f>"1687630X"</f>
        <v>1687630X</v>
      </c>
      <c r="D6733" s="2">
        <v>0.32900000000000001</v>
      </c>
      <c r="E6733" s="2">
        <v>8</v>
      </c>
      <c r="F6733" s="2" t="s">
        <v>6</v>
      </c>
    </row>
    <row r="6734" spans="1:6" ht="25.5">
      <c r="A6734" s="2">
        <v>6731</v>
      </c>
      <c r="B6734" s="2" t="s">
        <v>6809</v>
      </c>
      <c r="C6734" s="2" t="str">
        <f>"19347987"</f>
        <v>19347987</v>
      </c>
      <c r="D6734" s="2">
        <v>0.32100000000000001</v>
      </c>
      <c r="E6734" s="2">
        <v>7</v>
      </c>
      <c r="F6734" s="2" t="s">
        <v>6</v>
      </c>
    </row>
    <row r="6735" spans="1:6" ht="25.5">
      <c r="A6735" s="2">
        <v>6732</v>
      </c>
      <c r="B6735" s="2" t="s">
        <v>6810</v>
      </c>
      <c r="C6735" s="2" t="str">
        <f>"10976779"</f>
        <v>10976779</v>
      </c>
      <c r="D6735" s="2">
        <v>1.5429999999999999</v>
      </c>
      <c r="E6735" s="2">
        <v>137</v>
      </c>
      <c r="F6735" s="2" t="s">
        <v>6</v>
      </c>
    </row>
    <row r="6736" spans="1:6" ht="25.5">
      <c r="A6736" s="2">
        <v>6733</v>
      </c>
      <c r="B6736" s="2" t="s">
        <v>6811</v>
      </c>
      <c r="C6736" s="2" t="str">
        <f>"10525157"</f>
        <v>10525157</v>
      </c>
      <c r="D6736" s="2">
        <v>0.61199999999999999</v>
      </c>
      <c r="E6736" s="2">
        <v>40</v>
      </c>
      <c r="F6736" s="2" t="s">
        <v>16</v>
      </c>
    </row>
    <row r="6737" spans="1:6" ht="25.5">
      <c r="A6737" s="2">
        <v>6734</v>
      </c>
      <c r="B6737" s="2" t="s">
        <v>6812</v>
      </c>
      <c r="C6737" s="2" t="str">
        <f>"14795248"</f>
        <v>14795248</v>
      </c>
      <c r="D6737" s="2">
        <v>0.218</v>
      </c>
      <c r="E6737" s="2">
        <v>6</v>
      </c>
      <c r="F6737" s="2" t="s">
        <v>16</v>
      </c>
    </row>
    <row r="6738" spans="1:6" ht="25.5">
      <c r="A6738" s="2">
        <v>6735</v>
      </c>
      <c r="B6738" s="2" t="s">
        <v>6813</v>
      </c>
      <c r="C6738" s="2" t="str">
        <f>"15293262"</f>
        <v>15293262</v>
      </c>
      <c r="D6738" s="2">
        <v>0.13900000000000001</v>
      </c>
      <c r="E6738" s="2">
        <v>2</v>
      </c>
      <c r="F6738" s="2" t="s">
        <v>6</v>
      </c>
    </row>
    <row r="6739" spans="1:6" ht="25.5">
      <c r="A6739" s="2">
        <v>6736</v>
      </c>
      <c r="B6739" s="2" t="s">
        <v>6814</v>
      </c>
      <c r="C6739" s="2" t="str">
        <f>"00163651"</f>
        <v>00163651</v>
      </c>
      <c r="D6739" s="2">
        <v>0.186</v>
      </c>
      <c r="E6739" s="2">
        <v>9</v>
      </c>
      <c r="F6739" s="2" t="s">
        <v>12</v>
      </c>
    </row>
    <row r="6740" spans="1:6" ht="25.5">
      <c r="A6740" s="2">
        <v>6737</v>
      </c>
      <c r="B6740" s="2" t="s">
        <v>6815</v>
      </c>
      <c r="C6740" s="2" t="str">
        <f>"07176538"</f>
        <v>07176538</v>
      </c>
      <c r="D6740" s="2">
        <v>0.20499999999999999</v>
      </c>
      <c r="E6740" s="2">
        <v>7</v>
      </c>
      <c r="F6740" s="2" t="s">
        <v>182</v>
      </c>
    </row>
    <row r="6741" spans="1:6" ht="25.5">
      <c r="A6741" s="2">
        <v>6738</v>
      </c>
      <c r="B6741" s="2" t="s">
        <v>6816</v>
      </c>
      <c r="C6741" s="2" t="str">
        <f>"07176643"</f>
        <v>07176643</v>
      </c>
      <c r="D6741" s="2">
        <v>0.152</v>
      </c>
      <c r="E6741" s="2">
        <v>8</v>
      </c>
      <c r="F6741" s="2" t="s">
        <v>182</v>
      </c>
    </row>
    <row r="6742" spans="1:6" ht="25.5">
      <c r="A6742" s="2">
        <v>6739</v>
      </c>
      <c r="B6742" s="2" t="s">
        <v>6817</v>
      </c>
      <c r="C6742" s="2" t="str">
        <f>"02147564"</f>
        <v>02147564</v>
      </c>
      <c r="D6742" s="2">
        <v>0</v>
      </c>
      <c r="E6742" s="2">
        <v>0</v>
      </c>
      <c r="F6742" s="2" t="s">
        <v>351</v>
      </c>
    </row>
    <row r="6743" spans="1:6" ht="25.5">
      <c r="A6743" s="2">
        <v>6740</v>
      </c>
      <c r="B6743" s="2" t="s">
        <v>6818</v>
      </c>
      <c r="C6743" s="2" t="str">
        <f>"1300056X"</f>
        <v>1300056X</v>
      </c>
      <c r="D6743" s="2">
        <v>0.1</v>
      </c>
      <c r="E6743" s="2">
        <v>3</v>
      </c>
      <c r="F6743" s="2" t="s">
        <v>345</v>
      </c>
    </row>
    <row r="6744" spans="1:6" ht="25.5">
      <c r="A6744" s="2">
        <v>6741</v>
      </c>
      <c r="B6744" s="2" t="s">
        <v>6819</v>
      </c>
      <c r="C6744" s="2" t="str">
        <f>"13039709"</f>
        <v>13039709</v>
      </c>
      <c r="D6744" s="2">
        <v>0.158</v>
      </c>
      <c r="E6744" s="2">
        <v>5</v>
      </c>
      <c r="F6744" s="2" t="s">
        <v>345</v>
      </c>
    </row>
    <row r="6745" spans="1:6" ht="25.5">
      <c r="A6745" s="2">
        <v>6742</v>
      </c>
      <c r="B6745" s="2" t="s">
        <v>6820</v>
      </c>
      <c r="C6745" s="2" t="str">
        <f>"03933660"</f>
        <v>03933660</v>
      </c>
      <c r="D6745" s="2">
        <v>0.14000000000000001</v>
      </c>
      <c r="E6745" s="2">
        <v>5</v>
      </c>
      <c r="F6745" s="2" t="s">
        <v>190</v>
      </c>
    </row>
    <row r="6746" spans="1:6" ht="25.5">
      <c r="A6746" s="2">
        <v>6743</v>
      </c>
      <c r="B6746" s="2" t="s">
        <v>6821</v>
      </c>
      <c r="C6746" s="2" t="str">
        <f>"17571707"</f>
        <v>17571707</v>
      </c>
      <c r="D6746" s="2">
        <v>0.81399999999999995</v>
      </c>
      <c r="E6746" s="2">
        <v>8</v>
      </c>
      <c r="F6746" s="2" t="s">
        <v>12</v>
      </c>
    </row>
    <row r="6747" spans="1:6" ht="25.5">
      <c r="A6747" s="2">
        <v>6744</v>
      </c>
      <c r="B6747" s="2" t="s">
        <v>6822</v>
      </c>
      <c r="C6747" s="2" t="str">
        <f>"14388804"</f>
        <v>14388804</v>
      </c>
      <c r="D6747" s="2">
        <v>0.23300000000000001</v>
      </c>
      <c r="E6747" s="2">
        <v>18</v>
      </c>
      <c r="F6747" s="2" t="s">
        <v>12</v>
      </c>
    </row>
    <row r="6748" spans="1:6" ht="25.5">
      <c r="A6748" s="2">
        <v>6745</v>
      </c>
      <c r="B6748" s="2" t="s">
        <v>6823</v>
      </c>
      <c r="C6748" s="2" t="str">
        <f>"01017772"</f>
        <v>01017772</v>
      </c>
      <c r="D6748" s="2">
        <v>0.10199999999999999</v>
      </c>
      <c r="E6748" s="2">
        <v>4</v>
      </c>
      <c r="F6748" s="2" t="s">
        <v>159</v>
      </c>
    </row>
    <row r="6749" spans="1:6" ht="25.5">
      <c r="A6749" s="2">
        <v>6746</v>
      </c>
      <c r="B6749" s="2" t="s">
        <v>6824</v>
      </c>
      <c r="C6749" s="2" t="str">
        <f>"09498036"</f>
        <v>09498036</v>
      </c>
      <c r="D6749" s="2">
        <v>0.28000000000000003</v>
      </c>
      <c r="E6749" s="2">
        <v>12</v>
      </c>
      <c r="F6749" s="2" t="s">
        <v>12</v>
      </c>
    </row>
    <row r="6750" spans="1:6" ht="25.5">
      <c r="A6750" s="2">
        <v>6747</v>
      </c>
      <c r="B6750" s="2" t="s">
        <v>6825</v>
      </c>
      <c r="C6750" s="2" t="str">
        <f>"14343932"</f>
        <v>14343932</v>
      </c>
      <c r="D6750" s="2">
        <v>0.124</v>
      </c>
      <c r="E6750" s="2">
        <v>10</v>
      </c>
      <c r="F6750" s="2" t="s">
        <v>12</v>
      </c>
    </row>
    <row r="6751" spans="1:6" ht="25.5">
      <c r="A6751" s="2">
        <v>6748</v>
      </c>
      <c r="B6751" s="2" t="s">
        <v>6826</v>
      </c>
      <c r="C6751" s="2" t="str">
        <f>"16758021"</f>
        <v>16758021</v>
      </c>
      <c r="D6751" s="2">
        <v>0.47</v>
      </c>
      <c r="E6751" s="2">
        <v>6</v>
      </c>
      <c r="F6751" s="2" t="s">
        <v>37</v>
      </c>
    </row>
    <row r="6752" spans="1:6" ht="25.5">
      <c r="A6752" s="2">
        <v>6749</v>
      </c>
      <c r="B6752" s="2" t="s">
        <v>6827</v>
      </c>
      <c r="C6752" s="2" t="str">
        <f>"02345730"</f>
        <v>02345730</v>
      </c>
      <c r="D6752" s="2">
        <v>0.1</v>
      </c>
      <c r="E6752" s="2">
        <v>3</v>
      </c>
      <c r="F6752" s="2" t="s">
        <v>129</v>
      </c>
    </row>
    <row r="6753" spans="1:6" ht="25.5">
      <c r="A6753" s="2">
        <v>6750</v>
      </c>
      <c r="B6753" s="2" t="s">
        <v>6828</v>
      </c>
      <c r="C6753" s="2" t="str">
        <f>"18692680"</f>
        <v>18692680</v>
      </c>
      <c r="D6753" s="2">
        <v>0.29399999999999998</v>
      </c>
      <c r="E6753" s="2">
        <v>3</v>
      </c>
      <c r="F6753" s="2" t="s">
        <v>12</v>
      </c>
    </row>
    <row r="6754" spans="1:6" ht="25.5">
      <c r="A6754" s="2">
        <v>6751</v>
      </c>
      <c r="B6754" s="2" t="s">
        <v>6829</v>
      </c>
      <c r="C6754" s="2" t="str">
        <f>"0016626X"</f>
        <v>0016626X</v>
      </c>
      <c r="D6754" s="2">
        <v>0.24399999999999999</v>
      </c>
      <c r="E6754" s="2">
        <v>11</v>
      </c>
      <c r="F6754" s="2" t="s">
        <v>6</v>
      </c>
    </row>
    <row r="6755" spans="1:6" ht="25.5">
      <c r="A6755" s="2">
        <v>6752</v>
      </c>
      <c r="B6755" s="2" t="s">
        <v>6830</v>
      </c>
      <c r="C6755" s="2" t="str">
        <f>"13649221"</f>
        <v>13649221</v>
      </c>
      <c r="D6755" s="2">
        <v>0.27500000000000002</v>
      </c>
      <c r="E6755" s="2">
        <v>16</v>
      </c>
      <c r="F6755" s="2" t="s">
        <v>16</v>
      </c>
    </row>
    <row r="6756" spans="1:6" ht="25.5">
      <c r="A6756" s="2">
        <v>6753</v>
      </c>
      <c r="B6756" s="2" t="s">
        <v>6831</v>
      </c>
      <c r="C6756" s="2" t="str">
        <f>"13600516"</f>
        <v>13600516</v>
      </c>
      <c r="D6756" s="2">
        <v>0.51600000000000001</v>
      </c>
      <c r="E6756" s="2">
        <v>32</v>
      </c>
      <c r="F6756" s="2" t="s">
        <v>16</v>
      </c>
    </row>
    <row r="6757" spans="1:6" ht="25.5">
      <c r="A6757" s="2">
        <v>6754</v>
      </c>
      <c r="B6757" s="2" t="s">
        <v>6832</v>
      </c>
      <c r="C6757" s="2" t="str">
        <f>"14680424"</f>
        <v>14680424</v>
      </c>
      <c r="D6757" s="2">
        <v>0.252</v>
      </c>
      <c r="E6757" s="2">
        <v>13</v>
      </c>
      <c r="F6757" s="2" t="s">
        <v>16</v>
      </c>
    </row>
    <row r="6758" spans="1:6" ht="25.5">
      <c r="A6758" s="2">
        <v>6755</v>
      </c>
      <c r="B6758" s="2" t="s">
        <v>6833</v>
      </c>
      <c r="C6758" s="2" t="str">
        <f>"08912432"</f>
        <v>08912432</v>
      </c>
      <c r="D6758" s="2">
        <v>1.6220000000000001</v>
      </c>
      <c r="E6758" s="2">
        <v>44</v>
      </c>
      <c r="F6758" s="2" t="s">
        <v>6</v>
      </c>
    </row>
    <row r="6759" spans="1:6" ht="25.5">
      <c r="A6759" s="2">
        <v>6756</v>
      </c>
      <c r="B6759" s="2" t="s">
        <v>6834</v>
      </c>
      <c r="C6759" s="2" t="str">
        <f>"17542413"</f>
        <v>17542413</v>
      </c>
      <c r="D6759" s="2">
        <v>0.29399999999999998</v>
      </c>
      <c r="E6759" s="2">
        <v>14</v>
      </c>
      <c r="F6759" s="2" t="s">
        <v>16</v>
      </c>
    </row>
    <row r="6760" spans="1:6" ht="25.5">
      <c r="A6760" s="2">
        <v>6757</v>
      </c>
      <c r="B6760" s="2" t="s">
        <v>6835</v>
      </c>
      <c r="C6760" s="2" t="str">
        <f>"1098092X"</f>
        <v>1098092X</v>
      </c>
      <c r="D6760" s="2">
        <v>0.123</v>
      </c>
      <c r="E6760" s="2">
        <v>11</v>
      </c>
      <c r="F6760" s="2" t="s">
        <v>6</v>
      </c>
    </row>
    <row r="6761" spans="1:6" ht="25.5">
      <c r="A6761" s="2">
        <v>6758</v>
      </c>
      <c r="B6761" s="2" t="s">
        <v>6836</v>
      </c>
      <c r="C6761" s="2" t="str">
        <f>"15508579"</f>
        <v>15508579</v>
      </c>
      <c r="D6761" s="2">
        <v>0.67</v>
      </c>
      <c r="E6761" s="2">
        <v>27</v>
      </c>
      <c r="F6761" s="2" t="s">
        <v>6</v>
      </c>
    </row>
    <row r="6762" spans="1:6" ht="25.5">
      <c r="A6762" s="2">
        <v>6759</v>
      </c>
      <c r="B6762" s="2" t="s">
        <v>6837</v>
      </c>
      <c r="C6762" s="2" t="str">
        <f>"13600524"</f>
        <v>13600524</v>
      </c>
      <c r="D6762" s="2">
        <v>0.72599999999999998</v>
      </c>
      <c r="E6762" s="2">
        <v>32</v>
      </c>
      <c r="F6762" s="2" t="s">
        <v>16</v>
      </c>
    </row>
    <row r="6763" spans="1:6" ht="25.5">
      <c r="A6763" s="2">
        <v>6760</v>
      </c>
      <c r="B6763" s="2" t="s">
        <v>6838</v>
      </c>
      <c r="C6763" s="2" t="str">
        <f>"09718524"</f>
        <v>09718524</v>
      </c>
      <c r="D6763" s="2">
        <v>0.16500000000000001</v>
      </c>
      <c r="E6763" s="2">
        <v>6</v>
      </c>
      <c r="F6763" s="2" t="s">
        <v>16</v>
      </c>
    </row>
    <row r="6764" spans="1:6" ht="25.5">
      <c r="A6764" s="2">
        <v>6761</v>
      </c>
      <c r="B6764" s="2" t="s">
        <v>6839</v>
      </c>
      <c r="C6764" s="2" t="str">
        <f>"14680432"</f>
        <v>14680432</v>
      </c>
      <c r="D6764" s="2">
        <v>0.92100000000000004</v>
      </c>
      <c r="E6764" s="2">
        <v>34</v>
      </c>
      <c r="F6764" s="2" t="s">
        <v>16</v>
      </c>
    </row>
    <row r="6765" spans="1:6" ht="25.5">
      <c r="A6765" s="2">
        <v>6762</v>
      </c>
      <c r="B6765" s="2" t="s">
        <v>6840</v>
      </c>
      <c r="C6765" s="2" t="str">
        <f>"18790038"</f>
        <v>18790038</v>
      </c>
      <c r="D6765" s="2">
        <v>0.89500000000000002</v>
      </c>
      <c r="E6765" s="2">
        <v>129</v>
      </c>
      <c r="F6765" s="2" t="s">
        <v>75</v>
      </c>
    </row>
    <row r="6766" spans="1:6" ht="25.5">
      <c r="A6766" s="2">
        <v>6763</v>
      </c>
      <c r="B6766" s="2" t="s">
        <v>6841</v>
      </c>
      <c r="C6766" s="2" t="str">
        <f>"03044629"</f>
        <v>03044629</v>
      </c>
      <c r="D6766" s="2">
        <v>0.10199999999999999</v>
      </c>
      <c r="E6766" s="2">
        <v>5</v>
      </c>
      <c r="F6766" s="2" t="s">
        <v>75</v>
      </c>
    </row>
    <row r="6767" spans="1:6" ht="25.5">
      <c r="A6767" s="2">
        <v>6764</v>
      </c>
      <c r="B6767" s="2" t="s">
        <v>6842</v>
      </c>
      <c r="C6767" s="2" t="str">
        <f>"10522166"</f>
        <v>10522166</v>
      </c>
      <c r="D6767" s="2">
        <v>0.74099999999999999</v>
      </c>
      <c r="E6767" s="2">
        <v>34</v>
      </c>
      <c r="F6767" s="2" t="s">
        <v>6</v>
      </c>
    </row>
    <row r="6768" spans="1:6" ht="25.5">
      <c r="A6768" s="2">
        <v>6765</v>
      </c>
      <c r="B6768" s="2" t="s">
        <v>6843</v>
      </c>
      <c r="C6768" s="2" t="str">
        <f>"1567133X"</f>
        <v>1567133X</v>
      </c>
      <c r="D6768" s="2">
        <v>1.097</v>
      </c>
      <c r="E6768" s="2">
        <v>40</v>
      </c>
      <c r="F6768" s="2" t="s">
        <v>75</v>
      </c>
    </row>
    <row r="6769" spans="1:6" ht="25.5">
      <c r="A6769" s="2">
        <v>6766</v>
      </c>
      <c r="B6769" s="2" t="s">
        <v>6844</v>
      </c>
      <c r="C6769" s="2" t="str">
        <f>"10956840"</f>
        <v>10956840</v>
      </c>
      <c r="D6769" s="2">
        <v>0.93700000000000006</v>
      </c>
      <c r="E6769" s="2">
        <v>71</v>
      </c>
      <c r="F6769" s="2" t="s">
        <v>6</v>
      </c>
    </row>
    <row r="6770" spans="1:6" ht="25.5">
      <c r="A6770" s="2">
        <v>6767</v>
      </c>
      <c r="B6770" s="2" t="s">
        <v>6845</v>
      </c>
      <c r="C6770" s="2" t="str">
        <f>"19393466"</f>
        <v>19393466</v>
      </c>
      <c r="D6770" s="2">
        <v>0.109</v>
      </c>
      <c r="E6770" s="2">
        <v>0</v>
      </c>
      <c r="F6770" s="2" t="s">
        <v>16</v>
      </c>
    </row>
    <row r="6771" spans="1:6" ht="25.5">
      <c r="A6771" s="2">
        <v>6768</v>
      </c>
      <c r="B6771" s="2" t="s">
        <v>6846</v>
      </c>
      <c r="C6771" s="2" t="str">
        <f>"03636771"</f>
        <v>03636771</v>
      </c>
      <c r="D6771" s="2">
        <v>0.20100000000000001</v>
      </c>
      <c r="E6771" s="2">
        <v>20</v>
      </c>
      <c r="F6771" s="2" t="s">
        <v>6</v>
      </c>
    </row>
    <row r="6772" spans="1:6" ht="25.5">
      <c r="A6772" s="2">
        <v>6769</v>
      </c>
      <c r="B6772" s="2" t="s">
        <v>6847</v>
      </c>
      <c r="C6772" s="2" t="str">
        <f>"01638343"</f>
        <v>01638343</v>
      </c>
      <c r="D6772" s="2">
        <v>0.95199999999999996</v>
      </c>
      <c r="E6772" s="2">
        <v>66</v>
      </c>
      <c r="F6772" s="2" t="s">
        <v>6</v>
      </c>
    </row>
    <row r="6773" spans="1:6" ht="25.5">
      <c r="A6773" s="2">
        <v>6770</v>
      </c>
      <c r="B6773" s="2" t="s">
        <v>6848</v>
      </c>
      <c r="C6773" s="2" t="str">
        <f>"13111817"</f>
        <v>13111817</v>
      </c>
      <c r="D6773" s="2">
        <v>0.1</v>
      </c>
      <c r="E6773" s="2">
        <v>1</v>
      </c>
      <c r="F6773" s="2" t="s">
        <v>293</v>
      </c>
    </row>
    <row r="6774" spans="1:6" ht="25.5">
      <c r="A6774" s="2">
        <v>6771</v>
      </c>
      <c r="B6774" s="2" t="s">
        <v>6849</v>
      </c>
      <c r="C6774" s="2" t="str">
        <f>"02315882"</f>
        <v>02315882</v>
      </c>
      <c r="D6774" s="2">
        <v>0.438</v>
      </c>
      <c r="E6774" s="2">
        <v>25</v>
      </c>
      <c r="F6774" s="2" t="s">
        <v>241</v>
      </c>
    </row>
    <row r="6775" spans="1:6" ht="25.5">
      <c r="A6775" s="2">
        <v>6772</v>
      </c>
      <c r="B6775" s="2" t="s">
        <v>6850</v>
      </c>
      <c r="C6775" s="2" t="str">
        <f>"15729532"</f>
        <v>15729532</v>
      </c>
      <c r="D6775" s="2">
        <v>1.1040000000000001</v>
      </c>
      <c r="E6775" s="2">
        <v>48</v>
      </c>
      <c r="F6775" s="2" t="s">
        <v>6</v>
      </c>
    </row>
    <row r="6776" spans="1:6" ht="25.5">
      <c r="A6776" s="2">
        <v>6773</v>
      </c>
      <c r="B6776" s="2" t="s">
        <v>6851</v>
      </c>
      <c r="C6776" s="2" t="str">
        <f>"18636705"</f>
        <v>18636705</v>
      </c>
      <c r="D6776" s="2">
        <v>0.34699999999999998</v>
      </c>
      <c r="E6776" s="2">
        <v>22</v>
      </c>
      <c r="F6776" s="2" t="s">
        <v>131</v>
      </c>
    </row>
    <row r="6777" spans="1:6" ht="25.5">
      <c r="A6777" s="2">
        <v>6774</v>
      </c>
      <c r="B6777" s="2" t="s">
        <v>6852</v>
      </c>
      <c r="C6777" s="2" t="str">
        <f>"07387806"</f>
        <v>07387806</v>
      </c>
      <c r="D6777" s="2">
        <v>0.22500000000000001</v>
      </c>
      <c r="E6777" s="2">
        <v>18</v>
      </c>
      <c r="F6777" s="2" t="s">
        <v>6</v>
      </c>
    </row>
    <row r="6778" spans="1:6" ht="25.5">
      <c r="A6778" s="2">
        <v>6775</v>
      </c>
      <c r="B6778" s="2" t="s">
        <v>6853</v>
      </c>
      <c r="C6778" s="2" t="str">
        <f>"11776250"</f>
        <v>11776250</v>
      </c>
      <c r="D6778" s="2">
        <v>0.26900000000000002</v>
      </c>
      <c r="E6778" s="2">
        <v>7</v>
      </c>
      <c r="F6778" s="2" t="s">
        <v>503</v>
      </c>
    </row>
    <row r="6779" spans="1:6" ht="25.5">
      <c r="A6779" s="2">
        <v>6776</v>
      </c>
      <c r="B6779" s="2" t="s">
        <v>6854</v>
      </c>
      <c r="C6779" s="2" t="str">
        <f>"20734425"</f>
        <v>20734425</v>
      </c>
      <c r="D6779" s="2">
        <v>0.67300000000000004</v>
      </c>
      <c r="E6779" s="2">
        <v>6</v>
      </c>
      <c r="F6779" s="2" t="s">
        <v>31</v>
      </c>
    </row>
    <row r="6780" spans="1:6" ht="25.5">
      <c r="A6780" s="2">
        <v>6777</v>
      </c>
      <c r="B6780" s="2" t="s">
        <v>6855</v>
      </c>
      <c r="C6780" s="2" t="str">
        <f>"15495477"</f>
        <v>15495477</v>
      </c>
      <c r="D6780" s="2">
        <v>10.191000000000001</v>
      </c>
      <c r="E6780" s="2">
        <v>318</v>
      </c>
      <c r="F6780" s="2" t="s">
        <v>6</v>
      </c>
    </row>
    <row r="6781" spans="1:6" ht="25.5">
      <c r="A6781" s="2">
        <v>6778</v>
      </c>
      <c r="B6781" s="2" t="s">
        <v>6856</v>
      </c>
      <c r="C6781" s="2" t="str">
        <f>"18807062"</f>
        <v>18807062</v>
      </c>
      <c r="D6781" s="2">
        <v>0.14699999999999999</v>
      </c>
      <c r="E6781" s="2">
        <v>2</v>
      </c>
      <c r="F6781" s="2" t="s">
        <v>131</v>
      </c>
    </row>
    <row r="6782" spans="1:6" ht="25.5">
      <c r="A6782" s="2">
        <v>6779</v>
      </c>
      <c r="B6782" s="2" t="s">
        <v>6857</v>
      </c>
      <c r="C6782" s="2" t="str">
        <f>"13417568"</f>
        <v>13417568</v>
      </c>
      <c r="D6782" s="2">
        <v>0.504</v>
      </c>
      <c r="E6782" s="2">
        <v>35</v>
      </c>
      <c r="F6782" s="2" t="s">
        <v>131</v>
      </c>
    </row>
    <row r="6783" spans="1:6" ht="25.5">
      <c r="A6783" s="2">
        <v>6780</v>
      </c>
      <c r="B6783" s="2" t="s">
        <v>6858</v>
      </c>
      <c r="C6783" s="2" t="str">
        <f>"20929293"</f>
        <v>20929293</v>
      </c>
      <c r="D6783" s="2">
        <v>0.224</v>
      </c>
      <c r="E6783" s="2">
        <v>10</v>
      </c>
      <c r="F6783" s="2" t="s">
        <v>12</v>
      </c>
    </row>
    <row r="6784" spans="1:6" ht="25.5">
      <c r="A6784" s="2">
        <v>6781</v>
      </c>
      <c r="B6784" s="2" t="s">
        <v>6859</v>
      </c>
      <c r="C6784" s="2" t="str">
        <f>"14765470"</f>
        <v>14765470</v>
      </c>
      <c r="D6784" s="2">
        <v>1.365</v>
      </c>
      <c r="E6784" s="2">
        <v>69</v>
      </c>
      <c r="F6784" s="2" t="s">
        <v>16</v>
      </c>
    </row>
    <row r="6785" spans="1:6" ht="25.5">
      <c r="A6785" s="2">
        <v>6782</v>
      </c>
      <c r="B6785" s="2" t="s">
        <v>6860</v>
      </c>
      <c r="C6785" s="2" t="str">
        <f>"15558932"</f>
        <v>15558932</v>
      </c>
      <c r="D6785" s="2">
        <v>0.998</v>
      </c>
      <c r="E6785" s="2">
        <v>17</v>
      </c>
      <c r="F6785" s="2" t="s">
        <v>12</v>
      </c>
    </row>
    <row r="6786" spans="1:6" ht="25.5">
      <c r="A6786" s="2">
        <v>6783</v>
      </c>
      <c r="B6786" s="2" t="s">
        <v>6861</v>
      </c>
      <c r="C6786" s="2" t="str">
        <f>"16011848"</f>
        <v>16011848</v>
      </c>
      <c r="D6786" s="2">
        <v>1.7929999999999999</v>
      </c>
      <c r="E6786" s="2">
        <v>50</v>
      </c>
      <c r="F6786" s="2" t="s">
        <v>16</v>
      </c>
    </row>
    <row r="6787" spans="1:6" ht="25.5">
      <c r="A6787" s="2">
        <v>6784</v>
      </c>
      <c r="B6787" s="2" t="s">
        <v>6862</v>
      </c>
      <c r="C6787" s="2" t="str">
        <f>"10982264"</f>
        <v>10982264</v>
      </c>
      <c r="D6787" s="2">
        <v>1.774</v>
      </c>
      <c r="E6787" s="2">
        <v>87</v>
      </c>
      <c r="F6787" s="2" t="s">
        <v>6</v>
      </c>
    </row>
    <row r="6788" spans="1:6" ht="25.5">
      <c r="A6788" s="2">
        <v>6785</v>
      </c>
      <c r="B6788" s="2" t="s">
        <v>6863</v>
      </c>
      <c r="C6788" s="2" t="str">
        <f>"11553219"</f>
        <v>11553219</v>
      </c>
      <c r="D6788" s="2">
        <v>0.251</v>
      </c>
      <c r="E6788" s="2">
        <v>8</v>
      </c>
      <c r="F6788" s="2" t="s">
        <v>66</v>
      </c>
    </row>
    <row r="6789" spans="1:6" ht="25.5">
      <c r="A6789" s="2">
        <v>6786</v>
      </c>
      <c r="B6789" s="2" t="s">
        <v>6864</v>
      </c>
      <c r="C6789" s="2" t="str">
        <f>"1526968X"</f>
        <v>1526968X</v>
      </c>
      <c r="D6789" s="2">
        <v>1.587</v>
      </c>
      <c r="E6789" s="2">
        <v>76</v>
      </c>
      <c r="F6789" s="2" t="s">
        <v>6</v>
      </c>
    </row>
    <row r="6790" spans="1:6" ht="25.5">
      <c r="A6790" s="2">
        <v>6787</v>
      </c>
      <c r="B6790" s="2" t="s">
        <v>6865</v>
      </c>
      <c r="C6790" s="2" t="str">
        <f>"13652443"</f>
        <v>13652443</v>
      </c>
      <c r="D6790" s="2">
        <v>1.651</v>
      </c>
      <c r="E6790" s="2">
        <v>88</v>
      </c>
      <c r="F6790" s="2" t="s">
        <v>16</v>
      </c>
    </row>
    <row r="6791" spans="1:6" ht="25.5">
      <c r="A6791" s="2">
        <v>6788</v>
      </c>
      <c r="B6791" s="2" t="s">
        <v>6866</v>
      </c>
      <c r="C6791" s="2" t="str">
        <f>"14765462"</f>
        <v>14765462</v>
      </c>
      <c r="D6791" s="2">
        <v>1.167</v>
      </c>
      <c r="E6791" s="2">
        <v>127</v>
      </c>
      <c r="F6791" s="2" t="s">
        <v>16</v>
      </c>
    </row>
    <row r="6792" spans="1:6" ht="25.5">
      <c r="A6792" s="2">
        <v>6789</v>
      </c>
      <c r="B6792" s="2" t="s">
        <v>6867</v>
      </c>
      <c r="C6792" s="2" t="str">
        <f>"15299120"</f>
        <v>15299120</v>
      </c>
      <c r="D6792" s="2">
        <v>0.189</v>
      </c>
      <c r="E6792" s="2">
        <v>10</v>
      </c>
      <c r="F6792" s="2" t="s">
        <v>313</v>
      </c>
    </row>
    <row r="6793" spans="1:6" ht="25.5">
      <c r="A6793" s="2">
        <v>6790</v>
      </c>
      <c r="B6793" s="2" t="s">
        <v>6868</v>
      </c>
      <c r="C6793" s="2" t="str">
        <f>"15685586"</f>
        <v>15685586</v>
      </c>
      <c r="D6793" s="2">
        <v>0.114</v>
      </c>
      <c r="E6793" s="2">
        <v>5</v>
      </c>
      <c r="F6793" s="2" t="s">
        <v>543</v>
      </c>
    </row>
    <row r="6794" spans="1:6" ht="25.5">
      <c r="A6794" s="2">
        <v>6791</v>
      </c>
      <c r="B6794" s="2" t="s">
        <v>6869</v>
      </c>
      <c r="C6794" s="2" t="str">
        <f>"15736857"</f>
        <v>15736857</v>
      </c>
      <c r="D6794" s="2">
        <v>0.85899999999999999</v>
      </c>
      <c r="E6794" s="2">
        <v>62</v>
      </c>
      <c r="F6794" s="2" t="s">
        <v>75</v>
      </c>
    </row>
    <row r="6795" spans="1:6" ht="25.5">
      <c r="A6795" s="2">
        <v>6792</v>
      </c>
      <c r="B6795" s="2" t="s">
        <v>6870</v>
      </c>
      <c r="C6795" s="2" t="str">
        <f>"14695073"</f>
        <v>14695073</v>
      </c>
      <c r="D6795" s="2">
        <v>0.98799999999999999</v>
      </c>
      <c r="E6795" s="2">
        <v>49</v>
      </c>
      <c r="F6795" s="2" t="s">
        <v>16</v>
      </c>
    </row>
    <row r="6796" spans="1:6" ht="25.5">
      <c r="A6796" s="2">
        <v>6793</v>
      </c>
      <c r="B6796" s="2" t="s">
        <v>6871</v>
      </c>
      <c r="C6796" s="2" t="str">
        <f>"10158146"</f>
        <v>10158146</v>
      </c>
      <c r="D6796" s="2">
        <v>0.19900000000000001</v>
      </c>
      <c r="E6796" s="2">
        <v>20</v>
      </c>
      <c r="F6796" s="2" t="s">
        <v>31</v>
      </c>
    </row>
    <row r="6797" spans="1:6" ht="25.5">
      <c r="A6797" s="2">
        <v>6794</v>
      </c>
      <c r="B6797" s="2" t="s">
        <v>6872</v>
      </c>
      <c r="C6797" s="2" t="str">
        <f>"1935472X"</f>
        <v>1935472X</v>
      </c>
      <c r="D6797" s="2">
        <v>0.105</v>
      </c>
      <c r="E6797" s="2">
        <v>5</v>
      </c>
      <c r="F6797" s="2" t="s">
        <v>6</v>
      </c>
    </row>
    <row r="6798" spans="1:6" ht="25.5">
      <c r="A6798" s="2">
        <v>6795</v>
      </c>
      <c r="B6798" s="2" t="s">
        <v>6873</v>
      </c>
      <c r="C6798" s="2" t="str">
        <f>"10982272"</f>
        <v>10982272</v>
      </c>
      <c r="D6798" s="2">
        <v>2.4900000000000002</v>
      </c>
      <c r="E6798" s="2">
        <v>70</v>
      </c>
      <c r="F6798" s="2" t="s">
        <v>6</v>
      </c>
    </row>
    <row r="6799" spans="1:6" ht="25.5">
      <c r="A6799" s="2">
        <v>6796</v>
      </c>
      <c r="B6799" s="2" t="s">
        <v>6874</v>
      </c>
      <c r="C6799" s="2" t="str">
        <f>"15737632"</f>
        <v>15737632</v>
      </c>
      <c r="D6799" s="2">
        <v>1.8280000000000001</v>
      </c>
      <c r="E6799" s="2">
        <v>23</v>
      </c>
      <c r="F6799" s="2" t="s">
        <v>6</v>
      </c>
    </row>
    <row r="6800" spans="1:6" ht="25.5">
      <c r="A6800" s="2">
        <v>6797</v>
      </c>
      <c r="B6800" s="2" t="s">
        <v>6875</v>
      </c>
      <c r="C6800" s="2" t="str">
        <f>"15735109"</f>
        <v>15735109</v>
      </c>
      <c r="D6800" s="2">
        <v>0.64200000000000002</v>
      </c>
      <c r="E6800" s="2">
        <v>35</v>
      </c>
      <c r="F6800" s="2" t="s">
        <v>75</v>
      </c>
    </row>
    <row r="6801" spans="1:6" ht="25.5">
      <c r="A6801" s="2">
        <v>6798</v>
      </c>
      <c r="B6801" s="2" t="s">
        <v>6876</v>
      </c>
      <c r="C6801" s="2" t="str">
        <f>"00166731"</f>
        <v>00166731</v>
      </c>
      <c r="D6801" s="2">
        <v>2.4340000000000002</v>
      </c>
      <c r="E6801" s="2">
        <v>167</v>
      </c>
      <c r="F6801" s="2" t="s">
        <v>6</v>
      </c>
    </row>
    <row r="6802" spans="1:6" ht="25.5">
      <c r="A6802" s="2">
        <v>6799</v>
      </c>
      <c r="B6802" s="2" t="s">
        <v>6877</v>
      </c>
      <c r="C6802" s="2" t="str">
        <f>"16784685"</f>
        <v>16784685</v>
      </c>
      <c r="D6802" s="2">
        <v>0.254</v>
      </c>
      <c r="E6802" s="2">
        <v>28</v>
      </c>
      <c r="F6802" s="2" t="s">
        <v>159</v>
      </c>
    </row>
    <row r="6803" spans="1:6" ht="25.5">
      <c r="A6803" s="2">
        <v>6800</v>
      </c>
      <c r="B6803" s="2" t="s">
        <v>6878</v>
      </c>
      <c r="C6803" s="2" t="str">
        <f>"16765680"</f>
        <v>16765680</v>
      </c>
      <c r="D6803" s="2">
        <v>0.33400000000000002</v>
      </c>
      <c r="E6803" s="2">
        <v>24</v>
      </c>
      <c r="F6803" s="2" t="s">
        <v>159</v>
      </c>
    </row>
    <row r="6804" spans="1:6" ht="25.5">
      <c r="A6804" s="2">
        <v>6801</v>
      </c>
      <c r="B6804" s="2" t="s">
        <v>6879</v>
      </c>
      <c r="C6804" s="2" t="str">
        <f>"15300366"</f>
        <v>15300366</v>
      </c>
      <c r="D6804" s="2">
        <v>2.5089999999999999</v>
      </c>
      <c r="E6804" s="2">
        <v>61</v>
      </c>
      <c r="F6804" s="2" t="s">
        <v>6</v>
      </c>
    </row>
    <row r="6805" spans="1:6" ht="25.5">
      <c r="A6805" s="2">
        <v>6802</v>
      </c>
      <c r="B6805" s="2" t="s">
        <v>6880</v>
      </c>
      <c r="C6805" s="2" t="str">
        <f>"12979686"</f>
        <v>12979686</v>
      </c>
      <c r="D6805" s="2">
        <v>1.6359999999999999</v>
      </c>
      <c r="E6805" s="2">
        <v>43</v>
      </c>
      <c r="F6805" s="2" t="s">
        <v>16</v>
      </c>
    </row>
    <row r="6806" spans="1:6" ht="25.5">
      <c r="A6806" s="2">
        <v>6803</v>
      </c>
      <c r="B6806" s="2" t="s">
        <v>6881</v>
      </c>
      <c r="C6806" s="2" t="str">
        <f>"19450265"</f>
        <v>19450265</v>
      </c>
      <c r="D6806" s="2">
        <v>0.40100000000000002</v>
      </c>
      <c r="E6806" s="2">
        <v>32</v>
      </c>
      <c r="F6806" s="2" t="s">
        <v>6</v>
      </c>
    </row>
    <row r="6807" spans="1:6" ht="25.5">
      <c r="A6807" s="2">
        <v>6804</v>
      </c>
      <c r="B6807" s="2" t="s">
        <v>6882</v>
      </c>
      <c r="C6807" s="2" t="str">
        <f>"14790556"</f>
        <v>14790556</v>
      </c>
      <c r="D6807" s="2">
        <v>0.32100000000000001</v>
      </c>
      <c r="E6807" s="2">
        <v>18</v>
      </c>
      <c r="F6807" s="2" t="s">
        <v>16</v>
      </c>
    </row>
    <row r="6808" spans="1:6" ht="25.5">
      <c r="A6808" s="2">
        <v>6805</v>
      </c>
      <c r="B6808" s="2" t="s">
        <v>6883</v>
      </c>
      <c r="C6808" s="2" t="str">
        <f>"00166758"</f>
        <v>00166758</v>
      </c>
      <c r="D6808" s="2">
        <v>0.218</v>
      </c>
      <c r="E6808" s="2">
        <v>13</v>
      </c>
      <c r="F6808" s="2" t="s">
        <v>129</v>
      </c>
    </row>
    <row r="6809" spans="1:6" ht="25.5">
      <c r="A6809" s="2">
        <v>6806</v>
      </c>
      <c r="B6809" s="2" t="s">
        <v>6884</v>
      </c>
      <c r="C6809" s="2" t="str">
        <f>"14680440"</f>
        <v>14680440</v>
      </c>
      <c r="D6809" s="2">
        <v>0.44</v>
      </c>
      <c r="E6809" s="2">
        <v>13</v>
      </c>
      <c r="F6809" s="2" t="s">
        <v>16</v>
      </c>
    </row>
    <row r="6810" spans="1:6" ht="25.5">
      <c r="A6810" s="2">
        <v>6807</v>
      </c>
      <c r="B6810" s="2" t="s">
        <v>6885</v>
      </c>
      <c r="C6810" s="2" t="str">
        <f>"15549658"</f>
        <v>15549658</v>
      </c>
      <c r="D6810" s="2">
        <v>0.35299999999999998</v>
      </c>
      <c r="E6810" s="2">
        <v>11</v>
      </c>
      <c r="F6810" s="2" t="s">
        <v>16</v>
      </c>
    </row>
    <row r="6811" spans="1:6" ht="25.5">
      <c r="A6811" s="2">
        <v>6808</v>
      </c>
      <c r="B6811" s="2" t="s">
        <v>6886</v>
      </c>
      <c r="C6811" s="2" t="str">
        <f>"14747596"</f>
        <v>14747596</v>
      </c>
      <c r="D6811" s="2">
        <v>6.4829999999999997</v>
      </c>
      <c r="E6811" s="2">
        <v>129</v>
      </c>
      <c r="F6811" s="2" t="s">
        <v>16</v>
      </c>
    </row>
    <row r="6812" spans="1:6" ht="25.5">
      <c r="A6812" s="2">
        <v>6809</v>
      </c>
      <c r="B6812" s="2" t="s">
        <v>6887</v>
      </c>
      <c r="C6812" s="2" t="str">
        <f>"17596653"</f>
        <v>17596653</v>
      </c>
      <c r="D6812" s="2">
        <v>2.6440000000000001</v>
      </c>
      <c r="E6812" s="2">
        <v>17</v>
      </c>
      <c r="F6812" s="2" t="s">
        <v>16</v>
      </c>
    </row>
    <row r="6813" spans="1:6" ht="25.5">
      <c r="A6813" s="2">
        <v>6810</v>
      </c>
      <c r="B6813" s="2" t="s">
        <v>6888</v>
      </c>
      <c r="C6813" s="2" t="str">
        <f>"16623797"</f>
        <v>16623797</v>
      </c>
      <c r="D6813" s="2">
        <v>0.747</v>
      </c>
      <c r="E6813" s="2">
        <v>13</v>
      </c>
      <c r="F6813" s="2" t="s">
        <v>31</v>
      </c>
    </row>
    <row r="6814" spans="1:6" ht="25.5">
      <c r="A6814" s="2">
        <v>6811</v>
      </c>
      <c r="B6814" s="2" t="s">
        <v>6889</v>
      </c>
      <c r="C6814" s="2" t="str">
        <f>"1756994X"</f>
        <v>1756994X</v>
      </c>
      <c r="D6814" s="2">
        <v>1.331</v>
      </c>
      <c r="E6814" s="2">
        <v>21</v>
      </c>
      <c r="F6814" s="2" t="s">
        <v>16</v>
      </c>
    </row>
    <row r="6815" spans="1:6" ht="25.5">
      <c r="A6815" s="2">
        <v>6812</v>
      </c>
      <c r="B6815" s="2" t="s">
        <v>6890</v>
      </c>
      <c r="C6815" s="2" t="str">
        <f>"14803321"</f>
        <v>14803321</v>
      </c>
      <c r="D6815" s="2">
        <v>0.72</v>
      </c>
      <c r="E6815" s="2">
        <v>70</v>
      </c>
      <c r="F6815" s="2" t="s">
        <v>64</v>
      </c>
    </row>
    <row r="6816" spans="1:6" ht="25.5">
      <c r="A6816" s="2">
        <v>6813</v>
      </c>
      <c r="B6816" s="2" t="s">
        <v>6891</v>
      </c>
      <c r="C6816" s="2" t="str">
        <f>"15495469"</f>
        <v>15495469</v>
      </c>
      <c r="D6816" s="2">
        <v>11.385</v>
      </c>
      <c r="E6816" s="2">
        <v>186</v>
      </c>
      <c r="F6816" s="2" t="s">
        <v>6</v>
      </c>
    </row>
    <row r="6817" spans="1:6" ht="25.5">
      <c r="A6817" s="2">
        <v>6814</v>
      </c>
      <c r="B6817" s="2" t="s">
        <v>6892</v>
      </c>
      <c r="C6817" s="2" t="str">
        <f>"22114254"</f>
        <v>22114254</v>
      </c>
      <c r="D6817" s="2">
        <v>0.17299999999999999</v>
      </c>
      <c r="E6817" s="2">
        <v>3</v>
      </c>
      <c r="F6817" s="2" t="s">
        <v>165</v>
      </c>
    </row>
    <row r="6818" spans="1:6" ht="25.5">
      <c r="A6818" s="2">
        <v>6815</v>
      </c>
      <c r="B6818" s="2" t="s">
        <v>6893</v>
      </c>
      <c r="C6818" s="2" t="str">
        <f>"10898646"</f>
        <v>10898646</v>
      </c>
      <c r="D6818" s="2">
        <v>1.28</v>
      </c>
      <c r="E6818" s="2">
        <v>109</v>
      </c>
      <c r="F6818" s="2" t="s">
        <v>6</v>
      </c>
    </row>
    <row r="6819" spans="1:6" ht="25.5">
      <c r="A6819" s="2">
        <v>6816</v>
      </c>
      <c r="B6819" s="2" t="s">
        <v>6894</v>
      </c>
      <c r="C6819" s="2" t="str">
        <f>"11786310"</f>
        <v>11786310</v>
      </c>
      <c r="D6819" s="2">
        <v>0.16900000000000001</v>
      </c>
      <c r="E6819" s="2">
        <v>3</v>
      </c>
      <c r="F6819" s="2" t="s">
        <v>503</v>
      </c>
    </row>
    <row r="6820" spans="1:6" ht="25.5">
      <c r="A6820" s="2">
        <v>6817</v>
      </c>
      <c r="B6820" s="2" t="s">
        <v>6895</v>
      </c>
      <c r="C6820" s="2" t="str">
        <f>"16720229"</f>
        <v>16720229</v>
      </c>
      <c r="D6820" s="2">
        <v>0.432</v>
      </c>
      <c r="E6820" s="2">
        <v>16</v>
      </c>
      <c r="F6820" s="2" t="s">
        <v>46</v>
      </c>
    </row>
    <row r="6821" spans="1:6" ht="25.5">
      <c r="A6821" s="2">
        <v>6818</v>
      </c>
      <c r="B6821" s="2" t="s">
        <v>6896</v>
      </c>
      <c r="C6821" s="2" t="str">
        <f>"00166987"</f>
        <v>00166987</v>
      </c>
      <c r="D6821" s="2">
        <v>0.26600000000000001</v>
      </c>
      <c r="E6821" s="2">
        <v>6</v>
      </c>
      <c r="F6821" s="2" t="s">
        <v>190</v>
      </c>
    </row>
    <row r="6822" spans="1:6" ht="25.5">
      <c r="A6822" s="2">
        <v>6819</v>
      </c>
      <c r="B6822" s="2" t="s">
        <v>6897</v>
      </c>
      <c r="C6822" s="2" t="str">
        <f>"10256059"</f>
        <v>10256059</v>
      </c>
      <c r="D6822" s="2">
        <v>0.499</v>
      </c>
      <c r="E6822" s="2">
        <v>27</v>
      </c>
      <c r="F6822" s="2" t="s">
        <v>2263</v>
      </c>
    </row>
    <row r="6823" spans="1:6" ht="25.5">
      <c r="A6823" s="2">
        <v>6820</v>
      </c>
      <c r="B6823" s="2" t="s">
        <v>6898</v>
      </c>
      <c r="C6823" s="2" t="str">
        <f>"15206548"</f>
        <v>15206548</v>
      </c>
      <c r="D6823" s="2">
        <v>0.47199999999999998</v>
      </c>
      <c r="E6823" s="2">
        <v>23</v>
      </c>
      <c r="F6823" s="2" t="s">
        <v>6</v>
      </c>
    </row>
    <row r="6824" spans="1:6" ht="25.5">
      <c r="A6824" s="2">
        <v>6821</v>
      </c>
      <c r="B6824" s="2" t="s">
        <v>6899</v>
      </c>
      <c r="C6824" s="2" t="str">
        <f>"14724677"</f>
        <v>14724677</v>
      </c>
      <c r="D6824" s="2">
        <v>1.496</v>
      </c>
      <c r="E6824" s="2">
        <v>28</v>
      </c>
      <c r="F6824" s="2" t="s">
        <v>16</v>
      </c>
    </row>
    <row r="6825" spans="1:6" ht="25.5">
      <c r="A6825" s="2">
        <v>6822</v>
      </c>
      <c r="B6825" s="2" t="s">
        <v>6900</v>
      </c>
      <c r="C6825" s="2" t="str">
        <f>"17775728"</f>
        <v>17775728</v>
      </c>
      <c r="D6825" s="2">
        <v>0.51800000000000002</v>
      </c>
      <c r="E6825" s="2">
        <v>30</v>
      </c>
      <c r="F6825" s="2" t="s">
        <v>66</v>
      </c>
    </row>
    <row r="6826" spans="1:6" ht="25.5">
      <c r="A6826" s="2">
        <v>6823</v>
      </c>
      <c r="B6826" s="2" t="s">
        <v>6901</v>
      </c>
      <c r="C6826" s="2" t="str">
        <f>"10106049"</f>
        <v>10106049</v>
      </c>
      <c r="D6826" s="2">
        <v>0.25700000000000001</v>
      </c>
      <c r="E6826" s="2">
        <v>13</v>
      </c>
      <c r="F6826" s="2" t="s">
        <v>16</v>
      </c>
    </row>
    <row r="6827" spans="1:6" ht="25.5">
      <c r="A6827" s="2">
        <v>6824</v>
      </c>
      <c r="B6827" s="2" t="s">
        <v>6902</v>
      </c>
      <c r="C6827" s="2" t="str">
        <f>"00167002"</f>
        <v>00167002</v>
      </c>
      <c r="D6827" s="2">
        <v>0.42299999999999999</v>
      </c>
      <c r="E6827" s="2">
        <v>29</v>
      </c>
      <c r="F6827" s="2" t="s">
        <v>131</v>
      </c>
    </row>
    <row r="6828" spans="1:6" ht="25.5">
      <c r="A6828" s="2">
        <v>6825</v>
      </c>
      <c r="B6828" s="2" t="s">
        <v>6903</v>
      </c>
      <c r="C6828" s="2" t="str">
        <f>"14674866"</f>
        <v>14674866</v>
      </c>
      <c r="D6828" s="2">
        <v>0.53100000000000003</v>
      </c>
      <c r="E6828" s="2">
        <v>22</v>
      </c>
      <c r="F6828" s="2" t="s">
        <v>16</v>
      </c>
    </row>
    <row r="6829" spans="1:6" ht="25.5">
      <c r="A6829" s="2">
        <v>6826</v>
      </c>
      <c r="B6829" s="2" t="s">
        <v>6904</v>
      </c>
      <c r="C6829" s="2" t="str">
        <f>"14677873"</f>
        <v>14677873</v>
      </c>
      <c r="D6829" s="2">
        <v>0.45700000000000002</v>
      </c>
      <c r="E6829" s="2">
        <v>19</v>
      </c>
      <c r="F6829" s="2" t="s">
        <v>16</v>
      </c>
    </row>
    <row r="6830" spans="1:6" ht="25.5">
      <c r="A6830" s="2">
        <v>6827</v>
      </c>
      <c r="B6830" s="2" t="s">
        <v>6905</v>
      </c>
      <c r="C6830" s="2" t="str">
        <f>"15252027"</f>
        <v>15252027</v>
      </c>
      <c r="D6830" s="2">
        <v>2.1560000000000001</v>
      </c>
      <c r="E6830" s="2">
        <v>61</v>
      </c>
      <c r="F6830" s="2" t="s">
        <v>6</v>
      </c>
    </row>
    <row r="6831" spans="1:6" ht="25.5">
      <c r="A6831" s="2">
        <v>6828</v>
      </c>
      <c r="B6831" s="2" t="s">
        <v>6906</v>
      </c>
      <c r="C6831" s="2" t="str">
        <f>"00167029"</f>
        <v>00167029</v>
      </c>
      <c r="D6831" s="2">
        <v>0.40100000000000002</v>
      </c>
      <c r="E6831" s="2">
        <v>13</v>
      </c>
      <c r="F6831" s="2" t="s">
        <v>129</v>
      </c>
    </row>
    <row r="6832" spans="1:6" ht="25.5">
      <c r="A6832" s="2">
        <v>6829</v>
      </c>
      <c r="B6832" s="2" t="s">
        <v>6907</v>
      </c>
      <c r="C6832" s="2" t="str">
        <f>"0046564X"</f>
        <v>0046564X</v>
      </c>
      <c r="D6832" s="2">
        <v>2.149</v>
      </c>
      <c r="E6832" s="2">
        <v>134</v>
      </c>
      <c r="F6832" s="2" t="s">
        <v>16</v>
      </c>
    </row>
    <row r="6833" spans="1:6" ht="25.5">
      <c r="A6833" s="2">
        <v>6830</v>
      </c>
      <c r="B6833" s="2" t="s">
        <v>6908</v>
      </c>
      <c r="C6833" s="2" t="str">
        <f>"17338387"</f>
        <v>17338387</v>
      </c>
      <c r="D6833" s="2">
        <v>0.95299999999999996</v>
      </c>
      <c r="E6833" s="2">
        <v>10</v>
      </c>
      <c r="F6833" s="2" t="s">
        <v>169</v>
      </c>
    </row>
    <row r="6834" spans="1:6" ht="25.5">
      <c r="A6834" s="2">
        <v>6831</v>
      </c>
      <c r="B6834" s="2" t="s">
        <v>6909</v>
      </c>
      <c r="C6834" s="2" t="str">
        <f>"1980900X"</f>
        <v>1980900X</v>
      </c>
      <c r="D6834" s="2">
        <v>0.30099999999999999</v>
      </c>
      <c r="E6834" s="2">
        <v>7</v>
      </c>
      <c r="F6834" s="2" t="s">
        <v>159</v>
      </c>
    </row>
    <row r="6835" spans="1:6" ht="25.5">
      <c r="A6835" s="2">
        <v>6832</v>
      </c>
      <c r="B6835" s="2" t="s">
        <v>6910</v>
      </c>
      <c r="C6835" s="2" t="str">
        <f>"00167061"</f>
        <v>00167061</v>
      </c>
      <c r="D6835" s="2">
        <v>1.272</v>
      </c>
      <c r="E6835" s="2">
        <v>82</v>
      </c>
      <c r="F6835" s="2" t="s">
        <v>75</v>
      </c>
    </row>
    <row r="6836" spans="1:6" ht="25.5">
      <c r="A6836" s="2">
        <v>6833</v>
      </c>
      <c r="B6836" s="2" t="s">
        <v>6911</v>
      </c>
      <c r="C6836" s="2" t="str">
        <f>"13921541"</f>
        <v>13921541</v>
      </c>
      <c r="D6836" s="2">
        <v>0.19600000000000001</v>
      </c>
      <c r="E6836" s="2">
        <v>5</v>
      </c>
      <c r="F6836" s="2" t="s">
        <v>426</v>
      </c>
    </row>
    <row r="6837" spans="1:6" ht="25.5">
      <c r="A6837" s="2">
        <v>6834</v>
      </c>
      <c r="B6837" s="2" t="s">
        <v>6912</v>
      </c>
      <c r="C6837" s="2" t="str">
        <f>"0016710X"</f>
        <v>0016710X</v>
      </c>
      <c r="D6837" s="2">
        <v>0.13500000000000001</v>
      </c>
      <c r="E6837" s="2">
        <v>2</v>
      </c>
      <c r="F6837" s="2" t="s">
        <v>149</v>
      </c>
    </row>
    <row r="6838" spans="1:6" ht="25.5">
      <c r="A6838" s="2">
        <v>6835</v>
      </c>
      <c r="B6838" s="2" t="s">
        <v>6913</v>
      </c>
      <c r="C6838" s="2" t="str">
        <f>"15811328"</f>
        <v>15811328</v>
      </c>
      <c r="D6838" s="2">
        <v>0.19400000000000001</v>
      </c>
      <c r="E6838" s="2">
        <v>4</v>
      </c>
      <c r="F6838" s="2" t="s">
        <v>154</v>
      </c>
    </row>
    <row r="6839" spans="1:6" ht="25.5">
      <c r="A6839" s="2">
        <v>6836</v>
      </c>
      <c r="B6839" s="2" t="s">
        <v>6914</v>
      </c>
      <c r="C6839" s="2" t="str">
        <f>"09853111"</f>
        <v>09853111</v>
      </c>
      <c r="D6839" s="2">
        <v>0.29799999999999999</v>
      </c>
      <c r="E6839" s="2">
        <v>32</v>
      </c>
      <c r="F6839" s="2" t="s">
        <v>66</v>
      </c>
    </row>
    <row r="6840" spans="1:6" ht="25.5">
      <c r="A6840" s="2">
        <v>6837</v>
      </c>
      <c r="B6840" s="2" t="s">
        <v>6915</v>
      </c>
      <c r="C6840" s="2" t="str">
        <f>"16389395"</f>
        <v>16389395</v>
      </c>
      <c r="D6840" s="2">
        <v>0.59799999999999998</v>
      </c>
      <c r="E6840" s="2">
        <v>17</v>
      </c>
      <c r="F6840" s="2" t="s">
        <v>66</v>
      </c>
    </row>
    <row r="6841" spans="1:6" ht="25.5">
      <c r="A6841" s="2">
        <v>6838</v>
      </c>
      <c r="B6841" s="2" t="s">
        <v>6916</v>
      </c>
      <c r="C6841" s="2" t="str">
        <f>"22482776"</f>
        <v>22482776</v>
      </c>
      <c r="D6841" s="2">
        <v>0</v>
      </c>
      <c r="E6841" s="2">
        <v>0</v>
      </c>
      <c r="F6841" s="2" t="s">
        <v>19</v>
      </c>
    </row>
    <row r="6842" spans="1:6" ht="25.5">
      <c r="A6842" s="2">
        <v>6839</v>
      </c>
      <c r="B6842" s="2" t="s">
        <v>6917</v>
      </c>
      <c r="C6842" s="2" t="str">
        <f>"13706071"</f>
        <v>13706071</v>
      </c>
      <c r="D6842" s="2">
        <v>0.105</v>
      </c>
      <c r="E6842" s="2">
        <v>4</v>
      </c>
      <c r="F6842" s="2" t="s">
        <v>161</v>
      </c>
    </row>
    <row r="6843" spans="1:6" ht="25.5">
      <c r="A6843" s="2">
        <v>6840</v>
      </c>
      <c r="B6843" s="2" t="s">
        <v>6918</v>
      </c>
      <c r="C6843" s="2" t="str">
        <f>"00167169"</f>
        <v>00167169</v>
      </c>
      <c r="D6843" s="2">
        <v>0.32500000000000001</v>
      </c>
      <c r="E6843" s="2">
        <v>15</v>
      </c>
      <c r="F6843" s="2" t="s">
        <v>200</v>
      </c>
    </row>
    <row r="6844" spans="1:6" ht="25.5">
      <c r="A6844" s="2">
        <v>6841</v>
      </c>
      <c r="B6844" s="2" t="s">
        <v>6919</v>
      </c>
      <c r="C6844" s="2" t="str">
        <f>"03523659"</f>
        <v>03523659</v>
      </c>
      <c r="D6844" s="2">
        <v>0.318</v>
      </c>
      <c r="E6844" s="2">
        <v>8</v>
      </c>
      <c r="F6844" s="2" t="s">
        <v>149</v>
      </c>
    </row>
    <row r="6845" spans="1:6" ht="25.5">
      <c r="A6845" s="2">
        <v>6842</v>
      </c>
      <c r="B6845" s="2" t="s">
        <v>6920</v>
      </c>
      <c r="C6845" s="2" t="str">
        <f>"14688123"</f>
        <v>14688123</v>
      </c>
      <c r="D6845" s="2">
        <v>1.2769999999999999</v>
      </c>
      <c r="E6845" s="2">
        <v>26</v>
      </c>
      <c r="F6845" s="2" t="s">
        <v>16</v>
      </c>
    </row>
    <row r="6846" spans="1:6" ht="25.5">
      <c r="A6846" s="2">
        <v>6843</v>
      </c>
      <c r="B6846" s="2" t="s">
        <v>6921</v>
      </c>
      <c r="C6846" s="2" t="str">
        <f>"00167185"</f>
        <v>00167185</v>
      </c>
      <c r="D6846" s="2">
        <v>1.992</v>
      </c>
      <c r="E6846" s="2">
        <v>49</v>
      </c>
      <c r="F6846" s="2" t="s">
        <v>75</v>
      </c>
    </row>
    <row r="6847" spans="1:6" ht="25.5">
      <c r="A6847" s="2">
        <v>6844</v>
      </c>
      <c r="B6847" s="2" t="s">
        <v>6922</v>
      </c>
      <c r="C6847" s="2" t="str">
        <f>"03919838"</f>
        <v>03919838</v>
      </c>
      <c r="D6847" s="2">
        <v>0.23899999999999999</v>
      </c>
      <c r="E6847" s="2">
        <v>12</v>
      </c>
      <c r="F6847" s="2" t="s">
        <v>190</v>
      </c>
    </row>
    <row r="6848" spans="1:6" ht="25.5">
      <c r="A6848" s="2">
        <v>6845</v>
      </c>
      <c r="B6848" s="2" t="s">
        <v>6923</v>
      </c>
      <c r="C6848" s="2" t="str">
        <f>"00167193"</f>
        <v>00167193</v>
      </c>
      <c r="D6848" s="2">
        <v>0.22500000000000001</v>
      </c>
      <c r="E6848" s="2">
        <v>4</v>
      </c>
      <c r="F6848" s="2" t="s">
        <v>241</v>
      </c>
    </row>
    <row r="6849" spans="1:6" ht="25.5">
      <c r="A6849" s="2">
        <v>6846</v>
      </c>
      <c r="B6849" s="2" t="s">
        <v>6924</v>
      </c>
      <c r="C6849" s="2" t="str">
        <f>"13184717"</f>
        <v>13184717</v>
      </c>
      <c r="D6849" s="2">
        <v>0.1</v>
      </c>
      <c r="E6849" s="2">
        <v>2</v>
      </c>
      <c r="F6849" s="2" t="s">
        <v>154</v>
      </c>
    </row>
    <row r="6850" spans="1:6" ht="25.5">
      <c r="A6850" s="2">
        <v>6847</v>
      </c>
      <c r="B6850" s="2" t="s">
        <v>6925</v>
      </c>
      <c r="C6850" s="2" t="str">
        <f>"04353676"</f>
        <v>04353676</v>
      </c>
      <c r="D6850" s="2">
        <v>0.72499999999999998</v>
      </c>
      <c r="E6850" s="2">
        <v>33</v>
      </c>
      <c r="F6850" s="2" t="s">
        <v>16</v>
      </c>
    </row>
    <row r="6851" spans="1:6" ht="25.5">
      <c r="A6851" s="2">
        <v>6848</v>
      </c>
      <c r="B6851" s="2" t="s">
        <v>6926</v>
      </c>
      <c r="C6851" s="2" t="str">
        <f>"04353684"</f>
        <v>04353684</v>
      </c>
      <c r="D6851" s="2">
        <v>0.56299999999999994</v>
      </c>
      <c r="E6851" s="2">
        <v>28</v>
      </c>
      <c r="F6851" s="2" t="s">
        <v>16</v>
      </c>
    </row>
    <row r="6852" spans="1:6" ht="25.5">
      <c r="A6852" s="2">
        <v>6849</v>
      </c>
      <c r="B6852" s="2" t="s">
        <v>6927</v>
      </c>
      <c r="C6852" s="2" t="str">
        <f>"00167223"</f>
        <v>00167223</v>
      </c>
      <c r="D6852" s="2">
        <v>0.309</v>
      </c>
      <c r="E6852" s="2">
        <v>12</v>
      </c>
      <c r="F6852" s="2" t="s">
        <v>163</v>
      </c>
    </row>
    <row r="6853" spans="1:6" ht="25.5">
      <c r="A6853" s="2">
        <v>6850</v>
      </c>
      <c r="B6853" s="2" t="s">
        <v>6928</v>
      </c>
      <c r="C6853" s="2" t="str">
        <f>"00167274"</f>
        <v>00167274</v>
      </c>
      <c r="D6853" s="2">
        <v>0.1</v>
      </c>
      <c r="E6853" s="2">
        <v>2</v>
      </c>
      <c r="F6853" s="2" t="s">
        <v>154</v>
      </c>
    </row>
    <row r="6854" spans="1:6" ht="25.5">
      <c r="A6854" s="2">
        <v>6851</v>
      </c>
      <c r="B6854" s="2" t="s">
        <v>6929</v>
      </c>
      <c r="C6854" s="2" t="str">
        <f>"03503895"</f>
        <v>03503895</v>
      </c>
      <c r="D6854" s="2">
        <v>0.10100000000000001</v>
      </c>
      <c r="E6854" s="2">
        <v>5</v>
      </c>
      <c r="F6854" s="2" t="s">
        <v>154</v>
      </c>
    </row>
    <row r="6855" spans="1:6" ht="25.5">
      <c r="A6855" s="2">
        <v>6852</v>
      </c>
      <c r="B6855" s="2" t="s">
        <v>6930</v>
      </c>
      <c r="C6855" s="2" t="str">
        <f>"00167282"</f>
        <v>00167282</v>
      </c>
      <c r="D6855" s="2">
        <v>0.115</v>
      </c>
      <c r="E6855" s="2">
        <v>8</v>
      </c>
      <c r="F6855" s="2" t="s">
        <v>169</v>
      </c>
    </row>
    <row r="6856" spans="1:6" ht="25.5">
      <c r="A6856" s="2">
        <v>6853</v>
      </c>
      <c r="B6856" s="2" t="s">
        <v>6931</v>
      </c>
      <c r="C6856" s="2" t="str">
        <f>"20654421"</f>
        <v>20654421</v>
      </c>
      <c r="D6856" s="2">
        <v>0.14599999999999999</v>
      </c>
      <c r="E6856" s="2">
        <v>3</v>
      </c>
      <c r="F6856" s="2" t="s">
        <v>19</v>
      </c>
    </row>
    <row r="6857" spans="1:6" ht="25.5">
      <c r="A6857" s="2">
        <v>6854</v>
      </c>
      <c r="B6857" s="2" t="s">
        <v>6932</v>
      </c>
      <c r="C6857" s="2" t="str">
        <f>"15384632"</f>
        <v>15384632</v>
      </c>
      <c r="D6857" s="2">
        <v>0.82899999999999996</v>
      </c>
      <c r="E6857" s="2">
        <v>33</v>
      </c>
      <c r="F6857" s="2" t="s">
        <v>16</v>
      </c>
    </row>
    <row r="6858" spans="1:6" ht="25.5">
      <c r="A6858" s="2">
        <v>6855</v>
      </c>
      <c r="B6858" s="2" t="s">
        <v>6933</v>
      </c>
      <c r="C6858" s="2" t="str">
        <f>"07313292"</f>
        <v>07313292</v>
      </c>
      <c r="D6858" s="2">
        <v>0.124</v>
      </c>
      <c r="E6858" s="2">
        <v>2</v>
      </c>
      <c r="F6858" s="2" t="s">
        <v>6</v>
      </c>
    </row>
    <row r="6859" spans="1:6" ht="25.5">
      <c r="A6859" s="2">
        <v>6856</v>
      </c>
      <c r="B6859" s="2" t="s">
        <v>6934</v>
      </c>
      <c r="C6859" s="2" t="str">
        <f>"14754959"</f>
        <v>14754959</v>
      </c>
      <c r="D6859" s="2">
        <v>0.85299999999999998</v>
      </c>
      <c r="E6859" s="2">
        <v>31</v>
      </c>
      <c r="F6859" s="2" t="s">
        <v>16</v>
      </c>
    </row>
    <row r="6860" spans="1:6" ht="25.5">
      <c r="A6860" s="2">
        <v>6857</v>
      </c>
      <c r="B6860" s="2" t="s">
        <v>6935</v>
      </c>
      <c r="C6860" s="2" t="str">
        <f>"17455871"</f>
        <v>17455871</v>
      </c>
      <c r="D6860" s="2">
        <v>0.47099999999999997</v>
      </c>
      <c r="E6860" s="2">
        <v>24</v>
      </c>
      <c r="F6860" s="2" t="s">
        <v>16</v>
      </c>
    </row>
    <row r="6861" spans="1:6" ht="25.5">
      <c r="A6861" s="2">
        <v>6858</v>
      </c>
      <c r="B6861" s="2" t="s">
        <v>6936</v>
      </c>
      <c r="C6861" s="2" t="str">
        <f>"00167428"</f>
        <v>00167428</v>
      </c>
      <c r="D6861" s="2">
        <v>0.40799999999999997</v>
      </c>
      <c r="E6861" s="2">
        <v>22</v>
      </c>
      <c r="F6861" s="2" t="s">
        <v>6</v>
      </c>
    </row>
    <row r="6862" spans="1:6" ht="25.5">
      <c r="A6862" s="2">
        <v>6859</v>
      </c>
      <c r="B6862" s="2" t="s">
        <v>6937</v>
      </c>
      <c r="C6862" s="2" t="str">
        <f>"03548724"</f>
        <v>03548724</v>
      </c>
      <c r="D6862" s="2">
        <v>0</v>
      </c>
      <c r="E6862" s="2">
        <v>0</v>
      </c>
      <c r="F6862" s="2" t="s">
        <v>212</v>
      </c>
    </row>
    <row r="6863" spans="1:6" ht="25.5">
      <c r="A6863" s="2">
        <v>6860</v>
      </c>
      <c r="B6863" s="2" t="s">
        <v>6938</v>
      </c>
      <c r="C6863" s="2" t="str">
        <f>"1295926X"</f>
        <v>1295926X</v>
      </c>
      <c r="D6863" s="2">
        <v>0.214</v>
      </c>
      <c r="E6863" s="2">
        <v>6</v>
      </c>
      <c r="F6863" s="2" t="s">
        <v>66</v>
      </c>
    </row>
    <row r="6864" spans="1:6" ht="25.5">
      <c r="A6864" s="2">
        <v>6861</v>
      </c>
      <c r="B6864" s="2" t="s">
        <v>6939</v>
      </c>
      <c r="C6864" s="2" t="str">
        <f>"00167460"</f>
        <v>00167460</v>
      </c>
      <c r="D6864" s="2">
        <v>0.20100000000000001</v>
      </c>
      <c r="E6864" s="2">
        <v>9</v>
      </c>
      <c r="F6864" s="2" t="s">
        <v>12</v>
      </c>
    </row>
    <row r="6865" spans="1:6" ht="25.5">
      <c r="A6865" s="2">
        <v>6862</v>
      </c>
      <c r="B6865" s="2" t="s">
        <v>6940</v>
      </c>
      <c r="C6865" s="2" t="str">
        <f>"00167479"</f>
        <v>00167479</v>
      </c>
      <c r="D6865" s="2">
        <v>0.126</v>
      </c>
      <c r="E6865" s="2">
        <v>11</v>
      </c>
      <c r="F6865" s="2" t="s">
        <v>12</v>
      </c>
    </row>
    <row r="6866" spans="1:6" ht="25.5">
      <c r="A6866" s="2">
        <v>6863</v>
      </c>
      <c r="B6866" s="2" t="s">
        <v>6941</v>
      </c>
      <c r="C6866" s="2" t="str">
        <f>"00167487"</f>
        <v>00167487</v>
      </c>
      <c r="D6866" s="2">
        <v>0.31900000000000001</v>
      </c>
      <c r="E6866" s="2">
        <v>13</v>
      </c>
      <c r="F6866" s="2" t="s">
        <v>16</v>
      </c>
    </row>
    <row r="6867" spans="1:6" ht="25.5">
      <c r="A6867" s="2">
        <v>6864</v>
      </c>
      <c r="B6867" s="2" t="s">
        <v>6942</v>
      </c>
      <c r="C6867" s="2" t="str">
        <f>"18753728"</f>
        <v>18753728</v>
      </c>
      <c r="D6867" s="2">
        <v>0.10299999999999999</v>
      </c>
      <c r="E6867" s="2">
        <v>3</v>
      </c>
      <c r="F6867" s="2" t="s">
        <v>75</v>
      </c>
    </row>
    <row r="6868" spans="1:6" ht="25.5">
      <c r="A6868" s="2">
        <v>6865</v>
      </c>
      <c r="B6868" s="2" t="s">
        <v>6943</v>
      </c>
      <c r="C6868" s="2" t="str">
        <f>"17498198"</f>
        <v>17498198</v>
      </c>
      <c r="D6868" s="2">
        <v>0.73299999999999998</v>
      </c>
      <c r="E6868" s="2">
        <v>15</v>
      </c>
      <c r="F6868" s="2" t="s">
        <v>16</v>
      </c>
    </row>
    <row r="6869" spans="1:6" ht="25.5">
      <c r="A6869" s="2">
        <v>6866</v>
      </c>
      <c r="B6869" s="2" t="s">
        <v>6944</v>
      </c>
      <c r="C6869" s="2" t="str">
        <f>"03335275"</f>
        <v>03335275</v>
      </c>
      <c r="D6869" s="2">
        <v>0.11899999999999999</v>
      </c>
      <c r="E6869" s="2">
        <v>7</v>
      </c>
      <c r="F6869" s="2" t="s">
        <v>6</v>
      </c>
    </row>
    <row r="6870" spans="1:6" ht="25.5">
      <c r="A6870" s="2">
        <v>6867</v>
      </c>
      <c r="B6870" s="2" t="s">
        <v>6945</v>
      </c>
      <c r="C6870" s="2" t="str">
        <f>"18672485"</f>
        <v>18672485</v>
      </c>
      <c r="D6870" s="2">
        <v>0</v>
      </c>
      <c r="E6870" s="2">
        <v>1</v>
      </c>
      <c r="F6870" s="2" t="s">
        <v>12</v>
      </c>
    </row>
    <row r="6871" spans="1:6" ht="25.5">
      <c r="A6871" s="2">
        <v>6868</v>
      </c>
      <c r="B6871" s="2" t="s">
        <v>6946</v>
      </c>
      <c r="C6871" s="2" t="str">
        <f>"15725464"</f>
        <v>15725464</v>
      </c>
      <c r="D6871" s="2">
        <v>0.1</v>
      </c>
      <c r="E6871" s="2">
        <v>2</v>
      </c>
      <c r="F6871" s="2" t="s">
        <v>75</v>
      </c>
    </row>
    <row r="6872" spans="1:6" ht="25.5">
      <c r="A6872" s="2">
        <v>6869</v>
      </c>
      <c r="B6872" s="2" t="s">
        <v>6947</v>
      </c>
      <c r="C6872" s="2" t="str">
        <f>"15737624"</f>
        <v>15737624</v>
      </c>
      <c r="D6872" s="2">
        <v>0.51700000000000002</v>
      </c>
      <c r="E6872" s="2">
        <v>29</v>
      </c>
      <c r="F6872" s="2" t="s">
        <v>75</v>
      </c>
    </row>
    <row r="6873" spans="1:6" ht="25.5">
      <c r="A6873" s="2">
        <v>6870</v>
      </c>
      <c r="B6873" s="2" t="s">
        <v>6948</v>
      </c>
      <c r="C6873" s="2" t="str">
        <f>"11219041"</f>
        <v>11219041</v>
      </c>
      <c r="D6873" s="2">
        <v>0.112</v>
      </c>
      <c r="E6873" s="2">
        <v>1</v>
      </c>
      <c r="F6873" s="2" t="s">
        <v>190</v>
      </c>
    </row>
    <row r="6874" spans="1:6" ht="25.5">
      <c r="A6874" s="2">
        <v>6871</v>
      </c>
      <c r="B6874" s="2" t="s">
        <v>6949</v>
      </c>
      <c r="C6874" s="2" t="str">
        <f>"15729893"</f>
        <v>15729893</v>
      </c>
      <c r="D6874" s="2">
        <v>0.64600000000000002</v>
      </c>
      <c r="E6874" s="2">
        <v>27</v>
      </c>
      <c r="F6874" s="2" t="s">
        <v>75</v>
      </c>
    </row>
    <row r="6875" spans="1:6" ht="25.5">
      <c r="A6875" s="2">
        <v>6872</v>
      </c>
      <c r="B6875" s="2" t="s">
        <v>6950</v>
      </c>
      <c r="C6875" s="2" t="str">
        <f>"1330030X"</f>
        <v>1330030X</v>
      </c>
      <c r="D6875" s="2">
        <v>0.29899999999999999</v>
      </c>
      <c r="E6875" s="2">
        <v>16</v>
      </c>
      <c r="F6875" s="2" t="s">
        <v>149</v>
      </c>
    </row>
    <row r="6876" spans="1:6" ht="25.5">
      <c r="A6876" s="2">
        <v>6873</v>
      </c>
      <c r="B6876" s="2" t="s">
        <v>6951</v>
      </c>
      <c r="C6876" s="2" t="str">
        <f>"1519874X"</f>
        <v>1519874X</v>
      </c>
      <c r="D6876" s="2">
        <v>0.16400000000000001</v>
      </c>
      <c r="E6876" s="2">
        <v>9</v>
      </c>
      <c r="F6876" s="2" t="s">
        <v>159</v>
      </c>
    </row>
    <row r="6877" spans="1:6" ht="25.5">
      <c r="A6877" s="2">
        <v>6874</v>
      </c>
      <c r="B6877" s="2" t="s">
        <v>6952</v>
      </c>
      <c r="C6877" s="2" t="str">
        <f>"16956133"</f>
        <v>16956133</v>
      </c>
      <c r="D6877" s="2">
        <v>0.81</v>
      </c>
      <c r="E6877" s="2">
        <v>26</v>
      </c>
      <c r="F6877" s="2" t="s">
        <v>351</v>
      </c>
    </row>
    <row r="6878" spans="1:6" ht="25.5">
      <c r="A6878" s="2">
        <v>6875</v>
      </c>
      <c r="B6878" s="2" t="s">
        <v>6953</v>
      </c>
      <c r="C6878" s="2" t="str">
        <f>"13748505"</f>
        <v>13748505</v>
      </c>
      <c r="D6878" s="2">
        <v>0.40899999999999997</v>
      </c>
      <c r="E6878" s="2">
        <v>7</v>
      </c>
      <c r="F6878" s="2" t="s">
        <v>161</v>
      </c>
    </row>
    <row r="6879" spans="1:6" ht="25.5">
      <c r="A6879" s="2">
        <v>6876</v>
      </c>
      <c r="B6879" s="2" t="s">
        <v>6954</v>
      </c>
      <c r="C6879" s="2" t="str">
        <f>"13350552"</f>
        <v>13350552</v>
      </c>
      <c r="D6879" s="2">
        <v>0.42599999999999999</v>
      </c>
      <c r="E6879" s="2">
        <v>23</v>
      </c>
      <c r="F6879" s="2" t="s">
        <v>241</v>
      </c>
    </row>
    <row r="6880" spans="1:6" ht="25.5">
      <c r="A6880" s="2">
        <v>6877</v>
      </c>
      <c r="B6880" s="2" t="s">
        <v>6955</v>
      </c>
      <c r="C6880" s="2" t="str">
        <f>"10991034"</f>
        <v>10991034</v>
      </c>
      <c r="D6880" s="2">
        <v>0.77300000000000002</v>
      </c>
      <c r="E6880" s="2">
        <v>30</v>
      </c>
      <c r="F6880" s="2" t="s">
        <v>16</v>
      </c>
    </row>
    <row r="6881" spans="1:6" ht="25.5">
      <c r="A6881" s="2">
        <v>6878</v>
      </c>
      <c r="B6881" s="2" t="s">
        <v>6956</v>
      </c>
      <c r="C6881" s="2" t="str">
        <f>"00167568"</f>
        <v>00167568</v>
      </c>
      <c r="D6881" s="2">
        <v>1.1859999999999999</v>
      </c>
      <c r="E6881" s="2">
        <v>52</v>
      </c>
      <c r="F6881" s="2" t="s">
        <v>16</v>
      </c>
    </row>
    <row r="6882" spans="1:6" ht="25.5">
      <c r="A6882" s="2">
        <v>6879</v>
      </c>
      <c r="B6882" s="2" t="s">
        <v>6957</v>
      </c>
      <c r="C6882" s="2" t="str">
        <f>"16417291"</f>
        <v>16417291</v>
      </c>
      <c r="D6882" s="2">
        <v>0.45300000000000001</v>
      </c>
      <c r="E6882" s="2">
        <v>24</v>
      </c>
      <c r="F6882" s="2" t="s">
        <v>169</v>
      </c>
    </row>
    <row r="6883" spans="1:6" ht="25.5">
      <c r="A6883" s="2">
        <v>6880</v>
      </c>
      <c r="B6883" s="2" t="s">
        <v>6958</v>
      </c>
      <c r="C6883" s="2" t="str">
        <f>"02679914"</f>
        <v>02679914</v>
      </c>
      <c r="D6883" s="2">
        <v>0.13700000000000001</v>
      </c>
      <c r="E6883" s="2">
        <v>7</v>
      </c>
      <c r="F6883" s="2" t="s">
        <v>16</v>
      </c>
    </row>
    <row r="6884" spans="1:6" ht="25.5">
      <c r="A6884" s="2">
        <v>6881</v>
      </c>
      <c r="B6884" s="2" t="s">
        <v>6959</v>
      </c>
      <c r="C6884" s="2" t="str">
        <f>"04354052"</f>
        <v>04354052</v>
      </c>
      <c r="D6884" s="2">
        <v>0.215</v>
      </c>
      <c r="E6884" s="2">
        <v>27</v>
      </c>
      <c r="F6884" s="2" t="s">
        <v>16</v>
      </c>
    </row>
    <row r="6885" spans="1:6" ht="25.5">
      <c r="A6885" s="2">
        <v>6882</v>
      </c>
      <c r="B6885" s="2" t="s">
        <v>6960</v>
      </c>
      <c r="C6885" s="2" t="str">
        <f>"00167606"</f>
        <v>00167606</v>
      </c>
      <c r="D6885" s="2">
        <v>2.423</v>
      </c>
      <c r="E6885" s="2">
        <v>78</v>
      </c>
      <c r="F6885" s="2" t="s">
        <v>6</v>
      </c>
    </row>
    <row r="6886" spans="1:6" ht="25.5">
      <c r="A6886" s="2">
        <v>6883</v>
      </c>
      <c r="B6886" s="2" t="s">
        <v>6961</v>
      </c>
      <c r="C6886" s="2" t="str">
        <f>"03058719"</f>
        <v>03058719</v>
      </c>
      <c r="D6886" s="2">
        <v>0.78700000000000003</v>
      </c>
      <c r="E6886" s="2">
        <v>62</v>
      </c>
      <c r="F6886" s="2" t="s">
        <v>16</v>
      </c>
    </row>
    <row r="6887" spans="1:6">
      <c r="A6887" s="2">
        <v>6884</v>
      </c>
      <c r="B6887" s="2" t="s">
        <v>6962</v>
      </c>
      <c r="C6887" s="2" t="str">
        <f>"0"</f>
        <v>0</v>
      </c>
      <c r="D6887" s="2">
        <v>0.42299999999999999</v>
      </c>
      <c r="E6887" s="2">
        <v>15</v>
      </c>
      <c r="F6887" s="2" t="s">
        <v>163</v>
      </c>
    </row>
    <row r="6888" spans="1:6" ht="25.5">
      <c r="A6888" s="2">
        <v>6885</v>
      </c>
      <c r="B6888" s="2" t="s">
        <v>6963</v>
      </c>
      <c r="C6888" s="2" t="str">
        <f>"02460874"</f>
        <v>02460874</v>
      </c>
      <c r="D6888" s="2">
        <v>0.10100000000000001</v>
      </c>
      <c r="E6888" s="2">
        <v>1</v>
      </c>
      <c r="F6888" s="2" t="s">
        <v>66</v>
      </c>
    </row>
    <row r="6889" spans="1:6" ht="25.5">
      <c r="A6889" s="2">
        <v>6886</v>
      </c>
      <c r="B6889" s="2" t="s">
        <v>6964</v>
      </c>
      <c r="C6889" s="2" t="str">
        <f>"00167746"</f>
        <v>00167746</v>
      </c>
      <c r="D6889" s="2">
        <v>0.36899999999999999</v>
      </c>
      <c r="E6889" s="2">
        <v>25</v>
      </c>
      <c r="F6889" s="2" t="s">
        <v>75</v>
      </c>
    </row>
    <row r="6890" spans="1:6" ht="25.5">
      <c r="A6890" s="2">
        <v>6887</v>
      </c>
      <c r="B6890" s="2" t="s">
        <v>6965</v>
      </c>
      <c r="C6890" s="2" t="str">
        <f>"0176148X"</f>
        <v>0176148X</v>
      </c>
      <c r="D6890" s="2">
        <v>0.13200000000000001</v>
      </c>
      <c r="E6890" s="2">
        <v>6</v>
      </c>
      <c r="F6890" s="2" t="s">
        <v>12</v>
      </c>
    </row>
    <row r="6891" spans="1:6" ht="25.5">
      <c r="A6891" s="2">
        <v>6888</v>
      </c>
      <c r="B6891" s="2" t="s">
        <v>6966</v>
      </c>
      <c r="C6891" s="2" t="str">
        <f>"20806574"</f>
        <v>20806574</v>
      </c>
      <c r="D6891" s="2">
        <v>0.29799999999999999</v>
      </c>
      <c r="E6891" s="2">
        <v>3</v>
      </c>
      <c r="F6891" s="2" t="s">
        <v>169</v>
      </c>
    </row>
    <row r="6892" spans="1:6" ht="25.5">
      <c r="A6892" s="2">
        <v>6889</v>
      </c>
      <c r="B6892" s="2" t="s">
        <v>6967</v>
      </c>
      <c r="C6892" s="2" t="str">
        <f>"00917613"</f>
        <v>00917613</v>
      </c>
      <c r="D6892" s="2">
        <v>2.6989999999999998</v>
      </c>
      <c r="E6892" s="2">
        <v>123</v>
      </c>
      <c r="F6892" s="2" t="s">
        <v>6</v>
      </c>
    </row>
    <row r="6893" spans="1:6" ht="25.5">
      <c r="A6893" s="2">
        <v>6890</v>
      </c>
      <c r="B6893" s="2" t="s">
        <v>6968</v>
      </c>
      <c r="C6893" s="2" t="str">
        <f>"10003657"</f>
        <v>10003657</v>
      </c>
      <c r="D6893" s="2">
        <v>0.33100000000000002</v>
      </c>
      <c r="E6893" s="2">
        <v>16</v>
      </c>
      <c r="F6893" s="2" t="s">
        <v>46</v>
      </c>
    </row>
    <row r="6894" spans="1:6" ht="25.5">
      <c r="A6894" s="2">
        <v>6891</v>
      </c>
      <c r="B6894" s="2" t="s">
        <v>6969</v>
      </c>
      <c r="C6894" s="2" t="str">
        <f>"10757015"</f>
        <v>10757015</v>
      </c>
      <c r="D6894" s="2">
        <v>0.28699999999999998</v>
      </c>
      <c r="E6894" s="2">
        <v>8</v>
      </c>
      <c r="F6894" s="2" t="s">
        <v>129</v>
      </c>
    </row>
    <row r="6895" spans="1:6" ht="25.5">
      <c r="A6895" s="2">
        <v>6892</v>
      </c>
      <c r="B6895" s="2" t="s">
        <v>6970</v>
      </c>
      <c r="C6895" s="2" t="str">
        <f>"00167932"</f>
        <v>00167932</v>
      </c>
      <c r="D6895" s="2">
        <v>0.24399999999999999</v>
      </c>
      <c r="E6895" s="2">
        <v>12</v>
      </c>
      <c r="F6895" s="2" t="s">
        <v>129</v>
      </c>
    </row>
    <row r="6896" spans="1:6" ht="25.5">
      <c r="A6896" s="2">
        <v>6893</v>
      </c>
      <c r="B6896" s="2" t="s">
        <v>6971</v>
      </c>
      <c r="C6896" s="2" t="str">
        <f>"14321157"</f>
        <v>14321157</v>
      </c>
      <c r="D6896" s="2">
        <v>0.89500000000000002</v>
      </c>
      <c r="E6896" s="2">
        <v>32</v>
      </c>
      <c r="F6896" s="2" t="s">
        <v>12</v>
      </c>
    </row>
    <row r="6897" spans="1:6" ht="25.5">
      <c r="A6897" s="2">
        <v>6894</v>
      </c>
      <c r="B6897" s="2" t="s">
        <v>6972</v>
      </c>
      <c r="C6897" s="2" t="str">
        <f>"11951036"</f>
        <v>11951036</v>
      </c>
      <c r="D6897" s="2">
        <v>0.33800000000000002</v>
      </c>
      <c r="E6897" s="2">
        <v>12</v>
      </c>
      <c r="F6897" s="2" t="s">
        <v>64</v>
      </c>
    </row>
    <row r="6898" spans="1:6" ht="25.5">
      <c r="A6898" s="2">
        <v>6895</v>
      </c>
      <c r="B6898" s="2" t="s">
        <v>6973</v>
      </c>
      <c r="C6898" s="2" t="str">
        <f>"20926219"</f>
        <v>20926219</v>
      </c>
      <c r="D6898" s="2">
        <v>0.27100000000000002</v>
      </c>
      <c r="E6898" s="2">
        <v>4</v>
      </c>
      <c r="F6898" s="2" t="s">
        <v>274</v>
      </c>
    </row>
    <row r="6899" spans="1:6" ht="25.5">
      <c r="A6899" s="2">
        <v>6896</v>
      </c>
      <c r="B6899" s="2" t="s">
        <v>6974</v>
      </c>
      <c r="C6899" s="2" t="str">
        <f>"17486025"</f>
        <v>17486025</v>
      </c>
      <c r="D6899" s="2">
        <v>0.27800000000000002</v>
      </c>
      <c r="E6899" s="2">
        <v>8</v>
      </c>
      <c r="F6899" s="2" t="s">
        <v>16</v>
      </c>
    </row>
    <row r="6900" spans="1:6" ht="25.5">
      <c r="A6900" s="2">
        <v>6897</v>
      </c>
      <c r="B6900" s="2" t="s">
        <v>6975</v>
      </c>
      <c r="C6900" s="2" t="str">
        <f>"18657362"</f>
        <v>18657362</v>
      </c>
      <c r="D6900" s="2">
        <v>0.26300000000000001</v>
      </c>
      <c r="E6900" s="2">
        <v>4</v>
      </c>
      <c r="F6900" s="2" t="s">
        <v>12</v>
      </c>
    </row>
    <row r="6901" spans="1:6" ht="25.5">
      <c r="A6901" s="2">
        <v>6898</v>
      </c>
      <c r="B6901" s="2" t="s">
        <v>6976</v>
      </c>
      <c r="C6901" s="2" t="str">
        <f>"15729168"</f>
        <v>15729168</v>
      </c>
      <c r="D6901" s="2">
        <v>0.63200000000000001</v>
      </c>
      <c r="E6901" s="2">
        <v>23</v>
      </c>
      <c r="F6901" s="2" t="s">
        <v>75</v>
      </c>
    </row>
    <row r="6902" spans="1:6" ht="25.5">
      <c r="A6902" s="2">
        <v>6899</v>
      </c>
      <c r="B6902" s="2" t="s">
        <v>6977</v>
      </c>
      <c r="C6902" s="2" t="str">
        <f>"14208970"</f>
        <v>14208970</v>
      </c>
      <c r="D6902" s="2">
        <v>3.6419999999999999</v>
      </c>
      <c r="E6902" s="2">
        <v>39</v>
      </c>
      <c r="F6902" s="2" t="s">
        <v>31</v>
      </c>
    </row>
    <row r="6903" spans="1:6" ht="25.5">
      <c r="A6903" s="2">
        <v>6900</v>
      </c>
      <c r="B6903" s="2" t="s">
        <v>6978</v>
      </c>
      <c r="C6903" s="2" t="str">
        <f>"14653060"</f>
        <v>14653060</v>
      </c>
      <c r="D6903" s="2">
        <v>3.1819999999999999</v>
      </c>
      <c r="E6903" s="2">
        <v>25</v>
      </c>
      <c r="F6903" s="2" t="s">
        <v>16</v>
      </c>
    </row>
    <row r="6904" spans="1:6" ht="25.5">
      <c r="A6904" s="2">
        <v>6901</v>
      </c>
      <c r="B6904" s="2" t="s">
        <v>6979</v>
      </c>
      <c r="C6904" s="2" t="str">
        <f>"15210529"</f>
        <v>15210529</v>
      </c>
      <c r="D6904" s="2">
        <v>0.68200000000000005</v>
      </c>
      <c r="E6904" s="2">
        <v>46</v>
      </c>
      <c r="F6904" s="2" t="s">
        <v>16</v>
      </c>
    </row>
    <row r="6905" spans="1:6" ht="25.5">
      <c r="A6905" s="2">
        <v>6902</v>
      </c>
      <c r="B6905" s="2" t="s">
        <v>6980</v>
      </c>
      <c r="C6905" s="2" t="str">
        <f>"04354281"</f>
        <v>04354281</v>
      </c>
      <c r="D6905" s="2">
        <v>0.11899999999999999</v>
      </c>
      <c r="E6905" s="2">
        <v>4</v>
      </c>
      <c r="F6905" s="2" t="s">
        <v>129</v>
      </c>
    </row>
    <row r="6906" spans="1:6" ht="25.5">
      <c r="A6906" s="2">
        <v>6903</v>
      </c>
      <c r="B6906" s="2" t="s">
        <v>6981</v>
      </c>
      <c r="C6906" s="2" t="str">
        <f>"12665304"</f>
        <v>12665304</v>
      </c>
      <c r="D6906" s="2">
        <v>0.312</v>
      </c>
      <c r="E6906" s="2">
        <v>6</v>
      </c>
      <c r="F6906" s="2" t="s">
        <v>66</v>
      </c>
    </row>
    <row r="6907" spans="1:6" ht="25.5">
      <c r="A6907" s="2">
        <v>6904</v>
      </c>
      <c r="B6907" s="2" t="s">
        <v>6982</v>
      </c>
      <c r="C6907" s="2" t="str">
        <f>"0169555X"</f>
        <v>0169555X</v>
      </c>
      <c r="D6907" s="2">
        <v>1.292</v>
      </c>
      <c r="E6907" s="2">
        <v>76</v>
      </c>
      <c r="F6907" s="2" t="s">
        <v>75</v>
      </c>
    </row>
    <row r="6908" spans="1:6" ht="25.5">
      <c r="A6908" s="2">
        <v>6905</v>
      </c>
      <c r="B6908" s="2" t="s">
        <v>6983</v>
      </c>
      <c r="C6908" s="2" t="str">
        <f>"03674231"</f>
        <v>03674231</v>
      </c>
      <c r="D6908" s="2">
        <v>0.44900000000000001</v>
      </c>
      <c r="E6908" s="2">
        <v>14</v>
      </c>
      <c r="F6908" s="2" t="s">
        <v>751</v>
      </c>
    </row>
    <row r="6909" spans="1:6" ht="25.5">
      <c r="A6909" s="2">
        <v>6906</v>
      </c>
      <c r="B6909" s="2" t="s">
        <v>6984</v>
      </c>
      <c r="C6909" s="2" t="str">
        <f>"10290419"</f>
        <v>10290419</v>
      </c>
      <c r="D6909" s="2">
        <v>0.434</v>
      </c>
      <c r="E6909" s="2">
        <v>21</v>
      </c>
      <c r="F6909" s="2" t="s">
        <v>16</v>
      </c>
    </row>
    <row r="6910" spans="1:6" ht="25.5">
      <c r="A6910" s="2">
        <v>6907</v>
      </c>
      <c r="B6910" s="2" t="s">
        <v>6985</v>
      </c>
      <c r="C6910" s="2" t="str">
        <f>"0956540X"</f>
        <v>0956540X</v>
      </c>
      <c r="D6910" s="2">
        <v>1.92</v>
      </c>
      <c r="E6910" s="2">
        <v>91</v>
      </c>
      <c r="F6910" s="2" t="s">
        <v>16</v>
      </c>
    </row>
    <row r="6911" spans="1:6" ht="25.5">
      <c r="A6911" s="2">
        <v>6908</v>
      </c>
      <c r="B6911" s="2" t="s">
        <v>6986</v>
      </c>
      <c r="C6911" s="2" t="str">
        <f>"13652478"</f>
        <v>13652478</v>
      </c>
      <c r="D6911" s="2">
        <v>1.032</v>
      </c>
      <c r="E6911" s="2">
        <v>38</v>
      </c>
      <c r="F6911" s="2" t="s">
        <v>16</v>
      </c>
    </row>
    <row r="6912" spans="1:6" ht="25.5">
      <c r="A6912" s="2">
        <v>6909</v>
      </c>
      <c r="B6912" s="2" t="s">
        <v>6987</v>
      </c>
      <c r="C6912" s="2" t="str">
        <f>"00948276"</f>
        <v>00948276</v>
      </c>
      <c r="D6912" s="2">
        <v>2.6680000000000001</v>
      </c>
      <c r="E6912" s="2">
        <v>142</v>
      </c>
      <c r="F6912" s="2" t="s">
        <v>6</v>
      </c>
    </row>
    <row r="6913" spans="1:6" ht="25.5">
      <c r="A6913" s="2">
        <v>6910</v>
      </c>
      <c r="B6913" s="2" t="s">
        <v>6988</v>
      </c>
      <c r="C6913" s="2" t="str">
        <f>"00167177"</f>
        <v>00167177</v>
      </c>
      <c r="D6913" s="2">
        <v>0.10199999999999999</v>
      </c>
      <c r="E6913" s="2">
        <v>3</v>
      </c>
      <c r="F6913" s="2" t="s">
        <v>135</v>
      </c>
    </row>
    <row r="6914" spans="1:6" ht="25.5">
      <c r="A6914" s="2">
        <v>6911</v>
      </c>
      <c r="B6914" s="2" t="s">
        <v>6989</v>
      </c>
      <c r="C6914" s="2" t="str">
        <f>"00168033"</f>
        <v>00168033</v>
      </c>
      <c r="D6914" s="2">
        <v>1.462</v>
      </c>
      <c r="E6914" s="2">
        <v>77</v>
      </c>
      <c r="F6914" s="2" t="s">
        <v>6</v>
      </c>
    </row>
    <row r="6915" spans="1:6" ht="25.5">
      <c r="A6915" s="2">
        <v>6912</v>
      </c>
      <c r="B6915" s="2" t="s">
        <v>6990</v>
      </c>
      <c r="C6915" s="2" t="str">
        <f>"14650045"</f>
        <v>14650045</v>
      </c>
      <c r="D6915" s="2">
        <v>0.69399999999999995</v>
      </c>
      <c r="E6915" s="2">
        <v>20</v>
      </c>
      <c r="F6915" s="2" t="s">
        <v>16</v>
      </c>
    </row>
    <row r="6916" spans="1:6" ht="25.5">
      <c r="A6916" s="2">
        <v>6913</v>
      </c>
      <c r="B6916" s="2" t="s">
        <v>6991</v>
      </c>
      <c r="C6916" s="2" t="str">
        <f>"02731371"</f>
        <v>02731371</v>
      </c>
      <c r="D6916" s="2">
        <v>0.125</v>
      </c>
      <c r="E6916" s="2">
        <v>3</v>
      </c>
      <c r="F6916" s="2" t="s">
        <v>64</v>
      </c>
    </row>
    <row r="6917" spans="1:6" ht="25.5">
      <c r="A6917" s="2">
        <v>6914</v>
      </c>
      <c r="B6917" s="2" t="s">
        <v>6992</v>
      </c>
      <c r="C6917" s="2" t="str">
        <f>"16628527"</f>
        <v>16628527</v>
      </c>
      <c r="D6917" s="2">
        <v>0.10199999999999999</v>
      </c>
      <c r="E6917" s="2">
        <v>0</v>
      </c>
      <c r="F6917" s="2" t="s">
        <v>31</v>
      </c>
    </row>
    <row r="6918" spans="1:6">
      <c r="A6918" s="2">
        <v>6915</v>
      </c>
      <c r="B6918" s="2" t="s">
        <v>6993</v>
      </c>
      <c r="C6918" s="2" t="str">
        <f>"0"</f>
        <v>0</v>
      </c>
      <c r="D6918" s="2">
        <v>0</v>
      </c>
      <c r="E6918" s="2">
        <v>0</v>
      </c>
      <c r="F6918" s="2" t="s">
        <v>6</v>
      </c>
    </row>
    <row r="6919" spans="1:6" ht="25.5">
      <c r="A6919" s="2">
        <v>6916</v>
      </c>
      <c r="B6919" s="2" t="s">
        <v>6994</v>
      </c>
      <c r="C6919" s="2" t="str">
        <f>"00168092"</f>
        <v>00168092</v>
      </c>
      <c r="D6919" s="2">
        <v>0.92600000000000005</v>
      </c>
      <c r="E6919" s="2">
        <v>19</v>
      </c>
      <c r="F6919" s="2" t="s">
        <v>6</v>
      </c>
    </row>
    <row r="6920" spans="1:6" ht="25.5">
      <c r="A6920" s="2">
        <v>6917</v>
      </c>
      <c r="B6920" s="2" t="s">
        <v>6995</v>
      </c>
      <c r="C6920" s="2" t="str">
        <f>"00168076"</f>
        <v>00168076</v>
      </c>
      <c r="D6920" s="2">
        <v>0.53800000000000003</v>
      </c>
      <c r="E6920" s="2">
        <v>11</v>
      </c>
      <c r="F6920" s="2" t="s">
        <v>6</v>
      </c>
    </row>
    <row r="6921" spans="1:6">
      <c r="A6921" s="2">
        <v>6918</v>
      </c>
      <c r="B6921" s="2" t="s">
        <v>6996</v>
      </c>
      <c r="C6921" s="2" t="str">
        <f>"0"</f>
        <v>0</v>
      </c>
      <c r="D6921" s="2">
        <v>0</v>
      </c>
      <c r="E6921" s="2">
        <v>0</v>
      </c>
      <c r="F6921" s="2" t="s">
        <v>6</v>
      </c>
    </row>
    <row r="6922" spans="1:6" ht="25.5">
      <c r="A6922" s="2">
        <v>6919</v>
      </c>
      <c r="B6922" s="2" t="s">
        <v>6997</v>
      </c>
      <c r="C6922" s="2" t="str">
        <f>"15729176"</f>
        <v>15729176</v>
      </c>
      <c r="D6922" s="2">
        <v>0.32400000000000001</v>
      </c>
      <c r="E6922" s="2">
        <v>4</v>
      </c>
      <c r="F6922" s="2" t="s">
        <v>6</v>
      </c>
    </row>
    <row r="6923" spans="1:6" ht="25.5">
      <c r="A6923" s="2">
        <v>6920</v>
      </c>
      <c r="B6923" s="2" t="s">
        <v>6998</v>
      </c>
      <c r="C6923" s="2" t="str">
        <f>"15120112"</f>
        <v>15120112</v>
      </c>
      <c r="D6923" s="2">
        <v>0.11899999999999999</v>
      </c>
      <c r="E6923" s="2">
        <v>8</v>
      </c>
      <c r="F6923" s="2" t="s">
        <v>129</v>
      </c>
    </row>
    <row r="6924" spans="1:6" ht="25.5">
      <c r="A6924" s="2">
        <v>6921</v>
      </c>
      <c r="B6924" s="2" t="s">
        <v>6999</v>
      </c>
      <c r="C6924" s="2" t="str">
        <f>"00168386"</f>
        <v>00168386</v>
      </c>
      <c r="D6924" s="2">
        <v>0.1</v>
      </c>
      <c r="E6924" s="2">
        <v>1</v>
      </c>
      <c r="F6924" s="2" t="s">
        <v>6</v>
      </c>
    </row>
    <row r="6925" spans="1:6" ht="25.5">
      <c r="A6925" s="2">
        <v>6922</v>
      </c>
      <c r="B6925" s="2" t="s">
        <v>7000</v>
      </c>
      <c r="C6925" s="2" t="str">
        <f>"17499518"</f>
        <v>17499518</v>
      </c>
      <c r="D6925" s="2">
        <v>0.39600000000000002</v>
      </c>
      <c r="E6925" s="2">
        <v>6</v>
      </c>
      <c r="F6925" s="2" t="s">
        <v>16</v>
      </c>
    </row>
    <row r="6926" spans="1:6" ht="25.5">
      <c r="A6926" s="2">
        <v>6923</v>
      </c>
      <c r="B6926" s="2" t="s">
        <v>7001</v>
      </c>
      <c r="C6926" s="2" t="str">
        <f>"03150941"</f>
        <v>03150941</v>
      </c>
      <c r="D6926" s="2">
        <v>0.13500000000000001</v>
      </c>
      <c r="E6926" s="2">
        <v>19</v>
      </c>
      <c r="F6926" s="2" t="s">
        <v>64</v>
      </c>
    </row>
    <row r="6927" spans="1:6" ht="25.5">
      <c r="A6927" s="2">
        <v>6924</v>
      </c>
      <c r="B6927" s="2" t="s">
        <v>7002</v>
      </c>
      <c r="C6927" s="2" t="str">
        <f>"16749871"</f>
        <v>16749871</v>
      </c>
      <c r="D6927" s="2">
        <v>0.32500000000000001</v>
      </c>
      <c r="E6927" s="2">
        <v>5</v>
      </c>
      <c r="F6927" s="2" t="s">
        <v>75</v>
      </c>
    </row>
    <row r="6928" spans="1:6" ht="25.5">
      <c r="A6928" s="2">
        <v>6925</v>
      </c>
      <c r="B6928" s="2" t="s">
        <v>7003</v>
      </c>
      <c r="C6928" s="2" t="str">
        <f>"05663954"</f>
        <v>05663954</v>
      </c>
      <c r="D6928" s="2">
        <v>0.17100000000000001</v>
      </c>
      <c r="E6928" s="2">
        <v>8</v>
      </c>
      <c r="F6928" s="2" t="s">
        <v>16</v>
      </c>
    </row>
    <row r="6929" spans="1:6" ht="25.5">
      <c r="A6929" s="2">
        <v>6926</v>
      </c>
      <c r="B6929" s="2" t="s">
        <v>7004</v>
      </c>
      <c r="C6929" s="2" t="str">
        <f>"12264806"</f>
        <v>12264806</v>
      </c>
      <c r="D6929" s="2">
        <v>0.29799999999999999</v>
      </c>
      <c r="E6929" s="2">
        <v>15</v>
      </c>
      <c r="F6929" s="2" t="s">
        <v>274</v>
      </c>
    </row>
    <row r="6930" spans="1:6" ht="25.5">
      <c r="A6930" s="2">
        <v>6927</v>
      </c>
      <c r="B6930" s="2" t="s">
        <v>7005</v>
      </c>
      <c r="C6930" s="2" t="str">
        <f>"1991959X"</f>
        <v>1991959X</v>
      </c>
      <c r="D6930" s="2">
        <v>0</v>
      </c>
      <c r="E6930" s="2">
        <v>2</v>
      </c>
      <c r="F6930" s="2" t="s">
        <v>12</v>
      </c>
    </row>
    <row r="6931" spans="1:6" ht="25.5">
      <c r="A6931" s="2">
        <v>6928</v>
      </c>
      <c r="B6931" s="2" t="s">
        <v>7006</v>
      </c>
      <c r="C6931" s="2" t="str">
        <f>"19707096"</f>
        <v>19707096</v>
      </c>
      <c r="D6931" s="2">
        <v>0.56899999999999995</v>
      </c>
      <c r="E6931" s="2">
        <v>15</v>
      </c>
      <c r="F6931" s="2" t="s">
        <v>190</v>
      </c>
    </row>
    <row r="6932" spans="1:6" ht="25.5">
      <c r="A6932" s="2">
        <v>6929</v>
      </c>
      <c r="B6932" s="2" t="s">
        <v>7007</v>
      </c>
      <c r="C6932" s="2" t="str">
        <f>"10095020"</f>
        <v>10095020</v>
      </c>
      <c r="D6932" s="2">
        <v>0.13100000000000001</v>
      </c>
      <c r="E6932" s="2">
        <v>7</v>
      </c>
      <c r="F6932" s="2" t="s">
        <v>46</v>
      </c>
    </row>
    <row r="6933" spans="1:6" ht="25.5">
      <c r="A6933" s="2">
        <v>6930</v>
      </c>
      <c r="B6933" s="2" t="s">
        <v>7008</v>
      </c>
      <c r="C6933" s="2" t="str">
        <f>"1553040X"</f>
        <v>1553040X</v>
      </c>
      <c r="D6933" s="2">
        <v>1.2549999999999999</v>
      </c>
      <c r="E6933" s="2">
        <v>20</v>
      </c>
      <c r="F6933" s="2" t="s">
        <v>6</v>
      </c>
    </row>
    <row r="6934" spans="1:6" ht="25.5">
      <c r="A6934" s="2">
        <v>6931</v>
      </c>
      <c r="B6934" s="2" t="s">
        <v>7009</v>
      </c>
      <c r="C6934" s="2" t="str">
        <f>"16394488"</f>
        <v>16394488</v>
      </c>
      <c r="D6934" s="2">
        <v>0.80800000000000005</v>
      </c>
      <c r="E6934" s="2">
        <v>43</v>
      </c>
      <c r="F6934" s="2" t="s">
        <v>16</v>
      </c>
    </row>
    <row r="6935" spans="1:6" ht="25.5">
      <c r="A6935" s="2">
        <v>6932</v>
      </c>
      <c r="B6935" s="2" t="s">
        <v>7010</v>
      </c>
      <c r="C6935" s="2" t="str">
        <f>"10726349"</f>
        <v>10726349</v>
      </c>
      <c r="D6935" s="2">
        <v>1.8560000000000001</v>
      </c>
      <c r="E6935" s="2">
        <v>25</v>
      </c>
      <c r="F6935" s="2" t="s">
        <v>16</v>
      </c>
    </row>
    <row r="6936" spans="1:6" ht="25.5">
      <c r="A6936" s="2">
        <v>6933</v>
      </c>
      <c r="B6936" s="2" t="s">
        <v>7011</v>
      </c>
      <c r="C6936" s="2" t="str">
        <f>"15731529"</f>
        <v>15731529</v>
      </c>
      <c r="D6936" s="2">
        <v>0.27300000000000002</v>
      </c>
      <c r="E6936" s="2">
        <v>21</v>
      </c>
      <c r="F6936" s="2" t="s">
        <v>75</v>
      </c>
    </row>
    <row r="6937" spans="1:6" ht="25.5">
      <c r="A6937" s="2">
        <v>6934</v>
      </c>
      <c r="B6937" s="2" t="s">
        <v>7012</v>
      </c>
      <c r="C6937" s="2" t="str">
        <f>"0823650X"</f>
        <v>0823650X</v>
      </c>
      <c r="D6937" s="2">
        <v>0.26400000000000001</v>
      </c>
      <c r="E6937" s="2">
        <v>8</v>
      </c>
      <c r="F6937" s="2" t="s">
        <v>64</v>
      </c>
    </row>
    <row r="6938" spans="1:6" ht="25.5">
      <c r="A6938" s="2">
        <v>6935</v>
      </c>
      <c r="B6938" s="2" t="s">
        <v>7013</v>
      </c>
      <c r="C6938" s="2" t="str">
        <f>"08950563"</f>
        <v>08950563</v>
      </c>
      <c r="D6938" s="2">
        <v>0.124</v>
      </c>
      <c r="E6938" s="2">
        <v>13</v>
      </c>
      <c r="F6938" s="2" t="s">
        <v>6</v>
      </c>
    </row>
    <row r="6939" spans="1:6" ht="25.5">
      <c r="A6939" s="2">
        <v>6936</v>
      </c>
      <c r="B6939" s="2" t="s">
        <v>7014</v>
      </c>
      <c r="C6939" s="2" t="str">
        <f>"01496115"</f>
        <v>01496115</v>
      </c>
      <c r="D6939" s="2">
        <v>0.46800000000000003</v>
      </c>
      <c r="E6939" s="2">
        <v>28</v>
      </c>
      <c r="F6939" s="2" t="s">
        <v>6</v>
      </c>
    </row>
    <row r="6940" spans="1:6" ht="25.5">
      <c r="A6940" s="2">
        <v>6937</v>
      </c>
      <c r="B6940" s="2" t="s">
        <v>7015</v>
      </c>
      <c r="C6940" s="2" t="str">
        <f>"01726145"</f>
        <v>01726145</v>
      </c>
      <c r="D6940" s="2">
        <v>0.186</v>
      </c>
      <c r="E6940" s="2">
        <v>6</v>
      </c>
      <c r="F6940" s="2" t="s">
        <v>12</v>
      </c>
    </row>
    <row r="6941" spans="1:6" ht="25.5">
      <c r="A6941" s="2">
        <v>6938</v>
      </c>
      <c r="B6941" s="2" t="s">
        <v>7016</v>
      </c>
      <c r="C6941" s="2" t="str">
        <f>"00168505"</f>
        <v>00168505</v>
      </c>
      <c r="D6941" s="2">
        <v>2.1579999999999999</v>
      </c>
      <c r="E6941" s="2">
        <v>62</v>
      </c>
      <c r="F6941" s="2" t="s">
        <v>16</v>
      </c>
    </row>
    <row r="6942" spans="1:6" ht="25.5">
      <c r="A6942" s="2">
        <v>6939</v>
      </c>
      <c r="B6942" s="2" t="s">
        <v>7017</v>
      </c>
      <c r="C6942" s="2" t="str">
        <f>"20452543"</f>
        <v>20452543</v>
      </c>
      <c r="D6942" s="2">
        <v>0.41399999999999998</v>
      </c>
      <c r="E6942" s="2">
        <v>2</v>
      </c>
      <c r="F6942" s="2" t="s">
        <v>16</v>
      </c>
    </row>
    <row r="6943" spans="1:6" ht="25.5">
      <c r="A6943" s="2">
        <v>6940</v>
      </c>
      <c r="B6943" s="2" t="s">
        <v>7018</v>
      </c>
      <c r="C6943" s="2" t="str">
        <f>"00168521"</f>
        <v>00168521</v>
      </c>
      <c r="D6943" s="2">
        <v>0.45500000000000002</v>
      </c>
      <c r="E6943" s="2">
        <v>11</v>
      </c>
      <c r="F6943" s="2" t="s">
        <v>129</v>
      </c>
    </row>
    <row r="6944" spans="1:6" ht="25.5">
      <c r="A6944" s="2">
        <v>6941</v>
      </c>
      <c r="B6944" s="2" t="s">
        <v>7019</v>
      </c>
      <c r="C6944" s="2" t="str">
        <f>"01865897"</f>
        <v>01865897</v>
      </c>
      <c r="D6944" s="2">
        <v>0.10100000000000001</v>
      </c>
      <c r="E6944" s="2">
        <v>4</v>
      </c>
      <c r="F6944" s="2" t="s">
        <v>200</v>
      </c>
    </row>
    <row r="6945" spans="1:6" ht="25.5">
      <c r="A6945" s="2">
        <v>6942</v>
      </c>
      <c r="B6945" s="2" t="s">
        <v>7020</v>
      </c>
      <c r="C6945" s="2" t="str">
        <f>"02661144"</f>
        <v>02661144</v>
      </c>
      <c r="D6945" s="2">
        <v>2.024</v>
      </c>
      <c r="E6945" s="2">
        <v>36</v>
      </c>
      <c r="F6945" s="2" t="s">
        <v>75</v>
      </c>
    </row>
    <row r="6946" spans="1:6" ht="25.5">
      <c r="A6946" s="2">
        <v>6943</v>
      </c>
      <c r="B6946" s="2" t="s">
        <v>7021</v>
      </c>
      <c r="C6946" s="2" t="str">
        <f>"03756505"</f>
        <v>03756505</v>
      </c>
      <c r="D6946" s="2">
        <v>1.147</v>
      </c>
      <c r="E6946" s="2">
        <v>27</v>
      </c>
      <c r="F6946" s="2" t="s">
        <v>16</v>
      </c>
    </row>
    <row r="6947" spans="1:6" ht="25.5">
      <c r="A6947" s="2">
        <v>6944</v>
      </c>
      <c r="B6947" s="2" t="s">
        <v>7022</v>
      </c>
      <c r="C6947" s="2" t="str">
        <f>"15283984"</f>
        <v>15283984</v>
      </c>
      <c r="D6947" s="2">
        <v>0.28899999999999998</v>
      </c>
      <c r="E6947" s="2">
        <v>21</v>
      </c>
      <c r="F6947" s="2" t="s">
        <v>6</v>
      </c>
    </row>
    <row r="6948" spans="1:6" ht="25.5">
      <c r="A6948" s="2">
        <v>6945</v>
      </c>
      <c r="B6948" s="2" t="s">
        <v>7023</v>
      </c>
      <c r="C6948" s="2" t="str">
        <f>"14470594"</f>
        <v>14470594</v>
      </c>
      <c r="D6948" s="2">
        <v>0.56000000000000005</v>
      </c>
      <c r="E6948" s="2">
        <v>13</v>
      </c>
      <c r="F6948" s="2" t="s">
        <v>131</v>
      </c>
    </row>
    <row r="6949" spans="1:6" ht="25.5">
      <c r="A6949" s="2">
        <v>6946</v>
      </c>
      <c r="B6949" s="2" t="s">
        <v>7024</v>
      </c>
      <c r="C6949" s="2" t="str">
        <f>"21158789"</f>
        <v>21158789</v>
      </c>
      <c r="D6949" s="2">
        <v>0.17199999999999999</v>
      </c>
      <c r="E6949" s="2">
        <v>3</v>
      </c>
      <c r="F6949" s="2" t="s">
        <v>66</v>
      </c>
    </row>
    <row r="6950" spans="1:6" ht="25.5">
      <c r="A6950" s="2">
        <v>6947</v>
      </c>
      <c r="B6950" s="2" t="s">
        <v>7025</v>
      </c>
      <c r="C6950" s="2" t="str">
        <f>"14680475"</f>
        <v>14680475</v>
      </c>
      <c r="D6950" s="2">
        <v>0.88700000000000001</v>
      </c>
      <c r="E6950" s="2">
        <v>16</v>
      </c>
      <c r="F6950" s="2" t="s">
        <v>16</v>
      </c>
    </row>
    <row r="6951" spans="1:6" ht="25.5">
      <c r="A6951" s="2">
        <v>6948</v>
      </c>
      <c r="B6951" s="2" t="s">
        <v>7026</v>
      </c>
      <c r="C6951" s="2" t="str">
        <f>"02698552"</f>
        <v>02698552</v>
      </c>
      <c r="D6951" s="2">
        <v>0.317</v>
      </c>
      <c r="E6951" s="2">
        <v>2</v>
      </c>
      <c r="F6951" s="2" t="s">
        <v>16</v>
      </c>
    </row>
    <row r="6952" spans="1:6" ht="25.5">
      <c r="A6952" s="2">
        <v>6949</v>
      </c>
      <c r="B6952" s="2" t="s">
        <v>7027</v>
      </c>
      <c r="C6952" s="2" t="str">
        <f>"1477089X"</f>
        <v>1477089X</v>
      </c>
      <c r="D6952" s="2">
        <v>0.123</v>
      </c>
      <c r="E6952" s="2">
        <v>7</v>
      </c>
      <c r="F6952" s="2" t="s">
        <v>16</v>
      </c>
    </row>
    <row r="6953" spans="1:6" ht="25.5">
      <c r="A6953" s="2">
        <v>6950</v>
      </c>
      <c r="B6953" s="2" t="s">
        <v>7028</v>
      </c>
      <c r="C6953" s="2" t="str">
        <f>"00168882"</f>
        <v>00168882</v>
      </c>
      <c r="D6953" s="2">
        <v>0.10100000000000001</v>
      </c>
      <c r="E6953" s="2">
        <v>1</v>
      </c>
      <c r="F6953" s="2" t="s">
        <v>6</v>
      </c>
    </row>
    <row r="6954" spans="1:6" ht="25.5">
      <c r="A6954" s="2">
        <v>6951</v>
      </c>
      <c r="B6954" s="2" t="s">
        <v>7029</v>
      </c>
      <c r="C6954" s="2" t="str">
        <f>"19306962"</f>
        <v>19306962</v>
      </c>
      <c r="D6954" s="2">
        <v>0.107</v>
      </c>
      <c r="E6954" s="2">
        <v>4</v>
      </c>
      <c r="F6954" s="2" t="s">
        <v>16</v>
      </c>
    </row>
    <row r="6955" spans="1:6" ht="25.5">
      <c r="A6955" s="2">
        <v>6952</v>
      </c>
      <c r="B6955" s="2" t="s">
        <v>7030</v>
      </c>
      <c r="C6955" s="2" t="str">
        <f>"00168904"</f>
        <v>00168904</v>
      </c>
      <c r="D6955" s="2">
        <v>0.11</v>
      </c>
      <c r="E6955" s="2">
        <v>2</v>
      </c>
      <c r="F6955" s="2" t="s">
        <v>12</v>
      </c>
    </row>
    <row r="6956" spans="1:6" ht="25.5">
      <c r="A6956" s="2">
        <v>6953</v>
      </c>
      <c r="B6956" s="2" t="s">
        <v>7031</v>
      </c>
      <c r="C6956" s="2" t="str">
        <f>"21914028"</f>
        <v>21914028</v>
      </c>
      <c r="D6956" s="2">
        <v>0.19500000000000001</v>
      </c>
      <c r="E6956" s="2">
        <v>2</v>
      </c>
      <c r="F6956" s="2" t="s">
        <v>12</v>
      </c>
    </row>
    <row r="6957" spans="1:6" ht="25.5">
      <c r="A6957" s="2">
        <v>6954</v>
      </c>
      <c r="B6957" s="2" t="s">
        <v>7032</v>
      </c>
      <c r="C6957" s="2" t="str">
        <f>"14331055"</f>
        <v>14331055</v>
      </c>
      <c r="D6957" s="2">
        <v>0.20399999999999999</v>
      </c>
      <c r="E6957" s="2">
        <v>9</v>
      </c>
      <c r="F6957" s="2" t="s">
        <v>12</v>
      </c>
    </row>
    <row r="6958" spans="1:6" ht="25.5">
      <c r="A6958" s="2">
        <v>6955</v>
      </c>
      <c r="B6958" s="2" t="s">
        <v>7033</v>
      </c>
      <c r="C6958" s="2" t="str">
        <f>"14680483"</f>
        <v>14680483</v>
      </c>
      <c r="D6958" s="2">
        <v>0.13800000000000001</v>
      </c>
      <c r="E6958" s="2">
        <v>7</v>
      </c>
      <c r="F6958" s="2" t="s">
        <v>16</v>
      </c>
    </row>
    <row r="6959" spans="1:6" ht="25.5">
      <c r="A6959" s="2">
        <v>6956</v>
      </c>
      <c r="B6959" s="2" t="s">
        <v>7034</v>
      </c>
      <c r="C6959" s="2" t="str">
        <f>"09271910"</f>
        <v>09271910</v>
      </c>
      <c r="D6959" s="2">
        <v>0.10199999999999999</v>
      </c>
      <c r="E6959" s="2">
        <v>1</v>
      </c>
      <c r="F6959" s="2" t="s">
        <v>75</v>
      </c>
    </row>
    <row r="6960" spans="1:6" ht="25.5">
      <c r="A6960" s="2">
        <v>6957</v>
      </c>
      <c r="B6960" s="2" t="s">
        <v>7035</v>
      </c>
      <c r="C6960" s="2" t="str">
        <f>"03174965"</f>
        <v>03174965</v>
      </c>
      <c r="D6960" s="2">
        <v>0.1</v>
      </c>
      <c r="E6960" s="2">
        <v>1</v>
      </c>
      <c r="F6960" s="2" t="s">
        <v>64</v>
      </c>
    </row>
    <row r="6961" spans="1:6" ht="25.5">
      <c r="A6961" s="2">
        <v>6958</v>
      </c>
      <c r="B6961" s="2" t="s">
        <v>7036</v>
      </c>
      <c r="C6961" s="2" t="str">
        <f>"09644008"</f>
        <v>09644008</v>
      </c>
      <c r="D6961" s="2">
        <v>0.29599999999999999</v>
      </c>
      <c r="E6961" s="2">
        <v>3</v>
      </c>
      <c r="F6961" s="2" t="s">
        <v>16</v>
      </c>
    </row>
    <row r="6962" spans="1:6" ht="25.5">
      <c r="A6962" s="2">
        <v>6959</v>
      </c>
      <c r="B6962" s="2" t="s">
        <v>7037</v>
      </c>
      <c r="C6962" s="2" t="str">
        <f>"00168831"</f>
        <v>00168831</v>
      </c>
      <c r="D6962" s="2">
        <v>0.13</v>
      </c>
      <c r="E6962" s="2">
        <v>4</v>
      </c>
      <c r="F6962" s="2" t="s">
        <v>6</v>
      </c>
    </row>
    <row r="6963" spans="1:6" ht="25.5">
      <c r="A6963" s="2">
        <v>6960</v>
      </c>
      <c r="B6963" s="2" t="s">
        <v>7038</v>
      </c>
      <c r="C6963" s="2" t="str">
        <f>"01497952"</f>
        <v>01497952</v>
      </c>
      <c r="D6963" s="2">
        <v>0.126</v>
      </c>
      <c r="E6963" s="2">
        <v>5</v>
      </c>
      <c r="F6963" s="2" t="s">
        <v>6</v>
      </c>
    </row>
    <row r="6964" spans="1:6" ht="25.5">
      <c r="A6964" s="2">
        <v>6961</v>
      </c>
      <c r="B6964" s="2" t="s">
        <v>7039</v>
      </c>
      <c r="C6964" s="2" t="str">
        <f>"17412358"</f>
        <v>17412358</v>
      </c>
      <c r="D6964" s="2">
        <v>0.498</v>
      </c>
      <c r="E6964" s="2">
        <v>28</v>
      </c>
      <c r="F6964" s="2" t="s">
        <v>163</v>
      </c>
    </row>
    <row r="6965" spans="1:6" ht="25.5">
      <c r="A6965" s="2">
        <v>6962</v>
      </c>
      <c r="B6965" s="2" t="s">
        <v>7040</v>
      </c>
      <c r="C6965" s="2" t="str">
        <f>"1134928X"</f>
        <v>1134928X</v>
      </c>
      <c r="D6965" s="2">
        <v>0.111</v>
      </c>
      <c r="E6965" s="2">
        <v>5</v>
      </c>
      <c r="F6965" s="2" t="s">
        <v>351</v>
      </c>
    </row>
    <row r="6966" spans="1:6" ht="25.5">
      <c r="A6966" s="2">
        <v>6963</v>
      </c>
      <c r="B6966" s="2" t="s">
        <v>7041</v>
      </c>
      <c r="C6966" s="2" t="str">
        <f>"21010218"</f>
        <v>21010218</v>
      </c>
      <c r="D6966" s="2">
        <v>0.19</v>
      </c>
      <c r="E6966" s="2">
        <v>6</v>
      </c>
      <c r="F6966" s="2" t="s">
        <v>66</v>
      </c>
    </row>
    <row r="6967" spans="1:6" ht="25.5">
      <c r="A6967" s="2">
        <v>6964</v>
      </c>
      <c r="B6967" s="2" t="s">
        <v>7042</v>
      </c>
      <c r="C6967" s="2" t="str">
        <f>"00169013"</f>
        <v>00169013</v>
      </c>
      <c r="D6967" s="2">
        <v>1.5289999999999999</v>
      </c>
      <c r="E6967" s="2">
        <v>79</v>
      </c>
      <c r="F6967" s="2" t="s">
        <v>16</v>
      </c>
    </row>
    <row r="6968" spans="1:6" ht="25.5">
      <c r="A6968" s="2">
        <v>6965</v>
      </c>
      <c r="B6968" s="2" t="s">
        <v>7043</v>
      </c>
      <c r="C6968" s="2" t="str">
        <f>"14230003"</f>
        <v>14230003</v>
      </c>
      <c r="D6968" s="2">
        <v>0.90200000000000002</v>
      </c>
      <c r="E6968" s="2">
        <v>52</v>
      </c>
      <c r="F6968" s="2" t="s">
        <v>31</v>
      </c>
    </row>
    <row r="6969" spans="1:6" ht="25.5">
      <c r="A6969" s="2">
        <v>6966</v>
      </c>
      <c r="B6969" s="2" t="s">
        <v>7044</v>
      </c>
      <c r="C6969" s="2" t="str">
        <f>"15453847"</f>
        <v>15453847</v>
      </c>
      <c r="D6969" s="2">
        <v>0.49199999999999999</v>
      </c>
      <c r="E6969" s="2">
        <v>10</v>
      </c>
      <c r="F6969" s="2" t="s">
        <v>16</v>
      </c>
    </row>
    <row r="6970" spans="1:6" ht="25.5">
      <c r="A6970" s="2">
        <v>6967</v>
      </c>
      <c r="B6970" s="2" t="s">
        <v>7045</v>
      </c>
      <c r="C6970" s="2" t="str">
        <f>"1662971X"</f>
        <v>1662971X</v>
      </c>
      <c r="D6970" s="2">
        <v>0.155</v>
      </c>
      <c r="E6970" s="2">
        <v>9</v>
      </c>
      <c r="F6970" s="2" t="s">
        <v>6</v>
      </c>
    </row>
    <row r="6971" spans="1:6" ht="25.5">
      <c r="A6971" s="2">
        <v>6968</v>
      </c>
      <c r="B6971" s="2" t="s">
        <v>7046</v>
      </c>
      <c r="C6971" s="2" t="str">
        <f>"0340613X"</f>
        <v>0340613X</v>
      </c>
      <c r="D6971" s="2">
        <v>0.16900000000000001</v>
      </c>
      <c r="E6971" s="2">
        <v>10</v>
      </c>
      <c r="F6971" s="2" t="s">
        <v>12</v>
      </c>
    </row>
    <row r="6972" spans="1:6" ht="25.5">
      <c r="A6972" s="2">
        <v>6969</v>
      </c>
      <c r="B6972" s="2" t="s">
        <v>7047</v>
      </c>
      <c r="C6972" s="2" t="str">
        <f>"00169161"</f>
        <v>00169161</v>
      </c>
      <c r="D6972" s="2">
        <v>0.19500000000000001</v>
      </c>
      <c r="E6972" s="2">
        <v>4</v>
      </c>
      <c r="F6972" s="2" t="s">
        <v>31</v>
      </c>
    </row>
    <row r="6973" spans="1:6" ht="25.5">
      <c r="A6973" s="2">
        <v>6970</v>
      </c>
      <c r="B6973" s="2" t="s">
        <v>7048</v>
      </c>
      <c r="C6973" s="2" t="str">
        <f>"0016920X"</f>
        <v>0016920X</v>
      </c>
      <c r="D6973" s="2">
        <v>0.11899999999999999</v>
      </c>
      <c r="E6973" s="2">
        <v>3</v>
      </c>
      <c r="F6973" s="2" t="s">
        <v>6</v>
      </c>
    </row>
    <row r="6974" spans="1:6" ht="25.5">
      <c r="A6974" s="2">
        <v>6971</v>
      </c>
      <c r="B6974" s="2" t="s">
        <v>7049</v>
      </c>
      <c r="C6974" s="2" t="str">
        <f>"11545232"</f>
        <v>11545232</v>
      </c>
      <c r="D6974" s="2">
        <v>0.1</v>
      </c>
      <c r="E6974" s="2">
        <v>1</v>
      </c>
      <c r="F6974" s="2" t="s">
        <v>66</v>
      </c>
    </row>
    <row r="6975" spans="1:6" ht="25.5">
      <c r="A6975" s="2">
        <v>6972</v>
      </c>
      <c r="B6975" s="2" t="s">
        <v>7050</v>
      </c>
      <c r="C6975" s="2" t="str">
        <f>"0104530X"</f>
        <v>0104530X</v>
      </c>
      <c r="D6975" s="2">
        <v>0.159</v>
      </c>
      <c r="E6975" s="2">
        <v>5</v>
      </c>
      <c r="F6975" s="2" t="s">
        <v>159</v>
      </c>
    </row>
    <row r="6976" spans="1:6" ht="25.5">
      <c r="A6976" s="2">
        <v>6973</v>
      </c>
      <c r="B6976" s="2" t="s">
        <v>7051</v>
      </c>
      <c r="C6976" s="2" t="str">
        <f>"14051079"</f>
        <v>14051079</v>
      </c>
      <c r="D6976" s="2">
        <v>0.11799999999999999</v>
      </c>
      <c r="E6976" s="2">
        <v>4</v>
      </c>
      <c r="F6976" s="2" t="s">
        <v>200</v>
      </c>
    </row>
    <row r="6977" spans="1:6" ht="25.5">
      <c r="A6977" s="2">
        <v>6974</v>
      </c>
      <c r="B6977" s="2" t="s">
        <v>7052</v>
      </c>
      <c r="C6977" s="2" t="str">
        <f>"15699773"</f>
        <v>15699773</v>
      </c>
      <c r="D6977" s="2">
        <v>0.47799999999999998</v>
      </c>
      <c r="E6977" s="2">
        <v>6</v>
      </c>
      <c r="F6977" s="2" t="s">
        <v>75</v>
      </c>
    </row>
    <row r="6978" spans="1:6" ht="25.5">
      <c r="A6978" s="2">
        <v>6975</v>
      </c>
      <c r="B6978" s="2" t="s">
        <v>7053</v>
      </c>
      <c r="C6978" s="2" t="str">
        <f>"14390345"</f>
        <v>14390345</v>
      </c>
      <c r="D6978" s="2">
        <v>0.14799999999999999</v>
      </c>
      <c r="E6978" s="2">
        <v>9</v>
      </c>
      <c r="F6978" s="2" t="s">
        <v>12</v>
      </c>
    </row>
    <row r="6979" spans="1:6" ht="25.5">
      <c r="A6979" s="2">
        <v>6976</v>
      </c>
      <c r="B6979" s="2" t="s">
        <v>7054</v>
      </c>
      <c r="C6979" s="2" t="str">
        <f>"14394049"</f>
        <v>14394049</v>
      </c>
      <c r="D6979" s="2">
        <v>0.18099999999999999</v>
      </c>
      <c r="E6979" s="2">
        <v>10</v>
      </c>
      <c r="F6979" s="2" t="s">
        <v>12</v>
      </c>
    </row>
    <row r="6980" spans="1:6" ht="25.5">
      <c r="A6980" s="2">
        <v>6977</v>
      </c>
      <c r="B6980" s="2" t="s">
        <v>7055</v>
      </c>
      <c r="C6980" s="2" t="str">
        <f>"14394421"</f>
        <v>14394421</v>
      </c>
      <c r="D6980" s="2">
        <v>0.32500000000000001</v>
      </c>
      <c r="E6980" s="2">
        <v>30</v>
      </c>
      <c r="F6980" s="2" t="s">
        <v>12</v>
      </c>
    </row>
    <row r="6981" spans="1:6" ht="25.5">
      <c r="A6981" s="2">
        <v>6978</v>
      </c>
      <c r="B6981" s="2" t="s">
        <v>7056</v>
      </c>
      <c r="C6981" s="2" t="str">
        <f>"09497013"</f>
        <v>09497013</v>
      </c>
      <c r="D6981" s="2">
        <v>0.10199999999999999</v>
      </c>
      <c r="E6981" s="2">
        <v>5</v>
      </c>
      <c r="F6981" s="2" t="s">
        <v>12</v>
      </c>
    </row>
    <row r="6982" spans="1:6" ht="25.5">
      <c r="A6982" s="2">
        <v>6979</v>
      </c>
      <c r="B6982" s="2" t="s">
        <v>7057</v>
      </c>
      <c r="C6982" s="2" t="str">
        <f>"11035897"</f>
        <v>11035897</v>
      </c>
      <c r="D6982" s="2">
        <v>0.41099999999999998</v>
      </c>
      <c r="E6982" s="2">
        <v>27</v>
      </c>
      <c r="F6982" s="2" t="s">
        <v>16</v>
      </c>
    </row>
    <row r="6983" spans="1:6" ht="25.5">
      <c r="A6983" s="2">
        <v>6980</v>
      </c>
      <c r="B6983" s="2" t="s">
        <v>7058</v>
      </c>
      <c r="C6983" s="2" t="str">
        <f>"08550328"</f>
        <v>08550328</v>
      </c>
      <c r="D6983" s="2">
        <v>0.12</v>
      </c>
      <c r="E6983" s="2">
        <v>2</v>
      </c>
      <c r="F6983" s="2" t="s">
        <v>702</v>
      </c>
    </row>
    <row r="6984" spans="1:6" ht="25.5">
      <c r="A6984" s="2">
        <v>6981</v>
      </c>
      <c r="B6984" s="2" t="s">
        <v>7059</v>
      </c>
      <c r="C6984" s="2" t="str">
        <f>"00169862"</f>
        <v>00169862</v>
      </c>
      <c r="D6984" s="2">
        <v>0.66800000000000004</v>
      </c>
      <c r="E6984" s="2">
        <v>20</v>
      </c>
      <c r="F6984" s="2" t="s">
        <v>6</v>
      </c>
    </row>
    <row r="6985" spans="1:6" ht="25.5">
      <c r="A6985" s="2">
        <v>6982</v>
      </c>
      <c r="B6985" s="2" t="s">
        <v>7060</v>
      </c>
      <c r="C6985" s="2" t="str">
        <f>"00169900"</f>
        <v>00169900</v>
      </c>
      <c r="D6985" s="2">
        <v>0.10199999999999999</v>
      </c>
      <c r="E6985" s="2">
        <v>3</v>
      </c>
      <c r="F6985" s="2" t="s">
        <v>129</v>
      </c>
    </row>
    <row r="6986" spans="1:6" ht="25.5">
      <c r="A6986" s="2">
        <v>6983</v>
      </c>
      <c r="B6986" s="2" t="s">
        <v>7061</v>
      </c>
      <c r="C6986" s="2" t="str">
        <f>"16953827"</f>
        <v>16953827</v>
      </c>
      <c r="D6986" s="2">
        <v>0.10199999999999999</v>
      </c>
      <c r="E6986" s="2">
        <v>3</v>
      </c>
      <c r="F6986" s="2" t="s">
        <v>351</v>
      </c>
    </row>
    <row r="6987" spans="1:6" ht="25.5">
      <c r="A6987" s="2">
        <v>6984</v>
      </c>
      <c r="B6987" s="2" t="s">
        <v>7062</v>
      </c>
      <c r="C6987" s="2" t="str">
        <f>"03009041"</f>
        <v>03009041</v>
      </c>
      <c r="D6987" s="2">
        <v>0.14099999999999999</v>
      </c>
      <c r="E6987" s="2">
        <v>10</v>
      </c>
      <c r="F6987" s="2" t="s">
        <v>200</v>
      </c>
    </row>
    <row r="6988" spans="1:6" ht="25.5">
      <c r="A6988" s="2">
        <v>6985</v>
      </c>
      <c r="B6988" s="2" t="s">
        <v>7063</v>
      </c>
      <c r="C6988" s="2" t="str">
        <f>"18414435"</f>
        <v>18414435</v>
      </c>
      <c r="D6988" s="2">
        <v>0.11700000000000001</v>
      </c>
      <c r="E6988" s="2">
        <v>2</v>
      </c>
      <c r="F6988" s="2" t="s">
        <v>19</v>
      </c>
    </row>
    <row r="6989" spans="1:6" ht="25.5">
      <c r="A6989" s="2">
        <v>6986</v>
      </c>
      <c r="B6989" s="2" t="s">
        <v>7064</v>
      </c>
      <c r="C6989" s="2" t="str">
        <f>"18980759"</f>
        <v>18980759</v>
      </c>
      <c r="D6989" s="2">
        <v>0.12</v>
      </c>
      <c r="E6989" s="2">
        <v>2</v>
      </c>
      <c r="F6989" s="2" t="s">
        <v>169</v>
      </c>
    </row>
    <row r="6990" spans="1:6" ht="25.5">
      <c r="A6990" s="2">
        <v>6987</v>
      </c>
      <c r="B6990" s="2" t="s">
        <v>7065</v>
      </c>
      <c r="C6990" s="2" t="str">
        <f>"00170011"</f>
        <v>00170011</v>
      </c>
      <c r="D6990" s="2">
        <v>0.19700000000000001</v>
      </c>
      <c r="E6990" s="2">
        <v>12</v>
      </c>
      <c r="F6990" s="2" t="s">
        <v>169</v>
      </c>
    </row>
    <row r="6991" spans="1:6" ht="25.5">
      <c r="A6991" s="2">
        <v>6988</v>
      </c>
      <c r="B6991" s="2" t="s">
        <v>7066</v>
      </c>
      <c r="C6991" s="2" t="str">
        <f>"00170089"</f>
        <v>00170089</v>
      </c>
      <c r="D6991" s="2">
        <v>0.1</v>
      </c>
      <c r="E6991" s="2">
        <v>2</v>
      </c>
      <c r="F6991" s="2" t="s">
        <v>190</v>
      </c>
    </row>
    <row r="6992" spans="1:6" ht="25.5">
      <c r="A6992" s="2">
        <v>6989</v>
      </c>
      <c r="B6992" s="2" t="s">
        <v>7067</v>
      </c>
      <c r="C6992" s="2" t="str">
        <f>"0393067X"</f>
        <v>0393067X</v>
      </c>
      <c r="D6992" s="2">
        <v>0.1</v>
      </c>
      <c r="E6992" s="2">
        <v>1</v>
      </c>
      <c r="F6992" s="2" t="s">
        <v>190</v>
      </c>
    </row>
    <row r="6993" spans="1:6" ht="25.5">
      <c r="A6993" s="2">
        <v>6990</v>
      </c>
      <c r="B6993" s="2" t="s">
        <v>7068</v>
      </c>
      <c r="C6993" s="2" t="str">
        <f>"03919005"</f>
        <v>03919005</v>
      </c>
      <c r="D6993" s="2">
        <v>0.13800000000000001</v>
      </c>
      <c r="E6993" s="2">
        <v>11</v>
      </c>
      <c r="F6993" s="2" t="s">
        <v>190</v>
      </c>
    </row>
    <row r="6994" spans="1:6" ht="25.5">
      <c r="A6994" s="2">
        <v>6991</v>
      </c>
      <c r="B6994" s="2" t="s">
        <v>7069</v>
      </c>
      <c r="C6994" s="2" t="str">
        <f>"00170305"</f>
        <v>00170305</v>
      </c>
      <c r="D6994" s="2">
        <v>0.108</v>
      </c>
      <c r="E6994" s="2">
        <v>5</v>
      </c>
      <c r="F6994" s="2" t="s">
        <v>190</v>
      </c>
    </row>
    <row r="6995" spans="1:6" ht="25.5">
      <c r="A6995" s="2">
        <v>6992</v>
      </c>
      <c r="B6995" s="2" t="s">
        <v>7070</v>
      </c>
      <c r="C6995" s="2" t="str">
        <f>"15930793"</f>
        <v>15930793</v>
      </c>
      <c r="D6995" s="2">
        <v>0</v>
      </c>
      <c r="E6995" s="2">
        <v>0</v>
      </c>
      <c r="F6995" s="2" t="s">
        <v>190</v>
      </c>
    </row>
    <row r="6996" spans="1:6" ht="25.5">
      <c r="A6996" s="2">
        <v>6993</v>
      </c>
      <c r="B6996" s="2" t="s">
        <v>7071</v>
      </c>
      <c r="C6996" s="2" t="str">
        <f>"18276806"</f>
        <v>18276806</v>
      </c>
      <c r="D6996" s="2">
        <v>0.13600000000000001</v>
      </c>
      <c r="E6996" s="2">
        <v>12</v>
      </c>
      <c r="F6996" s="2" t="s">
        <v>190</v>
      </c>
    </row>
    <row r="6997" spans="1:6" ht="25.5">
      <c r="A6997" s="2">
        <v>6994</v>
      </c>
      <c r="B6997" s="2" t="s">
        <v>7072</v>
      </c>
      <c r="C6997" s="2" t="str">
        <f>"03920488"</f>
        <v>03920488</v>
      </c>
      <c r="D6997" s="2">
        <v>0.41899999999999998</v>
      </c>
      <c r="E6997" s="2">
        <v>11</v>
      </c>
      <c r="F6997" s="2" t="s">
        <v>190</v>
      </c>
    </row>
    <row r="6998" spans="1:6" ht="25.5">
      <c r="A6998" s="2">
        <v>6995</v>
      </c>
      <c r="B6998" s="2" t="s">
        <v>7073</v>
      </c>
      <c r="C6998" s="2" t="str">
        <f>"15936104"</f>
        <v>15936104</v>
      </c>
      <c r="D6998" s="2">
        <v>0.107</v>
      </c>
      <c r="E6998" s="2">
        <v>3</v>
      </c>
      <c r="F6998" s="2" t="s">
        <v>190</v>
      </c>
    </row>
    <row r="6999" spans="1:6" ht="25.5">
      <c r="A6999" s="2">
        <v>6996</v>
      </c>
      <c r="B6999" s="2" t="s">
        <v>7074</v>
      </c>
      <c r="C6999" s="2" t="str">
        <f>"11214171"</f>
        <v>11214171</v>
      </c>
      <c r="D6999" s="2">
        <v>0.106</v>
      </c>
      <c r="E6999" s="2">
        <v>1</v>
      </c>
      <c r="F6999" s="2" t="s">
        <v>190</v>
      </c>
    </row>
    <row r="7000" spans="1:6" ht="25.5">
      <c r="A7000" s="2">
        <v>6997</v>
      </c>
      <c r="B7000" s="2" t="s">
        <v>7075</v>
      </c>
      <c r="C7000" s="2" t="str">
        <f>"03940225"</f>
        <v>03940225</v>
      </c>
      <c r="D7000" s="2">
        <v>0.10100000000000001</v>
      </c>
      <c r="E7000" s="2">
        <v>2</v>
      </c>
      <c r="F7000" s="2" t="s">
        <v>190</v>
      </c>
    </row>
    <row r="7001" spans="1:6" ht="25.5">
      <c r="A7001" s="2">
        <v>6998</v>
      </c>
      <c r="B7001" s="2" t="s">
        <v>7076</v>
      </c>
      <c r="C7001" s="2" t="str">
        <f>"11203749"</f>
        <v>11203749</v>
      </c>
      <c r="D7001" s="2">
        <v>0.123</v>
      </c>
      <c r="E7001" s="2">
        <v>6</v>
      </c>
      <c r="F7001" s="2" t="s">
        <v>190</v>
      </c>
    </row>
    <row r="7002" spans="1:6" ht="25.5">
      <c r="A7002" s="2">
        <v>6999</v>
      </c>
      <c r="B7002" s="2" t="s">
        <v>7077</v>
      </c>
      <c r="C7002" s="2" t="str">
        <f>"15927830"</f>
        <v>15927830</v>
      </c>
      <c r="D7002" s="2">
        <v>0.183</v>
      </c>
      <c r="E7002" s="2">
        <v>12</v>
      </c>
      <c r="F7002" s="2" t="s">
        <v>190</v>
      </c>
    </row>
    <row r="7003" spans="1:6" ht="25.5">
      <c r="A7003" s="2">
        <v>7000</v>
      </c>
      <c r="B7003" s="2" t="s">
        <v>7078</v>
      </c>
      <c r="C7003" s="2" t="str">
        <f>"03943445"</f>
        <v>03943445</v>
      </c>
      <c r="D7003" s="2">
        <v>0.113</v>
      </c>
      <c r="E7003" s="2">
        <v>5</v>
      </c>
      <c r="F7003" s="2" t="s">
        <v>190</v>
      </c>
    </row>
    <row r="7004" spans="1:6" ht="25.5">
      <c r="A7004" s="2">
        <v>7001</v>
      </c>
      <c r="B7004" s="2" t="s">
        <v>7079</v>
      </c>
      <c r="C7004" s="2" t="str">
        <f>"03935590"</f>
        <v>03935590</v>
      </c>
      <c r="D7004" s="2">
        <v>0.11799999999999999</v>
      </c>
      <c r="E7004" s="2">
        <v>8</v>
      </c>
      <c r="F7004" s="2" t="s">
        <v>190</v>
      </c>
    </row>
    <row r="7005" spans="1:6" ht="25.5">
      <c r="A7005" s="2">
        <v>7002</v>
      </c>
      <c r="B7005" s="2" t="s">
        <v>7080</v>
      </c>
      <c r="C7005" s="2" t="str">
        <f>"03919013"</f>
        <v>03919013</v>
      </c>
      <c r="D7005" s="2">
        <v>0.1</v>
      </c>
      <c r="E7005" s="2">
        <v>3</v>
      </c>
      <c r="F7005" s="2" t="s">
        <v>190</v>
      </c>
    </row>
    <row r="7006" spans="1:6" ht="25.5">
      <c r="A7006" s="2">
        <v>7003</v>
      </c>
      <c r="B7006" s="2" t="s">
        <v>7081</v>
      </c>
      <c r="C7006" s="2" t="str">
        <f>"03905349"</f>
        <v>03905349</v>
      </c>
      <c r="D7006" s="2">
        <v>0.107</v>
      </c>
      <c r="E7006" s="2">
        <v>1</v>
      </c>
      <c r="F7006" s="2" t="s">
        <v>190</v>
      </c>
    </row>
    <row r="7007" spans="1:6" ht="25.5">
      <c r="A7007" s="2">
        <v>7004</v>
      </c>
      <c r="B7007" s="2" t="s">
        <v>7082</v>
      </c>
      <c r="C7007" s="2" t="str">
        <f>"15921107"</f>
        <v>15921107</v>
      </c>
      <c r="D7007" s="2">
        <v>0.11</v>
      </c>
      <c r="E7007" s="2">
        <v>5</v>
      </c>
      <c r="F7007" s="2" t="s">
        <v>190</v>
      </c>
    </row>
    <row r="7008" spans="1:6" ht="25.5">
      <c r="A7008" s="2">
        <v>7005</v>
      </c>
      <c r="B7008" s="2" t="s">
        <v>7083</v>
      </c>
      <c r="C7008" s="2" t="str">
        <f>"00170496"</f>
        <v>00170496</v>
      </c>
      <c r="D7008" s="2">
        <v>0.1</v>
      </c>
      <c r="E7008" s="2">
        <v>0</v>
      </c>
      <c r="F7008" s="2" t="s">
        <v>190</v>
      </c>
    </row>
    <row r="7009" spans="1:6" ht="25.5">
      <c r="A7009" s="2">
        <v>7006</v>
      </c>
      <c r="B7009" s="2" t="s">
        <v>7084</v>
      </c>
      <c r="C7009" s="2" t="str">
        <f>"14303663"</f>
        <v>14303663</v>
      </c>
      <c r="D7009" s="2">
        <v>0.105</v>
      </c>
      <c r="E7009" s="2">
        <v>2</v>
      </c>
      <c r="F7009" s="2" t="s">
        <v>31</v>
      </c>
    </row>
    <row r="7010" spans="1:6" ht="25.5">
      <c r="A7010" s="2">
        <v>7007</v>
      </c>
      <c r="B7010" s="2" t="s">
        <v>7085</v>
      </c>
      <c r="C7010" s="2" t="str">
        <f>"15481603"</f>
        <v>15481603</v>
      </c>
      <c r="D7010" s="2">
        <v>0.60699999999999998</v>
      </c>
      <c r="E7010" s="2">
        <v>13</v>
      </c>
      <c r="F7010" s="2" t="s">
        <v>6</v>
      </c>
    </row>
    <row r="7011" spans="1:6">
      <c r="A7011" s="2">
        <v>7008</v>
      </c>
      <c r="B7011" s="2" t="s">
        <v>7086</v>
      </c>
      <c r="C7011" s="2" t="str">
        <f>"0"</f>
        <v>0</v>
      </c>
      <c r="D7011" s="2">
        <v>0.16600000000000001</v>
      </c>
      <c r="E7011" s="2">
        <v>3</v>
      </c>
      <c r="F7011" s="2" t="s">
        <v>12</v>
      </c>
    </row>
    <row r="7012" spans="1:6" ht="25.5">
      <c r="A7012" s="2">
        <v>7009</v>
      </c>
      <c r="B7012" s="2" t="s">
        <v>7087</v>
      </c>
      <c r="C7012" s="2" t="str">
        <f>"1469509X"</f>
        <v>1469509X</v>
      </c>
      <c r="D7012" s="2">
        <v>0.46</v>
      </c>
      <c r="E7012" s="2">
        <v>20</v>
      </c>
      <c r="F7012" s="2" t="s">
        <v>16</v>
      </c>
    </row>
    <row r="7013" spans="1:6" ht="25.5">
      <c r="A7013" s="2">
        <v>7010</v>
      </c>
      <c r="B7013" s="2" t="s">
        <v>7088</v>
      </c>
      <c r="C7013" s="2" t="str">
        <f>"0017095X"</f>
        <v>0017095X</v>
      </c>
      <c r="D7013" s="2">
        <v>0.251</v>
      </c>
      <c r="E7013" s="2">
        <v>7</v>
      </c>
      <c r="F7013" s="2" t="s">
        <v>149</v>
      </c>
    </row>
    <row r="7014" spans="1:6" ht="25.5">
      <c r="A7014" s="2">
        <v>7011</v>
      </c>
      <c r="B7014" s="2" t="s">
        <v>7089</v>
      </c>
      <c r="C7014" s="2" t="str">
        <f>"03512908"</f>
        <v>03512908</v>
      </c>
      <c r="D7014" s="2">
        <v>0.1</v>
      </c>
      <c r="E7014" s="2">
        <v>1</v>
      </c>
      <c r="F7014" s="2" t="s">
        <v>154</v>
      </c>
    </row>
    <row r="7015" spans="1:6" ht="25.5">
      <c r="A7015" s="2">
        <v>7012</v>
      </c>
      <c r="B7015" s="2" t="s">
        <v>7090</v>
      </c>
      <c r="C7015" s="2" t="str">
        <f>"03523861"</f>
        <v>03523861</v>
      </c>
      <c r="D7015" s="2">
        <v>0.10199999999999999</v>
      </c>
      <c r="E7015" s="2">
        <v>3</v>
      </c>
      <c r="F7015" s="2" t="s">
        <v>149</v>
      </c>
    </row>
    <row r="7016" spans="1:6" ht="25.5">
      <c r="A7016" s="2">
        <v>7013</v>
      </c>
      <c r="B7016" s="2" t="s">
        <v>7091</v>
      </c>
      <c r="C7016" s="2" t="str">
        <f>"15738515"</f>
        <v>15738515</v>
      </c>
      <c r="D7016" s="2">
        <v>0.19800000000000001</v>
      </c>
      <c r="E7016" s="2">
        <v>8</v>
      </c>
      <c r="F7016" s="2" t="s">
        <v>6</v>
      </c>
    </row>
    <row r="7017" spans="1:6" ht="25.5">
      <c r="A7017" s="2">
        <v>7014</v>
      </c>
      <c r="B7017" s="2" t="s">
        <v>7092</v>
      </c>
      <c r="C7017" s="2" t="str">
        <f>"1608313X"</f>
        <v>1608313X</v>
      </c>
      <c r="D7017" s="2">
        <v>0.248</v>
      </c>
      <c r="E7017" s="2">
        <v>14</v>
      </c>
      <c r="F7017" s="2" t="s">
        <v>129</v>
      </c>
    </row>
    <row r="7018" spans="1:6" ht="25.5">
      <c r="A7018" s="2">
        <v>7015</v>
      </c>
      <c r="B7018" s="2" t="s">
        <v>7093</v>
      </c>
      <c r="C7018" s="2" t="str">
        <f>"00813966"</f>
        <v>00813966</v>
      </c>
      <c r="D7018" s="2">
        <v>0.10100000000000001</v>
      </c>
      <c r="E7018" s="2">
        <v>2</v>
      </c>
      <c r="F7018" s="2" t="s">
        <v>212</v>
      </c>
    </row>
    <row r="7019" spans="1:6" ht="25.5">
      <c r="A7019" s="2">
        <v>7016</v>
      </c>
      <c r="B7019" s="2" t="s">
        <v>7094</v>
      </c>
      <c r="C7019" s="2" t="str">
        <f>"17533554"</f>
        <v>17533554</v>
      </c>
      <c r="D7019" s="2">
        <v>0.54100000000000004</v>
      </c>
      <c r="E7019" s="2">
        <v>9</v>
      </c>
      <c r="F7019" s="2" t="s">
        <v>16</v>
      </c>
    </row>
    <row r="7020" spans="1:6" ht="25.5">
      <c r="A7020" s="2">
        <v>7017</v>
      </c>
      <c r="B7020" s="2" t="s">
        <v>7095</v>
      </c>
      <c r="C7020" s="2" t="str">
        <f>"10981136"</f>
        <v>10981136</v>
      </c>
      <c r="D7020" s="2">
        <v>2.1989999999999998</v>
      </c>
      <c r="E7020" s="2">
        <v>105</v>
      </c>
      <c r="F7020" s="2" t="s">
        <v>6</v>
      </c>
    </row>
    <row r="7021" spans="1:6" ht="25.5">
      <c r="A7021" s="2">
        <v>7018</v>
      </c>
      <c r="B7021" s="2" t="s">
        <v>7096</v>
      </c>
      <c r="C7021" s="2" t="str">
        <f>"09218181"</f>
        <v>09218181</v>
      </c>
      <c r="D7021" s="2">
        <v>1.6559999999999999</v>
      </c>
      <c r="E7021" s="2">
        <v>70</v>
      </c>
      <c r="F7021" s="2" t="s">
        <v>75</v>
      </c>
    </row>
    <row r="7022" spans="1:6" ht="25.5">
      <c r="A7022" s="2">
        <v>7019</v>
      </c>
      <c r="B7022" s="2" t="s">
        <v>7097</v>
      </c>
      <c r="C7022" s="2" t="str">
        <f>"08866236"</f>
        <v>08866236</v>
      </c>
      <c r="D7022" s="2">
        <v>2.4</v>
      </c>
      <c r="E7022" s="2">
        <v>109</v>
      </c>
      <c r="F7022" s="2" t="s">
        <v>6</v>
      </c>
    </row>
    <row r="7023" spans="1:6" ht="25.5">
      <c r="A7023" s="2">
        <v>7020</v>
      </c>
      <c r="B7023" s="2" t="s">
        <v>7098</v>
      </c>
      <c r="C7023" s="2" t="str">
        <f>"17451329"</f>
        <v>17451329</v>
      </c>
      <c r="D7023" s="2">
        <v>0.104</v>
      </c>
      <c r="E7023" s="2">
        <v>4</v>
      </c>
      <c r="F7023" s="2" t="s">
        <v>16</v>
      </c>
    </row>
    <row r="7024" spans="1:6" ht="25.5">
      <c r="A7024" s="2">
        <v>7021</v>
      </c>
      <c r="B7024" s="2" t="s">
        <v>7099</v>
      </c>
      <c r="C7024" s="2" t="str">
        <f>"19322054"</f>
        <v>19322054</v>
      </c>
      <c r="D7024" s="2">
        <v>0.17799999999999999</v>
      </c>
      <c r="E7024" s="2">
        <v>5</v>
      </c>
      <c r="F7024" s="2" t="s">
        <v>6</v>
      </c>
    </row>
    <row r="7025" spans="1:6" ht="25.5">
      <c r="A7025" s="2">
        <v>7022</v>
      </c>
      <c r="B7025" s="2" t="s">
        <v>7100</v>
      </c>
      <c r="C7025" s="2" t="str">
        <f>"09721509"</f>
        <v>09721509</v>
      </c>
      <c r="D7025" s="2">
        <v>0.17599999999999999</v>
      </c>
      <c r="E7025" s="2">
        <v>3</v>
      </c>
      <c r="F7025" s="2" t="s">
        <v>488</v>
      </c>
    </row>
    <row r="7026" spans="1:6" ht="25.5">
      <c r="A7026" s="2">
        <v>7023</v>
      </c>
      <c r="B7026" s="2" t="s">
        <v>7101</v>
      </c>
      <c r="C7026" s="2" t="str">
        <f>"13652486"</f>
        <v>13652486</v>
      </c>
      <c r="D7026" s="2">
        <v>3.4249999999999998</v>
      </c>
      <c r="E7026" s="2">
        <v>126</v>
      </c>
      <c r="F7026" s="2" t="s">
        <v>16</v>
      </c>
    </row>
    <row r="7027" spans="1:6" ht="25.5">
      <c r="A7027" s="2">
        <v>7024</v>
      </c>
      <c r="B7027" s="2" t="s">
        <v>7102</v>
      </c>
      <c r="C7027" s="2" t="str">
        <f>"14781158"</f>
        <v>14781158</v>
      </c>
      <c r="D7027" s="2">
        <v>0.20599999999999999</v>
      </c>
      <c r="E7027" s="2">
        <v>3</v>
      </c>
      <c r="F7027" s="2" t="s">
        <v>16</v>
      </c>
    </row>
    <row r="7028" spans="1:6" ht="25.5">
      <c r="A7028" s="2">
        <v>7025</v>
      </c>
      <c r="B7028" s="2" t="s">
        <v>7103</v>
      </c>
      <c r="C7028" s="2" t="str">
        <f>"17440572"</f>
        <v>17440572</v>
      </c>
      <c r="D7028" s="2">
        <v>0.26800000000000002</v>
      </c>
      <c r="E7028" s="2">
        <v>7</v>
      </c>
      <c r="F7028" s="2" t="s">
        <v>16</v>
      </c>
    </row>
    <row r="7029" spans="1:6" ht="25.5">
      <c r="A7029" s="2">
        <v>7026</v>
      </c>
      <c r="B7029" s="2" t="s">
        <v>7104</v>
      </c>
      <c r="C7029" s="2" t="str">
        <f>"1466822X"</f>
        <v>1466822X</v>
      </c>
      <c r="D7029" s="2">
        <v>3.4769999999999999</v>
      </c>
      <c r="E7029" s="2">
        <v>71</v>
      </c>
      <c r="F7029" s="2" t="s">
        <v>16</v>
      </c>
    </row>
    <row r="7030" spans="1:6" ht="25.5">
      <c r="A7030" s="2">
        <v>7027</v>
      </c>
      <c r="B7030" s="2" t="s">
        <v>7105</v>
      </c>
      <c r="C7030" s="2" t="str">
        <f>"1226508X"</f>
        <v>1226508X</v>
      </c>
      <c r="D7030" s="2">
        <v>0.157</v>
      </c>
      <c r="E7030" s="2">
        <v>6</v>
      </c>
      <c r="F7030" s="2" t="s">
        <v>16</v>
      </c>
    </row>
    <row r="7031" spans="1:6" ht="25.5">
      <c r="A7031" s="2">
        <v>7028</v>
      </c>
      <c r="B7031" s="2" t="s">
        <v>7106</v>
      </c>
      <c r="C7031" s="2" t="str">
        <f>"15535304"</f>
        <v>15535304</v>
      </c>
      <c r="D7031" s="2">
        <v>0.23499999999999999</v>
      </c>
      <c r="E7031" s="2">
        <v>7</v>
      </c>
      <c r="F7031" s="2" t="s">
        <v>6</v>
      </c>
    </row>
    <row r="7032" spans="1:6" ht="25.5">
      <c r="A7032" s="2">
        <v>7029</v>
      </c>
      <c r="B7032" s="2" t="s">
        <v>7107</v>
      </c>
      <c r="C7032" s="2" t="str">
        <f>"18729495"</f>
        <v>18729495</v>
      </c>
      <c r="D7032" s="2">
        <v>2.419</v>
      </c>
      <c r="E7032" s="2">
        <v>66</v>
      </c>
      <c r="F7032" s="2" t="s">
        <v>16</v>
      </c>
    </row>
    <row r="7033" spans="1:6" ht="25.5">
      <c r="A7033" s="2">
        <v>7030</v>
      </c>
      <c r="B7033" s="2" t="s">
        <v>7108</v>
      </c>
      <c r="C7033" s="2" t="str">
        <f>"15263800"</f>
        <v>15263800</v>
      </c>
      <c r="D7033" s="2">
        <v>1.67</v>
      </c>
      <c r="E7033" s="2">
        <v>17</v>
      </c>
      <c r="F7033" s="2" t="s">
        <v>6</v>
      </c>
    </row>
    <row r="7034" spans="1:6" ht="25.5">
      <c r="A7034" s="2">
        <v>7031</v>
      </c>
      <c r="B7034" s="2" t="s">
        <v>7109</v>
      </c>
      <c r="C7034" s="2" t="str">
        <f>"10440283"</f>
        <v>10440283</v>
      </c>
      <c r="D7034" s="2">
        <v>0.26200000000000001</v>
      </c>
      <c r="E7034" s="2">
        <v>16</v>
      </c>
      <c r="F7034" s="2" t="s">
        <v>75</v>
      </c>
    </row>
    <row r="7035" spans="1:6" ht="25.5">
      <c r="A7035" s="2">
        <v>7032</v>
      </c>
      <c r="B7035" s="2" t="s">
        <v>7110</v>
      </c>
      <c r="C7035" s="2" t="str">
        <f>"22119124"</f>
        <v>22119124</v>
      </c>
      <c r="D7035" s="2">
        <v>0</v>
      </c>
      <c r="E7035" s="2">
        <v>1</v>
      </c>
      <c r="F7035" s="2" t="s">
        <v>6</v>
      </c>
    </row>
    <row r="7036" spans="1:6" ht="25.5">
      <c r="A7036" s="2">
        <v>7033</v>
      </c>
      <c r="B7036" s="2" t="s">
        <v>7111</v>
      </c>
      <c r="C7036" s="2" t="str">
        <f>"10752846"</f>
        <v>10752846</v>
      </c>
      <c r="D7036" s="2">
        <v>0.39400000000000002</v>
      </c>
      <c r="E7036" s="2">
        <v>20</v>
      </c>
      <c r="F7036" s="2" t="s">
        <v>6</v>
      </c>
    </row>
    <row r="7037" spans="1:6" ht="25.5">
      <c r="A7037" s="2">
        <v>7034</v>
      </c>
      <c r="B7037" s="2" t="s">
        <v>7112</v>
      </c>
      <c r="C7037" s="2" t="str">
        <f>"16549880"</f>
        <v>16549880</v>
      </c>
      <c r="D7037" s="2">
        <v>0.44700000000000001</v>
      </c>
      <c r="E7037" s="2">
        <v>8</v>
      </c>
      <c r="F7037" s="2" t="s">
        <v>151</v>
      </c>
    </row>
    <row r="7038" spans="1:6" ht="25.5">
      <c r="A7038" s="2">
        <v>7035</v>
      </c>
      <c r="B7038" s="2" t="s">
        <v>7113</v>
      </c>
      <c r="C7038" s="2" t="str">
        <f>"17579767"</f>
        <v>17579767</v>
      </c>
      <c r="D7038" s="2">
        <v>0.42099999999999999</v>
      </c>
      <c r="E7038" s="2">
        <v>14</v>
      </c>
      <c r="F7038" s="2" t="s">
        <v>16</v>
      </c>
    </row>
    <row r="7039" spans="1:6" ht="25.5">
      <c r="A7039" s="2">
        <v>7036</v>
      </c>
      <c r="B7039" s="2" t="s">
        <v>7114</v>
      </c>
      <c r="C7039" s="2" t="str">
        <f>"22118179"</f>
        <v>22118179</v>
      </c>
      <c r="D7039" s="2">
        <v>0.26800000000000002</v>
      </c>
      <c r="E7039" s="2">
        <v>8</v>
      </c>
      <c r="F7039" s="2" t="s">
        <v>16</v>
      </c>
    </row>
    <row r="7040" spans="1:6" ht="25.5">
      <c r="A7040" s="2">
        <v>7037</v>
      </c>
      <c r="B7040" s="2" t="s">
        <v>7115</v>
      </c>
      <c r="C7040" s="2" t="str">
        <f>"14767724"</f>
        <v>14767724</v>
      </c>
      <c r="D7040" s="2">
        <v>0.58099999999999996</v>
      </c>
      <c r="E7040" s="2">
        <v>4</v>
      </c>
      <c r="F7040" s="2" t="s">
        <v>16</v>
      </c>
    </row>
    <row r="7041" spans="1:6" ht="25.5">
      <c r="A7041" s="2">
        <v>7038</v>
      </c>
      <c r="B7041" s="2" t="s">
        <v>7116</v>
      </c>
      <c r="C7041" s="2" t="str">
        <f>"17448603"</f>
        <v>17448603</v>
      </c>
      <c r="D7041" s="2">
        <v>0.93300000000000005</v>
      </c>
      <c r="E7041" s="2">
        <v>19</v>
      </c>
      <c r="F7041" s="2" t="s">
        <v>16</v>
      </c>
    </row>
    <row r="7042" spans="1:6">
      <c r="A7042" s="2">
        <v>7039</v>
      </c>
      <c r="B7042" s="2" t="s">
        <v>7117</v>
      </c>
      <c r="C7042" s="2" t="str">
        <f>"0"</f>
        <v>0</v>
      </c>
      <c r="D7042" s="2">
        <v>0.44500000000000001</v>
      </c>
      <c r="E7042" s="2">
        <v>11</v>
      </c>
      <c r="F7042" s="2" t="s">
        <v>16</v>
      </c>
    </row>
    <row r="7043" spans="1:6" ht="25.5">
      <c r="A7043" s="2">
        <v>7040</v>
      </c>
      <c r="B7043" s="2" t="s">
        <v>7118</v>
      </c>
      <c r="C7043" s="2" t="str">
        <f>"09722696"</f>
        <v>09722696</v>
      </c>
      <c r="D7043" s="2">
        <v>0.26200000000000001</v>
      </c>
      <c r="E7043" s="2">
        <v>5</v>
      </c>
      <c r="F7043" s="2" t="s">
        <v>488</v>
      </c>
    </row>
    <row r="7044" spans="1:6" ht="25.5">
      <c r="A7044" s="2">
        <v>7041</v>
      </c>
      <c r="B7044" s="2" t="s">
        <v>7119</v>
      </c>
      <c r="C7044" s="2" t="str">
        <f>"19169744"</f>
        <v>19169744</v>
      </c>
      <c r="D7044" s="2">
        <v>0</v>
      </c>
      <c r="E7044" s="2">
        <v>1</v>
      </c>
      <c r="F7044" s="2" t="s">
        <v>64</v>
      </c>
    </row>
    <row r="7045" spans="1:6" ht="25.5">
      <c r="A7045" s="2">
        <v>7042</v>
      </c>
      <c r="B7045" s="2" t="s">
        <v>7120</v>
      </c>
      <c r="C7045" s="2" t="str">
        <f>"19920075"</f>
        <v>19920075</v>
      </c>
      <c r="D7045" s="2">
        <v>0.22</v>
      </c>
      <c r="E7045" s="2">
        <v>3</v>
      </c>
      <c r="F7045" s="2" t="s">
        <v>43</v>
      </c>
    </row>
    <row r="7046" spans="1:6" ht="25.5">
      <c r="A7046" s="2">
        <v>7043</v>
      </c>
      <c r="B7046" s="2" t="s">
        <v>7121</v>
      </c>
      <c r="C7046" s="2" t="str">
        <f>"19342640"</f>
        <v>19342640</v>
      </c>
      <c r="D7046" s="2">
        <v>0.14000000000000001</v>
      </c>
      <c r="E7046" s="2">
        <v>2</v>
      </c>
      <c r="F7046" s="2" t="s">
        <v>6</v>
      </c>
    </row>
    <row r="7047" spans="1:6" ht="25.5">
      <c r="A7047" s="2">
        <v>7044</v>
      </c>
      <c r="B7047" s="2" t="s">
        <v>7122</v>
      </c>
      <c r="C7047" s="2" t="str">
        <f>"17427673"</f>
        <v>17427673</v>
      </c>
      <c r="D7047" s="2">
        <v>0.28399999999999997</v>
      </c>
      <c r="E7047" s="2">
        <v>9</v>
      </c>
      <c r="F7047" s="2" t="s">
        <v>16</v>
      </c>
    </row>
    <row r="7048" spans="1:6" ht="25.5">
      <c r="A7048" s="2">
        <v>7045</v>
      </c>
      <c r="B7048" s="2" t="s">
        <v>7123</v>
      </c>
      <c r="C7048" s="2" t="str">
        <f>"15507521"</f>
        <v>15507521</v>
      </c>
      <c r="D7048" s="2">
        <v>0.11899999999999999</v>
      </c>
      <c r="E7048" s="2">
        <v>2</v>
      </c>
      <c r="F7048" s="2" t="s">
        <v>6</v>
      </c>
    </row>
    <row r="7049" spans="1:6" ht="25.5">
      <c r="A7049" s="2">
        <v>7046</v>
      </c>
      <c r="B7049" s="2" t="s">
        <v>7124</v>
      </c>
      <c r="C7049" s="2" t="str">
        <f>"11084006"</f>
        <v>11084006</v>
      </c>
      <c r="D7049" s="2">
        <v>0.38700000000000001</v>
      </c>
      <c r="E7049" s="2">
        <v>8</v>
      </c>
      <c r="F7049" s="2" t="s">
        <v>313</v>
      </c>
    </row>
    <row r="7050" spans="1:6" ht="25.5">
      <c r="A7050" s="2">
        <v>7047</v>
      </c>
      <c r="B7050" s="2" t="s">
        <v>7125</v>
      </c>
      <c r="C7050" s="2" t="str">
        <f>"14710374"</f>
        <v>14710374</v>
      </c>
      <c r="D7050" s="2">
        <v>1.806</v>
      </c>
      <c r="E7050" s="2">
        <v>27</v>
      </c>
      <c r="F7050" s="2" t="s">
        <v>16</v>
      </c>
    </row>
    <row r="7051" spans="1:6" ht="25.5">
      <c r="A7051" s="2">
        <v>7048</v>
      </c>
      <c r="B7051" s="2" t="s">
        <v>7126</v>
      </c>
      <c r="C7051" s="2" t="str">
        <f>"17441706"</f>
        <v>17441706</v>
      </c>
      <c r="D7051" s="2">
        <v>0.439</v>
      </c>
      <c r="E7051" s="2">
        <v>10</v>
      </c>
      <c r="F7051" s="2" t="s">
        <v>16</v>
      </c>
    </row>
    <row r="7052" spans="1:6" ht="25.5">
      <c r="A7052" s="2">
        <v>7049</v>
      </c>
      <c r="B7052" s="2" t="s">
        <v>7127</v>
      </c>
      <c r="C7052" s="2" t="str">
        <f>"17412803"</f>
        <v>17412803</v>
      </c>
      <c r="D7052" s="2">
        <v>0.25600000000000001</v>
      </c>
      <c r="E7052" s="2">
        <v>11</v>
      </c>
      <c r="F7052" s="2" t="s">
        <v>16</v>
      </c>
    </row>
    <row r="7053" spans="1:6" ht="25.5">
      <c r="A7053" s="2">
        <v>7050</v>
      </c>
      <c r="B7053" s="2" t="s">
        <v>7128</v>
      </c>
      <c r="C7053" s="2" t="str">
        <f>"1469798X"</f>
        <v>1469798X</v>
      </c>
      <c r="D7053" s="2">
        <v>0.183</v>
      </c>
      <c r="E7053" s="2">
        <v>11</v>
      </c>
      <c r="F7053" s="2" t="s">
        <v>16</v>
      </c>
    </row>
    <row r="7054" spans="1:6" ht="25.5">
      <c r="A7054" s="2">
        <v>7051</v>
      </c>
      <c r="B7054" s="2" t="s">
        <v>7129</v>
      </c>
      <c r="C7054" s="2" t="str">
        <f>"19998163"</f>
        <v>19998163</v>
      </c>
      <c r="D7054" s="2">
        <v>0.18099999999999999</v>
      </c>
      <c r="E7054" s="2">
        <v>3</v>
      </c>
      <c r="F7054" s="2" t="s">
        <v>43</v>
      </c>
    </row>
    <row r="7055" spans="1:6" ht="25.5">
      <c r="A7055" s="2">
        <v>7052</v>
      </c>
      <c r="B7055" s="2" t="s">
        <v>7130</v>
      </c>
      <c r="C7055" s="2" t="str">
        <f>"00171298"</f>
        <v>00171298</v>
      </c>
      <c r="D7055" s="2">
        <v>0.10100000000000001</v>
      </c>
      <c r="E7055" s="2">
        <v>2</v>
      </c>
      <c r="F7055" s="2" t="s">
        <v>12</v>
      </c>
    </row>
    <row r="7056" spans="1:6" ht="25.5">
      <c r="A7056" s="2">
        <v>7053</v>
      </c>
      <c r="B7056" s="2" t="s">
        <v>7131</v>
      </c>
      <c r="C7056" s="2" t="str">
        <f>"10642684"</f>
        <v>10642684</v>
      </c>
      <c r="D7056" s="2">
        <v>0.23599999999999999</v>
      </c>
      <c r="E7056" s="2">
        <v>15</v>
      </c>
      <c r="F7056" s="2" t="s">
        <v>6</v>
      </c>
    </row>
    <row r="7057" spans="1:6" ht="25.5">
      <c r="A7057" s="2">
        <v>7054</v>
      </c>
      <c r="B7057" s="2" t="s">
        <v>7132</v>
      </c>
      <c r="C7057" s="2" t="str">
        <f>"14602423"</f>
        <v>14602423</v>
      </c>
      <c r="D7057" s="2">
        <v>1.415</v>
      </c>
      <c r="E7057" s="2">
        <v>84</v>
      </c>
      <c r="F7057" s="2" t="s">
        <v>16</v>
      </c>
    </row>
    <row r="7058" spans="1:6" ht="25.5">
      <c r="A7058" s="2">
        <v>7055</v>
      </c>
      <c r="B7058" s="2" t="s">
        <v>7133</v>
      </c>
      <c r="C7058" s="2" t="str">
        <f>"15734986"</f>
        <v>15734986</v>
      </c>
      <c r="D7058" s="2">
        <v>0.7</v>
      </c>
      <c r="E7058" s="2">
        <v>61</v>
      </c>
      <c r="F7058" s="2" t="s">
        <v>75</v>
      </c>
    </row>
    <row r="7059" spans="1:6" ht="25.5">
      <c r="A7059" s="2">
        <v>7056</v>
      </c>
      <c r="B7059" s="2" t="s">
        <v>7134</v>
      </c>
      <c r="C7059" s="2" t="str">
        <f>"19382006"</f>
        <v>19382006</v>
      </c>
      <c r="D7059" s="2">
        <v>0.32200000000000001</v>
      </c>
      <c r="E7059" s="2">
        <v>4</v>
      </c>
      <c r="F7059" s="2" t="s">
        <v>6</v>
      </c>
    </row>
    <row r="7060" spans="1:6" ht="25.5">
      <c r="A7060" s="2">
        <v>7057</v>
      </c>
      <c r="B7060" s="2" t="s">
        <v>7135</v>
      </c>
      <c r="C7060" s="2" t="str">
        <f>"21645701"</f>
        <v>21645701</v>
      </c>
      <c r="D7060" s="2">
        <v>0</v>
      </c>
      <c r="E7060" s="2">
        <v>1</v>
      </c>
      <c r="F7060" s="2" t="s">
        <v>6</v>
      </c>
    </row>
    <row r="7061" spans="1:6" ht="25.5">
      <c r="A7061" s="2">
        <v>7058</v>
      </c>
      <c r="B7061" s="2" t="s">
        <v>7136</v>
      </c>
      <c r="C7061" s="2" t="str">
        <f>"16123174"</f>
        <v>16123174</v>
      </c>
      <c r="D7061" s="2">
        <v>0.30499999999999999</v>
      </c>
      <c r="E7061" s="2">
        <v>8</v>
      </c>
      <c r="F7061" s="2" t="s">
        <v>12</v>
      </c>
    </row>
    <row r="7062" spans="1:6" ht="25.5">
      <c r="A7062" s="2">
        <v>7059</v>
      </c>
      <c r="B7062" s="2" t="s">
        <v>7137</v>
      </c>
      <c r="C7062" s="2" t="str">
        <f>"18605214"</f>
        <v>18605214</v>
      </c>
      <c r="D7062" s="2">
        <v>0.19900000000000001</v>
      </c>
      <c r="E7062" s="2">
        <v>2</v>
      </c>
      <c r="F7062" s="2" t="s">
        <v>12</v>
      </c>
    </row>
    <row r="7063" spans="1:6" ht="25.5">
      <c r="A7063" s="2">
        <v>7060</v>
      </c>
      <c r="B7063" s="2" t="s">
        <v>7138</v>
      </c>
      <c r="C7063" s="2" t="str">
        <f>"18603572"</f>
        <v>18603572</v>
      </c>
      <c r="D7063" s="2">
        <v>0.13</v>
      </c>
      <c r="E7063" s="2">
        <v>1</v>
      </c>
      <c r="F7063" s="2" t="s">
        <v>12</v>
      </c>
    </row>
    <row r="7064" spans="1:6" ht="25.5">
      <c r="A7064" s="2">
        <v>7061</v>
      </c>
      <c r="B7064" s="2" t="s">
        <v>7139</v>
      </c>
      <c r="C7064" s="2" t="str">
        <f>"03234207"</f>
        <v>03234207</v>
      </c>
      <c r="D7064" s="2">
        <v>0.1</v>
      </c>
      <c r="E7064" s="2">
        <v>2</v>
      </c>
      <c r="F7064" s="2" t="s">
        <v>12</v>
      </c>
    </row>
    <row r="7065" spans="1:6">
      <c r="A7065" s="2">
        <v>7062</v>
      </c>
      <c r="B7065" s="2" t="s">
        <v>7140</v>
      </c>
      <c r="C7065" s="2" t="str">
        <f>"0"</f>
        <v>0</v>
      </c>
      <c r="D7065" s="2">
        <v>0.1</v>
      </c>
      <c r="E7065" s="2">
        <v>2</v>
      </c>
      <c r="F7065" s="2" t="s">
        <v>345</v>
      </c>
    </row>
    <row r="7066" spans="1:6" ht="25.5">
      <c r="A7066" s="2">
        <v>7063</v>
      </c>
      <c r="B7066" s="2" t="s">
        <v>7141</v>
      </c>
      <c r="C7066" s="2" t="str">
        <f>"00171557"</f>
        <v>00171557</v>
      </c>
      <c r="D7066" s="2">
        <v>1.0760000000000001</v>
      </c>
      <c r="E7066" s="2">
        <v>34</v>
      </c>
      <c r="F7066" s="2" t="s">
        <v>12</v>
      </c>
    </row>
    <row r="7067" spans="1:6" ht="25.5">
      <c r="A7067" s="2">
        <v>7064</v>
      </c>
      <c r="B7067" s="2" t="s">
        <v>7142</v>
      </c>
      <c r="C7067" s="2" t="str">
        <f>"1342937X"</f>
        <v>1342937X</v>
      </c>
      <c r="D7067" s="2">
        <v>3.1150000000000002</v>
      </c>
      <c r="E7067" s="2">
        <v>53</v>
      </c>
      <c r="F7067" s="2" t="s">
        <v>6</v>
      </c>
    </row>
    <row r="7068" spans="1:6" ht="25.5">
      <c r="A7068" s="2">
        <v>7065</v>
      </c>
      <c r="B7068" s="2" t="s">
        <v>7143</v>
      </c>
      <c r="C7068" s="2" t="str">
        <f>"10004750"</f>
        <v>10004750</v>
      </c>
      <c r="D7068" s="2">
        <v>0.34100000000000003</v>
      </c>
      <c r="E7068" s="2">
        <v>17</v>
      </c>
      <c r="F7068" s="2" t="s">
        <v>46</v>
      </c>
    </row>
    <row r="7069" spans="1:6" ht="25.5">
      <c r="A7069" s="2">
        <v>7066</v>
      </c>
      <c r="B7069" s="2" t="s">
        <v>7144</v>
      </c>
      <c r="C7069" s="2" t="str">
        <f>"10019731"</f>
        <v>10019731</v>
      </c>
      <c r="D7069" s="2">
        <v>0.161</v>
      </c>
      <c r="E7069" s="2">
        <v>9</v>
      </c>
      <c r="F7069" s="2" t="s">
        <v>46</v>
      </c>
    </row>
    <row r="7070" spans="1:6" ht="25.5">
      <c r="A7070" s="2">
        <v>7067</v>
      </c>
      <c r="B7070" s="2" t="s">
        <v>7145</v>
      </c>
      <c r="C7070" s="2" t="str">
        <f>"15389731"</f>
        <v>15389731</v>
      </c>
      <c r="D7070" s="2">
        <v>0.11700000000000001</v>
      </c>
      <c r="E7070" s="2">
        <v>2</v>
      </c>
      <c r="F7070" s="2" t="s">
        <v>6</v>
      </c>
    </row>
    <row r="7071" spans="1:6" ht="25.5">
      <c r="A7071" s="2">
        <v>7068</v>
      </c>
      <c r="B7071" s="2" t="s">
        <v>7146</v>
      </c>
      <c r="C7071" s="2" t="str">
        <f>"00172294"</f>
        <v>00172294</v>
      </c>
      <c r="D7071" s="2">
        <v>0.10100000000000001</v>
      </c>
      <c r="E7071" s="2">
        <v>6</v>
      </c>
      <c r="F7071" s="2" t="s">
        <v>75</v>
      </c>
    </row>
    <row r="7072" spans="1:6" ht="25.5">
      <c r="A7072" s="2">
        <v>7069</v>
      </c>
      <c r="B7072" s="2" t="s">
        <v>7147</v>
      </c>
      <c r="C7072" s="2" t="str">
        <f>"08600953"</f>
        <v>08600953</v>
      </c>
      <c r="D7072" s="2">
        <v>0.23799999999999999</v>
      </c>
      <c r="E7072" s="2">
        <v>3</v>
      </c>
      <c r="F7072" s="2" t="s">
        <v>169</v>
      </c>
    </row>
    <row r="7073" spans="1:6" ht="25.5">
      <c r="A7073" s="2">
        <v>7070</v>
      </c>
      <c r="B7073" s="2" t="s">
        <v>7148</v>
      </c>
      <c r="C7073" s="2" t="str">
        <f>"15607186"</f>
        <v>15607186</v>
      </c>
      <c r="D7073" s="2">
        <v>0.10199999999999999</v>
      </c>
      <c r="E7073" s="2">
        <v>1</v>
      </c>
      <c r="F7073" s="2" t="s">
        <v>299</v>
      </c>
    </row>
    <row r="7074" spans="1:6" ht="25.5">
      <c r="A7074" s="2">
        <v>7071</v>
      </c>
      <c r="B7074" s="2" t="s">
        <v>7149</v>
      </c>
      <c r="C7074" s="2" t="str">
        <f>"14680491"</f>
        <v>14680491</v>
      </c>
      <c r="D7074" s="2">
        <v>1.3320000000000001</v>
      </c>
      <c r="E7074" s="2">
        <v>33</v>
      </c>
      <c r="F7074" s="2" t="s">
        <v>16</v>
      </c>
    </row>
    <row r="7075" spans="1:6" ht="25.5">
      <c r="A7075" s="2">
        <v>7072</v>
      </c>
      <c r="B7075" s="2" t="s">
        <v>7150</v>
      </c>
      <c r="C7075" s="2" t="str">
        <f>"14777053"</f>
        <v>14777053</v>
      </c>
      <c r="D7075" s="2">
        <v>0.52500000000000002</v>
      </c>
      <c r="E7075" s="2">
        <v>21</v>
      </c>
      <c r="F7075" s="2" t="s">
        <v>16</v>
      </c>
    </row>
    <row r="7076" spans="1:6" ht="25.5">
      <c r="A7076" s="2">
        <v>7073</v>
      </c>
      <c r="B7076" s="2" t="s">
        <v>7151</v>
      </c>
      <c r="C7076" s="2" t="str">
        <f>"0740624X"</f>
        <v>0740624X</v>
      </c>
      <c r="D7076" s="2">
        <v>1.0449999999999999</v>
      </c>
      <c r="E7076" s="2">
        <v>37</v>
      </c>
      <c r="F7076" s="2" t="s">
        <v>16</v>
      </c>
    </row>
    <row r="7077" spans="1:6" ht="25.5">
      <c r="A7077" s="2">
        <v>7074</v>
      </c>
      <c r="B7077" s="2" t="s">
        <v>7152</v>
      </c>
      <c r="C7077" s="2" t="str">
        <f>"03527565"</f>
        <v>03527565</v>
      </c>
      <c r="D7077" s="2">
        <v>0.10100000000000001</v>
      </c>
      <c r="E7077" s="2">
        <v>1</v>
      </c>
      <c r="F7077" s="2" t="s">
        <v>149</v>
      </c>
    </row>
    <row r="7078" spans="1:6" ht="25.5">
      <c r="A7078" s="2">
        <v>7075</v>
      </c>
      <c r="B7078" s="2" t="s">
        <v>7153</v>
      </c>
      <c r="C7078" s="2" t="str">
        <f>"00172715"</f>
        <v>00172715</v>
      </c>
      <c r="D7078" s="2">
        <v>0.13900000000000001</v>
      </c>
      <c r="E7078" s="2">
        <v>2</v>
      </c>
      <c r="F7078" s="2" t="s">
        <v>351</v>
      </c>
    </row>
    <row r="7079" spans="1:6" ht="25.5">
      <c r="A7079" s="2">
        <v>7076</v>
      </c>
      <c r="B7079" s="2" t="s">
        <v>7154</v>
      </c>
      <c r="C7079" s="2" t="str">
        <f>"1300526X"</f>
        <v>1300526X</v>
      </c>
      <c r="D7079" s="2">
        <v>0.1</v>
      </c>
      <c r="E7079" s="2">
        <v>1</v>
      </c>
      <c r="F7079" s="2" t="s">
        <v>345</v>
      </c>
    </row>
    <row r="7080" spans="1:6" ht="25.5">
      <c r="A7080" s="2">
        <v>7077</v>
      </c>
      <c r="B7080" s="2" t="s">
        <v>7155</v>
      </c>
      <c r="C7080" s="2" t="str">
        <f>"10805370"</f>
        <v>10805370</v>
      </c>
      <c r="D7080" s="2">
        <v>1.006</v>
      </c>
      <c r="E7080" s="2">
        <v>19</v>
      </c>
      <c r="F7080" s="2" t="s">
        <v>12</v>
      </c>
    </row>
    <row r="7081" spans="1:6" ht="25.5">
      <c r="A7081" s="2">
        <v>7078</v>
      </c>
      <c r="B7081" s="2" t="s">
        <v>7156</v>
      </c>
      <c r="C7081" s="2" t="str">
        <f>"03638057"</f>
        <v>03638057</v>
      </c>
      <c r="D7081" s="2">
        <v>0.10100000000000001</v>
      </c>
      <c r="E7081" s="2">
        <v>0</v>
      </c>
      <c r="F7081" s="2" t="s">
        <v>6</v>
      </c>
    </row>
    <row r="7082" spans="1:6" ht="25.5">
      <c r="A7082" s="2">
        <v>7079</v>
      </c>
      <c r="B7082" s="2" t="s">
        <v>7157</v>
      </c>
      <c r="C7082" s="2" t="str">
        <f>"1435702X"</f>
        <v>1435702X</v>
      </c>
      <c r="D7082" s="2">
        <v>1.3149999999999999</v>
      </c>
      <c r="E7082" s="2">
        <v>63</v>
      </c>
      <c r="F7082" s="2" t="s">
        <v>12</v>
      </c>
    </row>
    <row r="7083" spans="1:6" ht="25.5">
      <c r="A7083" s="2">
        <v>7080</v>
      </c>
      <c r="B7083" s="2" t="s">
        <v>7158</v>
      </c>
      <c r="C7083" s="2" t="str">
        <f>"1989953X"</f>
        <v>1989953X</v>
      </c>
      <c r="D7083" s="2">
        <v>0.157</v>
      </c>
      <c r="E7083" s="2">
        <v>1</v>
      </c>
      <c r="F7083" s="2" t="s">
        <v>351</v>
      </c>
    </row>
    <row r="7084" spans="1:6" ht="25.5">
      <c r="A7084" s="2">
        <v>7081</v>
      </c>
      <c r="B7084" s="2" t="s">
        <v>7159</v>
      </c>
      <c r="C7084" s="2" t="str">
        <f>"16512049"</f>
        <v>16512049</v>
      </c>
      <c r="D7084" s="2">
        <v>0.34499999999999997</v>
      </c>
      <c r="E7084" s="2">
        <v>24</v>
      </c>
      <c r="F7084" s="2" t="s">
        <v>151</v>
      </c>
    </row>
    <row r="7085" spans="1:6" ht="25.5">
      <c r="A7085" s="2">
        <v>7082</v>
      </c>
      <c r="B7085" s="2" t="s">
        <v>7160</v>
      </c>
      <c r="C7085" s="2" t="str">
        <f>"14347636"</f>
        <v>14347636</v>
      </c>
      <c r="D7085" s="2">
        <v>0.66500000000000004</v>
      </c>
      <c r="E7085" s="2">
        <v>29</v>
      </c>
      <c r="F7085" s="2" t="s">
        <v>6</v>
      </c>
    </row>
    <row r="7086" spans="1:6" ht="25.5">
      <c r="A7086" s="2">
        <v>7083</v>
      </c>
      <c r="B7086" s="2" t="s">
        <v>7161</v>
      </c>
      <c r="C7086" s="2" t="str">
        <f>"15240711"</f>
        <v>15240711</v>
      </c>
      <c r="D7086" s="2">
        <v>0.75</v>
      </c>
      <c r="E7086" s="2">
        <v>39</v>
      </c>
      <c r="F7086" s="2" t="s">
        <v>6</v>
      </c>
    </row>
    <row r="7087" spans="1:6" ht="25.5">
      <c r="A7087" s="2">
        <v>7084</v>
      </c>
      <c r="B7087" s="2" t="s">
        <v>7162</v>
      </c>
      <c r="C7087" s="2" t="str">
        <f>"09110119"</f>
        <v>09110119</v>
      </c>
      <c r="D7087" s="2">
        <v>0.70099999999999996</v>
      </c>
      <c r="E7087" s="2">
        <v>20</v>
      </c>
      <c r="F7087" s="2" t="s">
        <v>131</v>
      </c>
    </row>
    <row r="7088" spans="1:6" ht="25.5">
      <c r="A7088" s="2">
        <v>7085</v>
      </c>
      <c r="B7088" s="2" t="s">
        <v>7163</v>
      </c>
      <c r="C7088" s="2" t="str">
        <f>"00173495"</f>
        <v>00173495</v>
      </c>
      <c r="D7088" s="2">
        <v>0.41499999999999998</v>
      </c>
      <c r="E7088" s="2">
        <v>22</v>
      </c>
      <c r="F7088" s="2" t="s">
        <v>351</v>
      </c>
    </row>
    <row r="7089" spans="1:6" ht="25.5">
      <c r="A7089" s="2">
        <v>7086</v>
      </c>
      <c r="B7089" s="2" t="s">
        <v>7164</v>
      </c>
      <c r="C7089" s="2" t="str">
        <f>"13652494"</f>
        <v>13652494</v>
      </c>
      <c r="D7089" s="2">
        <v>0.65200000000000002</v>
      </c>
      <c r="E7089" s="2">
        <v>31</v>
      </c>
      <c r="F7089" s="2" t="s">
        <v>16</v>
      </c>
    </row>
    <row r="7090" spans="1:6" ht="25.5">
      <c r="A7090" s="2">
        <v>7087</v>
      </c>
      <c r="B7090" s="2" t="s">
        <v>7165</v>
      </c>
      <c r="C7090" s="2" t="str">
        <f>"17446961"</f>
        <v>17446961</v>
      </c>
      <c r="D7090" s="2">
        <v>0.28499999999999998</v>
      </c>
      <c r="E7090" s="2">
        <v>5</v>
      </c>
      <c r="F7090" s="2" t="s">
        <v>16</v>
      </c>
    </row>
    <row r="7091" spans="1:6" ht="25.5">
      <c r="A7091" s="2">
        <v>7088</v>
      </c>
      <c r="B7091" s="2" t="s">
        <v>7166</v>
      </c>
      <c r="C7091" s="2" t="str">
        <f>"02022893"</f>
        <v>02022893</v>
      </c>
      <c r="D7091" s="2">
        <v>0.35499999999999998</v>
      </c>
      <c r="E7091" s="2">
        <v>6</v>
      </c>
      <c r="F7091" s="2" t="s">
        <v>129</v>
      </c>
    </row>
    <row r="7092" spans="1:6" ht="25.5">
      <c r="A7092" s="2">
        <v>7089</v>
      </c>
      <c r="B7092" s="2" t="s">
        <v>7167</v>
      </c>
      <c r="C7092" s="2" t="str">
        <f>"01659227"</f>
        <v>01659227</v>
      </c>
      <c r="D7092" s="2">
        <v>0.158</v>
      </c>
      <c r="E7092" s="2">
        <v>1</v>
      </c>
      <c r="F7092" s="2" t="s">
        <v>75</v>
      </c>
    </row>
    <row r="7093" spans="1:6" ht="25.5">
      <c r="A7093" s="2">
        <v>7090</v>
      </c>
      <c r="B7093" s="2" t="s">
        <v>7168</v>
      </c>
      <c r="C7093" s="2" t="str">
        <f>"19391633"</f>
        <v>19391633</v>
      </c>
      <c r="D7093" s="2">
        <v>0.125</v>
      </c>
      <c r="E7093" s="2">
        <v>2</v>
      </c>
      <c r="F7093" s="2" t="s">
        <v>6</v>
      </c>
    </row>
    <row r="7094" spans="1:6" ht="25.5">
      <c r="A7094" s="2">
        <v>7091</v>
      </c>
      <c r="B7094" s="2" t="s">
        <v>7169</v>
      </c>
      <c r="C7094" s="2" t="str">
        <f>"00900222"</f>
        <v>00900222</v>
      </c>
      <c r="D7094" s="2">
        <v>0.21099999999999999</v>
      </c>
      <c r="E7094" s="2">
        <v>12</v>
      </c>
      <c r="F7094" s="2" t="s">
        <v>6</v>
      </c>
    </row>
    <row r="7095" spans="1:6" ht="25.5">
      <c r="A7095" s="2">
        <v>7092</v>
      </c>
      <c r="B7095" s="2" t="s">
        <v>7170</v>
      </c>
      <c r="C7095" s="2" t="str">
        <f>"02757664"</f>
        <v>02757664</v>
      </c>
      <c r="D7095" s="2">
        <v>0.10100000000000001</v>
      </c>
      <c r="E7095" s="2">
        <v>5</v>
      </c>
      <c r="F7095" s="2" t="s">
        <v>6</v>
      </c>
    </row>
    <row r="7096" spans="1:6" ht="25.5">
      <c r="A7096" s="2">
        <v>7093</v>
      </c>
      <c r="B7096" s="2" t="s">
        <v>7171</v>
      </c>
      <c r="C7096" s="2" t="str">
        <f>"10525165"</f>
        <v>10525165</v>
      </c>
      <c r="D7096" s="2">
        <v>0.14000000000000001</v>
      </c>
      <c r="E7096" s="2">
        <v>11</v>
      </c>
      <c r="F7096" s="2" t="s">
        <v>6</v>
      </c>
    </row>
    <row r="7097" spans="1:6" ht="25.5">
      <c r="A7097" s="2">
        <v>7094</v>
      </c>
      <c r="B7097" s="2" t="s">
        <v>7172</v>
      </c>
      <c r="C7097" s="2" t="str">
        <f>"00173835"</f>
        <v>00173835</v>
      </c>
      <c r="D7097" s="2">
        <v>0.14099999999999999</v>
      </c>
      <c r="E7097" s="2">
        <v>6</v>
      </c>
      <c r="F7097" s="2" t="s">
        <v>16</v>
      </c>
    </row>
    <row r="7098" spans="1:6" ht="25.5">
      <c r="A7098" s="2">
        <v>7095</v>
      </c>
      <c r="B7098" s="2" t="s">
        <v>7173</v>
      </c>
      <c r="C7098" s="2" t="str">
        <f>"00173916"</f>
        <v>00173916</v>
      </c>
      <c r="D7098" s="2">
        <v>0.123</v>
      </c>
      <c r="E7098" s="2">
        <v>5</v>
      </c>
      <c r="F7098" s="2" t="s">
        <v>6</v>
      </c>
    </row>
    <row r="7099" spans="1:6" ht="25.5">
      <c r="A7099" s="2">
        <v>7096</v>
      </c>
      <c r="B7099" s="2" t="s">
        <v>7174</v>
      </c>
      <c r="C7099" s="2" t="str">
        <f>"14639270"</f>
        <v>14639270</v>
      </c>
      <c r="D7099" s="2">
        <v>2.0859999999999999</v>
      </c>
      <c r="E7099" s="2">
        <v>98</v>
      </c>
      <c r="F7099" s="2" t="s">
        <v>16</v>
      </c>
    </row>
    <row r="7100" spans="1:6" ht="25.5">
      <c r="A7100" s="2">
        <v>7097</v>
      </c>
      <c r="B7100" s="2" t="s">
        <v>7175</v>
      </c>
      <c r="C7100" s="2" t="str">
        <f>"17518253"</f>
        <v>17518253</v>
      </c>
      <c r="D7100" s="2">
        <v>0.36499999999999999</v>
      </c>
      <c r="E7100" s="2">
        <v>8</v>
      </c>
      <c r="F7100" s="2" t="s">
        <v>16</v>
      </c>
    </row>
    <row r="7101" spans="1:6" ht="25.5">
      <c r="A7101" s="2">
        <v>7098</v>
      </c>
      <c r="B7101" s="2" t="s">
        <v>7176</v>
      </c>
      <c r="C7101" s="2" t="str">
        <f>"21523878"</f>
        <v>21523878</v>
      </c>
      <c r="D7101" s="2">
        <v>0.55300000000000005</v>
      </c>
      <c r="E7101" s="2">
        <v>5</v>
      </c>
      <c r="F7101" s="2" t="s">
        <v>16</v>
      </c>
    </row>
    <row r="7102" spans="1:6" ht="25.5">
      <c r="A7102" s="2">
        <v>7099</v>
      </c>
      <c r="B7102" s="2" t="s">
        <v>7177</v>
      </c>
      <c r="C7102" s="2" t="str">
        <f>"00174114"</f>
        <v>00174114</v>
      </c>
      <c r="D7102" s="2">
        <v>0.154</v>
      </c>
      <c r="E7102" s="2">
        <v>3</v>
      </c>
      <c r="F7102" s="2" t="s">
        <v>190</v>
      </c>
    </row>
    <row r="7103" spans="1:6" ht="25.5">
      <c r="A7103" s="2">
        <v>7100</v>
      </c>
      <c r="B7103" s="2" t="s">
        <v>7178</v>
      </c>
      <c r="C7103" s="2" t="str">
        <f>"1574180X"</f>
        <v>1574180X</v>
      </c>
      <c r="D7103" s="2">
        <v>0.182</v>
      </c>
      <c r="E7103" s="2">
        <v>2</v>
      </c>
      <c r="F7103" s="2" t="s">
        <v>75</v>
      </c>
    </row>
    <row r="7104" spans="1:6" ht="25.5">
      <c r="A7104" s="2">
        <v>7101</v>
      </c>
      <c r="B7104" s="2" t="s">
        <v>7179</v>
      </c>
      <c r="C7104" s="2" t="str">
        <f>"15263819"</f>
        <v>15263819</v>
      </c>
      <c r="D7104" s="2">
        <v>0.161</v>
      </c>
      <c r="E7104" s="2">
        <v>6</v>
      </c>
      <c r="F7104" s="2" t="s">
        <v>6</v>
      </c>
    </row>
    <row r="7105" spans="1:6" ht="25.5">
      <c r="A7105" s="2">
        <v>7102</v>
      </c>
      <c r="B7105" s="2" t="s">
        <v>7180</v>
      </c>
      <c r="C7105" s="2" t="str">
        <f>"10185011"</f>
        <v>10185011</v>
      </c>
      <c r="D7105" s="2">
        <v>0.10299999999999999</v>
      </c>
      <c r="E7105" s="2">
        <v>1</v>
      </c>
      <c r="F7105" s="2" t="s">
        <v>7181</v>
      </c>
    </row>
    <row r="7106" spans="1:6" ht="25.5">
      <c r="A7106" s="2">
        <v>7103</v>
      </c>
      <c r="B7106" s="2" t="s">
        <v>7182</v>
      </c>
      <c r="C7106" s="2" t="str">
        <f>"18760759"</f>
        <v>18760759</v>
      </c>
      <c r="D7106" s="2">
        <v>0.14799999999999999</v>
      </c>
      <c r="E7106" s="2">
        <v>3</v>
      </c>
      <c r="F7106" s="2" t="s">
        <v>75</v>
      </c>
    </row>
    <row r="7107" spans="1:6" ht="25.5">
      <c r="A7107" s="2">
        <v>7104</v>
      </c>
      <c r="B7107" s="2" t="s">
        <v>7183</v>
      </c>
      <c r="C7107" s="2" t="str">
        <f>"0017467X"</f>
        <v>0017467X</v>
      </c>
      <c r="D7107" s="2">
        <v>1.228</v>
      </c>
      <c r="E7107" s="2">
        <v>54</v>
      </c>
      <c r="F7107" s="2" t="s">
        <v>16</v>
      </c>
    </row>
    <row r="7108" spans="1:6" ht="25.5">
      <c r="A7108" s="2">
        <v>7105</v>
      </c>
      <c r="B7108" s="2" t="s">
        <v>7184</v>
      </c>
      <c r="C7108" s="2" t="str">
        <f>"10693629"</f>
        <v>10693629</v>
      </c>
      <c r="D7108" s="2">
        <v>0.72699999999999998</v>
      </c>
      <c r="E7108" s="2">
        <v>31</v>
      </c>
      <c r="F7108" s="2" t="s">
        <v>16</v>
      </c>
    </row>
    <row r="7109" spans="1:6" ht="25.5">
      <c r="A7109" s="2">
        <v>7106</v>
      </c>
      <c r="B7109" s="2" t="s">
        <v>7185</v>
      </c>
      <c r="C7109" s="2" t="str">
        <f>"1461717X"</f>
        <v>1461717X</v>
      </c>
      <c r="D7109" s="2">
        <v>0.20399999999999999</v>
      </c>
      <c r="E7109" s="2">
        <v>10</v>
      </c>
      <c r="F7109" s="2" t="s">
        <v>16</v>
      </c>
    </row>
    <row r="7110" spans="1:6" ht="25.5">
      <c r="A7110" s="2">
        <v>7107</v>
      </c>
      <c r="B7110" s="2" t="s">
        <v>7186</v>
      </c>
      <c r="C7110" s="2" t="str">
        <f>"10596011"</f>
        <v>10596011</v>
      </c>
      <c r="D7110" s="2">
        <v>2.552</v>
      </c>
      <c r="E7110" s="2">
        <v>41</v>
      </c>
      <c r="F7110" s="2" t="s">
        <v>6</v>
      </c>
    </row>
    <row r="7111" spans="1:6" ht="25.5">
      <c r="A7111" s="2">
        <v>7108</v>
      </c>
      <c r="B7111" s="2" t="s">
        <v>7187</v>
      </c>
      <c r="C7111" s="2" t="str">
        <f>"15729907"</f>
        <v>15729907</v>
      </c>
      <c r="D7111" s="2">
        <v>0.439</v>
      </c>
      <c r="E7111" s="2">
        <v>30</v>
      </c>
      <c r="F7111" s="2" t="s">
        <v>75</v>
      </c>
    </row>
    <row r="7112" spans="1:6" ht="25.5">
      <c r="A7112" s="2">
        <v>7109</v>
      </c>
      <c r="B7112" s="2" t="s">
        <v>7188</v>
      </c>
      <c r="C7112" s="2" t="str">
        <f>"10892699"</f>
        <v>10892699</v>
      </c>
      <c r="D7112" s="2">
        <v>0.44</v>
      </c>
      <c r="E7112" s="2">
        <v>35</v>
      </c>
      <c r="F7112" s="2" t="s">
        <v>6</v>
      </c>
    </row>
    <row r="7113" spans="1:6" ht="25.5">
      <c r="A7113" s="2">
        <v>7110</v>
      </c>
      <c r="B7113" s="2" t="s">
        <v>7189</v>
      </c>
      <c r="C7113" s="2" t="str">
        <f>"13684302"</f>
        <v>13684302</v>
      </c>
      <c r="D7113" s="2">
        <v>1.3779999999999999</v>
      </c>
      <c r="E7113" s="2">
        <v>28</v>
      </c>
      <c r="F7113" s="2" t="s">
        <v>16</v>
      </c>
    </row>
    <row r="7114" spans="1:6" ht="25.5">
      <c r="A7114" s="2">
        <v>7111</v>
      </c>
      <c r="B7114" s="2" t="s">
        <v>7190</v>
      </c>
      <c r="C7114" s="2" t="str">
        <f>"18696104"</f>
        <v>18696104</v>
      </c>
      <c r="D7114" s="2">
        <v>0.5</v>
      </c>
      <c r="E7114" s="2">
        <v>3</v>
      </c>
      <c r="F7114" s="2" t="s">
        <v>12</v>
      </c>
    </row>
    <row r="7115" spans="1:6" ht="25.5">
      <c r="A7115" s="2">
        <v>7112</v>
      </c>
      <c r="B7115" s="2" t="s">
        <v>7191</v>
      </c>
      <c r="C7115" s="2" t="str">
        <f>"16617215"</f>
        <v>16617215</v>
      </c>
      <c r="D7115" s="2">
        <v>1.587</v>
      </c>
      <c r="E7115" s="2">
        <v>5</v>
      </c>
      <c r="F7115" s="2" t="s">
        <v>31</v>
      </c>
    </row>
    <row r="7116" spans="1:6" ht="25.5">
      <c r="A7116" s="2">
        <v>7113</v>
      </c>
      <c r="B7116" s="2" t="s">
        <v>7192</v>
      </c>
      <c r="C7116" s="2" t="str">
        <f>"0951824X"</f>
        <v>0951824X</v>
      </c>
      <c r="D7116" s="2">
        <v>0.11</v>
      </c>
      <c r="E7116" s="2">
        <v>3</v>
      </c>
      <c r="F7116" s="2" t="s">
        <v>16</v>
      </c>
    </row>
    <row r="7117" spans="1:6" ht="25.5">
      <c r="A7117" s="2">
        <v>7114</v>
      </c>
      <c r="B7117" s="2" t="s">
        <v>7193</v>
      </c>
      <c r="C7117" s="2" t="str">
        <f>"14682257"</f>
        <v>14682257</v>
      </c>
      <c r="D7117" s="2">
        <v>0.47599999999999998</v>
      </c>
      <c r="E7117" s="2">
        <v>29</v>
      </c>
      <c r="F7117" s="2" t="s">
        <v>16</v>
      </c>
    </row>
    <row r="7118" spans="1:6" ht="25.5">
      <c r="A7118" s="2">
        <v>7115</v>
      </c>
      <c r="B7118" s="2" t="s">
        <v>7194</v>
      </c>
      <c r="C7118" s="2" t="str">
        <f>"10292292"</f>
        <v>10292292</v>
      </c>
      <c r="D7118" s="2">
        <v>0.66900000000000004</v>
      </c>
      <c r="E7118" s="2">
        <v>42</v>
      </c>
      <c r="F7118" s="2" t="s">
        <v>16</v>
      </c>
    </row>
    <row r="7119" spans="1:6" ht="25.5">
      <c r="A7119" s="2">
        <v>7116</v>
      </c>
      <c r="B7119" s="2" t="s">
        <v>7195</v>
      </c>
      <c r="C7119" s="2" t="str">
        <f>"10966374"</f>
        <v>10966374</v>
      </c>
      <c r="D7119" s="2">
        <v>0.72399999999999998</v>
      </c>
      <c r="E7119" s="2">
        <v>41</v>
      </c>
      <c r="F7119" s="2" t="s">
        <v>6</v>
      </c>
    </row>
    <row r="7120" spans="1:6" ht="25.5">
      <c r="A7120" s="2">
        <v>7117</v>
      </c>
      <c r="B7120" s="2" t="s">
        <v>7196</v>
      </c>
      <c r="C7120" s="2" t="str">
        <f>"14321165"</f>
        <v>14321165</v>
      </c>
      <c r="D7120" s="2">
        <v>0.29099999999999998</v>
      </c>
      <c r="E7120" s="2">
        <v>12</v>
      </c>
      <c r="F7120" s="2" t="s">
        <v>12</v>
      </c>
    </row>
    <row r="7121" spans="1:6" ht="25.5">
      <c r="A7121" s="2">
        <v>7118</v>
      </c>
      <c r="B7121" s="2" t="s">
        <v>7197</v>
      </c>
      <c r="C7121" s="2" t="str">
        <f>"16187849"</f>
        <v>16187849</v>
      </c>
      <c r="D7121" s="2">
        <v>0.10100000000000001</v>
      </c>
      <c r="E7121" s="2">
        <v>6</v>
      </c>
      <c r="F7121" s="2" t="s">
        <v>12</v>
      </c>
    </row>
    <row r="7122" spans="1:6" ht="25.5">
      <c r="A7122" s="2">
        <v>7119</v>
      </c>
      <c r="B7122" s="2" t="s">
        <v>7198</v>
      </c>
      <c r="C7122" s="2" t="str">
        <f>"00174947"</f>
        <v>00174947</v>
      </c>
      <c r="D7122" s="2">
        <v>0.14399999999999999</v>
      </c>
      <c r="E7122" s="2">
        <v>8</v>
      </c>
      <c r="F7122" s="2" t="s">
        <v>12</v>
      </c>
    </row>
    <row r="7123" spans="1:6" ht="25.5">
      <c r="A7123" s="2">
        <v>7120</v>
      </c>
      <c r="B7123" s="2" t="s">
        <v>7199</v>
      </c>
      <c r="C7123" s="2" t="str">
        <f>"10525173"</f>
        <v>10525173</v>
      </c>
      <c r="D7123" s="2">
        <v>1.3080000000000001</v>
      </c>
      <c r="E7123" s="2">
        <v>48</v>
      </c>
      <c r="F7123" s="2" t="s">
        <v>6</v>
      </c>
    </row>
    <row r="7124" spans="1:6" ht="25.5">
      <c r="A7124" s="2">
        <v>7121</v>
      </c>
      <c r="B7124" s="2" t="s">
        <v>7200</v>
      </c>
      <c r="C7124" s="2" t="str">
        <f>"1003501X"</f>
        <v>1003501X</v>
      </c>
      <c r="D7124" s="2">
        <v>0.28399999999999997</v>
      </c>
      <c r="E7124" s="2">
        <v>12</v>
      </c>
      <c r="F7124" s="2" t="s">
        <v>46</v>
      </c>
    </row>
    <row r="7125" spans="1:6" ht="25.5">
      <c r="A7125" s="2">
        <v>7122</v>
      </c>
      <c r="B7125" s="2" t="s">
        <v>7201</v>
      </c>
      <c r="C7125" s="2" t="str">
        <f>"10050086"</f>
        <v>10050086</v>
      </c>
      <c r="D7125" s="2">
        <v>0.32200000000000001</v>
      </c>
      <c r="E7125" s="2">
        <v>17</v>
      </c>
      <c r="F7125" s="2" t="s">
        <v>46</v>
      </c>
    </row>
    <row r="7126" spans="1:6" ht="25.5">
      <c r="A7126" s="2">
        <v>7123</v>
      </c>
      <c r="B7126" s="2" t="s">
        <v>7202</v>
      </c>
      <c r="C7126" s="2" t="str">
        <f>"10000593"</f>
        <v>10000593</v>
      </c>
      <c r="D7126" s="2">
        <v>0.17199999999999999</v>
      </c>
      <c r="E7126" s="2">
        <v>18</v>
      </c>
      <c r="F7126" s="2" t="s">
        <v>46</v>
      </c>
    </row>
    <row r="7127" spans="1:6" ht="25.5">
      <c r="A7127" s="2">
        <v>7124</v>
      </c>
      <c r="B7127" s="2" t="s">
        <v>7203</v>
      </c>
      <c r="C7127" s="2" t="str">
        <f>"1004924X"</f>
        <v>1004924X</v>
      </c>
      <c r="D7127" s="2">
        <v>0.46</v>
      </c>
      <c r="E7127" s="2">
        <v>21</v>
      </c>
      <c r="F7127" s="2" t="s">
        <v>46</v>
      </c>
    </row>
    <row r="7128" spans="1:6" ht="25.5">
      <c r="A7128" s="2">
        <v>7125</v>
      </c>
      <c r="B7128" s="2" t="s">
        <v>7204</v>
      </c>
      <c r="C7128" s="2" t="str">
        <f>"10021582"</f>
        <v>10021582</v>
      </c>
      <c r="D7128" s="2">
        <v>0.20799999999999999</v>
      </c>
      <c r="E7128" s="2">
        <v>11</v>
      </c>
      <c r="F7128" s="2" t="s">
        <v>46</v>
      </c>
    </row>
    <row r="7129" spans="1:6" ht="25.5">
      <c r="A7129" s="2">
        <v>7126</v>
      </c>
      <c r="B7129" s="2" t="s">
        <v>7205</v>
      </c>
      <c r="C7129" s="2" t="str">
        <f>"02532239"</f>
        <v>02532239</v>
      </c>
      <c r="D7129" s="2">
        <v>0.49</v>
      </c>
      <c r="E7129" s="2">
        <v>25</v>
      </c>
      <c r="F7129" s="2" t="s">
        <v>46</v>
      </c>
    </row>
    <row r="7130" spans="1:6" ht="25.5">
      <c r="A7130" s="2">
        <v>7127</v>
      </c>
      <c r="B7130" s="2" t="s">
        <v>7206</v>
      </c>
      <c r="C7130" s="2" t="str">
        <f>"10044213"</f>
        <v>10044213</v>
      </c>
      <c r="D7130" s="2">
        <v>0.308</v>
      </c>
      <c r="E7130" s="2">
        <v>17</v>
      </c>
      <c r="F7130" s="2" t="s">
        <v>46</v>
      </c>
    </row>
    <row r="7131" spans="1:6" ht="25.5">
      <c r="A7131" s="2">
        <v>7128</v>
      </c>
      <c r="B7131" s="2" t="s">
        <v>7207</v>
      </c>
      <c r="C7131" s="2" t="str">
        <f>"09842292"</f>
        <v>09842292</v>
      </c>
      <c r="D7131" s="2">
        <v>0.1</v>
      </c>
      <c r="E7131" s="2">
        <v>2</v>
      </c>
      <c r="F7131" s="2" t="s">
        <v>66</v>
      </c>
    </row>
    <row r="7132" spans="1:6" ht="25.5">
      <c r="A7132" s="2">
        <v>7129</v>
      </c>
      <c r="B7132" s="2" t="s">
        <v>7208</v>
      </c>
      <c r="C7132" s="2" t="str">
        <f>"1087688X"</f>
        <v>1087688X</v>
      </c>
      <c r="D7132" s="2">
        <v>0.115</v>
      </c>
      <c r="E7132" s="2">
        <v>14</v>
      </c>
      <c r="F7132" s="2" t="s">
        <v>6</v>
      </c>
    </row>
    <row r="7133" spans="1:6" ht="25.5">
      <c r="A7133" s="2">
        <v>7130</v>
      </c>
      <c r="B7133" s="2" t="s">
        <v>7209</v>
      </c>
      <c r="C7133" s="2" t="str">
        <f>"13020471"</f>
        <v>13020471</v>
      </c>
      <c r="D7133" s="2">
        <v>0.125</v>
      </c>
      <c r="E7133" s="2">
        <v>6</v>
      </c>
      <c r="F7133" s="2" t="s">
        <v>345</v>
      </c>
    </row>
    <row r="7134" spans="1:6" ht="25.5">
      <c r="A7134" s="2">
        <v>7131</v>
      </c>
      <c r="B7134" s="2" t="s">
        <v>7210</v>
      </c>
      <c r="C7134" s="2" t="str">
        <f>"13049054"</f>
        <v>13049054</v>
      </c>
      <c r="D7134" s="2">
        <v>0.10100000000000001</v>
      </c>
      <c r="E7134" s="2">
        <v>1</v>
      </c>
      <c r="F7134" s="2" t="s">
        <v>345</v>
      </c>
    </row>
    <row r="7135" spans="1:6" ht="25.5">
      <c r="A7135" s="2">
        <v>7132</v>
      </c>
      <c r="B7135" s="2" t="s">
        <v>7211</v>
      </c>
      <c r="C7135" s="2" t="str">
        <f>"1009606X"</f>
        <v>1009606X</v>
      </c>
      <c r="D7135" s="2">
        <v>0.159</v>
      </c>
      <c r="E7135" s="2">
        <v>9</v>
      </c>
      <c r="F7135" s="2" t="s">
        <v>46</v>
      </c>
    </row>
    <row r="7136" spans="1:6" ht="25.5">
      <c r="A7136" s="2">
        <v>7133</v>
      </c>
      <c r="B7136" s="2" t="s">
        <v>7212</v>
      </c>
      <c r="C7136" s="2" t="str">
        <f>"10012486"</f>
        <v>10012486</v>
      </c>
      <c r="D7136" s="2">
        <v>0.193</v>
      </c>
      <c r="E7136" s="2">
        <v>8</v>
      </c>
      <c r="F7136" s="2" t="s">
        <v>46</v>
      </c>
    </row>
    <row r="7137" spans="1:6" ht="25.5">
      <c r="A7137" s="2">
        <v>7134</v>
      </c>
      <c r="B7137" s="2" t="s">
        <v>7213</v>
      </c>
      <c r="C7137" s="2" t="str">
        <f>"14683288"</f>
        <v>14683288</v>
      </c>
      <c r="D7137" s="2">
        <v>3.379</v>
      </c>
      <c r="E7137" s="2">
        <v>181</v>
      </c>
      <c r="F7137" s="2" t="s">
        <v>16</v>
      </c>
    </row>
    <row r="7138" spans="1:6" ht="25.5">
      <c r="A7138" s="2">
        <v>7135</v>
      </c>
      <c r="B7138" s="2" t="s">
        <v>7214</v>
      </c>
      <c r="C7138" s="2" t="str">
        <f>"20051212"</f>
        <v>20051212</v>
      </c>
      <c r="D7138" s="2">
        <v>0.46899999999999997</v>
      </c>
      <c r="E7138" s="2">
        <v>10</v>
      </c>
      <c r="F7138" s="2" t="s">
        <v>274</v>
      </c>
    </row>
    <row r="7139" spans="1:6" ht="25.5">
      <c r="A7139" s="2">
        <v>7136</v>
      </c>
      <c r="B7139" s="2" t="s">
        <v>7215</v>
      </c>
      <c r="C7139" s="2" t="str">
        <f>"10003819"</f>
        <v>10003819</v>
      </c>
      <c r="D7139" s="2">
        <v>0.107</v>
      </c>
      <c r="E7139" s="2">
        <v>4</v>
      </c>
      <c r="F7139" s="2" t="s">
        <v>46</v>
      </c>
    </row>
    <row r="7140" spans="1:6" ht="25.5">
      <c r="A7140" s="2">
        <v>7137</v>
      </c>
      <c r="B7140" s="2" t="s">
        <v>7216</v>
      </c>
      <c r="C7140" s="2" t="str">
        <f>"10062793"</f>
        <v>10062793</v>
      </c>
      <c r="D7140" s="2">
        <v>0.129</v>
      </c>
      <c r="E7140" s="2">
        <v>6</v>
      </c>
      <c r="F7140" s="2" t="s">
        <v>46</v>
      </c>
    </row>
    <row r="7141" spans="1:6" ht="25.5">
      <c r="A7141" s="2">
        <v>7138</v>
      </c>
      <c r="B7141" s="2" t="s">
        <v>7217</v>
      </c>
      <c r="C7141" s="2" t="str">
        <f>"02547805"</f>
        <v>02547805</v>
      </c>
      <c r="D7141" s="2">
        <v>0.30399999999999999</v>
      </c>
      <c r="E7141" s="2">
        <v>7</v>
      </c>
      <c r="F7141" s="2" t="s">
        <v>46</v>
      </c>
    </row>
    <row r="7142" spans="1:6" ht="25.5">
      <c r="A7142" s="2">
        <v>7139</v>
      </c>
      <c r="B7142" s="2" t="s">
        <v>7218</v>
      </c>
      <c r="C7142" s="2" t="str">
        <f>"19490984"</f>
        <v>19490984</v>
      </c>
      <c r="D7142" s="2">
        <v>0.81699999999999995</v>
      </c>
      <c r="E7142" s="2">
        <v>9</v>
      </c>
      <c r="F7142" s="2" t="s">
        <v>6</v>
      </c>
    </row>
    <row r="7143" spans="1:6" ht="25.5">
      <c r="A7143" s="2">
        <v>7140</v>
      </c>
      <c r="B7143" s="2" t="s">
        <v>7219</v>
      </c>
      <c r="C7143" s="2" t="str">
        <f>"17574749"</f>
        <v>17574749</v>
      </c>
      <c r="D7143" s="2">
        <v>0.76700000000000002</v>
      </c>
      <c r="E7143" s="2">
        <v>7</v>
      </c>
      <c r="F7143" s="2" t="s">
        <v>16</v>
      </c>
    </row>
    <row r="7144" spans="1:6" ht="25.5">
      <c r="A7144" s="2">
        <v>7141</v>
      </c>
      <c r="B7144" s="2" t="s">
        <v>7220</v>
      </c>
      <c r="C7144" s="2" t="str">
        <f>"03425231"</f>
        <v>03425231</v>
      </c>
      <c r="D7144" s="2">
        <v>0.11</v>
      </c>
      <c r="E7144" s="2">
        <v>1</v>
      </c>
      <c r="F7144" s="2" t="s">
        <v>12</v>
      </c>
    </row>
    <row r="7145" spans="1:6" ht="25.5">
      <c r="A7145" s="2">
        <v>7142</v>
      </c>
      <c r="B7145" s="2" t="s">
        <v>7221</v>
      </c>
      <c r="C7145" s="2" t="str">
        <f>"13300091"</f>
        <v>13300091</v>
      </c>
      <c r="D7145" s="2">
        <v>0.125</v>
      </c>
      <c r="E7145" s="2">
        <v>7</v>
      </c>
      <c r="F7145" s="2" t="s">
        <v>149</v>
      </c>
    </row>
    <row r="7146" spans="1:6" ht="25.5">
      <c r="A7146" s="2">
        <v>7143</v>
      </c>
      <c r="B7146" s="2" t="s">
        <v>7222</v>
      </c>
      <c r="C7146" s="2" t="str">
        <f>"16610199"</f>
        <v>16610199</v>
      </c>
      <c r="D7146" s="2">
        <v>0.10100000000000001</v>
      </c>
      <c r="E7146" s="2">
        <v>1</v>
      </c>
      <c r="F7146" s="2" t="s">
        <v>31</v>
      </c>
    </row>
    <row r="7147" spans="1:6" ht="25.5">
      <c r="A7147" s="2">
        <v>7144</v>
      </c>
      <c r="B7147" s="2" t="s">
        <v>7223</v>
      </c>
      <c r="C7147" s="2" t="str">
        <f>"16102908"</f>
        <v>16102908</v>
      </c>
      <c r="D7147" s="2">
        <v>0.106</v>
      </c>
      <c r="E7147" s="2">
        <v>4</v>
      </c>
      <c r="F7147" s="2" t="s">
        <v>12</v>
      </c>
    </row>
    <row r="7148" spans="1:6" ht="25.5">
      <c r="A7148" s="2">
        <v>7145</v>
      </c>
      <c r="B7148" s="2" t="s">
        <v>7224</v>
      </c>
      <c r="C7148" s="2" t="str">
        <f>"03418677"</f>
        <v>03418677</v>
      </c>
      <c r="D7148" s="2">
        <v>0.1</v>
      </c>
      <c r="E7148" s="2">
        <v>3</v>
      </c>
      <c r="F7148" s="2" t="s">
        <v>12</v>
      </c>
    </row>
    <row r="7149" spans="1:6" ht="25.5">
      <c r="A7149" s="2">
        <v>7146</v>
      </c>
      <c r="B7149" s="2" t="s">
        <v>7225</v>
      </c>
      <c r="C7149" s="2" t="str">
        <f>"14730766"</f>
        <v>14730766</v>
      </c>
      <c r="D7149" s="2">
        <v>0.53500000000000003</v>
      </c>
      <c r="E7149" s="2">
        <v>36</v>
      </c>
      <c r="F7149" s="2" t="s">
        <v>16</v>
      </c>
    </row>
    <row r="7150" spans="1:6" ht="25.5">
      <c r="A7150" s="2">
        <v>7147</v>
      </c>
      <c r="B7150" s="2" t="s">
        <v>7226</v>
      </c>
      <c r="C7150" s="2" t="str">
        <f>"16132084"</f>
        <v>16132084</v>
      </c>
      <c r="D7150" s="2">
        <v>0.20399999999999999</v>
      </c>
      <c r="E7150" s="2">
        <v>9</v>
      </c>
      <c r="F7150" s="2" t="s">
        <v>12</v>
      </c>
    </row>
    <row r="7151" spans="1:6" ht="25.5">
      <c r="A7151" s="2">
        <v>7148</v>
      </c>
      <c r="B7151" s="2" t="s">
        <v>7227</v>
      </c>
      <c r="C7151" s="2" t="str">
        <f>"1423002X"</f>
        <v>1423002X</v>
      </c>
      <c r="D7151" s="2">
        <v>0.501</v>
      </c>
      <c r="E7151" s="2">
        <v>40</v>
      </c>
      <c r="F7151" s="2" t="s">
        <v>31</v>
      </c>
    </row>
    <row r="7152" spans="1:6" ht="25.5">
      <c r="A7152" s="2">
        <v>7149</v>
      </c>
      <c r="B7152" s="2" t="s">
        <v>7228</v>
      </c>
      <c r="C7152" s="2" t="str">
        <f>"10956859"</f>
        <v>10956859</v>
      </c>
      <c r="D7152" s="2">
        <v>1.6850000000000001</v>
      </c>
      <c r="E7152" s="2">
        <v>98</v>
      </c>
      <c r="F7152" s="2" t="s">
        <v>6</v>
      </c>
    </row>
    <row r="7153" spans="1:6" ht="25.5">
      <c r="A7153" s="2">
        <v>7150</v>
      </c>
      <c r="B7153" s="2" t="s">
        <v>7229</v>
      </c>
      <c r="C7153" s="2" t="str">
        <f>"2211338X"</f>
        <v>2211338X</v>
      </c>
      <c r="D7153" s="2">
        <v>0.10199999999999999</v>
      </c>
      <c r="E7153" s="2">
        <v>0</v>
      </c>
      <c r="F7153" s="2" t="s">
        <v>75</v>
      </c>
    </row>
    <row r="7154" spans="1:6" ht="25.5">
      <c r="A7154" s="2">
        <v>7151</v>
      </c>
      <c r="B7154" s="2" t="s">
        <v>7230</v>
      </c>
      <c r="C7154" s="2" t="str">
        <f>"12979589"</f>
        <v>12979589</v>
      </c>
      <c r="D7154" s="2">
        <v>0.19500000000000001</v>
      </c>
      <c r="E7154" s="2">
        <v>24</v>
      </c>
      <c r="F7154" s="2" t="s">
        <v>66</v>
      </c>
    </row>
    <row r="7155" spans="1:6" ht="25.5">
      <c r="A7155" s="2">
        <v>7152</v>
      </c>
      <c r="B7155" s="2" t="s">
        <v>7231</v>
      </c>
      <c r="C7155" s="2" t="str">
        <f>"20751109"</f>
        <v>20751109</v>
      </c>
      <c r="D7155" s="2">
        <v>0.20200000000000001</v>
      </c>
      <c r="E7155" s="2">
        <v>3</v>
      </c>
      <c r="F7155" s="2" t="s">
        <v>12</v>
      </c>
    </row>
    <row r="7156" spans="1:6" ht="25.5">
      <c r="A7156" s="2">
        <v>7153</v>
      </c>
      <c r="B7156" s="2" t="s">
        <v>7232</v>
      </c>
      <c r="C7156" s="2" t="str">
        <f>"01973975"</f>
        <v>01973975</v>
      </c>
      <c r="D7156" s="2">
        <v>1.024</v>
      </c>
      <c r="E7156" s="2">
        <v>24</v>
      </c>
      <c r="F7156" s="2" t="s">
        <v>16</v>
      </c>
    </row>
    <row r="7157" spans="1:6" ht="25.5">
      <c r="A7157" s="2">
        <v>7154</v>
      </c>
      <c r="B7157" s="2" t="s">
        <v>7233</v>
      </c>
      <c r="C7157" s="2" t="str">
        <f>"13005340"</f>
        <v>13005340</v>
      </c>
      <c r="D7157" s="2">
        <v>0.22500000000000001</v>
      </c>
      <c r="E7157" s="2">
        <v>4</v>
      </c>
      <c r="F7157" s="2" t="s">
        <v>345</v>
      </c>
    </row>
    <row r="7158" spans="1:6" ht="25.5">
      <c r="A7158" s="2">
        <v>7155</v>
      </c>
      <c r="B7158" s="2" t="s">
        <v>7234</v>
      </c>
      <c r="C7158" s="2" t="str">
        <f>"13035010"</f>
        <v>13035010</v>
      </c>
      <c r="D7158" s="2">
        <v>0.38600000000000001</v>
      </c>
      <c r="E7158" s="2">
        <v>6</v>
      </c>
      <c r="F7158" s="2" t="s">
        <v>345</v>
      </c>
    </row>
    <row r="7159" spans="1:6" ht="25.5">
      <c r="A7159" s="2">
        <v>7156</v>
      </c>
      <c r="B7159" s="2" t="s">
        <v>7235</v>
      </c>
      <c r="C7159" s="2" t="str">
        <f>"13000608"</f>
        <v>13000608</v>
      </c>
      <c r="D7159" s="2">
        <v>0.14000000000000001</v>
      </c>
      <c r="E7159" s="2">
        <v>3</v>
      </c>
      <c r="F7159" s="2" t="s">
        <v>345</v>
      </c>
    </row>
    <row r="7160" spans="1:6" ht="25.5">
      <c r="A7160" s="2">
        <v>7157</v>
      </c>
      <c r="B7160" s="2" t="s">
        <v>7236</v>
      </c>
      <c r="C7160" s="2" t="str">
        <f>"02101173"</f>
        <v>02101173</v>
      </c>
      <c r="D7160" s="2">
        <v>0.13100000000000001</v>
      </c>
      <c r="E7160" s="2">
        <v>5</v>
      </c>
      <c r="F7160" s="2" t="s">
        <v>351</v>
      </c>
    </row>
    <row r="7161" spans="1:6" ht="25.5">
      <c r="A7161" s="2">
        <v>7158</v>
      </c>
      <c r="B7161" s="2" t="s">
        <v>7237</v>
      </c>
      <c r="C7161" s="2" t="str">
        <f>"18549829"</f>
        <v>18549829</v>
      </c>
      <c r="D7161" s="2">
        <v>0.23499999999999999</v>
      </c>
      <c r="E7161" s="2">
        <v>3</v>
      </c>
      <c r="F7161" s="2" t="s">
        <v>154</v>
      </c>
    </row>
    <row r="7162" spans="1:6" ht="25.5">
      <c r="A7162" s="2">
        <v>7159</v>
      </c>
      <c r="B7162" s="2" t="s">
        <v>7238</v>
      </c>
      <c r="C7162" s="2" t="str">
        <f>"15928721"</f>
        <v>15928721</v>
      </c>
      <c r="D7162" s="2">
        <v>1.9670000000000001</v>
      </c>
      <c r="E7162" s="2">
        <v>80</v>
      </c>
      <c r="F7162" s="2" t="s">
        <v>190</v>
      </c>
    </row>
    <row r="7163" spans="1:6" ht="25.5">
      <c r="A7163" s="2">
        <v>7160</v>
      </c>
      <c r="B7163" s="2" t="s">
        <v>7239</v>
      </c>
      <c r="C7163" s="2" t="str">
        <f>"13652516"</f>
        <v>13652516</v>
      </c>
      <c r="D7163" s="2">
        <v>0.90400000000000003</v>
      </c>
      <c r="E7163" s="2">
        <v>58</v>
      </c>
      <c r="F7163" s="2" t="s">
        <v>16</v>
      </c>
    </row>
    <row r="7164" spans="1:6" ht="25.5">
      <c r="A7164" s="2">
        <v>7161</v>
      </c>
      <c r="B7164" s="2" t="s">
        <v>7240</v>
      </c>
      <c r="C7164" s="2" t="str">
        <f>"1871191X"</f>
        <v>1871191X</v>
      </c>
      <c r="D7164" s="2">
        <v>0.29499999999999998</v>
      </c>
      <c r="E7164" s="2">
        <v>5</v>
      </c>
      <c r="F7164" s="2" t="s">
        <v>75</v>
      </c>
    </row>
    <row r="7165" spans="1:6" ht="25.5">
      <c r="A7165" s="2">
        <v>7162</v>
      </c>
      <c r="B7165" s="2" t="s">
        <v>7241</v>
      </c>
      <c r="C7165" s="2" t="str">
        <f>"00182168"</f>
        <v>00182168</v>
      </c>
      <c r="D7165" s="2">
        <v>0.14299999999999999</v>
      </c>
      <c r="E7165" s="2">
        <v>9</v>
      </c>
      <c r="F7165" s="2" t="s">
        <v>6</v>
      </c>
    </row>
    <row r="7166" spans="1:6" ht="25.5">
      <c r="A7166" s="2">
        <v>7163</v>
      </c>
      <c r="B7166" s="2" t="s">
        <v>7242</v>
      </c>
      <c r="C7166" s="2" t="str">
        <f>"17366070"</f>
        <v>17366070</v>
      </c>
      <c r="D7166" s="2">
        <v>0.109</v>
      </c>
      <c r="E7166" s="2">
        <v>2</v>
      </c>
      <c r="F7166" s="2" t="s">
        <v>265</v>
      </c>
    </row>
    <row r="7167" spans="1:6" ht="25.5">
      <c r="A7167" s="2">
        <v>7164</v>
      </c>
      <c r="B7167" s="2" t="s">
        <v>7243</v>
      </c>
      <c r="C7167" s="2" t="str">
        <f>"01420798"</f>
        <v>01420798</v>
      </c>
      <c r="D7167" s="2">
        <v>0.1</v>
      </c>
      <c r="E7167" s="2">
        <v>2</v>
      </c>
      <c r="F7167" s="2" t="s">
        <v>16</v>
      </c>
    </row>
    <row r="7168" spans="1:6" ht="25.5">
      <c r="A7168" s="2">
        <v>7165</v>
      </c>
      <c r="B7168" s="2" t="s">
        <v>7244</v>
      </c>
      <c r="C7168" s="2" t="str">
        <f>"07209355"</f>
        <v>07209355</v>
      </c>
      <c r="D7168" s="2">
        <v>0.379</v>
      </c>
      <c r="E7168" s="2">
        <v>16</v>
      </c>
      <c r="F7168" s="2" t="s">
        <v>12</v>
      </c>
    </row>
    <row r="7169" spans="1:6" ht="25.5">
      <c r="A7169" s="2">
        <v>7166</v>
      </c>
      <c r="B7169" s="2" t="s">
        <v>7245</v>
      </c>
      <c r="C7169" s="2" t="str">
        <f>"15589447"</f>
        <v>15589447</v>
      </c>
      <c r="D7169" s="2">
        <v>0.30099999999999999</v>
      </c>
      <c r="E7169" s="2">
        <v>10</v>
      </c>
      <c r="F7169" s="2" t="s">
        <v>6</v>
      </c>
    </row>
    <row r="7170" spans="1:6" ht="25.5">
      <c r="A7170" s="2">
        <v>7167</v>
      </c>
      <c r="B7170" s="2" t="s">
        <v>7246</v>
      </c>
      <c r="C7170" s="2" t="str">
        <f>"00729752"</f>
        <v>00729752</v>
      </c>
      <c r="D7170" s="2">
        <v>0.16400000000000001</v>
      </c>
      <c r="E7170" s="2">
        <v>11</v>
      </c>
      <c r="F7170" s="2" t="s">
        <v>75</v>
      </c>
    </row>
    <row r="7171" spans="1:6" ht="25.5">
      <c r="A7171" s="2">
        <v>7168</v>
      </c>
      <c r="B7171" s="2" t="s">
        <v>7247</v>
      </c>
      <c r="C7171" s="2" t="str">
        <f>"01712004"</f>
        <v>01712004</v>
      </c>
      <c r="D7171" s="2">
        <v>1.282</v>
      </c>
      <c r="E7171" s="2">
        <v>44</v>
      </c>
      <c r="F7171" s="2" t="s">
        <v>12</v>
      </c>
    </row>
    <row r="7172" spans="1:6" ht="25.5">
      <c r="A7172" s="2">
        <v>7169</v>
      </c>
      <c r="B7172" s="2" t="s">
        <v>7248</v>
      </c>
      <c r="C7172" s="2" t="str">
        <f>"09501401"</f>
        <v>09501401</v>
      </c>
      <c r="D7172" s="2">
        <v>0.10299999999999999</v>
      </c>
      <c r="E7172" s="2">
        <v>2</v>
      </c>
      <c r="F7172" s="2" t="s">
        <v>75</v>
      </c>
    </row>
    <row r="7173" spans="1:6" ht="25.5">
      <c r="A7173" s="2">
        <v>7170</v>
      </c>
      <c r="B7173" s="2" t="s">
        <v>7249</v>
      </c>
      <c r="C7173" s="2" t="str">
        <f>"15740064"</f>
        <v>15740064</v>
      </c>
      <c r="D7173" s="2">
        <v>0.57799999999999996</v>
      </c>
      <c r="E7173" s="2">
        <v>21</v>
      </c>
      <c r="F7173" s="2" t="s">
        <v>75</v>
      </c>
    </row>
    <row r="7174" spans="1:6" ht="25.5">
      <c r="A7174" s="2">
        <v>7171</v>
      </c>
      <c r="B7174" s="2" t="s">
        <v>7250</v>
      </c>
      <c r="C7174" s="2" t="str">
        <f>"15734463"</f>
        <v>15734463</v>
      </c>
      <c r="D7174" s="2">
        <v>0</v>
      </c>
      <c r="E7174" s="2">
        <v>29</v>
      </c>
      <c r="F7174" s="2" t="s">
        <v>75</v>
      </c>
    </row>
    <row r="7175" spans="1:6" ht="25.5">
      <c r="A7175" s="2">
        <v>7172</v>
      </c>
      <c r="B7175" s="2" t="s">
        <v>7251</v>
      </c>
      <c r="C7175" s="2" t="str">
        <f>"15672719"</f>
        <v>15672719</v>
      </c>
      <c r="D7175" s="2">
        <v>0.55900000000000005</v>
      </c>
      <c r="E7175" s="2">
        <v>16</v>
      </c>
      <c r="F7175" s="2" t="s">
        <v>75</v>
      </c>
    </row>
    <row r="7176" spans="1:6" ht="25.5">
      <c r="A7176" s="2">
        <v>7173</v>
      </c>
      <c r="B7176" s="2" t="s">
        <v>7252</v>
      </c>
      <c r="C7176" s="2" t="str">
        <f>"15708659"</f>
        <v>15708659</v>
      </c>
      <c r="D7176" s="2">
        <v>0.35599999999999998</v>
      </c>
      <c r="E7176" s="2">
        <v>19</v>
      </c>
      <c r="F7176" s="2" t="s">
        <v>75</v>
      </c>
    </row>
    <row r="7177" spans="1:6" ht="25.5">
      <c r="A7177" s="2">
        <v>7174</v>
      </c>
      <c r="B7177" s="2" t="s">
        <v>7253</v>
      </c>
      <c r="C7177" s="2" t="str">
        <f>"15678032"</f>
        <v>15678032</v>
      </c>
      <c r="D7177" s="2">
        <v>0.10100000000000001</v>
      </c>
      <c r="E7177" s="2">
        <v>1</v>
      </c>
      <c r="F7177" s="2" t="s">
        <v>75</v>
      </c>
    </row>
    <row r="7178" spans="1:6" ht="25.5">
      <c r="A7178" s="2">
        <v>7175</v>
      </c>
      <c r="B7178" s="2" t="s">
        <v>7254</v>
      </c>
      <c r="C7178" s="2" t="str">
        <f>"15740110"</f>
        <v>15740110</v>
      </c>
      <c r="D7178" s="2">
        <v>0.14399999999999999</v>
      </c>
      <c r="E7178" s="2">
        <v>7</v>
      </c>
      <c r="F7178" s="2" t="s">
        <v>75</v>
      </c>
    </row>
    <row r="7179" spans="1:6" ht="25.5">
      <c r="A7179" s="2">
        <v>7176</v>
      </c>
      <c r="B7179" s="2" t="s">
        <v>7255</v>
      </c>
      <c r="C7179" s="2" t="str">
        <f>"15706435"</f>
        <v>15706435</v>
      </c>
      <c r="D7179" s="2">
        <v>2.0649999999999999</v>
      </c>
      <c r="E7179" s="2">
        <v>4</v>
      </c>
      <c r="F7179" s="2" t="s">
        <v>75</v>
      </c>
    </row>
    <row r="7180" spans="1:6" ht="25.5">
      <c r="A7180" s="2">
        <v>7177</v>
      </c>
      <c r="B7180" s="2" t="s">
        <v>7256</v>
      </c>
      <c r="C7180" s="2" t="str">
        <f>"18757448"</f>
        <v>18757448</v>
      </c>
      <c r="D7180" s="2">
        <v>0</v>
      </c>
      <c r="E7180" s="2">
        <v>23</v>
      </c>
      <c r="F7180" s="2" t="s">
        <v>75</v>
      </c>
    </row>
    <row r="7181" spans="1:6" ht="25.5">
      <c r="A7181" s="2">
        <v>7178</v>
      </c>
      <c r="B7181" s="2" t="s">
        <v>7257</v>
      </c>
      <c r="C7181" s="2" t="str">
        <f>"15740692"</f>
        <v>15740692</v>
      </c>
      <c r="D7181" s="2">
        <v>1.625</v>
      </c>
      <c r="E7181" s="2">
        <v>12</v>
      </c>
      <c r="F7181" s="2" t="s">
        <v>75</v>
      </c>
    </row>
    <row r="7182" spans="1:6" ht="25.5">
      <c r="A7182" s="2">
        <v>7179</v>
      </c>
      <c r="B7182" s="2" t="s">
        <v>7258</v>
      </c>
      <c r="C7182" s="2" t="str">
        <f>"15740102"</f>
        <v>15740102</v>
      </c>
      <c r="D7182" s="2">
        <v>0</v>
      </c>
      <c r="E7182" s="2">
        <v>10</v>
      </c>
      <c r="F7182" s="2" t="s">
        <v>75</v>
      </c>
    </row>
    <row r="7183" spans="1:6" ht="25.5">
      <c r="A7183" s="2">
        <v>7180</v>
      </c>
      <c r="B7183" s="2" t="s">
        <v>7259</v>
      </c>
      <c r="C7183" s="2" t="str">
        <f>"18745857"</f>
        <v>18745857</v>
      </c>
      <c r="D7183" s="2">
        <v>0.17899999999999999</v>
      </c>
      <c r="E7183" s="2">
        <v>6</v>
      </c>
      <c r="F7183" s="2" t="s">
        <v>75</v>
      </c>
    </row>
    <row r="7184" spans="1:6" ht="25.5">
      <c r="A7184" s="2">
        <v>7181</v>
      </c>
      <c r="B7184" s="2" t="s">
        <v>7260</v>
      </c>
      <c r="C7184" s="2" t="str">
        <f>"01681273"</f>
        <v>01681273</v>
      </c>
      <c r="D7184" s="2">
        <v>0.85299999999999998</v>
      </c>
      <c r="E7184" s="2">
        <v>21</v>
      </c>
      <c r="F7184" s="2" t="s">
        <v>75</v>
      </c>
    </row>
    <row r="7185" spans="1:6" ht="25.5">
      <c r="A7185" s="2">
        <v>7182</v>
      </c>
      <c r="B7185" s="2" t="s">
        <v>7261</v>
      </c>
      <c r="C7185" s="2" t="str">
        <f>"07221819"</f>
        <v>07221819</v>
      </c>
      <c r="D7185" s="2">
        <v>0.36</v>
      </c>
      <c r="E7185" s="2">
        <v>21</v>
      </c>
      <c r="F7185" s="2" t="s">
        <v>12</v>
      </c>
    </row>
    <row r="7186" spans="1:6" ht="25.5">
      <c r="A7186" s="2">
        <v>7183</v>
      </c>
      <c r="B7186" s="2" t="s">
        <v>7262</v>
      </c>
      <c r="C7186" s="2" t="str">
        <f>"07490712"</f>
        <v>07490712</v>
      </c>
      <c r="D7186" s="2">
        <v>0.47</v>
      </c>
      <c r="E7186" s="2">
        <v>36</v>
      </c>
      <c r="F7186" s="2" t="s">
        <v>16</v>
      </c>
    </row>
    <row r="7187" spans="1:6" ht="38.25">
      <c r="A7187" s="2">
        <v>7184</v>
      </c>
      <c r="B7187" s="2" t="s">
        <v>7263</v>
      </c>
      <c r="C7187" s="2" t="str">
        <f>"02188104"</f>
        <v>02188104</v>
      </c>
      <c r="D7187" s="2">
        <v>0.221</v>
      </c>
      <c r="E7187" s="2">
        <v>15</v>
      </c>
      <c r="F7187" s="2" t="s">
        <v>543</v>
      </c>
    </row>
    <row r="7188" spans="1:6" ht="25.5">
      <c r="A7188" s="2">
        <v>7185</v>
      </c>
      <c r="B7188" s="2" t="s">
        <v>7264</v>
      </c>
      <c r="C7188" s="2" t="str">
        <f>"17589991"</f>
        <v>17589991</v>
      </c>
      <c r="D7188" s="2">
        <v>0</v>
      </c>
      <c r="E7188" s="2">
        <v>0</v>
      </c>
      <c r="F7188" s="2" t="s">
        <v>46</v>
      </c>
    </row>
    <row r="7189" spans="1:6" ht="25.5">
      <c r="A7189" s="2">
        <v>7186</v>
      </c>
      <c r="B7189" s="2" t="s">
        <v>7265</v>
      </c>
      <c r="C7189" s="2" t="str">
        <f>"10055053"</f>
        <v>10055053</v>
      </c>
      <c r="D7189" s="2">
        <v>0.154</v>
      </c>
      <c r="E7189" s="2">
        <v>10</v>
      </c>
      <c r="F7189" s="2" t="s">
        <v>46</v>
      </c>
    </row>
    <row r="7190" spans="1:6" ht="25.5">
      <c r="A7190" s="2">
        <v>7187</v>
      </c>
      <c r="B7190" s="2" t="s">
        <v>7266</v>
      </c>
      <c r="C7190" s="2" t="str">
        <f>"10008055"</f>
        <v>10008055</v>
      </c>
      <c r="D7190" s="2">
        <v>0.27500000000000002</v>
      </c>
      <c r="E7190" s="2">
        <v>12</v>
      </c>
      <c r="F7190" s="2" t="s">
        <v>46</v>
      </c>
    </row>
    <row r="7191" spans="1:6" ht="25.5">
      <c r="A7191" s="2">
        <v>7188</v>
      </c>
      <c r="B7191" s="2" t="s">
        <v>7267</v>
      </c>
      <c r="C7191" s="2" t="str">
        <f>"10006893"</f>
        <v>10006893</v>
      </c>
      <c r="D7191" s="2">
        <v>0.434</v>
      </c>
      <c r="E7191" s="2">
        <v>14</v>
      </c>
      <c r="F7191" s="2" t="s">
        <v>46</v>
      </c>
    </row>
    <row r="7192" spans="1:6" ht="25.5">
      <c r="A7192" s="2">
        <v>7189</v>
      </c>
      <c r="B7192" s="2" t="s">
        <v>7268</v>
      </c>
      <c r="C7192" s="2" t="str">
        <f>"0253360X"</f>
        <v>0253360X</v>
      </c>
      <c r="D7192" s="2">
        <v>0.248</v>
      </c>
      <c r="E7192" s="2">
        <v>11</v>
      </c>
      <c r="F7192" s="2" t="s">
        <v>46</v>
      </c>
    </row>
    <row r="7193" spans="1:6" ht="25.5">
      <c r="A7193" s="2">
        <v>7190</v>
      </c>
      <c r="B7193" s="2" t="s">
        <v>7269</v>
      </c>
      <c r="C7193" s="2" t="str">
        <f>"10069941"</f>
        <v>10069941</v>
      </c>
      <c r="D7193" s="2">
        <v>0.26600000000000001</v>
      </c>
      <c r="E7193" s="2">
        <v>10</v>
      </c>
      <c r="F7193" s="2" t="s">
        <v>46</v>
      </c>
    </row>
    <row r="7194" spans="1:6" ht="25.5">
      <c r="A7194" s="2">
        <v>7191</v>
      </c>
      <c r="B7194" s="2" t="s">
        <v>7270</v>
      </c>
      <c r="C7194" s="2" t="str">
        <f>"10067043"</f>
        <v>10067043</v>
      </c>
      <c r="D7194" s="2">
        <v>0.249</v>
      </c>
      <c r="E7194" s="2">
        <v>9</v>
      </c>
      <c r="F7194" s="2" t="s">
        <v>46</v>
      </c>
    </row>
    <row r="7195" spans="1:6" ht="25.5">
      <c r="A7195" s="2">
        <v>7192</v>
      </c>
      <c r="B7195" s="2" t="s">
        <v>7271</v>
      </c>
      <c r="C7195" s="2" t="str">
        <f>"03676234"</f>
        <v>03676234</v>
      </c>
      <c r="D7195" s="2">
        <v>0.14799999999999999</v>
      </c>
      <c r="E7195" s="2">
        <v>11</v>
      </c>
      <c r="F7195" s="2" t="s">
        <v>46</v>
      </c>
    </row>
    <row r="7196" spans="1:6" ht="25.5">
      <c r="A7196" s="2">
        <v>7193</v>
      </c>
      <c r="B7196" s="2" t="s">
        <v>7272</v>
      </c>
      <c r="C7196" s="2" t="str">
        <f>"00177768"</f>
        <v>00177768</v>
      </c>
      <c r="D7196" s="2">
        <v>0.122</v>
      </c>
      <c r="E7196" s="2">
        <v>12</v>
      </c>
      <c r="F7196" s="2" t="s">
        <v>2065</v>
      </c>
    </row>
    <row r="7197" spans="1:6" ht="25.5">
      <c r="A7197" s="2">
        <v>7194</v>
      </c>
      <c r="B7197" s="2" t="s">
        <v>7273</v>
      </c>
      <c r="C7197" s="2" t="str">
        <f>"15689883"</f>
        <v>15689883</v>
      </c>
      <c r="D7197" s="2">
        <v>1.0149999999999999</v>
      </c>
      <c r="E7197" s="2">
        <v>43</v>
      </c>
      <c r="F7197" s="2" t="s">
        <v>75</v>
      </c>
    </row>
    <row r="7198" spans="1:6" ht="25.5">
      <c r="A7198" s="2">
        <v>7195</v>
      </c>
      <c r="B7198" s="2" t="s">
        <v>7274</v>
      </c>
      <c r="C7198" s="2" t="str">
        <f>"14777517"</f>
        <v>14777517</v>
      </c>
      <c r="D7198" s="2">
        <v>0.878</v>
      </c>
      <c r="E7198" s="2">
        <v>21</v>
      </c>
      <c r="F7198" s="2" t="s">
        <v>16</v>
      </c>
    </row>
    <row r="7199" spans="1:6" ht="25.5">
      <c r="A7199" s="2">
        <v>7196</v>
      </c>
      <c r="B7199" s="2" t="s">
        <v>7275</v>
      </c>
      <c r="C7199" s="2" t="str">
        <f>"03018202"</f>
        <v>03018202</v>
      </c>
      <c r="D7199" s="2">
        <v>0.1</v>
      </c>
      <c r="E7199" s="2">
        <v>3</v>
      </c>
      <c r="F7199" s="2" t="s">
        <v>75</v>
      </c>
    </row>
    <row r="7200" spans="1:6" ht="25.5">
      <c r="A7200" s="2">
        <v>7197</v>
      </c>
      <c r="B7200" s="2" t="s">
        <v>7276</v>
      </c>
      <c r="C7200" s="2" t="str">
        <f>"00178012"</f>
        <v>00178012</v>
      </c>
      <c r="D7200" s="2">
        <v>0.45100000000000001</v>
      </c>
      <c r="E7200" s="2">
        <v>89</v>
      </c>
      <c r="F7200" s="2" t="s">
        <v>6</v>
      </c>
    </row>
    <row r="7201" spans="1:6" ht="25.5">
      <c r="A7201" s="2">
        <v>7198</v>
      </c>
      <c r="B7201" s="2" t="s">
        <v>7277</v>
      </c>
      <c r="C7201" s="2" t="str">
        <f>"00178039"</f>
        <v>00178039</v>
      </c>
      <c r="D7201" s="2">
        <v>0.75700000000000001</v>
      </c>
      <c r="E7201" s="2">
        <v>10</v>
      </c>
      <c r="F7201" s="2" t="s">
        <v>6</v>
      </c>
    </row>
    <row r="7202" spans="1:6" ht="25.5">
      <c r="A7202" s="2">
        <v>7199</v>
      </c>
      <c r="B7202" s="2" t="s">
        <v>7278</v>
      </c>
      <c r="C7202" s="2" t="str">
        <f>"10934421"</f>
        <v>10934421</v>
      </c>
      <c r="D7202" s="2">
        <v>0.10199999999999999</v>
      </c>
      <c r="E7202" s="2">
        <v>1</v>
      </c>
      <c r="F7202" s="2" t="s">
        <v>6</v>
      </c>
    </row>
    <row r="7203" spans="1:6" ht="25.5">
      <c r="A7203" s="2">
        <v>7200</v>
      </c>
      <c r="B7203" s="2" t="s">
        <v>7279</v>
      </c>
      <c r="C7203" s="2" t="str">
        <f>"00178055"</f>
        <v>00178055</v>
      </c>
      <c r="D7203" s="2">
        <v>0.57799999999999996</v>
      </c>
      <c r="E7203" s="2">
        <v>39</v>
      </c>
      <c r="F7203" s="2" t="s">
        <v>6</v>
      </c>
    </row>
    <row r="7204" spans="1:6" ht="25.5">
      <c r="A7204" s="2">
        <v>7201</v>
      </c>
      <c r="B7204" s="2" t="s">
        <v>7280</v>
      </c>
      <c r="C7204" s="2" t="str">
        <f>"10521577"</f>
        <v>10521577</v>
      </c>
      <c r="D7204" s="2">
        <v>0.1</v>
      </c>
      <c r="E7204" s="2">
        <v>3</v>
      </c>
      <c r="F7204" s="2" t="s">
        <v>6</v>
      </c>
    </row>
    <row r="7205" spans="1:6" ht="25.5">
      <c r="A7205" s="2">
        <v>7202</v>
      </c>
      <c r="B7205" s="2" t="s">
        <v>7281</v>
      </c>
      <c r="C7205" s="2" t="str">
        <f>"10515313"</f>
        <v>10515313</v>
      </c>
      <c r="D7205" s="2">
        <v>0.10100000000000001</v>
      </c>
      <c r="E7205" s="2">
        <v>2</v>
      </c>
      <c r="F7205" s="2" t="s">
        <v>6</v>
      </c>
    </row>
    <row r="7206" spans="1:6" ht="25.5">
      <c r="A7206" s="2">
        <v>7203</v>
      </c>
      <c r="B7206" s="2" t="s">
        <v>7282</v>
      </c>
      <c r="C7206" s="2" t="str">
        <f>"00178063"</f>
        <v>00178063</v>
      </c>
      <c r="D7206" s="2">
        <v>0.59599999999999997</v>
      </c>
      <c r="E7206" s="2">
        <v>14</v>
      </c>
      <c r="F7206" s="2" t="s">
        <v>6</v>
      </c>
    </row>
    <row r="7207" spans="1:6" ht="25.5">
      <c r="A7207" s="2">
        <v>7204</v>
      </c>
      <c r="B7207" s="2" t="s">
        <v>7283</v>
      </c>
      <c r="C7207" s="2" t="str">
        <f>"07391854"</f>
        <v>07391854</v>
      </c>
      <c r="D7207" s="2">
        <v>0.129</v>
      </c>
      <c r="E7207" s="2">
        <v>7</v>
      </c>
      <c r="F7207" s="2" t="s">
        <v>6</v>
      </c>
    </row>
    <row r="7208" spans="1:6" ht="25.5">
      <c r="A7208" s="2">
        <v>7205</v>
      </c>
      <c r="B7208" s="2" t="s">
        <v>7284</v>
      </c>
      <c r="C7208" s="2" t="str">
        <f>"01934872"</f>
        <v>01934872</v>
      </c>
      <c r="D7208" s="2">
        <v>0.36599999999999999</v>
      </c>
      <c r="E7208" s="2">
        <v>8</v>
      </c>
      <c r="F7208" s="2" t="s">
        <v>6</v>
      </c>
    </row>
    <row r="7209" spans="1:6" ht="25.5">
      <c r="A7209" s="2">
        <v>7206</v>
      </c>
      <c r="B7209" s="2" t="s">
        <v>7285</v>
      </c>
      <c r="C7209" s="2" t="str">
        <f>"0017808X"</f>
        <v>0017808X</v>
      </c>
      <c r="D7209" s="2">
        <v>0.624</v>
      </c>
      <c r="E7209" s="2">
        <v>7</v>
      </c>
      <c r="F7209" s="2" t="s">
        <v>6</v>
      </c>
    </row>
    <row r="7210" spans="1:6" ht="25.5">
      <c r="A7210" s="2">
        <v>7207</v>
      </c>
      <c r="B7210" s="2" t="s">
        <v>7286</v>
      </c>
      <c r="C7210" s="2" t="str">
        <f>"0017811X"</f>
        <v>0017811X</v>
      </c>
      <c r="D7210" s="2">
        <v>1.8660000000000001</v>
      </c>
      <c r="E7210" s="2">
        <v>29</v>
      </c>
      <c r="F7210" s="2" t="s">
        <v>6</v>
      </c>
    </row>
    <row r="7211" spans="1:6" ht="25.5">
      <c r="A7211" s="2">
        <v>7208</v>
      </c>
      <c r="B7211" s="2" t="s">
        <v>7287</v>
      </c>
      <c r="C7211" s="2" t="str">
        <f>"10891102"</f>
        <v>10891102</v>
      </c>
      <c r="D7211" s="2">
        <v>0.10299999999999999</v>
      </c>
      <c r="E7211" s="2">
        <v>2</v>
      </c>
      <c r="F7211" s="2" t="s">
        <v>6</v>
      </c>
    </row>
    <row r="7212" spans="1:6" ht="25.5">
      <c r="A7212" s="2">
        <v>7209</v>
      </c>
      <c r="B7212" s="2" t="s">
        <v>7288</v>
      </c>
      <c r="C7212" s="2" t="str">
        <f>"10575022"</f>
        <v>10575022</v>
      </c>
      <c r="D7212" s="2">
        <v>0.10100000000000001</v>
      </c>
      <c r="E7212" s="2">
        <v>4</v>
      </c>
      <c r="F7212" s="2" t="s">
        <v>6</v>
      </c>
    </row>
    <row r="7213" spans="1:6" ht="25.5">
      <c r="A7213" s="2">
        <v>7210</v>
      </c>
      <c r="B7213" s="2" t="s">
        <v>7289</v>
      </c>
      <c r="C7213" s="2" t="str">
        <f>"19382944"</f>
        <v>19382944</v>
      </c>
      <c r="D7213" s="2">
        <v>0.2</v>
      </c>
      <c r="E7213" s="2">
        <v>3</v>
      </c>
      <c r="F7213" s="2" t="s">
        <v>6</v>
      </c>
    </row>
    <row r="7214" spans="1:6" ht="25.5">
      <c r="A7214" s="2">
        <v>7211</v>
      </c>
      <c r="B7214" s="2" t="s">
        <v>7290</v>
      </c>
      <c r="C7214" s="2" t="str">
        <f>"14657309"</f>
        <v>14657309</v>
      </c>
      <c r="D7214" s="2">
        <v>1.425</v>
      </c>
      <c r="E7214" s="2">
        <v>50</v>
      </c>
      <c r="F7214" s="2" t="s">
        <v>16</v>
      </c>
    </row>
    <row r="7215" spans="1:6" ht="25.5">
      <c r="A7215" s="2">
        <v>7212</v>
      </c>
      <c r="B7215" s="2" t="s">
        <v>7291</v>
      </c>
      <c r="C7215" s="2" t="str">
        <f>"14754517"</f>
        <v>14754517</v>
      </c>
      <c r="D7215" s="2">
        <v>0.14099999999999999</v>
      </c>
      <c r="E7215" s="2">
        <v>10</v>
      </c>
      <c r="F7215" s="2" t="s">
        <v>16</v>
      </c>
    </row>
    <row r="7216" spans="1:6">
      <c r="A7216" s="2">
        <v>7213</v>
      </c>
      <c r="B7216" s="2" t="s">
        <v>7292</v>
      </c>
      <c r="C7216" s="2" t="str">
        <f>"0"</f>
        <v>0</v>
      </c>
      <c r="D7216" s="2">
        <v>0</v>
      </c>
      <c r="E7216" s="2">
        <v>0</v>
      </c>
      <c r="F7216" s="2" t="s">
        <v>6</v>
      </c>
    </row>
    <row r="7217" spans="1:6" ht="25.5">
      <c r="A7217" s="2">
        <v>7214</v>
      </c>
      <c r="B7217" s="2" t="s">
        <v>7293</v>
      </c>
      <c r="C7217" s="2" t="str">
        <f>"1070910X"</f>
        <v>1070910X</v>
      </c>
      <c r="D7217" s="2">
        <v>0.104</v>
      </c>
      <c r="E7217" s="2">
        <v>2</v>
      </c>
      <c r="F7217" s="2" t="s">
        <v>6</v>
      </c>
    </row>
    <row r="7218" spans="1:6" ht="25.5">
      <c r="A7218" s="2">
        <v>7215</v>
      </c>
      <c r="B7218" s="2" t="s">
        <v>7294</v>
      </c>
      <c r="C7218" s="2" t="str">
        <f>"01478257"</f>
        <v>01478257</v>
      </c>
      <c r="D7218" s="2">
        <v>0.56999999999999995</v>
      </c>
      <c r="E7218" s="2">
        <v>14</v>
      </c>
      <c r="F7218" s="2" t="s">
        <v>6</v>
      </c>
    </row>
    <row r="7219" spans="1:6" ht="25.5">
      <c r="A7219" s="2">
        <v>7216</v>
      </c>
      <c r="B7219" s="2" t="s">
        <v>7295</v>
      </c>
      <c r="C7219" s="2" t="str">
        <f>"10700048"</f>
        <v>10700048</v>
      </c>
      <c r="D7219" s="2">
        <v>0.219</v>
      </c>
      <c r="E7219" s="2">
        <v>5</v>
      </c>
      <c r="F7219" s="2" t="s">
        <v>6</v>
      </c>
    </row>
    <row r="7220" spans="1:6" ht="25.5">
      <c r="A7220" s="2">
        <v>7217</v>
      </c>
      <c r="B7220" s="2" t="s">
        <v>7296</v>
      </c>
      <c r="C7220" s="2" t="str">
        <f>"00930334"</f>
        <v>00930334</v>
      </c>
      <c r="D7220" s="2">
        <v>0.45400000000000001</v>
      </c>
      <c r="E7220" s="2">
        <v>35</v>
      </c>
      <c r="F7220" s="2" t="s">
        <v>6</v>
      </c>
    </row>
    <row r="7221" spans="1:6" ht="25.5">
      <c r="A7221" s="2">
        <v>7218</v>
      </c>
      <c r="B7221" s="2" t="s">
        <v>7297</v>
      </c>
      <c r="C7221" s="2" t="str">
        <f>"00178322"</f>
        <v>00178322</v>
      </c>
      <c r="D7221" s="2">
        <v>0.52100000000000002</v>
      </c>
      <c r="E7221" s="2">
        <v>11</v>
      </c>
      <c r="F7221" s="2" t="s">
        <v>6</v>
      </c>
    </row>
    <row r="7222" spans="1:6" ht="25.5">
      <c r="A7222" s="2">
        <v>7219</v>
      </c>
      <c r="B7222" s="2" t="s">
        <v>7298</v>
      </c>
      <c r="C7222" s="2" t="str">
        <f>"09382216"</f>
        <v>09382216</v>
      </c>
      <c r="D7222" s="2">
        <v>0.10299999999999999</v>
      </c>
      <c r="E7222" s="2">
        <v>2</v>
      </c>
      <c r="F7222" s="2" t="s">
        <v>12</v>
      </c>
    </row>
    <row r="7223" spans="1:6" ht="25.5">
      <c r="A7223" s="2">
        <v>7220</v>
      </c>
      <c r="B7223" s="2" t="s">
        <v>7299</v>
      </c>
      <c r="C7223" s="2" t="str">
        <f>"21658242"</f>
        <v>21658242</v>
      </c>
      <c r="D7223" s="2">
        <v>0</v>
      </c>
      <c r="E7223" s="2">
        <v>1</v>
      </c>
      <c r="F7223" s="2" t="s">
        <v>6</v>
      </c>
    </row>
    <row r="7224" spans="1:6" ht="25.5">
      <c r="A7224" s="2">
        <v>7221</v>
      </c>
      <c r="B7224" s="2" t="s">
        <v>7300</v>
      </c>
      <c r="C7224" s="2" t="str">
        <f>"00178594"</f>
        <v>00178594</v>
      </c>
      <c r="D7224" s="2">
        <v>0.17</v>
      </c>
      <c r="E7224" s="2">
        <v>15</v>
      </c>
      <c r="F7224" s="2" t="s">
        <v>6</v>
      </c>
    </row>
    <row r="7225" spans="1:6" ht="25.5">
      <c r="A7225" s="2">
        <v>7222</v>
      </c>
      <c r="B7225" s="2" t="s">
        <v>7301</v>
      </c>
      <c r="C7225" s="2" t="str">
        <f>"15692086"</f>
        <v>15692086</v>
      </c>
      <c r="D7225" s="2">
        <v>0.104</v>
      </c>
      <c r="E7225" s="2">
        <v>4</v>
      </c>
      <c r="F7225" s="2" t="s">
        <v>75</v>
      </c>
    </row>
    <row r="7226" spans="1:6" ht="25.5">
      <c r="A7226" s="2">
        <v>7223</v>
      </c>
      <c r="B7226" s="2" t="s">
        <v>7302</v>
      </c>
      <c r="C7226" s="2" t="str">
        <f>"2008188X"</f>
        <v>2008188X</v>
      </c>
      <c r="D7226" s="2">
        <v>0.10100000000000001</v>
      </c>
      <c r="E7226" s="2">
        <v>1</v>
      </c>
      <c r="F7226" s="2" t="s">
        <v>299</v>
      </c>
    </row>
    <row r="7227" spans="1:6">
      <c r="A7227" s="2">
        <v>7224</v>
      </c>
      <c r="B7227" s="2" t="s">
        <v>7303</v>
      </c>
      <c r="C7227" s="2" t="str">
        <f>"0"</f>
        <v>0</v>
      </c>
      <c r="D7227" s="2">
        <v>0.1</v>
      </c>
      <c r="E7227" s="2">
        <v>2</v>
      </c>
      <c r="F7227" s="2" t="s">
        <v>6</v>
      </c>
    </row>
    <row r="7228" spans="1:6" ht="25.5">
      <c r="A7228" s="2">
        <v>7225</v>
      </c>
      <c r="B7228" s="2" t="s">
        <v>7304</v>
      </c>
      <c r="C7228" s="2" t="str">
        <f>"15264610"</f>
        <v>15264610</v>
      </c>
      <c r="D7228" s="2">
        <v>0.92700000000000005</v>
      </c>
      <c r="E7228" s="2">
        <v>79</v>
      </c>
      <c r="F7228" s="2" t="s">
        <v>16</v>
      </c>
    </row>
    <row r="7229" spans="1:6" ht="25.5">
      <c r="A7229" s="2">
        <v>7226</v>
      </c>
      <c r="B7229" s="2" t="s">
        <v>7305</v>
      </c>
      <c r="C7229" s="2" t="str">
        <f>"1746160X"</f>
        <v>1746160X</v>
      </c>
      <c r="D7229" s="2">
        <v>0.28499999999999998</v>
      </c>
      <c r="E7229" s="2">
        <v>15</v>
      </c>
      <c r="F7229" s="2" t="s">
        <v>16</v>
      </c>
    </row>
    <row r="7230" spans="1:6" ht="25.5">
      <c r="A7230" s="2">
        <v>7227</v>
      </c>
      <c r="B7230" s="2" t="s">
        <v>7306</v>
      </c>
      <c r="C7230" s="2" t="str">
        <f>"10970347"</f>
        <v>10970347</v>
      </c>
      <c r="D7230" s="2">
        <v>1.1100000000000001</v>
      </c>
      <c r="E7230" s="2">
        <v>77</v>
      </c>
      <c r="F7230" s="2" t="s">
        <v>6</v>
      </c>
    </row>
    <row r="7231" spans="1:6" ht="25.5">
      <c r="A7231" s="2">
        <v>7228</v>
      </c>
      <c r="B7231" s="2" t="s">
        <v>7307</v>
      </c>
      <c r="C7231" s="2" t="str">
        <f>"17583284"</f>
        <v>17583284</v>
      </c>
      <c r="D7231" s="2">
        <v>0.8</v>
      </c>
      <c r="E7231" s="2">
        <v>14</v>
      </c>
      <c r="F7231" s="2" t="s">
        <v>16</v>
      </c>
    </row>
    <row r="7232" spans="1:6" ht="25.5">
      <c r="A7232" s="2">
        <v>7229</v>
      </c>
      <c r="B7232" s="2" t="s">
        <v>7308</v>
      </c>
      <c r="C7232" s="2" t="str">
        <f>"19360568"</f>
        <v>19360568</v>
      </c>
      <c r="D7232" s="2">
        <v>0.48399999999999999</v>
      </c>
      <c r="E7232" s="2">
        <v>13</v>
      </c>
      <c r="F7232" s="2" t="s">
        <v>6</v>
      </c>
    </row>
    <row r="7233" spans="1:6" ht="25.5">
      <c r="A7233" s="2">
        <v>7230</v>
      </c>
      <c r="B7233" s="2" t="s">
        <v>7309</v>
      </c>
      <c r="C7233" s="2" t="str">
        <f>"13634593"</f>
        <v>13634593</v>
      </c>
      <c r="D7233" s="2">
        <v>0.51900000000000002</v>
      </c>
      <c r="E7233" s="2">
        <v>29</v>
      </c>
      <c r="F7233" s="2" t="s">
        <v>16</v>
      </c>
    </row>
    <row r="7234" spans="1:6" ht="25.5">
      <c r="A7234" s="2">
        <v>7231</v>
      </c>
      <c r="B7234" s="2" t="s">
        <v>7310</v>
      </c>
      <c r="C7234" s="2" t="str">
        <f>"02782715"</f>
        <v>02782715</v>
      </c>
      <c r="D7234" s="2">
        <v>3.0369999999999999</v>
      </c>
      <c r="E7234" s="2">
        <v>95</v>
      </c>
      <c r="F7234" s="2" t="s">
        <v>6</v>
      </c>
    </row>
    <row r="7235" spans="1:6" ht="25.5">
      <c r="A7235" s="2">
        <v>7232</v>
      </c>
      <c r="B7235" s="2" t="s">
        <v>7311</v>
      </c>
      <c r="C7235" s="2" t="str">
        <f>"14421771"</f>
        <v>14421771</v>
      </c>
      <c r="D7235" s="2">
        <v>0.10100000000000001</v>
      </c>
      <c r="E7235" s="2">
        <v>2</v>
      </c>
      <c r="F7235" s="2" t="s">
        <v>127</v>
      </c>
    </row>
    <row r="7236" spans="1:6" ht="25.5">
      <c r="A7236" s="2">
        <v>7233</v>
      </c>
      <c r="B7236" s="2" t="s">
        <v>7312</v>
      </c>
      <c r="C7236" s="2" t="str">
        <f>"10790969"</f>
        <v>10790969</v>
      </c>
      <c r="D7236" s="2">
        <v>0.377</v>
      </c>
      <c r="E7236" s="2">
        <v>12</v>
      </c>
      <c r="F7236" s="2" t="s">
        <v>6</v>
      </c>
    </row>
    <row r="7237" spans="1:6" ht="25.5">
      <c r="A7237" s="2">
        <v>7234</v>
      </c>
      <c r="B7237" s="2" t="s">
        <v>7313</v>
      </c>
      <c r="C7237" s="2" t="str">
        <f>"13538292"</f>
        <v>13538292</v>
      </c>
      <c r="D7237" s="2">
        <v>1.2789999999999999</v>
      </c>
      <c r="E7237" s="2">
        <v>48</v>
      </c>
      <c r="F7237" s="2" t="s">
        <v>16</v>
      </c>
    </row>
    <row r="7238" spans="1:6" ht="25.5">
      <c r="A7238" s="2">
        <v>7235</v>
      </c>
      <c r="B7238" s="2" t="s">
        <v>7314</v>
      </c>
      <c r="C7238" s="2" t="str">
        <f>"14777525"</f>
        <v>14777525</v>
      </c>
      <c r="D7238" s="2">
        <v>0.89500000000000002</v>
      </c>
      <c r="E7238" s="2">
        <v>53</v>
      </c>
      <c r="F7238" s="2" t="s">
        <v>16</v>
      </c>
    </row>
    <row r="7239" spans="1:6" ht="25.5">
      <c r="A7239" s="2">
        <v>7236</v>
      </c>
      <c r="B7239" s="2" t="s">
        <v>7315</v>
      </c>
      <c r="C7239" s="2" t="str">
        <f>"09660410"</f>
        <v>09660410</v>
      </c>
      <c r="D7239" s="2">
        <v>0.55300000000000005</v>
      </c>
      <c r="E7239" s="2">
        <v>34</v>
      </c>
      <c r="F7239" s="2" t="s">
        <v>16</v>
      </c>
    </row>
    <row r="7240" spans="1:6" ht="25.5">
      <c r="A7240" s="2">
        <v>7237</v>
      </c>
      <c r="B7240" s="2" t="s">
        <v>7316</v>
      </c>
      <c r="C7240" s="2" t="str">
        <f>"15456854"</f>
        <v>15456854</v>
      </c>
      <c r="D7240" s="2">
        <v>0.441</v>
      </c>
      <c r="E7240" s="2">
        <v>32</v>
      </c>
      <c r="F7240" s="2" t="s">
        <v>6</v>
      </c>
    </row>
    <row r="7241" spans="1:6" ht="25.5">
      <c r="A7241" s="2">
        <v>7238</v>
      </c>
      <c r="B7241" s="2" t="s">
        <v>7317</v>
      </c>
      <c r="C7241" s="2" t="str">
        <f>"21907196"</f>
        <v>21907196</v>
      </c>
      <c r="D7241" s="2">
        <v>0.10299999999999999</v>
      </c>
      <c r="E7241" s="2">
        <v>1</v>
      </c>
      <c r="F7241" s="2" t="s">
        <v>12</v>
      </c>
    </row>
    <row r="7242" spans="1:6" ht="25.5">
      <c r="A7242" s="2">
        <v>7239</v>
      </c>
      <c r="B7242" s="2" t="s">
        <v>7318</v>
      </c>
      <c r="C7242" s="2" t="str">
        <f>"15733394"</f>
        <v>15733394</v>
      </c>
      <c r="D7242" s="2">
        <v>0.42099999999999999</v>
      </c>
      <c r="E7242" s="2">
        <v>20</v>
      </c>
      <c r="F7242" s="2" t="s">
        <v>75</v>
      </c>
    </row>
    <row r="7243" spans="1:6" ht="25.5">
      <c r="A7243" s="2">
        <v>7240</v>
      </c>
      <c r="B7243" s="2" t="s">
        <v>7319</v>
      </c>
      <c r="C7243" s="2" t="str">
        <f>"11764201"</f>
        <v>11764201</v>
      </c>
      <c r="D7243" s="2">
        <v>0.127</v>
      </c>
      <c r="E7243" s="2">
        <v>4</v>
      </c>
      <c r="F7243" s="2" t="s">
        <v>503</v>
      </c>
    </row>
    <row r="7244" spans="1:6" ht="25.5">
      <c r="A7244" s="2">
        <v>7241</v>
      </c>
      <c r="B7244" s="2" t="s">
        <v>7320</v>
      </c>
      <c r="C7244" s="2" t="str">
        <f>"15411052"</f>
        <v>15411052</v>
      </c>
      <c r="D7244" s="2">
        <v>0.109</v>
      </c>
      <c r="E7244" s="2">
        <v>4</v>
      </c>
      <c r="F7244" s="2" t="s">
        <v>6</v>
      </c>
    </row>
    <row r="7245" spans="1:6" ht="25.5">
      <c r="A7245" s="2">
        <v>7242</v>
      </c>
      <c r="B7245" s="2" t="s">
        <v>7321</v>
      </c>
      <c r="C7245" s="2" t="str">
        <f>"08835381"</f>
        <v>08835381</v>
      </c>
      <c r="D7245" s="2">
        <v>0.106</v>
      </c>
      <c r="E7245" s="2">
        <v>6</v>
      </c>
      <c r="F7245" s="2" t="s">
        <v>6</v>
      </c>
    </row>
    <row r="7246" spans="1:6" ht="25.5">
      <c r="A7246" s="2">
        <v>7243</v>
      </c>
      <c r="B7246" s="2" t="s">
        <v>7322</v>
      </c>
      <c r="C7246" s="2" t="str">
        <f>"07350732"</f>
        <v>07350732</v>
      </c>
      <c r="D7246" s="2">
        <v>0.14099999999999999</v>
      </c>
      <c r="E7246" s="2">
        <v>12</v>
      </c>
      <c r="F7246" s="2" t="s">
        <v>6</v>
      </c>
    </row>
    <row r="7247" spans="1:6" ht="25.5">
      <c r="A7247" s="2">
        <v>7244</v>
      </c>
      <c r="B7247" s="2" t="s">
        <v>7323</v>
      </c>
      <c r="C7247" s="2" t="str">
        <f>"10964665"</f>
        <v>10964665</v>
      </c>
      <c r="D7247" s="2">
        <v>0.26300000000000001</v>
      </c>
      <c r="E7247" s="2">
        <v>30</v>
      </c>
      <c r="F7247" s="2" t="s">
        <v>16</v>
      </c>
    </row>
    <row r="7248" spans="1:6" ht="25.5">
      <c r="A7248" s="2">
        <v>7245</v>
      </c>
      <c r="B7248" s="2" t="s">
        <v>7324</v>
      </c>
      <c r="C7248" s="2" t="str">
        <f>"18355617"</f>
        <v>18355617</v>
      </c>
      <c r="D7248" s="2">
        <v>0.23699999999999999</v>
      </c>
      <c r="E7248" s="2">
        <v>3</v>
      </c>
      <c r="F7248" s="2" t="s">
        <v>127</v>
      </c>
    </row>
    <row r="7249" spans="1:6" ht="25.5">
      <c r="A7249" s="2">
        <v>7246</v>
      </c>
      <c r="B7249" s="2" t="s">
        <v>7325</v>
      </c>
      <c r="C7249" s="2" t="str">
        <f>"10509135"</f>
        <v>10509135</v>
      </c>
      <c r="D7249" s="2">
        <v>0.11</v>
      </c>
      <c r="E7249" s="2">
        <v>6</v>
      </c>
      <c r="F7249" s="2" t="s">
        <v>6</v>
      </c>
    </row>
    <row r="7250" spans="1:6" ht="25.5">
      <c r="A7250" s="2">
        <v>7247</v>
      </c>
      <c r="B7250" s="2" t="s">
        <v>7326</v>
      </c>
      <c r="C7250" s="2" t="str">
        <f>"15260704"</f>
        <v>15260704</v>
      </c>
      <c r="D7250" s="2">
        <v>0.128</v>
      </c>
      <c r="E7250" s="2">
        <v>2</v>
      </c>
      <c r="F7250" s="2" t="s">
        <v>6</v>
      </c>
    </row>
    <row r="7251" spans="1:6" ht="25.5">
      <c r="A7251" s="2">
        <v>7248</v>
      </c>
      <c r="B7251" s="2" t="s">
        <v>7327</v>
      </c>
      <c r="C7251" s="2" t="str">
        <f>"08404704"</f>
        <v>08404704</v>
      </c>
      <c r="D7251" s="2">
        <v>0.159</v>
      </c>
      <c r="E7251" s="2">
        <v>10</v>
      </c>
      <c r="F7251" s="2" t="s">
        <v>6</v>
      </c>
    </row>
    <row r="7252" spans="1:6" ht="25.5">
      <c r="A7252" s="2">
        <v>7249</v>
      </c>
      <c r="B7252" s="2" t="s">
        <v>7328</v>
      </c>
      <c r="C7252" s="2" t="str">
        <f>"15505030"</f>
        <v>15505030</v>
      </c>
      <c r="D7252" s="2">
        <v>1.135</v>
      </c>
      <c r="E7252" s="2">
        <v>31</v>
      </c>
      <c r="F7252" s="2" t="s">
        <v>6</v>
      </c>
    </row>
    <row r="7253" spans="1:6" ht="25.5">
      <c r="A7253" s="2">
        <v>7250</v>
      </c>
      <c r="B7253" s="2" t="s">
        <v>7329</v>
      </c>
      <c r="C7253" s="2" t="str">
        <f>"15729389"</f>
        <v>15729389</v>
      </c>
      <c r="D7253" s="2">
        <v>0.73599999999999999</v>
      </c>
      <c r="E7253" s="2">
        <v>29</v>
      </c>
      <c r="F7253" s="2" t="s">
        <v>75</v>
      </c>
    </row>
    <row r="7254" spans="1:6" ht="25.5">
      <c r="A7254" s="2">
        <v>7251</v>
      </c>
      <c r="B7254" s="2" t="s">
        <v>7330</v>
      </c>
      <c r="C7254" s="2" t="str">
        <f>"1550512X"</f>
        <v>1550512X</v>
      </c>
      <c r="D7254" s="2">
        <v>0.24099999999999999</v>
      </c>
      <c r="E7254" s="2">
        <v>14</v>
      </c>
      <c r="F7254" s="2" t="s">
        <v>6</v>
      </c>
    </row>
    <row r="7255" spans="1:6" ht="25.5">
      <c r="A7255" s="2">
        <v>7252</v>
      </c>
      <c r="B7255" s="2" t="s">
        <v>7331</v>
      </c>
      <c r="C7255" s="2" t="str">
        <f>"1488917X"</f>
        <v>1488917X</v>
      </c>
      <c r="D7255" s="2">
        <v>0.14799999999999999</v>
      </c>
      <c r="E7255" s="2">
        <v>13</v>
      </c>
      <c r="F7255" s="2" t="s">
        <v>64</v>
      </c>
    </row>
    <row r="7256" spans="1:6" ht="25.5">
      <c r="A7256" s="2">
        <v>7253</v>
      </c>
      <c r="B7256" s="2" t="s">
        <v>7332</v>
      </c>
      <c r="C7256" s="2" t="str">
        <f>"17156572"</f>
        <v>17156572</v>
      </c>
      <c r="D7256" s="2">
        <v>0.307</v>
      </c>
      <c r="E7256" s="2">
        <v>6</v>
      </c>
      <c r="F7256" s="2" t="s">
        <v>64</v>
      </c>
    </row>
    <row r="7257" spans="1:6" ht="25.5">
      <c r="A7257" s="2">
        <v>7254</v>
      </c>
      <c r="B7257" s="2" t="s">
        <v>7333</v>
      </c>
      <c r="C7257" s="2" t="str">
        <f>"17102774"</f>
        <v>17102774</v>
      </c>
      <c r="D7257" s="2">
        <v>0.26</v>
      </c>
      <c r="E7257" s="2">
        <v>17</v>
      </c>
      <c r="F7257" s="2" t="s">
        <v>64</v>
      </c>
    </row>
    <row r="7258" spans="1:6" ht="25.5">
      <c r="A7258" s="2">
        <v>7255</v>
      </c>
      <c r="B7258" s="2" t="s">
        <v>7334</v>
      </c>
      <c r="C7258" s="2" t="str">
        <f>"15327027"</f>
        <v>15327027</v>
      </c>
      <c r="D7258" s="2">
        <v>0.59899999999999998</v>
      </c>
      <c r="E7258" s="2">
        <v>34</v>
      </c>
      <c r="F7258" s="2" t="s">
        <v>16</v>
      </c>
    </row>
    <row r="7259" spans="1:6" ht="25.5">
      <c r="A7259" s="2">
        <v>7256</v>
      </c>
      <c r="B7259" s="2" t="s">
        <v>7335</v>
      </c>
      <c r="C7259" s="2" t="str">
        <f>"10799869"</f>
        <v>10799869</v>
      </c>
      <c r="D7259" s="2">
        <v>0.107</v>
      </c>
      <c r="E7259" s="2">
        <v>5</v>
      </c>
      <c r="F7259" s="2" t="s">
        <v>6</v>
      </c>
    </row>
    <row r="7260" spans="1:6" ht="25.5">
      <c r="A7260" s="2">
        <v>7257</v>
      </c>
      <c r="B7260" s="2" t="s">
        <v>7336</v>
      </c>
      <c r="C7260" s="2" t="str">
        <f>"10991050"</f>
        <v>10991050</v>
      </c>
      <c r="D7260" s="2">
        <v>1.427</v>
      </c>
      <c r="E7260" s="2">
        <v>65</v>
      </c>
      <c r="F7260" s="2" t="s">
        <v>16</v>
      </c>
    </row>
    <row r="7261" spans="1:6" ht="25.5">
      <c r="A7261" s="2">
        <v>7258</v>
      </c>
      <c r="B7261" s="2" t="s">
        <v>7337</v>
      </c>
      <c r="C7261" s="2" t="str">
        <f>"17441331"</f>
        <v>17441331</v>
      </c>
      <c r="D7261" s="2">
        <v>0.92600000000000005</v>
      </c>
      <c r="E7261" s="2">
        <v>14</v>
      </c>
      <c r="F7261" s="2" t="s">
        <v>16</v>
      </c>
    </row>
    <row r="7262" spans="1:6" ht="25.5">
      <c r="A7262" s="2">
        <v>7259</v>
      </c>
      <c r="B7262" s="2" t="s">
        <v>7338</v>
      </c>
      <c r="C7262" s="2" t="str">
        <f>"09654283"</f>
        <v>09654283</v>
      </c>
      <c r="D7262" s="2">
        <v>0.27800000000000002</v>
      </c>
      <c r="E7262" s="2">
        <v>11</v>
      </c>
      <c r="F7262" s="2" t="s">
        <v>16</v>
      </c>
    </row>
    <row r="7263" spans="1:6" ht="25.5">
      <c r="A7263" s="2">
        <v>7260</v>
      </c>
      <c r="B7263" s="2" t="s">
        <v>7339</v>
      </c>
      <c r="C7263" s="2" t="str">
        <f>"10901981"</f>
        <v>10901981</v>
      </c>
      <c r="D7263" s="2">
        <v>1.1479999999999999</v>
      </c>
      <c r="E7263" s="2">
        <v>59</v>
      </c>
      <c r="F7263" s="2" t="s">
        <v>6</v>
      </c>
    </row>
    <row r="7264" spans="1:6" ht="25.5">
      <c r="A7264" s="2">
        <v>7261</v>
      </c>
      <c r="B7264" s="2" t="s">
        <v>7340</v>
      </c>
      <c r="C7264" s="2" t="str">
        <f>"00178969"</f>
        <v>00178969</v>
      </c>
      <c r="D7264" s="2">
        <v>0.26400000000000001</v>
      </c>
      <c r="E7264" s="2">
        <v>18</v>
      </c>
      <c r="F7264" s="2" t="s">
        <v>16</v>
      </c>
    </row>
    <row r="7265" spans="1:6" ht="25.5">
      <c r="A7265" s="2">
        <v>7262</v>
      </c>
      <c r="B7265" s="2" t="s">
        <v>7341</v>
      </c>
      <c r="C7265" s="2" t="str">
        <f>"14653648"</f>
        <v>14653648</v>
      </c>
      <c r="D7265" s="2">
        <v>0.85099999999999998</v>
      </c>
      <c r="E7265" s="2">
        <v>61</v>
      </c>
      <c r="F7265" s="2" t="s">
        <v>16</v>
      </c>
    </row>
    <row r="7266" spans="1:6">
      <c r="A7266" s="2">
        <v>7263</v>
      </c>
      <c r="B7266" s="2" t="s">
        <v>7342</v>
      </c>
      <c r="C7266" s="2" t="str">
        <f>"0"</f>
        <v>0</v>
      </c>
      <c r="D7266" s="2">
        <v>0.1</v>
      </c>
      <c r="E7266" s="2">
        <v>3</v>
      </c>
      <c r="F7266" s="2" t="s">
        <v>16</v>
      </c>
    </row>
    <row r="7267" spans="1:6" ht="25.5">
      <c r="A7267" s="2">
        <v>7264</v>
      </c>
      <c r="B7267" s="2" t="s">
        <v>7343</v>
      </c>
      <c r="C7267" s="2" t="str">
        <f>"13697625"</f>
        <v>13697625</v>
      </c>
      <c r="D7267" s="2">
        <v>0.79300000000000004</v>
      </c>
      <c r="E7267" s="2">
        <v>38</v>
      </c>
      <c r="F7267" s="2" t="s">
        <v>16</v>
      </c>
    </row>
    <row r="7268" spans="1:6" ht="25.5">
      <c r="A7268" s="2">
        <v>7265</v>
      </c>
      <c r="B7268" s="2" t="s">
        <v>7344</v>
      </c>
      <c r="C7268" s="2" t="str">
        <f>"08996210"</f>
        <v>08996210</v>
      </c>
      <c r="D7268" s="2">
        <v>0.108</v>
      </c>
      <c r="E7268" s="2">
        <v>3</v>
      </c>
      <c r="F7268" s="2" t="s">
        <v>6</v>
      </c>
    </row>
    <row r="7269" spans="1:6" ht="25.5">
      <c r="A7269" s="2">
        <v>7266</v>
      </c>
      <c r="B7269" s="2" t="s">
        <v>7345</v>
      </c>
      <c r="C7269" s="2" t="str">
        <f>"14604582"</f>
        <v>14604582</v>
      </c>
      <c r="D7269" s="2">
        <v>0.46300000000000002</v>
      </c>
      <c r="E7269" s="2">
        <v>15</v>
      </c>
      <c r="F7269" s="2" t="s">
        <v>16</v>
      </c>
    </row>
    <row r="7270" spans="1:6" ht="25.5">
      <c r="A7270" s="2">
        <v>7267</v>
      </c>
      <c r="B7270" s="2" t="s">
        <v>7346</v>
      </c>
      <c r="C7270" s="2" t="str">
        <f>"14711842"</f>
        <v>14711842</v>
      </c>
      <c r="D7270" s="2">
        <v>0.48599999999999999</v>
      </c>
      <c r="E7270" s="2">
        <v>24</v>
      </c>
      <c r="F7270" s="2" t="s">
        <v>16</v>
      </c>
    </row>
    <row r="7271" spans="1:6" ht="25.5">
      <c r="A7271" s="2">
        <v>7268</v>
      </c>
      <c r="B7271" s="2" t="s">
        <v>7347</v>
      </c>
      <c r="C7271" s="2" t="str">
        <f>"18333583"</f>
        <v>18333583</v>
      </c>
      <c r="D7271" s="2">
        <v>0.249</v>
      </c>
      <c r="E7271" s="2">
        <v>9</v>
      </c>
      <c r="F7271" s="2" t="s">
        <v>127</v>
      </c>
    </row>
    <row r="7272" spans="1:6" ht="25.5">
      <c r="A7272" s="2">
        <v>7269</v>
      </c>
      <c r="B7272" s="2" t="s">
        <v>7348</v>
      </c>
      <c r="C7272" s="2" t="str">
        <f>"02268841"</f>
        <v>02268841</v>
      </c>
      <c r="D7272" s="2">
        <v>0.1</v>
      </c>
      <c r="E7272" s="2">
        <v>4</v>
      </c>
      <c r="F7272" s="2" t="s">
        <v>64</v>
      </c>
    </row>
    <row r="7273" spans="1:6" ht="25.5">
      <c r="A7273" s="2">
        <v>7270</v>
      </c>
      <c r="B7273" s="2" t="s">
        <v>7349</v>
      </c>
      <c r="C7273" s="2" t="str">
        <f>"11928336"</f>
        <v>11928336</v>
      </c>
      <c r="D7273" s="2">
        <v>0.14099999999999999</v>
      </c>
      <c r="E7273" s="2">
        <v>7</v>
      </c>
      <c r="F7273" s="2" t="s">
        <v>64</v>
      </c>
    </row>
    <row r="7274" spans="1:6" ht="25.5">
      <c r="A7274" s="2">
        <v>7271</v>
      </c>
      <c r="B7274" s="2" t="s">
        <v>7350</v>
      </c>
      <c r="C7274" s="2" t="str">
        <f>"10744770"</f>
        <v>10744770</v>
      </c>
      <c r="D7274" s="2">
        <v>0.10100000000000001</v>
      </c>
      <c r="E7274" s="2">
        <v>6</v>
      </c>
      <c r="F7274" s="2" t="s">
        <v>6</v>
      </c>
    </row>
    <row r="7275" spans="1:6" ht="25.5">
      <c r="A7275" s="2">
        <v>7272</v>
      </c>
      <c r="B7275" s="2" t="s">
        <v>7351</v>
      </c>
      <c r="C7275" s="2" t="str">
        <f>"15450864"</f>
        <v>15450864</v>
      </c>
      <c r="D7275" s="2">
        <v>0.27200000000000002</v>
      </c>
      <c r="E7275" s="2">
        <v>15</v>
      </c>
      <c r="F7275" s="2" t="s">
        <v>16</v>
      </c>
    </row>
    <row r="7276" spans="1:6" ht="25.5">
      <c r="A7276" s="2">
        <v>7273</v>
      </c>
      <c r="B7276" s="2" t="s">
        <v>7352</v>
      </c>
      <c r="C7276" s="2" t="str">
        <f>"0748383X"</f>
        <v>0748383X</v>
      </c>
      <c r="D7276" s="2">
        <v>0.14899999999999999</v>
      </c>
      <c r="E7276" s="2">
        <v>8</v>
      </c>
      <c r="F7276" s="2" t="s">
        <v>6</v>
      </c>
    </row>
    <row r="7277" spans="1:6" ht="25.5">
      <c r="A7277" s="2">
        <v>7274</v>
      </c>
      <c r="B7277" s="2" t="s">
        <v>7353</v>
      </c>
      <c r="C7277" s="2" t="str">
        <f>"18402291"</f>
        <v>18402291</v>
      </c>
      <c r="D7277" s="2">
        <v>0.23100000000000001</v>
      </c>
      <c r="E7277" s="2">
        <v>5</v>
      </c>
      <c r="F7277" s="2" t="s">
        <v>271</v>
      </c>
    </row>
    <row r="7278" spans="1:6" ht="25.5">
      <c r="A7278" s="2">
        <v>7275</v>
      </c>
      <c r="B7278" s="2" t="s">
        <v>7354</v>
      </c>
      <c r="C7278" s="2" t="str">
        <f>"18771319"</f>
        <v>18771319</v>
      </c>
      <c r="D7278" s="2">
        <v>0.25800000000000001</v>
      </c>
      <c r="E7278" s="2">
        <v>2</v>
      </c>
      <c r="F7278" s="2" t="s">
        <v>6</v>
      </c>
    </row>
    <row r="7279" spans="1:6" ht="25.5">
      <c r="A7279" s="2">
        <v>7276</v>
      </c>
      <c r="B7279" s="2" t="s">
        <v>7355</v>
      </c>
      <c r="C7279" s="2" t="str">
        <f>"00179078"</f>
        <v>00179078</v>
      </c>
      <c r="D7279" s="2">
        <v>0.47199999999999998</v>
      </c>
      <c r="E7279" s="2">
        <v>46</v>
      </c>
      <c r="F7279" s="2" t="s">
        <v>6</v>
      </c>
    </row>
    <row r="7280" spans="1:6" ht="25.5">
      <c r="A7280" s="2">
        <v>7277</v>
      </c>
      <c r="B7280" s="2" t="s">
        <v>7356</v>
      </c>
      <c r="C7280" s="2" t="str">
        <f>"07359143"</f>
        <v>07359143</v>
      </c>
      <c r="D7280" s="2">
        <v>0.78900000000000003</v>
      </c>
      <c r="E7280" s="2">
        <v>20</v>
      </c>
      <c r="F7280" s="2" t="s">
        <v>6</v>
      </c>
    </row>
    <row r="7281" spans="1:6" ht="25.5">
      <c r="A7281" s="2">
        <v>7278</v>
      </c>
      <c r="B7281" s="2" t="s">
        <v>7357</v>
      </c>
      <c r="C7281" s="2" t="str">
        <f>"14602337"</f>
        <v>14602337</v>
      </c>
      <c r="D7281" s="2">
        <v>1.21</v>
      </c>
      <c r="E7281" s="2">
        <v>51</v>
      </c>
      <c r="F7281" s="2" t="s">
        <v>16</v>
      </c>
    </row>
    <row r="7282" spans="1:6" ht="25.5">
      <c r="A7282" s="2">
        <v>7279</v>
      </c>
      <c r="B7282" s="2" t="s">
        <v>7358</v>
      </c>
      <c r="C7282" s="2" t="str">
        <f>"22118837"</f>
        <v>22118837</v>
      </c>
      <c r="D7282" s="2">
        <v>0</v>
      </c>
      <c r="E7282" s="2">
        <v>2</v>
      </c>
      <c r="F7282" s="2" t="s">
        <v>16</v>
      </c>
    </row>
    <row r="7283" spans="1:6" ht="25.5">
      <c r="A7283" s="2">
        <v>7280</v>
      </c>
      <c r="B7283" s="2" t="s">
        <v>7359</v>
      </c>
      <c r="C7283" s="2" t="str">
        <f>"08821577"</f>
        <v>08821577</v>
      </c>
      <c r="D7283" s="2">
        <v>0.106</v>
      </c>
      <c r="E7283" s="2">
        <v>6</v>
      </c>
      <c r="F7283" s="2" t="s">
        <v>6</v>
      </c>
    </row>
    <row r="7284" spans="1:6" ht="25.5">
      <c r="A7284" s="2">
        <v>7281</v>
      </c>
      <c r="B7284" s="2" t="s">
        <v>7360</v>
      </c>
      <c r="C7284" s="2" t="str">
        <f>"14602245"</f>
        <v>14602245</v>
      </c>
      <c r="D7284" s="2">
        <v>0.89100000000000001</v>
      </c>
      <c r="E7284" s="2">
        <v>43</v>
      </c>
      <c r="F7284" s="2" t="s">
        <v>16</v>
      </c>
    </row>
    <row r="7285" spans="1:6" ht="25.5">
      <c r="A7285" s="2">
        <v>7282</v>
      </c>
      <c r="B7285" s="2" t="s">
        <v>7361</v>
      </c>
      <c r="C7285" s="2" t="str">
        <f>"10361073"</f>
        <v>10361073</v>
      </c>
      <c r="D7285" s="2">
        <v>0.36499999999999999</v>
      </c>
      <c r="E7285" s="2">
        <v>12</v>
      </c>
      <c r="F7285" s="2" t="s">
        <v>127</v>
      </c>
    </row>
    <row r="7286" spans="1:6" ht="25.5">
      <c r="A7286" s="2">
        <v>7283</v>
      </c>
      <c r="B7286" s="2" t="s">
        <v>7362</v>
      </c>
      <c r="C7286" s="2" t="str">
        <f>"15248399"</f>
        <v>15248399</v>
      </c>
      <c r="D7286" s="2">
        <v>0.55000000000000004</v>
      </c>
      <c r="E7286" s="2">
        <v>21</v>
      </c>
      <c r="F7286" s="2" t="s">
        <v>6</v>
      </c>
    </row>
    <row r="7287" spans="1:6" ht="25.5">
      <c r="A7287" s="2">
        <v>7284</v>
      </c>
      <c r="B7287" s="2" t="s">
        <v>7363</v>
      </c>
      <c r="C7287" s="2" t="str">
        <f>"02786133"</f>
        <v>02786133</v>
      </c>
      <c r="D7287" s="2">
        <v>1.847</v>
      </c>
      <c r="E7287" s="2">
        <v>101</v>
      </c>
      <c r="F7287" s="2" t="s">
        <v>6</v>
      </c>
    </row>
    <row r="7288" spans="1:6" ht="25.5">
      <c r="A7288" s="2">
        <v>7285</v>
      </c>
      <c r="B7288" s="2" t="s">
        <v>7364</v>
      </c>
      <c r="C7288" s="2" t="str">
        <f>"17437202"</f>
        <v>17437202</v>
      </c>
      <c r="D7288" s="2">
        <v>1.3759999999999999</v>
      </c>
      <c r="E7288" s="2">
        <v>8</v>
      </c>
      <c r="F7288" s="2" t="s">
        <v>16</v>
      </c>
    </row>
    <row r="7289" spans="1:6" ht="25.5">
      <c r="A7289" s="2">
        <v>7286</v>
      </c>
      <c r="B7289" s="2" t="s">
        <v>7365</v>
      </c>
      <c r="C7289" s="2" t="str">
        <f>"12091367"</f>
        <v>12091367</v>
      </c>
      <c r="D7289" s="2">
        <v>1.3320000000000001</v>
      </c>
      <c r="E7289" s="2">
        <v>30</v>
      </c>
      <c r="F7289" s="2" t="s">
        <v>64</v>
      </c>
    </row>
    <row r="7290" spans="1:6" ht="25.5">
      <c r="A7290" s="2">
        <v>7287</v>
      </c>
      <c r="B7290" s="2" t="s">
        <v>7366</v>
      </c>
      <c r="C7290" s="2" t="str">
        <f>"14784505"</f>
        <v>14784505</v>
      </c>
      <c r="D7290" s="2">
        <v>0.83399999999999996</v>
      </c>
      <c r="E7290" s="2">
        <v>21</v>
      </c>
      <c r="F7290" s="2" t="s">
        <v>16</v>
      </c>
    </row>
    <row r="7291" spans="1:6" ht="25.5">
      <c r="A7291" s="2">
        <v>7288</v>
      </c>
      <c r="B7291" s="2" t="s">
        <v>7367</v>
      </c>
      <c r="C7291" s="2" t="str">
        <f>"14698331"</f>
        <v>14698331</v>
      </c>
      <c r="D7291" s="2">
        <v>0.59499999999999997</v>
      </c>
      <c r="E7291" s="2">
        <v>26</v>
      </c>
      <c r="F7291" s="2" t="s">
        <v>16</v>
      </c>
    </row>
    <row r="7292" spans="1:6" ht="25.5">
      <c r="A7292" s="2">
        <v>7289</v>
      </c>
      <c r="B7292" s="2" t="s">
        <v>7368</v>
      </c>
      <c r="C7292" s="2" t="str">
        <f>"10259848"</f>
        <v>10259848</v>
      </c>
      <c r="D7292" s="2">
        <v>0.10100000000000001</v>
      </c>
      <c r="E7292" s="2">
        <v>1</v>
      </c>
      <c r="F7292" s="2" t="s">
        <v>410</v>
      </c>
    </row>
    <row r="7293" spans="1:6" ht="25.5">
      <c r="A7293" s="2">
        <v>7290</v>
      </c>
      <c r="B7293" s="2" t="s">
        <v>7369</v>
      </c>
      <c r="C7293" s="2" t="str">
        <f>"1791809X"</f>
        <v>1791809X</v>
      </c>
      <c r="D7293" s="2">
        <v>0.17899999999999999</v>
      </c>
      <c r="E7293" s="2">
        <v>4</v>
      </c>
      <c r="F7293" s="2" t="s">
        <v>313</v>
      </c>
    </row>
    <row r="7294" spans="1:6" ht="25.5">
      <c r="A7294" s="2">
        <v>7291</v>
      </c>
      <c r="B7294" s="2" t="s">
        <v>7370</v>
      </c>
      <c r="C7294" s="2" t="str">
        <f>"09522271"</f>
        <v>09522271</v>
      </c>
      <c r="D7294" s="2">
        <v>0.10199999999999999</v>
      </c>
      <c r="E7294" s="2">
        <v>8</v>
      </c>
      <c r="F7294" s="2" t="s">
        <v>16</v>
      </c>
    </row>
    <row r="7295" spans="1:6" ht="25.5">
      <c r="A7295" s="2">
        <v>7292</v>
      </c>
      <c r="B7295" s="2" t="s">
        <v>7371</v>
      </c>
      <c r="C7295" s="2" t="str">
        <f>"15729400"</f>
        <v>15729400</v>
      </c>
      <c r="D7295" s="2">
        <v>0.87</v>
      </c>
      <c r="E7295" s="2">
        <v>14</v>
      </c>
      <c r="F7295" s="2" t="s">
        <v>75</v>
      </c>
    </row>
    <row r="7296" spans="1:6" ht="25.5">
      <c r="A7296" s="2">
        <v>7293</v>
      </c>
      <c r="B7296" s="2" t="s">
        <v>7372</v>
      </c>
      <c r="C7296" s="2" t="str">
        <f>"17581044"</f>
        <v>17581044</v>
      </c>
      <c r="D7296" s="2">
        <v>0.28100000000000003</v>
      </c>
      <c r="E7296" s="2">
        <v>18</v>
      </c>
      <c r="F7296" s="2" t="s">
        <v>16</v>
      </c>
    </row>
    <row r="7297" spans="1:6" ht="25.5">
      <c r="A7297" s="2">
        <v>7294</v>
      </c>
      <c r="B7297" s="2" t="s">
        <v>7373</v>
      </c>
      <c r="C7297" s="2" t="str">
        <f>"00179124"</f>
        <v>00179124</v>
      </c>
      <c r="D7297" s="2">
        <v>1.603</v>
      </c>
      <c r="E7297" s="2">
        <v>69</v>
      </c>
      <c r="F7297" s="2" t="s">
        <v>16</v>
      </c>
    </row>
    <row r="7298" spans="1:6" ht="25.5">
      <c r="A7298" s="2">
        <v>7295</v>
      </c>
      <c r="B7298" s="2" t="s">
        <v>7374</v>
      </c>
      <c r="C7298" s="2" t="str">
        <f>"14461242"</f>
        <v>14461242</v>
      </c>
      <c r="D7298" s="2">
        <v>0.28000000000000003</v>
      </c>
      <c r="E7298" s="2">
        <v>7</v>
      </c>
      <c r="F7298" s="2" t="s">
        <v>127</v>
      </c>
    </row>
    <row r="7299" spans="1:6" ht="25.5">
      <c r="A7299" s="2">
        <v>7296</v>
      </c>
      <c r="B7299" s="2" t="s">
        <v>7375</v>
      </c>
      <c r="C7299" s="2" t="str">
        <f>"14651645"</f>
        <v>14651645</v>
      </c>
      <c r="D7299" s="2">
        <v>0.36</v>
      </c>
      <c r="E7299" s="2">
        <v>15</v>
      </c>
      <c r="F7299" s="2" t="s">
        <v>16</v>
      </c>
    </row>
    <row r="7300" spans="1:6" ht="25.5">
      <c r="A7300" s="2">
        <v>7297</v>
      </c>
      <c r="B7300" s="2" t="s">
        <v>7376</v>
      </c>
      <c r="C7300" s="2" t="str">
        <f>"13665278"</f>
        <v>13665278</v>
      </c>
      <c r="D7300" s="2">
        <v>1.143</v>
      </c>
      <c r="E7300" s="2">
        <v>71</v>
      </c>
      <c r="F7300" s="2" t="s">
        <v>16</v>
      </c>
    </row>
    <row r="7301" spans="1:6" ht="25.5">
      <c r="A7301" s="2">
        <v>7298</v>
      </c>
      <c r="B7301" s="2" t="s">
        <v>7377</v>
      </c>
      <c r="C7301" s="2" t="str">
        <f>"07457472"</f>
        <v>07457472</v>
      </c>
      <c r="D7301" s="2">
        <v>0.13900000000000001</v>
      </c>
      <c r="E7301" s="2">
        <v>13</v>
      </c>
      <c r="F7301" s="2" t="s">
        <v>6</v>
      </c>
    </row>
    <row r="7302" spans="1:6" ht="25.5">
      <c r="A7302" s="2">
        <v>7299</v>
      </c>
      <c r="B7302" s="2" t="s">
        <v>7378</v>
      </c>
      <c r="C7302" s="2" t="str">
        <f>"03785955"</f>
        <v>03785955</v>
      </c>
      <c r="D7302" s="2">
        <v>1.361</v>
      </c>
      <c r="E7302" s="2">
        <v>72</v>
      </c>
      <c r="F7302" s="2" t="s">
        <v>75</v>
      </c>
    </row>
    <row r="7303" spans="1:6" ht="25.5">
      <c r="A7303" s="2">
        <v>7300</v>
      </c>
      <c r="B7303" s="2" t="s">
        <v>7379</v>
      </c>
      <c r="C7303" s="2" t="str">
        <f>"13556037"</f>
        <v>13556037</v>
      </c>
      <c r="D7303" s="2">
        <v>2.052</v>
      </c>
      <c r="E7303" s="2">
        <v>119</v>
      </c>
      <c r="F7303" s="2" t="s">
        <v>16</v>
      </c>
    </row>
    <row r="7304" spans="1:6" ht="25.5">
      <c r="A7304" s="2">
        <v>7301</v>
      </c>
      <c r="B7304" s="2" t="s">
        <v>7380</v>
      </c>
      <c r="C7304" s="2" t="str">
        <f>"15239004"</f>
        <v>15239004</v>
      </c>
      <c r="D7304" s="2">
        <v>0.1</v>
      </c>
      <c r="E7304" s="2">
        <v>2</v>
      </c>
      <c r="F7304" s="2" t="s">
        <v>6</v>
      </c>
    </row>
    <row r="7305" spans="1:6" ht="25.5">
      <c r="A7305" s="2">
        <v>7302</v>
      </c>
      <c r="B7305" s="2" t="s">
        <v>7381</v>
      </c>
      <c r="C7305" s="2" t="str">
        <f>"01479563"</f>
        <v>01479563</v>
      </c>
      <c r="D7305" s="2">
        <v>0.46899999999999997</v>
      </c>
      <c r="E7305" s="2">
        <v>45</v>
      </c>
      <c r="F7305" s="2" t="s">
        <v>6</v>
      </c>
    </row>
    <row r="7306" spans="1:6" ht="25.5">
      <c r="A7306" s="2">
        <v>7303</v>
      </c>
      <c r="B7306" s="2" t="s">
        <v>7382</v>
      </c>
      <c r="C7306" s="2" t="str">
        <f>"15660338"</f>
        <v>15660338</v>
      </c>
      <c r="D7306" s="2">
        <v>0.109</v>
      </c>
      <c r="E7306" s="2">
        <v>5</v>
      </c>
      <c r="F7306" s="2" t="s">
        <v>66</v>
      </c>
    </row>
    <row r="7307" spans="1:6" ht="25.5">
      <c r="A7307" s="2">
        <v>7304</v>
      </c>
      <c r="B7307" s="2" t="s">
        <v>7383</v>
      </c>
      <c r="C7307" s="2" t="str">
        <f>"16152573"</f>
        <v>16152573</v>
      </c>
      <c r="D7307" s="2">
        <v>0.65800000000000003</v>
      </c>
      <c r="E7307" s="2">
        <v>31</v>
      </c>
      <c r="F7307" s="2" t="s">
        <v>131</v>
      </c>
    </row>
    <row r="7308" spans="1:6" ht="25.5">
      <c r="A7308" s="2">
        <v>7305</v>
      </c>
      <c r="B7308" s="2" t="s">
        <v>7384</v>
      </c>
      <c r="C7308" s="2" t="str">
        <f>"15517136"</f>
        <v>15517136</v>
      </c>
      <c r="D7308" s="2">
        <v>0.621</v>
      </c>
      <c r="E7308" s="2">
        <v>14</v>
      </c>
      <c r="F7308" s="2" t="s">
        <v>6</v>
      </c>
    </row>
    <row r="7309" spans="1:6" ht="25.5">
      <c r="A7309" s="2">
        <v>7306</v>
      </c>
      <c r="B7309" s="2" t="s">
        <v>7385</v>
      </c>
      <c r="C7309" s="2" t="str">
        <f>"15737322"</f>
        <v>15737322</v>
      </c>
      <c r="D7309" s="2">
        <v>1.224</v>
      </c>
      <c r="E7309" s="2">
        <v>48</v>
      </c>
      <c r="F7309" s="2" t="s">
        <v>75</v>
      </c>
    </row>
    <row r="7310" spans="1:6" ht="25.5">
      <c r="A7310" s="2">
        <v>7307</v>
      </c>
      <c r="B7310" s="2" t="s">
        <v>7386</v>
      </c>
      <c r="C7310" s="2" t="str">
        <f>"20362579"</f>
        <v>20362579</v>
      </c>
      <c r="D7310" s="2">
        <v>0.161</v>
      </c>
      <c r="E7310" s="2">
        <v>2</v>
      </c>
      <c r="F7310" s="2" t="s">
        <v>190</v>
      </c>
    </row>
    <row r="7311" spans="1:6" ht="25.5">
      <c r="A7311" s="2">
        <v>7308</v>
      </c>
      <c r="B7311" s="2" t="s">
        <v>7387</v>
      </c>
      <c r="C7311" s="2" t="str">
        <f>"14442892"</f>
        <v>14442892</v>
      </c>
      <c r="D7311" s="2">
        <v>0.45200000000000001</v>
      </c>
      <c r="E7311" s="2">
        <v>22</v>
      </c>
      <c r="F7311" s="2" t="s">
        <v>16</v>
      </c>
    </row>
    <row r="7312" spans="1:6" ht="25.5">
      <c r="A7312" s="2">
        <v>7309</v>
      </c>
      <c r="B7312" s="2" t="s">
        <v>7388</v>
      </c>
      <c r="C7312" s="2" t="str">
        <f>"15475271"</f>
        <v>15475271</v>
      </c>
      <c r="D7312" s="2">
        <v>2.4319999999999999</v>
      </c>
      <c r="E7312" s="2">
        <v>62</v>
      </c>
      <c r="F7312" s="2" t="s">
        <v>75</v>
      </c>
    </row>
    <row r="7313" spans="1:6" ht="25.5">
      <c r="A7313" s="2">
        <v>7310</v>
      </c>
      <c r="B7313" s="2" t="s">
        <v>7389</v>
      </c>
      <c r="C7313" s="2" t="str">
        <f>"15226662"</f>
        <v>15226662</v>
      </c>
      <c r="D7313" s="2">
        <v>0.29399999999999998</v>
      </c>
      <c r="E7313" s="2">
        <v>28</v>
      </c>
      <c r="F7313" s="2" t="s">
        <v>6</v>
      </c>
    </row>
    <row r="7314" spans="1:6" ht="25.5">
      <c r="A7314" s="2">
        <v>7311</v>
      </c>
      <c r="B7314" s="2" t="s">
        <v>7390</v>
      </c>
      <c r="C7314" s="2" t="str">
        <f>"09477411"</f>
        <v>09477411</v>
      </c>
      <c r="D7314" s="2">
        <v>0.58499999999999996</v>
      </c>
      <c r="E7314" s="2">
        <v>32</v>
      </c>
      <c r="F7314" s="2" t="s">
        <v>12</v>
      </c>
    </row>
    <row r="7315" spans="1:6" ht="25.5">
      <c r="A7315" s="2">
        <v>7312</v>
      </c>
      <c r="B7315" s="2" t="s">
        <v>7391</v>
      </c>
      <c r="C7315" s="2" t="str">
        <f>"15231496"</f>
        <v>15231496</v>
      </c>
      <c r="D7315" s="2">
        <v>0.20100000000000001</v>
      </c>
      <c r="E7315" s="2">
        <v>11</v>
      </c>
      <c r="F7315" s="2" t="s">
        <v>6</v>
      </c>
    </row>
    <row r="7316" spans="1:6" ht="25.5">
      <c r="A7316" s="2">
        <v>7313</v>
      </c>
      <c r="B7316" s="2" t="s">
        <v>7392</v>
      </c>
      <c r="C7316" s="2" t="str">
        <f>"01457632"</f>
        <v>01457632</v>
      </c>
      <c r="D7316" s="2">
        <v>0.55700000000000005</v>
      </c>
      <c r="E7316" s="2">
        <v>31</v>
      </c>
      <c r="F7316" s="2" t="s">
        <v>16</v>
      </c>
    </row>
    <row r="7317" spans="1:6" ht="25.5">
      <c r="A7317" s="2">
        <v>7314</v>
      </c>
      <c r="B7317" s="2" t="s">
        <v>7393</v>
      </c>
      <c r="C7317" s="2" t="str">
        <f>"10642285"</f>
        <v>10642285</v>
      </c>
      <c r="D7317" s="2">
        <v>0.22800000000000001</v>
      </c>
      <c r="E7317" s="2">
        <v>7</v>
      </c>
      <c r="F7317" s="2" t="s">
        <v>6</v>
      </c>
    </row>
    <row r="7318" spans="1:6" ht="25.5">
      <c r="A7318" s="2">
        <v>7315</v>
      </c>
      <c r="B7318" s="2" t="s">
        <v>7394</v>
      </c>
      <c r="C7318" s="2" t="str">
        <f>"01464094"</f>
        <v>01464094</v>
      </c>
      <c r="D7318" s="2">
        <v>0.10100000000000001</v>
      </c>
      <c r="E7318" s="2">
        <v>0</v>
      </c>
      <c r="F7318" s="2" t="s">
        <v>6</v>
      </c>
    </row>
    <row r="7319" spans="1:6" ht="25.5">
      <c r="A7319" s="2">
        <v>7316</v>
      </c>
      <c r="B7319" s="2" t="s">
        <v>7395</v>
      </c>
      <c r="C7319" s="2" t="str">
        <f>"15728498"</f>
        <v>15728498</v>
      </c>
      <c r="D7319" s="2">
        <v>0.315</v>
      </c>
      <c r="E7319" s="2">
        <v>10</v>
      </c>
      <c r="F7319" s="2" t="s">
        <v>75</v>
      </c>
    </row>
    <row r="7320" spans="1:6" ht="25.5">
      <c r="A7320" s="2">
        <v>7317</v>
      </c>
      <c r="B7320" s="2" t="s">
        <v>7396</v>
      </c>
      <c r="C7320" s="2" t="str">
        <f>"10021396"</f>
        <v>10021396</v>
      </c>
      <c r="D7320" s="2">
        <v>0.10100000000000001</v>
      </c>
      <c r="E7320" s="2">
        <v>4</v>
      </c>
      <c r="F7320" s="2" t="s">
        <v>46</v>
      </c>
    </row>
    <row r="7321" spans="1:6" ht="25.5">
      <c r="A7321" s="2">
        <v>7318</v>
      </c>
      <c r="B7321" s="2" t="s">
        <v>7397</v>
      </c>
      <c r="C7321" s="2" t="str">
        <f>"02580934"</f>
        <v>02580934</v>
      </c>
      <c r="D7321" s="2">
        <v>0.11</v>
      </c>
      <c r="E7321" s="2">
        <v>6</v>
      </c>
      <c r="F7321" s="2" t="s">
        <v>46</v>
      </c>
    </row>
    <row r="7322" spans="1:6" ht="25.5">
      <c r="A7322" s="2">
        <v>7319</v>
      </c>
      <c r="B7322" s="2" t="s">
        <v>7398</v>
      </c>
      <c r="C7322" s="2" t="str">
        <f>"02580926"</f>
        <v>02580926</v>
      </c>
      <c r="D7322" s="2">
        <v>0.15</v>
      </c>
      <c r="E7322" s="2">
        <v>9</v>
      </c>
      <c r="F7322" s="2" t="s">
        <v>46</v>
      </c>
    </row>
    <row r="7323" spans="1:6" ht="25.5">
      <c r="A7323" s="2">
        <v>7320</v>
      </c>
      <c r="B7323" s="2" t="s">
        <v>7399</v>
      </c>
      <c r="C7323" s="2" t="str">
        <f>"00731579"</f>
        <v>00731579</v>
      </c>
      <c r="D7323" s="2">
        <v>0.1</v>
      </c>
      <c r="E7323" s="2">
        <v>0</v>
      </c>
      <c r="F7323" s="2" t="s">
        <v>12</v>
      </c>
    </row>
    <row r="7324" spans="1:6" ht="25.5">
      <c r="A7324" s="2">
        <v>7321</v>
      </c>
      <c r="B7324" s="2" t="s">
        <v>7400</v>
      </c>
      <c r="C7324" s="2" t="str">
        <f>"02539950"</f>
        <v>02539950</v>
      </c>
      <c r="D7324" s="2">
        <v>0.11700000000000001</v>
      </c>
      <c r="E7324" s="2">
        <v>5</v>
      </c>
      <c r="F7324" s="2" t="s">
        <v>46</v>
      </c>
    </row>
    <row r="7325" spans="1:6" ht="25.5">
      <c r="A7325" s="2">
        <v>7322</v>
      </c>
      <c r="B7325" s="2" t="s">
        <v>7401</v>
      </c>
      <c r="C7325" s="2" t="str">
        <f>"02533219"</f>
        <v>02533219</v>
      </c>
      <c r="D7325" s="2">
        <v>0.20499999999999999</v>
      </c>
      <c r="E7325" s="2">
        <v>6</v>
      </c>
      <c r="F7325" s="2" t="s">
        <v>46</v>
      </c>
    </row>
    <row r="7326" spans="1:6" ht="25.5">
      <c r="A7326" s="2">
        <v>7323</v>
      </c>
      <c r="B7326" s="2" t="s">
        <v>7402</v>
      </c>
      <c r="C7326" s="2" t="str">
        <f>"02546086"</f>
        <v>02546086</v>
      </c>
      <c r="D7326" s="2">
        <v>0.125</v>
      </c>
      <c r="E7326" s="2">
        <v>6</v>
      </c>
      <c r="F7326" s="2" t="s">
        <v>46</v>
      </c>
    </row>
    <row r="7327" spans="1:6" ht="25.5">
      <c r="A7327" s="2">
        <v>7324</v>
      </c>
      <c r="B7327" s="2" t="s">
        <v>7403</v>
      </c>
      <c r="C7327" s="2" t="str">
        <f>"1438387X"</f>
        <v>1438387X</v>
      </c>
      <c r="D7327" s="2">
        <v>0.51500000000000001</v>
      </c>
      <c r="E7327" s="2">
        <v>30</v>
      </c>
      <c r="F7327" s="2" t="s">
        <v>12</v>
      </c>
    </row>
    <row r="7328" spans="1:6" ht="25.5">
      <c r="A7328" s="2">
        <v>7325</v>
      </c>
      <c r="B7328" s="2" t="s">
        <v>7404</v>
      </c>
      <c r="C7328" s="2" t="str">
        <f>"10181806"</f>
        <v>10181806</v>
      </c>
      <c r="D7328" s="2">
        <v>0.27900000000000003</v>
      </c>
      <c r="E7328" s="2">
        <v>5</v>
      </c>
      <c r="F7328" s="2" t="s">
        <v>212</v>
      </c>
    </row>
    <row r="7329" spans="1:6" ht="25.5">
      <c r="A7329" s="2">
        <v>7326</v>
      </c>
      <c r="B7329" s="2" t="s">
        <v>7405</v>
      </c>
      <c r="C7329" s="2" t="str">
        <f>"15235378"</f>
        <v>15235378</v>
      </c>
      <c r="D7329" s="2">
        <v>0.91500000000000004</v>
      </c>
      <c r="E7329" s="2">
        <v>49</v>
      </c>
      <c r="F7329" s="2" t="s">
        <v>16</v>
      </c>
    </row>
    <row r="7330" spans="1:6" ht="25.5">
      <c r="A7330" s="2">
        <v>7327</v>
      </c>
      <c r="B7330" s="2" t="s">
        <v>7406</v>
      </c>
      <c r="C7330" s="2" t="str">
        <f>"19350228"</f>
        <v>19350228</v>
      </c>
      <c r="D7330" s="2">
        <v>0.11</v>
      </c>
      <c r="E7330" s="2">
        <v>3</v>
      </c>
      <c r="F7330" s="2" t="s">
        <v>6</v>
      </c>
    </row>
    <row r="7331" spans="1:6" ht="25.5">
      <c r="A7331" s="2">
        <v>7328</v>
      </c>
      <c r="B7331" s="2" t="s">
        <v>7407</v>
      </c>
      <c r="C7331" s="2" t="str">
        <f>"10117970"</f>
        <v>10117970</v>
      </c>
      <c r="D7331" s="2">
        <v>0.34799999999999998</v>
      </c>
      <c r="E7331" s="2">
        <v>15</v>
      </c>
      <c r="F7331" s="2" t="s">
        <v>313</v>
      </c>
    </row>
    <row r="7332" spans="1:6" ht="25.5">
      <c r="A7332" s="2">
        <v>7329</v>
      </c>
      <c r="B7332" s="2" t="s">
        <v>7408</v>
      </c>
      <c r="C7332" s="2" t="str">
        <f>"11099666"</f>
        <v>11099666</v>
      </c>
      <c r="D7332" s="2">
        <v>0</v>
      </c>
      <c r="E7332" s="2">
        <v>2</v>
      </c>
      <c r="F7332" s="2" t="s">
        <v>313</v>
      </c>
    </row>
    <row r="7333" spans="1:6" ht="25.5">
      <c r="A7333" s="2">
        <v>7330</v>
      </c>
      <c r="B7333" s="2" t="s">
        <v>7409</v>
      </c>
      <c r="C7333" s="2" t="str">
        <f>"17905427"</f>
        <v>17905427</v>
      </c>
      <c r="D7333" s="2">
        <v>0.20499999999999999</v>
      </c>
      <c r="E7333" s="2">
        <v>9</v>
      </c>
      <c r="F7333" s="2" t="s">
        <v>313</v>
      </c>
    </row>
    <row r="7334" spans="1:6" ht="25.5">
      <c r="A7334" s="2">
        <v>7331</v>
      </c>
      <c r="B7334" s="2" t="s">
        <v>7410</v>
      </c>
      <c r="C7334" s="2" t="str">
        <f>"17913691"</f>
        <v>17913691</v>
      </c>
      <c r="D7334" s="2">
        <v>0.16400000000000001</v>
      </c>
      <c r="E7334" s="2">
        <v>3</v>
      </c>
      <c r="F7334" s="2" t="s">
        <v>313</v>
      </c>
    </row>
    <row r="7335" spans="1:6" ht="25.5">
      <c r="A7335" s="2">
        <v>7332</v>
      </c>
      <c r="B7335" s="2" t="s">
        <v>7411</v>
      </c>
      <c r="C7335" s="2" t="str">
        <f>"04406605"</f>
        <v>04406605</v>
      </c>
      <c r="D7335" s="2">
        <v>0.33800000000000002</v>
      </c>
      <c r="E7335" s="2">
        <v>16</v>
      </c>
      <c r="F7335" s="2" t="s">
        <v>16</v>
      </c>
    </row>
    <row r="7336" spans="1:6" ht="25.5">
      <c r="A7336" s="2">
        <v>7333</v>
      </c>
      <c r="B7336" s="2" t="s">
        <v>7412</v>
      </c>
      <c r="C7336" s="2" t="str">
        <f>"15222675"</f>
        <v>15222675</v>
      </c>
      <c r="D7336" s="2">
        <v>0.53700000000000003</v>
      </c>
      <c r="E7336" s="2">
        <v>63</v>
      </c>
      <c r="F7336" s="2" t="s">
        <v>31</v>
      </c>
    </row>
    <row r="7337" spans="1:6" ht="25.5">
      <c r="A7337" s="2">
        <v>7334</v>
      </c>
      <c r="B7337" s="2" t="s">
        <v>7413</v>
      </c>
      <c r="C7337" s="2" t="str">
        <f>"10991069"</f>
        <v>10991069</v>
      </c>
      <c r="D7337" s="2">
        <v>0.91600000000000004</v>
      </c>
      <c r="E7337" s="2">
        <v>30</v>
      </c>
      <c r="F7337" s="2" t="s">
        <v>16</v>
      </c>
    </row>
    <row r="7338" spans="1:6" ht="25.5">
      <c r="A7338" s="2">
        <v>7335</v>
      </c>
      <c r="B7338" s="2" t="s">
        <v>7414</v>
      </c>
      <c r="C7338" s="2" t="str">
        <f>"12647527"</f>
        <v>12647527</v>
      </c>
      <c r="D7338" s="2">
        <v>0.106</v>
      </c>
      <c r="E7338" s="2">
        <v>7</v>
      </c>
      <c r="F7338" s="2" t="s">
        <v>66</v>
      </c>
    </row>
    <row r="7339" spans="1:6" ht="25.5">
      <c r="A7339" s="2">
        <v>7336</v>
      </c>
      <c r="B7339" s="2" t="s">
        <v>7415</v>
      </c>
      <c r="C7339" s="2" t="str">
        <f>"10245332"</f>
        <v>10245332</v>
      </c>
      <c r="D7339" s="2">
        <v>0.33600000000000002</v>
      </c>
      <c r="E7339" s="2">
        <v>29</v>
      </c>
      <c r="F7339" s="2" t="s">
        <v>16</v>
      </c>
    </row>
    <row r="7340" spans="1:6" ht="25.5">
      <c r="A7340" s="2">
        <v>7337</v>
      </c>
      <c r="B7340" s="2" t="s">
        <v>7416</v>
      </c>
      <c r="C7340" s="2" t="str">
        <f>"16583876"</f>
        <v>16583876</v>
      </c>
      <c r="D7340" s="2">
        <v>0.23699999999999999</v>
      </c>
      <c r="E7340" s="2">
        <v>5</v>
      </c>
      <c r="F7340" s="2" t="s">
        <v>7417</v>
      </c>
    </row>
    <row r="7341" spans="1:6" ht="25.5">
      <c r="A7341" s="2">
        <v>7338</v>
      </c>
      <c r="B7341" s="2" t="s">
        <v>7418</v>
      </c>
      <c r="C7341" s="2" t="str">
        <f>"15581977"</f>
        <v>15581977</v>
      </c>
      <c r="D7341" s="2">
        <v>0.98199999999999998</v>
      </c>
      <c r="E7341" s="2">
        <v>56</v>
      </c>
      <c r="F7341" s="2" t="s">
        <v>16</v>
      </c>
    </row>
    <row r="7342" spans="1:6" ht="25.5">
      <c r="A7342" s="2">
        <v>7339</v>
      </c>
      <c r="B7342" s="2" t="s">
        <v>7419</v>
      </c>
      <c r="C7342" s="2" t="str">
        <f>"19706804"</f>
        <v>19706804</v>
      </c>
      <c r="D7342" s="2">
        <v>0.217</v>
      </c>
      <c r="E7342" s="2">
        <v>2</v>
      </c>
      <c r="F7342" s="2" t="s">
        <v>190</v>
      </c>
    </row>
    <row r="7343" spans="1:6" ht="25.5">
      <c r="A7343" s="2">
        <v>7340</v>
      </c>
      <c r="B7343" s="2" t="s">
        <v>7420</v>
      </c>
      <c r="C7343" s="2" t="str">
        <f>"15204391"</f>
        <v>15204391</v>
      </c>
      <c r="D7343" s="2">
        <v>1.486</v>
      </c>
      <c r="E7343" s="2">
        <v>52</v>
      </c>
      <c r="F7343" s="2" t="s">
        <v>6</v>
      </c>
    </row>
    <row r="7344" spans="1:6" ht="25.5">
      <c r="A7344" s="2">
        <v>7341</v>
      </c>
      <c r="B7344" s="2" t="s">
        <v>7421</v>
      </c>
      <c r="C7344" s="2" t="str">
        <f>"0367598X"</f>
        <v>0367598X</v>
      </c>
      <c r="D7344" s="2">
        <v>0.19400000000000001</v>
      </c>
      <c r="E7344" s="2">
        <v>5</v>
      </c>
      <c r="F7344" s="2" t="s">
        <v>212</v>
      </c>
    </row>
    <row r="7345" spans="1:6" ht="25.5">
      <c r="A7345" s="2">
        <v>7342</v>
      </c>
      <c r="B7345" s="2" t="s">
        <v>7422</v>
      </c>
      <c r="C7345" s="2" t="str">
        <f>"14927535"</f>
        <v>14927535</v>
      </c>
      <c r="D7345" s="2">
        <v>0.625</v>
      </c>
      <c r="E7345" s="2">
        <v>24</v>
      </c>
      <c r="F7345" s="2" t="s">
        <v>16</v>
      </c>
    </row>
    <row r="7346" spans="1:6" ht="25.5">
      <c r="A7346" s="2">
        <v>7343</v>
      </c>
      <c r="B7346" s="2" t="s">
        <v>7423</v>
      </c>
      <c r="C7346" s="2" t="str">
        <f>"1532432X"</f>
        <v>1532432X</v>
      </c>
      <c r="D7346" s="2">
        <v>0.42799999999999999</v>
      </c>
      <c r="E7346" s="2">
        <v>24</v>
      </c>
      <c r="F7346" s="2" t="s">
        <v>16</v>
      </c>
    </row>
    <row r="7347" spans="1:6" ht="25.5">
      <c r="A7347" s="2">
        <v>7344</v>
      </c>
      <c r="B7347" s="2" t="s">
        <v>7424</v>
      </c>
      <c r="C7347" s="2" t="str">
        <f>"10806555"</f>
        <v>10806555</v>
      </c>
      <c r="D7347" s="2">
        <v>0.11</v>
      </c>
      <c r="E7347" s="2">
        <v>5</v>
      </c>
      <c r="F7347" s="2" t="s">
        <v>6</v>
      </c>
    </row>
    <row r="7348" spans="1:6" ht="25.5">
      <c r="A7348" s="2">
        <v>7345</v>
      </c>
      <c r="B7348" s="2" t="s">
        <v>7425</v>
      </c>
      <c r="C7348" s="2" t="str">
        <f>"17353408"</f>
        <v>17353408</v>
      </c>
      <c r="D7348" s="2">
        <v>0.251</v>
      </c>
      <c r="E7348" s="2">
        <v>12</v>
      </c>
      <c r="F7348" s="2" t="s">
        <v>299</v>
      </c>
    </row>
    <row r="7349" spans="1:6" ht="25.5">
      <c r="A7349" s="2">
        <v>7346</v>
      </c>
      <c r="B7349" s="2" t="s">
        <v>7426</v>
      </c>
      <c r="C7349" s="2" t="str">
        <f>"14993872"</f>
        <v>14993872</v>
      </c>
      <c r="D7349" s="2">
        <v>0.42</v>
      </c>
      <c r="E7349" s="2">
        <v>26</v>
      </c>
      <c r="F7349" s="2" t="s">
        <v>46</v>
      </c>
    </row>
    <row r="7350" spans="1:6" ht="25.5">
      <c r="A7350" s="2">
        <v>7347</v>
      </c>
      <c r="B7350" s="2" t="s">
        <v>7427</v>
      </c>
      <c r="C7350" s="2" t="str">
        <f>"12537020"</f>
        <v>12537020</v>
      </c>
      <c r="D7350" s="2">
        <v>0.105</v>
      </c>
      <c r="E7350" s="2">
        <v>5</v>
      </c>
      <c r="F7350" s="2" t="s">
        <v>66</v>
      </c>
    </row>
    <row r="7351" spans="1:6" ht="25.5">
      <c r="A7351" s="2">
        <v>7348</v>
      </c>
      <c r="B7351" s="2" t="s">
        <v>7428</v>
      </c>
      <c r="C7351" s="2" t="str">
        <f>"01726390"</f>
        <v>01726390</v>
      </c>
      <c r="D7351" s="2">
        <v>0.36299999999999999</v>
      </c>
      <c r="E7351" s="2">
        <v>57</v>
      </c>
      <c r="F7351" s="2" t="s">
        <v>313</v>
      </c>
    </row>
    <row r="7352" spans="1:6" ht="25.5">
      <c r="A7352" s="2">
        <v>7349</v>
      </c>
      <c r="B7352" s="2" t="s">
        <v>7429</v>
      </c>
      <c r="C7352" s="2" t="str">
        <f>"15273350"</f>
        <v>15273350</v>
      </c>
      <c r="D7352" s="2">
        <v>4.26</v>
      </c>
      <c r="E7352" s="2">
        <v>233</v>
      </c>
      <c r="F7352" s="2" t="s">
        <v>16</v>
      </c>
    </row>
    <row r="7353" spans="1:6" ht="25.5">
      <c r="A7353" s="2">
        <v>7350</v>
      </c>
      <c r="B7353" s="2" t="s">
        <v>7430</v>
      </c>
      <c r="C7353" s="2" t="str">
        <f>"19360541"</f>
        <v>19360541</v>
      </c>
      <c r="D7353" s="2">
        <v>0.77500000000000002</v>
      </c>
      <c r="E7353" s="2">
        <v>17</v>
      </c>
      <c r="F7353" s="2" t="s">
        <v>6</v>
      </c>
    </row>
    <row r="7354" spans="1:6" ht="25.5">
      <c r="A7354" s="2">
        <v>7351</v>
      </c>
      <c r="B7354" s="2" t="s">
        <v>7431</v>
      </c>
      <c r="C7354" s="2" t="str">
        <f>"13866346"</f>
        <v>13866346</v>
      </c>
      <c r="D7354" s="2">
        <v>0.70199999999999996</v>
      </c>
      <c r="E7354" s="2">
        <v>43</v>
      </c>
      <c r="F7354" s="2" t="s">
        <v>16</v>
      </c>
    </row>
    <row r="7355" spans="1:6" ht="25.5">
      <c r="A7355" s="2">
        <v>7352</v>
      </c>
      <c r="B7355" s="2" t="s">
        <v>7432</v>
      </c>
      <c r="C7355" s="2" t="str">
        <f>"10193316"</f>
        <v>10193316</v>
      </c>
      <c r="D7355" s="2">
        <v>0.193</v>
      </c>
      <c r="E7355" s="2">
        <v>3</v>
      </c>
      <c r="F7355" s="2" t="s">
        <v>129</v>
      </c>
    </row>
    <row r="7356" spans="1:6" ht="25.5">
      <c r="A7356" s="2">
        <v>7353</v>
      </c>
      <c r="B7356" s="2" t="s">
        <v>7433</v>
      </c>
      <c r="C7356" s="2" t="str">
        <f>"00180637"</f>
        <v>00180637</v>
      </c>
      <c r="D7356" s="2">
        <v>0.17100000000000001</v>
      </c>
      <c r="E7356" s="2">
        <v>5</v>
      </c>
      <c r="F7356" s="2" t="s">
        <v>12</v>
      </c>
    </row>
    <row r="7357" spans="1:6" ht="25.5">
      <c r="A7357" s="2">
        <v>7354</v>
      </c>
      <c r="B7357" s="2" t="s">
        <v>7434</v>
      </c>
      <c r="C7357" s="2" t="str">
        <f>"18974287"</f>
        <v>18974287</v>
      </c>
      <c r="D7357" s="2">
        <v>0.38900000000000001</v>
      </c>
      <c r="E7357" s="2">
        <v>9</v>
      </c>
      <c r="F7357" s="2" t="s">
        <v>16</v>
      </c>
    </row>
    <row r="7358" spans="1:6" ht="25.5">
      <c r="A7358" s="2">
        <v>7355</v>
      </c>
      <c r="B7358" s="2" t="s">
        <v>7435</v>
      </c>
      <c r="C7358" s="2" t="str">
        <f>"16015223"</f>
        <v>16015223</v>
      </c>
      <c r="D7358" s="2">
        <v>0.371</v>
      </c>
      <c r="E7358" s="2">
        <v>33</v>
      </c>
      <c r="F7358" s="2" t="s">
        <v>16</v>
      </c>
    </row>
    <row r="7359" spans="1:6" ht="25.5">
      <c r="A7359" s="2">
        <v>7356</v>
      </c>
      <c r="B7359" s="2" t="s">
        <v>7436</v>
      </c>
      <c r="C7359" s="2" t="str">
        <f>"13652540"</f>
        <v>13652540</v>
      </c>
      <c r="D7359" s="2">
        <v>1.6879999999999999</v>
      </c>
      <c r="E7359" s="2">
        <v>77</v>
      </c>
      <c r="F7359" s="2" t="s">
        <v>16</v>
      </c>
    </row>
    <row r="7360" spans="1:6" ht="25.5">
      <c r="A7360" s="2">
        <v>7357</v>
      </c>
      <c r="B7360" s="2" t="s">
        <v>7437</v>
      </c>
      <c r="C7360" s="2" t="str">
        <f>"11397489"</f>
        <v>11397489</v>
      </c>
      <c r="D7360" s="2">
        <v>0.10299999999999999</v>
      </c>
      <c r="E7360" s="2">
        <v>0</v>
      </c>
      <c r="F7360" s="2" t="s">
        <v>351</v>
      </c>
    </row>
    <row r="7361" spans="1:6" ht="25.5">
      <c r="A7361" s="2">
        <v>7358</v>
      </c>
      <c r="B7361" s="2" t="s">
        <v>7438</v>
      </c>
      <c r="C7361" s="2" t="str">
        <f>"00180777"</f>
        <v>00180777</v>
      </c>
      <c r="D7361" s="2">
        <v>0.1</v>
      </c>
      <c r="E7361" s="2">
        <v>5</v>
      </c>
      <c r="F7361" s="2" t="s">
        <v>12</v>
      </c>
    </row>
    <row r="7362" spans="1:6" ht="25.5">
      <c r="A7362" s="2">
        <v>7359</v>
      </c>
      <c r="B7362" s="2" t="s">
        <v>7439</v>
      </c>
      <c r="C7362" s="2" t="str">
        <f>"09041699"</f>
        <v>09041699</v>
      </c>
      <c r="D7362" s="2">
        <v>0.10199999999999999</v>
      </c>
      <c r="E7362" s="2">
        <v>1</v>
      </c>
      <c r="F7362" s="2" t="s">
        <v>163</v>
      </c>
    </row>
    <row r="7363" spans="1:6" ht="25.5">
      <c r="A7363" s="2">
        <v>7360</v>
      </c>
      <c r="B7363" s="2" t="s">
        <v>7440</v>
      </c>
      <c r="C7363" s="2" t="str">
        <f>"12654906"</f>
        <v>12654906</v>
      </c>
      <c r="D7363" s="2">
        <v>0.92200000000000004</v>
      </c>
      <c r="E7363" s="2">
        <v>40</v>
      </c>
      <c r="F7363" s="2" t="s">
        <v>66</v>
      </c>
    </row>
    <row r="7364" spans="1:6" ht="25.5">
      <c r="A7364" s="2">
        <v>7361</v>
      </c>
      <c r="B7364" s="2" t="s">
        <v>7441</v>
      </c>
      <c r="C7364" s="2" t="str">
        <f>"0338487X"</f>
        <v>0338487X</v>
      </c>
      <c r="D7364" s="2">
        <v>0.122</v>
      </c>
      <c r="E7364" s="2">
        <v>2</v>
      </c>
      <c r="F7364" s="2" t="s">
        <v>190</v>
      </c>
    </row>
    <row r="7365" spans="1:6" ht="25.5">
      <c r="A7365" s="2">
        <v>7362</v>
      </c>
      <c r="B7365" s="2" t="s">
        <v>7442</v>
      </c>
      <c r="C7365" s="2" t="str">
        <f>"15921638"</f>
        <v>15921638</v>
      </c>
      <c r="D7365" s="2">
        <v>0.17399999999999999</v>
      </c>
      <c r="E7365" s="2">
        <v>6</v>
      </c>
      <c r="F7365" s="2" t="s">
        <v>190</v>
      </c>
    </row>
    <row r="7366" spans="1:6" ht="25.5">
      <c r="A7366" s="2">
        <v>7363</v>
      </c>
      <c r="B7366" s="2" t="s">
        <v>7443</v>
      </c>
      <c r="C7366" s="2" t="str">
        <f>"00467316"</f>
        <v>00467316</v>
      </c>
      <c r="D7366" s="2">
        <v>0.24199999999999999</v>
      </c>
      <c r="E7366" s="2">
        <v>10</v>
      </c>
      <c r="F7366" s="2" t="s">
        <v>75</v>
      </c>
    </row>
    <row r="7367" spans="1:6" ht="25.5">
      <c r="A7367" s="2">
        <v>7364</v>
      </c>
      <c r="B7367" s="2" t="s">
        <v>7444</v>
      </c>
      <c r="C7367" s="2" t="str">
        <f>"00180831"</f>
        <v>00180831</v>
      </c>
      <c r="D7367" s="2">
        <v>0.50900000000000001</v>
      </c>
      <c r="E7367" s="2">
        <v>35</v>
      </c>
      <c r="F7367" s="2" t="s">
        <v>6</v>
      </c>
    </row>
    <row r="7368" spans="1:6" ht="25.5">
      <c r="A7368" s="2">
        <v>7365</v>
      </c>
      <c r="B7368" s="2" t="s">
        <v>7445</v>
      </c>
      <c r="C7368" s="2" t="str">
        <f>"14730928"</f>
        <v>14730928</v>
      </c>
      <c r="D7368" s="2">
        <v>0.16900000000000001</v>
      </c>
      <c r="E7368" s="2">
        <v>8</v>
      </c>
      <c r="F7368" s="2" t="s">
        <v>16</v>
      </c>
    </row>
    <row r="7369" spans="1:6" ht="25.5">
      <c r="A7369" s="2">
        <v>7366</v>
      </c>
      <c r="B7369" s="2" t="s">
        <v>7446</v>
      </c>
      <c r="C7369" s="2" t="str">
        <f>"19317603"</f>
        <v>19317603</v>
      </c>
      <c r="D7369" s="2">
        <v>0.32500000000000001</v>
      </c>
      <c r="E7369" s="2">
        <v>6</v>
      </c>
      <c r="F7369" s="2" t="s">
        <v>6</v>
      </c>
    </row>
    <row r="7370" spans="1:6" ht="25.5">
      <c r="A7370" s="2">
        <v>7367</v>
      </c>
      <c r="B7370" s="2" t="s">
        <v>7447</v>
      </c>
      <c r="C7370" s="2" t="str">
        <f>"02680130"</f>
        <v>02680130</v>
      </c>
      <c r="D7370" s="2">
        <v>0.41699999999999998</v>
      </c>
      <c r="E7370" s="2">
        <v>23</v>
      </c>
      <c r="F7370" s="2" t="s">
        <v>16</v>
      </c>
    </row>
    <row r="7371" spans="1:6" ht="25.5">
      <c r="A7371" s="2">
        <v>7368</v>
      </c>
      <c r="B7371" s="2" t="s">
        <v>7448</v>
      </c>
      <c r="C7371" s="2" t="str">
        <f>"07331347"</f>
        <v>07331347</v>
      </c>
      <c r="D7371" s="2">
        <v>1.161</v>
      </c>
      <c r="E7371" s="2">
        <v>23</v>
      </c>
      <c r="F7371" s="2" t="s">
        <v>6</v>
      </c>
    </row>
    <row r="7372" spans="1:6" ht="25.5">
      <c r="A7372" s="2">
        <v>7369</v>
      </c>
      <c r="B7372" s="2" t="s">
        <v>7449</v>
      </c>
      <c r="C7372" s="2" t="str">
        <f>"0018084X"</f>
        <v>0018084X</v>
      </c>
      <c r="D7372" s="2">
        <v>0.27500000000000002</v>
      </c>
      <c r="E7372" s="2">
        <v>20</v>
      </c>
      <c r="F7372" s="2" t="s">
        <v>6</v>
      </c>
    </row>
    <row r="7373" spans="1:6" ht="25.5">
      <c r="A7373" s="2">
        <v>7370</v>
      </c>
      <c r="B7373" s="2" t="s">
        <v>7450</v>
      </c>
      <c r="C7373" s="2" t="str">
        <f>"20715773"</f>
        <v>20715773</v>
      </c>
      <c r="D7373" s="2">
        <v>0.34200000000000003</v>
      </c>
      <c r="E7373" s="2">
        <v>5</v>
      </c>
      <c r="F7373" s="2" t="s">
        <v>12</v>
      </c>
    </row>
    <row r="7374" spans="1:6" ht="25.5">
      <c r="A7374" s="2">
        <v>7371</v>
      </c>
      <c r="B7374" s="2" t="s">
        <v>7451</v>
      </c>
      <c r="C7374" s="2" t="str">
        <f>"16156692"</f>
        <v>16156692</v>
      </c>
      <c r="D7374" s="2">
        <v>0.38</v>
      </c>
      <c r="E7374" s="2">
        <v>36</v>
      </c>
      <c r="F7374" s="2" t="s">
        <v>12</v>
      </c>
    </row>
    <row r="7375" spans="1:6" ht="25.5">
      <c r="A7375" s="2">
        <v>7372</v>
      </c>
      <c r="B7375" s="2" t="s">
        <v>7452</v>
      </c>
      <c r="C7375" s="2" t="str">
        <f>"09387412"</f>
        <v>09387412</v>
      </c>
      <c r="D7375" s="2">
        <v>0.112</v>
      </c>
      <c r="E7375" s="2">
        <v>9</v>
      </c>
      <c r="F7375" s="2" t="s">
        <v>12</v>
      </c>
    </row>
    <row r="7376" spans="1:6" ht="25.5">
      <c r="A7376" s="2">
        <v>7373</v>
      </c>
      <c r="B7376" s="2" t="s">
        <v>7453</v>
      </c>
      <c r="C7376" s="2" t="str">
        <f>"15535622"</f>
        <v>15535622</v>
      </c>
      <c r="D7376" s="2">
        <v>0.26800000000000002</v>
      </c>
      <c r="E7376" s="2">
        <v>9</v>
      </c>
      <c r="F7376" s="2" t="s">
        <v>313</v>
      </c>
    </row>
    <row r="7377" spans="1:6" ht="25.5">
      <c r="A7377" s="2">
        <v>7374</v>
      </c>
      <c r="B7377" s="2" t="s">
        <v>7454</v>
      </c>
      <c r="C7377" s="2" t="str">
        <f>"10981071"</f>
        <v>10981071</v>
      </c>
      <c r="D7377" s="2">
        <v>0.49</v>
      </c>
      <c r="E7377" s="2">
        <v>29</v>
      </c>
      <c r="F7377" s="2" t="s">
        <v>6</v>
      </c>
    </row>
    <row r="7378" spans="1:6" ht="25.5">
      <c r="A7378" s="2">
        <v>7375</v>
      </c>
      <c r="B7378" s="2" t="s">
        <v>7455</v>
      </c>
      <c r="C7378" s="2" t="str">
        <f>"03855414"</f>
        <v>03855414</v>
      </c>
      <c r="D7378" s="2">
        <v>0.42199999999999999</v>
      </c>
      <c r="E7378" s="2">
        <v>46</v>
      </c>
      <c r="F7378" s="2" t="s">
        <v>131</v>
      </c>
    </row>
    <row r="7379" spans="1:6" ht="25.5">
      <c r="A7379" s="2">
        <v>7376</v>
      </c>
      <c r="B7379" s="2" t="s">
        <v>7456</v>
      </c>
      <c r="C7379" s="2" t="str">
        <f>"07930283"</f>
        <v>07930283</v>
      </c>
      <c r="D7379" s="2">
        <v>0.223</v>
      </c>
      <c r="E7379" s="2">
        <v>16</v>
      </c>
      <c r="F7379" s="2" t="s">
        <v>12</v>
      </c>
    </row>
    <row r="7380" spans="1:6" ht="25.5">
      <c r="A7380" s="2">
        <v>7377</v>
      </c>
      <c r="B7380" s="2" t="s">
        <v>7457</v>
      </c>
      <c r="C7380" s="2" t="str">
        <f>"00181196"</f>
        <v>00181196</v>
      </c>
      <c r="D7380" s="2">
        <v>0.16200000000000001</v>
      </c>
      <c r="E7380" s="2">
        <v>4</v>
      </c>
      <c r="F7380" s="2" t="s">
        <v>16</v>
      </c>
    </row>
    <row r="7381" spans="1:6" ht="25.5">
      <c r="A7381" s="2">
        <v>7378</v>
      </c>
      <c r="B7381" s="2" t="s">
        <v>7458</v>
      </c>
      <c r="C7381" s="2" t="str">
        <f>"01888897"</f>
        <v>01888897</v>
      </c>
      <c r="D7381" s="2">
        <v>0.2</v>
      </c>
      <c r="E7381" s="2">
        <v>4</v>
      </c>
      <c r="F7381" s="2" t="s">
        <v>200</v>
      </c>
    </row>
    <row r="7382" spans="1:6" ht="25.5">
      <c r="A7382" s="2">
        <v>7379</v>
      </c>
      <c r="B7382" s="2" t="s">
        <v>7459</v>
      </c>
      <c r="C7382" s="2" t="str">
        <f>"1469834X"</f>
        <v>1469834X</v>
      </c>
      <c r="D7382" s="2">
        <v>0.64800000000000002</v>
      </c>
      <c r="E7382" s="2">
        <v>17</v>
      </c>
      <c r="F7382" s="2" t="s">
        <v>16</v>
      </c>
    </row>
    <row r="7383" spans="1:6" ht="25.5">
      <c r="A7383" s="2">
        <v>7380</v>
      </c>
      <c r="B7383" s="2" t="s">
        <v>7460</v>
      </c>
      <c r="C7383" s="2" t="str">
        <f>"15270297"</f>
        <v>15270297</v>
      </c>
      <c r="D7383" s="2">
        <v>0.78100000000000003</v>
      </c>
      <c r="E7383" s="2">
        <v>28</v>
      </c>
      <c r="F7383" s="2" t="s">
        <v>6</v>
      </c>
    </row>
    <row r="7384" spans="1:6" ht="25.5">
      <c r="A7384" s="2">
        <v>7381</v>
      </c>
      <c r="B7384" s="2" t="s">
        <v>7461</v>
      </c>
      <c r="C7384" s="2" t="str">
        <f>"11791985"</f>
        <v>11791985</v>
      </c>
      <c r="D7384" s="2">
        <v>0.19800000000000001</v>
      </c>
      <c r="E7384" s="2">
        <v>6</v>
      </c>
      <c r="F7384" s="2" t="s">
        <v>16</v>
      </c>
    </row>
    <row r="7385" spans="1:6" ht="25.5">
      <c r="A7385" s="2">
        <v>7382</v>
      </c>
      <c r="B7385" s="2" t="s">
        <v>7462</v>
      </c>
      <c r="C7385" s="2" t="str">
        <f>"16083148"</f>
        <v>16083148</v>
      </c>
      <c r="D7385" s="2">
        <v>0.29699999999999999</v>
      </c>
      <c r="E7385" s="2">
        <v>12</v>
      </c>
      <c r="F7385" s="2" t="s">
        <v>129</v>
      </c>
    </row>
    <row r="7386" spans="1:6" ht="25.5">
      <c r="A7386" s="2">
        <v>7383</v>
      </c>
      <c r="B7386" s="2" t="s">
        <v>7463</v>
      </c>
      <c r="C7386" s="2" t="str">
        <f>"15741818"</f>
        <v>15741818</v>
      </c>
      <c r="D7386" s="2">
        <v>1.1870000000000001</v>
      </c>
      <c r="E7386" s="2">
        <v>16</v>
      </c>
      <c r="F7386" s="2" t="s">
        <v>75</v>
      </c>
    </row>
    <row r="7387" spans="1:6" ht="25.5">
      <c r="A7387" s="2">
        <v>7384</v>
      </c>
      <c r="B7387" s="2" t="s">
        <v>7464</v>
      </c>
      <c r="C7387" s="2" t="str">
        <f>"1573174X"</f>
        <v>1573174X</v>
      </c>
      <c r="D7387" s="2">
        <v>1.1120000000000001</v>
      </c>
      <c r="E7387" s="2">
        <v>39</v>
      </c>
      <c r="F7387" s="2" t="s">
        <v>75</v>
      </c>
    </row>
    <row r="7388" spans="1:6" ht="25.5">
      <c r="A7388" s="2">
        <v>7385</v>
      </c>
      <c r="B7388" s="2" t="s">
        <v>7465</v>
      </c>
      <c r="C7388" s="2" t="str">
        <f>"17403863"</f>
        <v>17403863</v>
      </c>
      <c r="D7388" s="2">
        <v>0.36299999999999999</v>
      </c>
      <c r="E7388" s="2">
        <v>17</v>
      </c>
      <c r="F7388" s="2" t="s">
        <v>16</v>
      </c>
    </row>
    <row r="7389" spans="1:6" ht="25.5">
      <c r="A7389" s="2">
        <v>7386</v>
      </c>
      <c r="B7389" s="2" t="s">
        <v>7466</v>
      </c>
      <c r="C7389" s="2" t="str">
        <f>"09515224"</f>
        <v>09515224</v>
      </c>
      <c r="D7389" s="2">
        <v>0.77700000000000002</v>
      </c>
      <c r="E7389" s="2">
        <v>8</v>
      </c>
      <c r="F7389" s="2" t="s">
        <v>16</v>
      </c>
    </row>
    <row r="7390" spans="1:6" ht="25.5">
      <c r="A7390" s="2">
        <v>7387</v>
      </c>
      <c r="B7390" s="2" t="s">
        <v>7467</v>
      </c>
      <c r="C7390" s="2" t="str">
        <f>"07294360"</f>
        <v>07294360</v>
      </c>
      <c r="D7390" s="2">
        <v>1.264</v>
      </c>
      <c r="E7390" s="2">
        <v>9</v>
      </c>
      <c r="F7390" s="2" t="s">
        <v>16</v>
      </c>
    </row>
    <row r="7391" spans="1:6" ht="25.5">
      <c r="A7391" s="2">
        <v>7388</v>
      </c>
      <c r="B7391" s="2" t="s">
        <v>7468</v>
      </c>
      <c r="C7391" s="2" t="str">
        <f>"20423896"</f>
        <v>20423896</v>
      </c>
      <c r="D7391" s="2">
        <v>0.112</v>
      </c>
      <c r="E7391" s="2">
        <v>2</v>
      </c>
      <c r="F7391" s="2" t="s">
        <v>16</v>
      </c>
    </row>
    <row r="7392" spans="1:6" ht="25.5">
      <c r="A7392" s="2">
        <v>7389</v>
      </c>
      <c r="B7392" s="2" t="s">
        <v>7469</v>
      </c>
      <c r="C7392" s="2" t="str">
        <f>"15730557"</f>
        <v>15730557</v>
      </c>
      <c r="D7392" s="2">
        <v>0.46100000000000002</v>
      </c>
      <c r="E7392" s="2">
        <v>22</v>
      </c>
      <c r="F7392" s="2" t="s">
        <v>75</v>
      </c>
    </row>
    <row r="7393" spans="1:6" ht="25.5">
      <c r="A7393" s="2">
        <v>7390</v>
      </c>
      <c r="B7393" s="2" t="s">
        <v>7470</v>
      </c>
      <c r="C7393" s="2" t="str">
        <f>"09540083"</f>
        <v>09540083</v>
      </c>
      <c r="D7393" s="2">
        <v>0.34399999999999997</v>
      </c>
      <c r="E7393" s="2">
        <v>28</v>
      </c>
      <c r="F7393" s="2" t="s">
        <v>16</v>
      </c>
    </row>
    <row r="7394" spans="1:6" ht="25.5">
      <c r="A7394" s="2">
        <v>7391</v>
      </c>
      <c r="B7394" s="2" t="s">
        <v>7471</v>
      </c>
      <c r="C7394" s="2" t="str">
        <f>"14772299"</f>
        <v>14772299</v>
      </c>
      <c r="D7394" s="2">
        <v>0.41099999999999998</v>
      </c>
      <c r="E7394" s="2">
        <v>25</v>
      </c>
      <c r="F7394" s="2" t="s">
        <v>16</v>
      </c>
    </row>
    <row r="7395" spans="1:6" ht="25.5">
      <c r="A7395" s="2">
        <v>7392</v>
      </c>
      <c r="B7395" s="2" t="s">
        <v>7472</v>
      </c>
      <c r="C7395" s="2" t="str">
        <f>"10066748"</f>
        <v>10066748</v>
      </c>
      <c r="D7395" s="2">
        <v>0.13</v>
      </c>
      <c r="E7395" s="2">
        <v>7</v>
      </c>
      <c r="F7395" s="2" t="s">
        <v>46</v>
      </c>
    </row>
    <row r="7396" spans="1:6" ht="25.5">
      <c r="A7396" s="2">
        <v>7393</v>
      </c>
      <c r="B7396" s="2" t="s">
        <v>7473</v>
      </c>
      <c r="C7396" s="2" t="str">
        <f>"16083156"</f>
        <v>16083156</v>
      </c>
      <c r="D7396" s="2">
        <v>0.26400000000000001</v>
      </c>
      <c r="E7396" s="2">
        <v>13</v>
      </c>
      <c r="F7396" s="2" t="s">
        <v>129</v>
      </c>
    </row>
    <row r="7397" spans="1:6" ht="25.5">
      <c r="A7397" s="2">
        <v>7394</v>
      </c>
      <c r="B7397" s="2" t="s">
        <v>7474</v>
      </c>
      <c r="C7397" s="2" t="str">
        <f>"10933611"</f>
        <v>10933611</v>
      </c>
      <c r="D7397" s="2">
        <v>0.18</v>
      </c>
      <c r="E7397" s="2">
        <v>16</v>
      </c>
      <c r="F7397" s="2" t="s">
        <v>6</v>
      </c>
    </row>
    <row r="7398" spans="1:6" ht="25.5">
      <c r="A7398" s="2">
        <v>7395</v>
      </c>
      <c r="B7398" s="2" t="s">
        <v>7475</v>
      </c>
      <c r="C7398" s="2" t="str">
        <f>"00181544"</f>
        <v>00181544</v>
      </c>
      <c r="D7398" s="2">
        <v>0.155</v>
      </c>
      <c r="E7398" s="2">
        <v>18</v>
      </c>
      <c r="F7398" s="2" t="s">
        <v>6</v>
      </c>
    </row>
    <row r="7399" spans="1:6" ht="25.5">
      <c r="A7399" s="2">
        <v>7396</v>
      </c>
      <c r="B7399" s="2" t="s">
        <v>7476</v>
      </c>
      <c r="C7399" s="2" t="str">
        <f>"19352212"</f>
        <v>19352212</v>
      </c>
      <c r="D7399" s="2">
        <v>0.10100000000000001</v>
      </c>
      <c r="E7399" s="2">
        <v>1</v>
      </c>
      <c r="F7399" s="2" t="s">
        <v>6</v>
      </c>
    </row>
    <row r="7400" spans="1:6" ht="25.5">
      <c r="A7400" s="2">
        <v>7397</v>
      </c>
      <c r="B7400" s="2" t="s">
        <v>7477</v>
      </c>
      <c r="C7400" s="2" t="str">
        <f>"09718966"</f>
        <v>09718966</v>
      </c>
      <c r="D7400" s="2">
        <v>0.29399999999999998</v>
      </c>
      <c r="E7400" s="2">
        <v>5</v>
      </c>
      <c r="F7400" s="2" t="s">
        <v>488</v>
      </c>
    </row>
    <row r="7401" spans="1:6">
      <c r="A7401" s="2">
        <v>7398</v>
      </c>
      <c r="B7401" s="2" t="s">
        <v>7478</v>
      </c>
      <c r="C7401" s="2" t="str">
        <f>"0"</f>
        <v>0</v>
      </c>
      <c r="D7401" s="2">
        <v>0.10100000000000001</v>
      </c>
      <c r="E7401" s="2">
        <v>1</v>
      </c>
      <c r="F7401" s="2" t="s">
        <v>6</v>
      </c>
    </row>
    <row r="7402" spans="1:6" ht="25.5">
      <c r="A7402" s="2">
        <v>7399</v>
      </c>
      <c r="B7402" s="2" t="s">
        <v>7479</v>
      </c>
      <c r="C7402" s="2" t="str">
        <f>"19894805"</f>
        <v>19894805</v>
      </c>
      <c r="D7402" s="2">
        <v>0.11600000000000001</v>
      </c>
      <c r="E7402" s="2">
        <v>5</v>
      </c>
      <c r="F7402" s="2" t="s">
        <v>351</v>
      </c>
    </row>
    <row r="7403" spans="1:6" ht="25.5">
      <c r="A7403" s="2">
        <v>7400</v>
      </c>
      <c r="B7403" s="2" t="s">
        <v>7480</v>
      </c>
      <c r="C7403" s="2" t="str">
        <f>"17246067"</f>
        <v>17246067</v>
      </c>
      <c r="D7403" s="2">
        <v>0.48499999999999999</v>
      </c>
      <c r="E7403" s="2">
        <v>16</v>
      </c>
      <c r="F7403" s="2" t="s">
        <v>190</v>
      </c>
    </row>
    <row r="7404" spans="1:6" ht="25.5">
      <c r="A7404" s="2">
        <v>7401</v>
      </c>
      <c r="B7404" s="2" t="s">
        <v>7481</v>
      </c>
      <c r="C7404" s="2" t="str">
        <f>"10981063"</f>
        <v>10981063</v>
      </c>
      <c r="D7404" s="2">
        <v>2.677</v>
      </c>
      <c r="E7404" s="2">
        <v>98</v>
      </c>
      <c r="F7404" s="2" t="s">
        <v>6</v>
      </c>
    </row>
    <row r="7405" spans="1:6" ht="25.5">
      <c r="A7405" s="2">
        <v>7402</v>
      </c>
      <c r="B7405" s="2" t="s">
        <v>7482</v>
      </c>
      <c r="C7405" s="2" t="str">
        <f>"11084189"</f>
        <v>11084189</v>
      </c>
      <c r="D7405" s="2">
        <v>0.21299999999999999</v>
      </c>
      <c r="E7405" s="2">
        <v>8</v>
      </c>
      <c r="F7405" s="2" t="s">
        <v>313</v>
      </c>
    </row>
    <row r="7406" spans="1:6" ht="25.5">
      <c r="A7406" s="2">
        <v>7403</v>
      </c>
      <c r="B7406" s="2" t="s">
        <v>7483</v>
      </c>
      <c r="C7406" s="2" t="str">
        <f>"04391721"</f>
        <v>04391721</v>
      </c>
      <c r="D7406" s="2">
        <v>0.14000000000000001</v>
      </c>
      <c r="E7406" s="2">
        <v>3</v>
      </c>
      <c r="F7406" s="2" t="s">
        <v>131</v>
      </c>
    </row>
    <row r="7407" spans="1:6" ht="25.5">
      <c r="A7407" s="2">
        <v>7404</v>
      </c>
      <c r="B7407" s="2" t="s">
        <v>7484</v>
      </c>
      <c r="C7407" s="2" t="str">
        <f>"00182052"</f>
        <v>00182052</v>
      </c>
      <c r="D7407" s="2">
        <v>0.14899999999999999</v>
      </c>
      <c r="E7407" s="2">
        <v>10</v>
      </c>
      <c r="F7407" s="2" t="s">
        <v>131</v>
      </c>
    </row>
    <row r="7408" spans="1:6" ht="25.5">
      <c r="A7408" s="2">
        <v>7405</v>
      </c>
      <c r="B7408" s="2" t="s">
        <v>7485</v>
      </c>
      <c r="C7408" s="2" t="str">
        <f>"00182079"</f>
        <v>00182079</v>
      </c>
      <c r="D7408" s="2">
        <v>0.20200000000000001</v>
      </c>
      <c r="E7408" s="2">
        <v>4</v>
      </c>
      <c r="F7408" s="2" t="s">
        <v>131</v>
      </c>
    </row>
    <row r="7409" spans="1:6" ht="25.5">
      <c r="A7409" s="2">
        <v>7406</v>
      </c>
      <c r="B7409" s="2" t="s">
        <v>7486</v>
      </c>
      <c r="C7409" s="2" t="str">
        <f>"03630471"</f>
        <v>03630471</v>
      </c>
      <c r="D7409" s="2">
        <v>0.1</v>
      </c>
      <c r="E7409" s="2">
        <v>1</v>
      </c>
      <c r="F7409" s="2" t="s">
        <v>6</v>
      </c>
    </row>
    <row r="7410" spans="1:6" ht="25.5">
      <c r="A7410" s="2">
        <v>7407</v>
      </c>
      <c r="B7410" s="2" t="s">
        <v>7487</v>
      </c>
      <c r="C7410" s="2" t="str">
        <f>"00182141"</f>
        <v>00182141</v>
      </c>
      <c r="D7410" s="2">
        <v>0.11</v>
      </c>
      <c r="E7410" s="2">
        <v>4</v>
      </c>
      <c r="F7410" s="2" t="s">
        <v>351</v>
      </c>
    </row>
    <row r="7411" spans="1:6" ht="25.5">
      <c r="A7411" s="2">
        <v>7408</v>
      </c>
      <c r="B7411" s="2" t="s">
        <v>7488</v>
      </c>
      <c r="C7411" s="2" t="str">
        <f>"19884265"</f>
        <v>19884265</v>
      </c>
      <c r="D7411" s="2">
        <v>0.1</v>
      </c>
      <c r="E7411" s="2">
        <v>1</v>
      </c>
      <c r="F7411" s="2" t="s">
        <v>351</v>
      </c>
    </row>
    <row r="7412" spans="1:6" ht="25.5">
      <c r="A7412" s="2">
        <v>7409</v>
      </c>
      <c r="B7412" s="2" t="s">
        <v>7489</v>
      </c>
      <c r="C7412" s="2" t="str">
        <f>"15404153"</f>
        <v>15404153</v>
      </c>
      <c r="D7412" s="2">
        <v>0.185</v>
      </c>
      <c r="E7412" s="2">
        <v>6</v>
      </c>
      <c r="F7412" s="2" t="s">
        <v>6</v>
      </c>
    </row>
    <row r="7413" spans="1:6" ht="25.5">
      <c r="A7413" s="2">
        <v>7410</v>
      </c>
      <c r="B7413" s="2" t="s">
        <v>7490</v>
      </c>
      <c r="C7413" s="2" t="str">
        <f>"07399863"</f>
        <v>07399863</v>
      </c>
      <c r="D7413" s="2">
        <v>0.50600000000000001</v>
      </c>
      <c r="E7413" s="2">
        <v>35</v>
      </c>
      <c r="F7413" s="2" t="s">
        <v>6</v>
      </c>
    </row>
    <row r="7414" spans="1:6" ht="25.5">
      <c r="A7414" s="2">
        <v>7411</v>
      </c>
      <c r="B7414" s="2" t="s">
        <v>7491</v>
      </c>
      <c r="C7414" s="2" t="str">
        <f>"14682737"</f>
        <v>14682737</v>
      </c>
      <c r="D7414" s="2">
        <v>0.1</v>
      </c>
      <c r="E7414" s="2">
        <v>1</v>
      </c>
      <c r="F7414" s="2" t="s">
        <v>16</v>
      </c>
    </row>
    <row r="7415" spans="1:6" ht="25.5">
      <c r="A7415" s="2">
        <v>7412</v>
      </c>
      <c r="B7415" s="2" t="s">
        <v>7492</v>
      </c>
      <c r="C7415" s="2" t="str">
        <f>"15530639"</f>
        <v>15530639</v>
      </c>
      <c r="D7415" s="2">
        <v>0.105</v>
      </c>
      <c r="E7415" s="2">
        <v>4</v>
      </c>
      <c r="F7415" s="2" t="s">
        <v>6</v>
      </c>
    </row>
    <row r="7416" spans="1:6" ht="25.5">
      <c r="A7416" s="2">
        <v>7413</v>
      </c>
      <c r="B7416" s="2" t="s">
        <v>7493</v>
      </c>
      <c r="C7416" s="2" t="str">
        <f>"00182206"</f>
        <v>00182206</v>
      </c>
      <c r="D7416" s="2">
        <v>0.1</v>
      </c>
      <c r="E7416" s="2">
        <v>1</v>
      </c>
      <c r="F7416" s="2" t="s">
        <v>6</v>
      </c>
    </row>
    <row r="7417" spans="1:6" ht="25.5">
      <c r="A7417" s="2">
        <v>7414</v>
      </c>
      <c r="B7417" s="2" t="s">
        <v>7494</v>
      </c>
      <c r="C7417" s="2" t="str">
        <f>"1432119X"</f>
        <v>1432119X</v>
      </c>
      <c r="D7417" s="2">
        <v>0.78800000000000003</v>
      </c>
      <c r="E7417" s="2">
        <v>65</v>
      </c>
      <c r="F7417" s="2" t="s">
        <v>12</v>
      </c>
    </row>
    <row r="7418" spans="1:6" ht="25.5">
      <c r="A7418" s="2">
        <v>7415</v>
      </c>
      <c r="B7418" s="2" t="s">
        <v>7495</v>
      </c>
      <c r="C7418" s="2" t="str">
        <f>"02216280"</f>
        <v>02216280</v>
      </c>
      <c r="D7418" s="2">
        <v>0.129</v>
      </c>
      <c r="E7418" s="2">
        <v>2</v>
      </c>
      <c r="F7418" s="2" t="s">
        <v>66</v>
      </c>
    </row>
    <row r="7419" spans="1:6" ht="25.5">
      <c r="A7419" s="2">
        <v>7416</v>
      </c>
      <c r="B7419" s="2" t="s">
        <v>7496</v>
      </c>
      <c r="C7419" s="2" t="str">
        <f>"04408888"</f>
        <v>04408888</v>
      </c>
      <c r="D7419" s="2">
        <v>0.1</v>
      </c>
      <c r="E7419" s="2">
        <v>4</v>
      </c>
      <c r="F7419" s="2" t="s">
        <v>66</v>
      </c>
    </row>
    <row r="7420" spans="1:6" ht="25.5">
      <c r="A7420" s="2">
        <v>7417</v>
      </c>
      <c r="B7420" s="2" t="s">
        <v>7497</v>
      </c>
      <c r="C7420" s="2" t="str">
        <f>"19577745"</f>
        <v>19577745</v>
      </c>
      <c r="D7420" s="2">
        <v>0.125</v>
      </c>
      <c r="E7420" s="2">
        <v>4</v>
      </c>
      <c r="F7420" s="2" t="s">
        <v>66</v>
      </c>
    </row>
    <row r="7421" spans="1:6" ht="25.5">
      <c r="A7421" s="2">
        <v>7418</v>
      </c>
      <c r="B7421" s="2" t="s">
        <v>7498</v>
      </c>
      <c r="C7421" s="2" t="str">
        <f>"1950666X"</f>
        <v>1950666X</v>
      </c>
      <c r="D7421" s="2">
        <v>0.10100000000000001</v>
      </c>
      <c r="E7421" s="2">
        <v>4</v>
      </c>
      <c r="F7421" s="2" t="s">
        <v>66</v>
      </c>
    </row>
    <row r="7422" spans="1:6" ht="25.5">
      <c r="A7422" s="2">
        <v>7419</v>
      </c>
      <c r="B7422" s="2" t="s">
        <v>7499</v>
      </c>
      <c r="C7422" s="2" t="str">
        <f>"00182257"</f>
        <v>00182257</v>
      </c>
      <c r="D7422" s="2">
        <v>0.10299999999999999</v>
      </c>
      <c r="E7422" s="2">
        <v>5</v>
      </c>
      <c r="F7422" s="2" t="s">
        <v>64</v>
      </c>
    </row>
    <row r="7423" spans="1:6" ht="25.5">
      <c r="A7423" s="2">
        <v>7420</v>
      </c>
      <c r="B7423" s="2" t="s">
        <v>7500</v>
      </c>
      <c r="C7423" s="2" t="str">
        <f>"16280482"</f>
        <v>16280482</v>
      </c>
      <c r="D7423" s="2">
        <v>0.12</v>
      </c>
      <c r="E7423" s="2">
        <v>3</v>
      </c>
      <c r="F7423" s="2" t="s">
        <v>66</v>
      </c>
    </row>
    <row r="7424" spans="1:6" ht="25.5">
      <c r="A7424" s="2">
        <v>7421</v>
      </c>
      <c r="B7424" s="2" t="s">
        <v>7501</v>
      </c>
      <c r="C7424" s="2" t="str">
        <f>"02133911"</f>
        <v>02133911</v>
      </c>
      <c r="D7424" s="2">
        <v>0.85299999999999998</v>
      </c>
      <c r="E7424" s="2">
        <v>61</v>
      </c>
      <c r="F7424" s="2" t="s">
        <v>351</v>
      </c>
    </row>
    <row r="7425" spans="1:6" ht="25.5">
      <c r="A7425" s="2">
        <v>7422</v>
      </c>
      <c r="B7425" s="2" t="s">
        <v>7502</v>
      </c>
      <c r="C7425" s="2" t="str">
        <f>"13652559"</f>
        <v>13652559</v>
      </c>
      <c r="D7425" s="2">
        <v>1.1339999999999999</v>
      </c>
      <c r="E7425" s="2">
        <v>81</v>
      </c>
      <c r="F7425" s="2" t="s">
        <v>16</v>
      </c>
    </row>
    <row r="7426" spans="1:6" ht="25.5">
      <c r="A7426" s="2">
        <v>7423</v>
      </c>
      <c r="B7426" s="2" t="s">
        <v>7503</v>
      </c>
      <c r="C7426" s="2" t="str">
        <f>"19804369"</f>
        <v>19804369</v>
      </c>
      <c r="D7426" s="2">
        <v>0.10100000000000001</v>
      </c>
      <c r="E7426" s="2">
        <v>3</v>
      </c>
      <c r="F7426" s="2" t="s">
        <v>159</v>
      </c>
    </row>
    <row r="7427" spans="1:6" ht="25.5">
      <c r="A7427" s="2">
        <v>7424</v>
      </c>
      <c r="B7427" s="2" t="s">
        <v>7504</v>
      </c>
      <c r="C7427" s="2" t="str">
        <f>"11391472"</f>
        <v>11391472</v>
      </c>
      <c r="D7427" s="2">
        <v>0.15</v>
      </c>
      <c r="E7427" s="2">
        <v>7</v>
      </c>
      <c r="F7427" s="2" t="s">
        <v>351</v>
      </c>
    </row>
    <row r="7428" spans="1:6" ht="25.5">
      <c r="A7428" s="2">
        <v>7425</v>
      </c>
      <c r="B7428" s="2" t="s">
        <v>7505</v>
      </c>
      <c r="C7428" s="2" t="str">
        <f>"00732435"</f>
        <v>00732435</v>
      </c>
      <c r="D7428" s="2">
        <v>0.104</v>
      </c>
      <c r="E7428" s="2">
        <v>1</v>
      </c>
      <c r="F7428" s="2" t="s">
        <v>182</v>
      </c>
    </row>
    <row r="7429" spans="1:6" ht="25.5">
      <c r="A7429" s="2">
        <v>7426</v>
      </c>
      <c r="B7429" s="2" t="s">
        <v>7506</v>
      </c>
      <c r="C7429" s="2" t="str">
        <f>"01045970"</f>
        <v>01045970</v>
      </c>
      <c r="D7429" s="2">
        <v>0.23899999999999999</v>
      </c>
      <c r="E7429" s="2">
        <v>9</v>
      </c>
      <c r="F7429" s="2" t="s">
        <v>159</v>
      </c>
    </row>
    <row r="7430" spans="1:6" ht="25.5">
      <c r="A7430" s="2">
        <v>7427</v>
      </c>
      <c r="B7430" s="2" t="s">
        <v>7507</v>
      </c>
      <c r="C7430" s="2" t="str">
        <f>"15764729"</f>
        <v>15764729</v>
      </c>
      <c r="D7430" s="2">
        <v>0.10100000000000001</v>
      </c>
      <c r="E7430" s="2">
        <v>0</v>
      </c>
      <c r="F7430" s="2" t="s">
        <v>351</v>
      </c>
    </row>
    <row r="7431" spans="1:6" ht="25.5">
      <c r="A7431" s="2">
        <v>7428</v>
      </c>
      <c r="B7431" s="2" t="s">
        <v>7508</v>
      </c>
      <c r="C7431" s="2" t="str">
        <f>"11302402"</f>
        <v>11302402</v>
      </c>
      <c r="D7431" s="2">
        <v>0.111</v>
      </c>
      <c r="E7431" s="2">
        <v>1</v>
      </c>
      <c r="F7431" s="2" t="s">
        <v>351</v>
      </c>
    </row>
    <row r="7432" spans="1:6" ht="25.5">
      <c r="A7432" s="2">
        <v>7429</v>
      </c>
      <c r="B7432" s="2" t="s">
        <v>7509</v>
      </c>
      <c r="C7432" s="2" t="str">
        <f>"01211617"</f>
        <v>01211617</v>
      </c>
      <c r="D7432" s="2">
        <v>0.121</v>
      </c>
      <c r="E7432" s="2">
        <v>2</v>
      </c>
      <c r="F7432" s="2" t="s">
        <v>184</v>
      </c>
    </row>
    <row r="7433" spans="1:6" ht="25.5">
      <c r="A7433" s="2">
        <v>7430</v>
      </c>
      <c r="B7433" s="2" t="s">
        <v>7510</v>
      </c>
      <c r="C7433" s="2" t="str">
        <f>"15798135"</f>
        <v>15798135</v>
      </c>
      <c r="D7433" s="2">
        <v>0</v>
      </c>
      <c r="E7433" s="2">
        <v>0</v>
      </c>
      <c r="F7433" s="2" t="s">
        <v>351</v>
      </c>
    </row>
    <row r="7434" spans="1:6" ht="25.5">
      <c r="A7434" s="2">
        <v>7431</v>
      </c>
      <c r="B7434" s="2" t="s">
        <v>7511</v>
      </c>
      <c r="C7434" s="2" t="str">
        <f>"12700835"</f>
        <v>12700835</v>
      </c>
      <c r="D7434" s="2">
        <v>0.109</v>
      </c>
      <c r="E7434" s="2">
        <v>0</v>
      </c>
      <c r="F7434" s="2" t="s">
        <v>66</v>
      </c>
    </row>
    <row r="7435" spans="1:6" ht="25.5">
      <c r="A7435" s="2">
        <v>7432</v>
      </c>
      <c r="B7435" s="2" t="s">
        <v>7512</v>
      </c>
      <c r="C7435" s="2" t="str">
        <f>"1090249X"</f>
        <v>1090249X</v>
      </c>
      <c r="D7435" s="2">
        <v>0.20599999999999999</v>
      </c>
      <c r="E7435" s="2">
        <v>9</v>
      </c>
      <c r="F7435" s="2" t="s">
        <v>6</v>
      </c>
    </row>
    <row r="7436" spans="1:6" ht="25.5">
      <c r="A7436" s="2">
        <v>7433</v>
      </c>
      <c r="B7436" s="2" t="s">
        <v>7513</v>
      </c>
      <c r="C7436" s="2" t="str">
        <f>"01051423"</f>
        <v>01051423</v>
      </c>
      <c r="D7436" s="2">
        <v>0.113</v>
      </c>
      <c r="E7436" s="2">
        <v>3</v>
      </c>
      <c r="F7436" s="2" t="s">
        <v>288</v>
      </c>
    </row>
    <row r="7437" spans="1:6" ht="25.5">
      <c r="A7437" s="2">
        <v>7434</v>
      </c>
      <c r="B7437" s="2" t="s">
        <v>7514</v>
      </c>
      <c r="C7437" s="2" t="str">
        <f>"15406563"</f>
        <v>15406563</v>
      </c>
      <c r="D7437" s="2">
        <v>0.123</v>
      </c>
      <c r="E7437" s="2">
        <v>5</v>
      </c>
      <c r="F7437" s="2" t="s">
        <v>16</v>
      </c>
    </row>
    <row r="7438" spans="1:6" ht="25.5">
      <c r="A7438" s="2">
        <v>7435</v>
      </c>
      <c r="B7438" s="2" t="s">
        <v>7515</v>
      </c>
      <c r="C7438" s="2" t="str">
        <f>"02854821"</f>
        <v>02854821</v>
      </c>
      <c r="D7438" s="2">
        <v>0.10199999999999999</v>
      </c>
      <c r="E7438" s="2">
        <v>2</v>
      </c>
      <c r="F7438" s="2" t="s">
        <v>131</v>
      </c>
    </row>
    <row r="7439" spans="1:6" ht="25.5">
      <c r="A7439" s="2">
        <v>7436</v>
      </c>
      <c r="B7439" s="2" t="s">
        <v>7516</v>
      </c>
      <c r="C7439" s="2" t="str">
        <f>"15193861"</f>
        <v>15193861</v>
      </c>
      <c r="D7439" s="2">
        <v>0.1</v>
      </c>
      <c r="E7439" s="2">
        <v>1</v>
      </c>
      <c r="F7439" s="2" t="s">
        <v>159</v>
      </c>
    </row>
    <row r="7440" spans="1:6" ht="25.5">
      <c r="A7440" s="2">
        <v>7437</v>
      </c>
      <c r="B7440" s="2" t="s">
        <v>7517</v>
      </c>
      <c r="C7440" s="2" t="str">
        <f>"11370734"</f>
        <v>11370734</v>
      </c>
      <c r="D7440" s="2">
        <v>0.123</v>
      </c>
      <c r="E7440" s="2">
        <v>1</v>
      </c>
      <c r="F7440" s="2" t="s">
        <v>351</v>
      </c>
    </row>
    <row r="7441" spans="1:6" ht="25.5">
      <c r="A7441" s="2">
        <v>7438</v>
      </c>
      <c r="B7441" s="2" t="s">
        <v>7518</v>
      </c>
      <c r="C7441" s="2" t="str">
        <f>"00182311"</f>
        <v>00182311</v>
      </c>
      <c r="D7441" s="2">
        <v>0.14399999999999999</v>
      </c>
      <c r="E7441" s="2">
        <v>4</v>
      </c>
      <c r="F7441" s="2" t="s">
        <v>12</v>
      </c>
    </row>
    <row r="7442" spans="1:6" ht="25.5">
      <c r="A7442" s="2">
        <v>7439</v>
      </c>
      <c r="B7442" s="2" t="s">
        <v>7519</v>
      </c>
      <c r="C7442" s="2" t="str">
        <f>"04409213"</f>
        <v>04409213</v>
      </c>
      <c r="D7442" s="2">
        <v>0.24099999999999999</v>
      </c>
      <c r="E7442" s="2">
        <v>10</v>
      </c>
      <c r="F7442" s="2" t="s">
        <v>6</v>
      </c>
    </row>
    <row r="7443" spans="1:6" ht="25.5">
      <c r="A7443" s="2">
        <v>7440</v>
      </c>
      <c r="B7443" s="2" t="s">
        <v>7520</v>
      </c>
      <c r="C7443" s="2" t="str">
        <f>"15635236"</f>
        <v>15635236</v>
      </c>
      <c r="D7443" s="2">
        <v>0.47399999999999998</v>
      </c>
      <c r="E7443" s="2">
        <v>22</v>
      </c>
      <c r="F7443" s="2" t="s">
        <v>16</v>
      </c>
    </row>
    <row r="7444" spans="1:6" ht="25.5">
      <c r="A7444" s="2">
        <v>7441</v>
      </c>
      <c r="B7444" s="2" t="s">
        <v>7521</v>
      </c>
      <c r="C7444" s="2" t="str">
        <f>"14695103"</f>
        <v>14695103</v>
      </c>
      <c r="D7444" s="2">
        <v>0.38</v>
      </c>
      <c r="E7444" s="2">
        <v>12</v>
      </c>
      <c r="F7444" s="2" t="s">
        <v>16</v>
      </c>
    </row>
    <row r="7445" spans="1:6" ht="25.5">
      <c r="A7445" s="2">
        <v>7442</v>
      </c>
      <c r="B7445" s="2" t="s">
        <v>7522</v>
      </c>
      <c r="C7445" s="2" t="str">
        <f>"01439685"</f>
        <v>01439685</v>
      </c>
      <c r="D7445" s="2">
        <v>0.14299999999999999</v>
      </c>
      <c r="E7445" s="2">
        <v>6</v>
      </c>
      <c r="F7445" s="2" t="s">
        <v>16</v>
      </c>
    </row>
    <row r="7446" spans="1:6" ht="25.5">
      <c r="A7446" s="2">
        <v>7443</v>
      </c>
      <c r="B7446" s="2" t="s">
        <v>7523</v>
      </c>
      <c r="C7446" s="2" t="str">
        <f>"14654466"</f>
        <v>14654466</v>
      </c>
      <c r="D7446" s="2">
        <v>0.53100000000000003</v>
      </c>
      <c r="E7446" s="2">
        <v>11</v>
      </c>
      <c r="F7446" s="2" t="s">
        <v>75</v>
      </c>
    </row>
    <row r="7447" spans="1:6" ht="25.5">
      <c r="A7447" s="2">
        <v>7444</v>
      </c>
      <c r="B7447" s="2" t="s">
        <v>7524</v>
      </c>
      <c r="C7447" s="2" t="str">
        <f>"01615440"</f>
        <v>01615440</v>
      </c>
      <c r="D7447" s="2">
        <v>0.23400000000000001</v>
      </c>
      <c r="E7447" s="2">
        <v>12</v>
      </c>
      <c r="F7447" s="2" t="s">
        <v>16</v>
      </c>
    </row>
    <row r="7448" spans="1:6" ht="25.5">
      <c r="A7448" s="2">
        <v>7445</v>
      </c>
      <c r="B7448" s="2" t="s">
        <v>7525</v>
      </c>
      <c r="C7448" s="2" t="str">
        <f>"07273061"</f>
        <v>07273061</v>
      </c>
      <c r="D7448" s="2">
        <v>0.14000000000000001</v>
      </c>
      <c r="E7448" s="2">
        <v>6</v>
      </c>
      <c r="F7448" s="2" t="s">
        <v>127</v>
      </c>
    </row>
    <row r="7449" spans="1:6" ht="25.5">
      <c r="A7449" s="2">
        <v>7446</v>
      </c>
      <c r="B7449" s="2" t="s">
        <v>7526</v>
      </c>
      <c r="C7449" s="2" t="str">
        <f>"03157997"</f>
        <v>03157997</v>
      </c>
      <c r="D7449" s="2">
        <v>0.11799999999999999</v>
      </c>
      <c r="E7449" s="2">
        <v>4</v>
      </c>
      <c r="F7449" s="2" t="s">
        <v>6</v>
      </c>
    </row>
    <row r="7450" spans="1:6" ht="25.5">
      <c r="A7450" s="2">
        <v>7447</v>
      </c>
      <c r="B7450" s="2" t="s">
        <v>7527</v>
      </c>
      <c r="C7450" s="2" t="str">
        <f>"14682281"</f>
        <v>14682281</v>
      </c>
      <c r="D7450" s="2">
        <v>0.26400000000000001</v>
      </c>
      <c r="E7450" s="2">
        <v>7</v>
      </c>
      <c r="F7450" s="2" t="s">
        <v>16</v>
      </c>
    </row>
    <row r="7451" spans="1:6" ht="25.5">
      <c r="A7451" s="2">
        <v>7448</v>
      </c>
      <c r="B7451" s="2" t="s">
        <v>7528</v>
      </c>
      <c r="C7451" s="2" t="str">
        <f>"01726404"</f>
        <v>01726404</v>
      </c>
      <c r="D7451" s="2">
        <v>0.217</v>
      </c>
      <c r="E7451" s="2">
        <v>5</v>
      </c>
      <c r="F7451" s="2" t="s">
        <v>12</v>
      </c>
    </row>
    <row r="7452" spans="1:6" ht="25.5">
      <c r="A7452" s="2">
        <v>7449</v>
      </c>
      <c r="B7452" s="2" t="s">
        <v>7529</v>
      </c>
      <c r="C7452" s="2" t="str">
        <f>"19391811"</f>
        <v>19391811</v>
      </c>
      <c r="D7452" s="2">
        <v>0.59299999999999997</v>
      </c>
      <c r="E7452" s="2">
        <v>10</v>
      </c>
      <c r="F7452" s="2" t="s">
        <v>6</v>
      </c>
    </row>
    <row r="7453" spans="1:6" ht="25.5">
      <c r="A7453" s="2">
        <v>7450</v>
      </c>
      <c r="B7453" s="2" t="s">
        <v>7530</v>
      </c>
      <c r="C7453" s="2" t="str">
        <f>"00182575"</f>
        <v>00182575</v>
      </c>
      <c r="D7453" s="2">
        <v>0.1</v>
      </c>
      <c r="E7453" s="2">
        <v>2</v>
      </c>
      <c r="F7453" s="2" t="s">
        <v>241</v>
      </c>
    </row>
    <row r="7454" spans="1:6" ht="25.5">
      <c r="A7454" s="2">
        <v>7451</v>
      </c>
      <c r="B7454" s="2" t="s">
        <v>7531</v>
      </c>
      <c r="C7454" s="2" t="str">
        <f>"03025160"</f>
        <v>03025160</v>
      </c>
      <c r="D7454" s="2">
        <v>0.1</v>
      </c>
      <c r="E7454" s="2">
        <v>3</v>
      </c>
      <c r="F7454" s="2" t="s">
        <v>75</v>
      </c>
    </row>
    <row r="7455" spans="1:6" ht="25.5">
      <c r="A7455" s="2">
        <v>7452</v>
      </c>
      <c r="B7455" s="2" t="s">
        <v>7532</v>
      </c>
      <c r="C7455" s="2" t="str">
        <f>"00182613"</f>
        <v>00182613</v>
      </c>
      <c r="D7455" s="2">
        <v>0.13800000000000001</v>
      </c>
      <c r="E7455" s="2">
        <v>5</v>
      </c>
      <c r="F7455" s="2" t="s">
        <v>12</v>
      </c>
    </row>
    <row r="7456" spans="1:6" ht="25.5">
      <c r="A7456" s="2">
        <v>7453</v>
      </c>
      <c r="B7456" s="2" t="s">
        <v>7533</v>
      </c>
      <c r="C7456" s="2" t="str">
        <f>"0018263X"</f>
        <v>0018263X</v>
      </c>
      <c r="D7456" s="2">
        <v>0.13900000000000001</v>
      </c>
      <c r="E7456" s="2">
        <v>4</v>
      </c>
      <c r="F7456" s="2" t="s">
        <v>2637</v>
      </c>
    </row>
    <row r="7457" spans="1:6" ht="25.5">
      <c r="A7457" s="2">
        <v>7454</v>
      </c>
      <c r="B7457" s="2" t="s">
        <v>7534</v>
      </c>
      <c r="C7457" s="2" t="str">
        <f>"00182648"</f>
        <v>00182648</v>
      </c>
      <c r="D7457" s="2">
        <v>0.14599999999999999</v>
      </c>
      <c r="E7457" s="2">
        <v>5</v>
      </c>
      <c r="F7457" s="2" t="s">
        <v>16</v>
      </c>
    </row>
    <row r="7458" spans="1:6" ht="25.5">
      <c r="A7458" s="2">
        <v>7455</v>
      </c>
      <c r="B7458" s="2" t="s">
        <v>7535</v>
      </c>
      <c r="C7458" s="2" t="str">
        <f>"14772612"</f>
        <v>14772612</v>
      </c>
      <c r="D7458" s="2">
        <v>0.14599999999999999</v>
      </c>
      <c r="E7458" s="2">
        <v>8</v>
      </c>
      <c r="F7458" s="2" t="s">
        <v>16</v>
      </c>
    </row>
    <row r="7459" spans="1:6" ht="25.5">
      <c r="A7459" s="2">
        <v>7456</v>
      </c>
      <c r="B7459" s="2" t="s">
        <v>7536</v>
      </c>
      <c r="C7459" s="2" t="str">
        <f>"14645149"</f>
        <v>14645149</v>
      </c>
      <c r="D7459" s="2">
        <v>0.222</v>
      </c>
      <c r="E7459" s="2">
        <v>7</v>
      </c>
      <c r="F7459" s="2" t="s">
        <v>16</v>
      </c>
    </row>
    <row r="7460" spans="1:6" ht="25.5">
      <c r="A7460" s="2">
        <v>7457</v>
      </c>
      <c r="B7460" s="2" t="s">
        <v>7537</v>
      </c>
      <c r="C7460" s="2" t="str">
        <f>"17426316"</f>
        <v>17426316</v>
      </c>
      <c r="D7460" s="2">
        <v>0.253</v>
      </c>
      <c r="E7460" s="2">
        <v>11</v>
      </c>
      <c r="F7460" s="2" t="s">
        <v>190</v>
      </c>
    </row>
    <row r="7461" spans="1:6" ht="25.5">
      <c r="A7461" s="2">
        <v>7458</v>
      </c>
      <c r="B7461" s="2" t="s">
        <v>7538</v>
      </c>
      <c r="C7461" s="2" t="str">
        <f>"14772620"</f>
        <v>14772620</v>
      </c>
      <c r="D7461" s="2">
        <v>0.17199999999999999</v>
      </c>
      <c r="E7461" s="2">
        <v>5</v>
      </c>
      <c r="F7461" s="2" t="s">
        <v>16</v>
      </c>
    </row>
    <row r="7462" spans="1:6" ht="25.5">
      <c r="A7462" s="2">
        <v>7459</v>
      </c>
      <c r="B7462" s="2" t="s">
        <v>7539</v>
      </c>
      <c r="C7462" s="2" t="str">
        <f>"00182656"</f>
        <v>00182656</v>
      </c>
      <c r="D7462" s="2">
        <v>0.25800000000000001</v>
      </c>
      <c r="E7462" s="2">
        <v>17</v>
      </c>
      <c r="F7462" s="2" t="s">
        <v>16</v>
      </c>
    </row>
    <row r="7463" spans="1:6" ht="25.5">
      <c r="A7463" s="2">
        <v>7460</v>
      </c>
      <c r="B7463" s="2" t="s">
        <v>7540</v>
      </c>
      <c r="C7463" s="2" t="str">
        <f>"11228792"</f>
        <v>11228792</v>
      </c>
      <c r="D7463" s="2">
        <v>0.10199999999999999</v>
      </c>
      <c r="E7463" s="2">
        <v>1</v>
      </c>
      <c r="F7463" s="2" t="s">
        <v>190</v>
      </c>
    </row>
    <row r="7464" spans="1:6" ht="25.5">
      <c r="A7464" s="2">
        <v>7461</v>
      </c>
      <c r="B7464" s="2" t="s">
        <v>7541</v>
      </c>
      <c r="C7464" s="2" t="str">
        <f>"14645130"</f>
        <v>14645130</v>
      </c>
      <c r="D7464" s="2">
        <v>0.23899999999999999</v>
      </c>
      <c r="E7464" s="2">
        <v>7</v>
      </c>
      <c r="F7464" s="2" t="s">
        <v>16</v>
      </c>
    </row>
    <row r="7465" spans="1:6" ht="25.5">
      <c r="A7465" s="2">
        <v>7462</v>
      </c>
      <c r="B7465" s="2" t="s">
        <v>7542</v>
      </c>
      <c r="C7465" s="2" t="str">
        <f>"19711131"</f>
        <v>19711131</v>
      </c>
      <c r="D7465" s="2">
        <v>0.123</v>
      </c>
      <c r="E7465" s="2">
        <v>2</v>
      </c>
      <c r="F7465" s="2" t="s">
        <v>190</v>
      </c>
    </row>
    <row r="7466" spans="1:6" ht="25.5">
      <c r="A7466" s="2">
        <v>7463</v>
      </c>
      <c r="B7466" s="2" t="s">
        <v>7543</v>
      </c>
      <c r="C7466" s="2" t="str">
        <f>"00182680"</f>
        <v>00182680</v>
      </c>
      <c r="D7466" s="2">
        <v>0.19400000000000001</v>
      </c>
      <c r="E7466" s="2">
        <v>3</v>
      </c>
      <c r="F7466" s="2" t="s">
        <v>16</v>
      </c>
    </row>
    <row r="7467" spans="1:6" ht="25.5">
      <c r="A7467" s="2">
        <v>7464</v>
      </c>
      <c r="B7467" s="2" t="s">
        <v>7544</v>
      </c>
      <c r="C7467" s="2" t="str">
        <f>"08198691"</f>
        <v>08198691</v>
      </c>
      <c r="D7467" s="2">
        <v>0</v>
      </c>
      <c r="E7467" s="2">
        <v>1</v>
      </c>
      <c r="F7467" s="2" t="s">
        <v>16</v>
      </c>
    </row>
    <row r="7468" spans="1:6" ht="25.5">
      <c r="A7468" s="2">
        <v>7465</v>
      </c>
      <c r="B7468" s="2" t="s">
        <v>7545</v>
      </c>
      <c r="C7468" s="2" t="str">
        <f>"01916599"</f>
        <v>01916599</v>
      </c>
      <c r="D7468" s="2">
        <v>0.14599999999999999</v>
      </c>
      <c r="E7468" s="2">
        <v>6</v>
      </c>
      <c r="F7468" s="2" t="s">
        <v>16</v>
      </c>
    </row>
    <row r="7469" spans="1:6" ht="25.5">
      <c r="A7469" s="2">
        <v>7466</v>
      </c>
      <c r="B7469" s="2" t="s">
        <v>7546</v>
      </c>
      <c r="C7469" s="2" t="str">
        <f>"21521026"</f>
        <v>21521026</v>
      </c>
      <c r="D7469" s="2">
        <v>0.10100000000000001</v>
      </c>
      <c r="E7469" s="2">
        <v>2</v>
      </c>
      <c r="F7469" s="2" t="s">
        <v>6</v>
      </c>
    </row>
    <row r="7470" spans="1:6" ht="25.5">
      <c r="A7470" s="2">
        <v>7467</v>
      </c>
      <c r="B7470" s="2" t="s">
        <v>7547</v>
      </c>
      <c r="C7470" s="2" t="str">
        <f>"03087298"</f>
        <v>03087298</v>
      </c>
      <c r="D7470" s="2">
        <v>0.15</v>
      </c>
      <c r="E7470" s="2">
        <v>3</v>
      </c>
      <c r="F7470" s="2" t="s">
        <v>16</v>
      </c>
    </row>
    <row r="7471" spans="1:6" ht="25.5">
      <c r="A7471" s="2">
        <v>7468</v>
      </c>
      <c r="B7471" s="2" t="s">
        <v>7548</v>
      </c>
      <c r="C7471" s="2" t="str">
        <f>"15271919"</f>
        <v>15271919</v>
      </c>
      <c r="D7471" s="2">
        <v>0.252</v>
      </c>
      <c r="E7471" s="2">
        <v>11</v>
      </c>
      <c r="F7471" s="2" t="s">
        <v>6</v>
      </c>
    </row>
    <row r="7472" spans="1:6" ht="25.5">
      <c r="A7472" s="2">
        <v>7469</v>
      </c>
      <c r="B7472" s="2" t="s">
        <v>7549</v>
      </c>
      <c r="C7472" s="2" t="str">
        <f>"0143781X"</f>
        <v>0143781X</v>
      </c>
      <c r="D7472" s="2">
        <v>0.13600000000000001</v>
      </c>
      <c r="E7472" s="2">
        <v>8</v>
      </c>
      <c r="F7472" s="2" t="s">
        <v>16</v>
      </c>
    </row>
    <row r="7473" spans="1:6" ht="25.5">
      <c r="A7473" s="2">
        <v>7470</v>
      </c>
      <c r="B7473" s="2" t="s">
        <v>7550</v>
      </c>
      <c r="C7473" s="2" t="str">
        <f>"0957154X"</f>
        <v>0957154X</v>
      </c>
      <c r="D7473" s="2">
        <v>0.255</v>
      </c>
      <c r="E7473" s="2">
        <v>14</v>
      </c>
      <c r="F7473" s="2" t="s">
        <v>16</v>
      </c>
    </row>
    <row r="7474" spans="1:6" ht="25.5">
      <c r="A7474" s="2">
        <v>7471</v>
      </c>
      <c r="B7474" s="2" t="s">
        <v>7551</v>
      </c>
      <c r="C7474" s="2" t="str">
        <f>"10934510"</f>
        <v>10934510</v>
      </c>
      <c r="D7474" s="2">
        <v>0.27900000000000003</v>
      </c>
      <c r="E7474" s="2">
        <v>11</v>
      </c>
      <c r="F7474" s="2" t="s">
        <v>6</v>
      </c>
    </row>
    <row r="7475" spans="1:6" ht="25.5">
      <c r="A7475" s="2">
        <v>7472</v>
      </c>
      <c r="B7475" s="2" t="s">
        <v>7552</v>
      </c>
      <c r="C7475" s="2" t="str">
        <f>"00182710"</f>
        <v>00182710</v>
      </c>
      <c r="D7475" s="2">
        <v>0.11600000000000001</v>
      </c>
      <c r="E7475" s="2">
        <v>9</v>
      </c>
      <c r="F7475" s="2" t="s">
        <v>6</v>
      </c>
    </row>
    <row r="7476" spans="1:6" ht="25.5">
      <c r="A7476" s="2">
        <v>7473</v>
      </c>
      <c r="B7476" s="2" t="s">
        <v>7553</v>
      </c>
      <c r="C7476" s="2" t="str">
        <f>"00732753"</f>
        <v>00732753</v>
      </c>
      <c r="D7476" s="2">
        <v>0.23300000000000001</v>
      </c>
      <c r="E7476" s="2">
        <v>13</v>
      </c>
      <c r="F7476" s="2" t="s">
        <v>16</v>
      </c>
    </row>
    <row r="7477" spans="1:6" ht="25.5">
      <c r="A7477" s="2">
        <v>7474</v>
      </c>
      <c r="B7477" s="2" t="s">
        <v>7554</v>
      </c>
      <c r="C7477" s="2" t="str">
        <f>"1081602X"</f>
        <v>1081602X</v>
      </c>
      <c r="D7477" s="2">
        <v>0.42</v>
      </c>
      <c r="E7477" s="2">
        <v>12</v>
      </c>
      <c r="F7477" s="2" t="s">
        <v>16</v>
      </c>
    </row>
    <row r="7478" spans="1:6" ht="25.5">
      <c r="A7478" s="2">
        <v>7475</v>
      </c>
      <c r="B7478" s="2" t="s">
        <v>7555</v>
      </c>
      <c r="C7478" s="2" t="str">
        <f>"1461720X"</f>
        <v>1461720X</v>
      </c>
      <c r="D7478" s="2">
        <v>0.34300000000000003</v>
      </c>
      <c r="E7478" s="2">
        <v>16</v>
      </c>
      <c r="F7478" s="2" t="s">
        <v>16</v>
      </c>
    </row>
    <row r="7479" spans="1:6" ht="25.5">
      <c r="A7479" s="2">
        <v>7476</v>
      </c>
      <c r="B7479" s="2" t="s">
        <v>7556</v>
      </c>
      <c r="C7479" s="2" t="str">
        <f>"00182753"</f>
        <v>00182753</v>
      </c>
      <c r="D7479" s="2">
        <v>0.1</v>
      </c>
      <c r="E7479" s="2">
        <v>3</v>
      </c>
      <c r="F7479" s="2" t="s">
        <v>16</v>
      </c>
    </row>
    <row r="7480" spans="1:6" ht="25.5">
      <c r="A7480" s="2">
        <v>7477</v>
      </c>
      <c r="B7480" s="2" t="s">
        <v>7557</v>
      </c>
      <c r="C7480" s="2" t="str">
        <f>"14774569"</f>
        <v>14774569</v>
      </c>
      <c r="D7480" s="2">
        <v>0.311</v>
      </c>
      <c r="E7480" s="2">
        <v>13</v>
      </c>
      <c r="F7480" s="2" t="s">
        <v>6</v>
      </c>
    </row>
    <row r="7481" spans="1:6" ht="25.5">
      <c r="A7481" s="2">
        <v>7478</v>
      </c>
      <c r="B7481" s="2" t="s">
        <v>7558</v>
      </c>
      <c r="C7481" s="2" t="str">
        <f>"0018280X"</f>
        <v>0018280X</v>
      </c>
      <c r="D7481" s="2">
        <v>0.126</v>
      </c>
      <c r="E7481" s="2">
        <v>5</v>
      </c>
      <c r="F7481" s="2" t="s">
        <v>131</v>
      </c>
    </row>
    <row r="7482" spans="1:6" ht="25.5">
      <c r="A7482" s="2">
        <v>7479</v>
      </c>
      <c r="B7482" s="2" t="s">
        <v>7559</v>
      </c>
      <c r="C7482" s="2" t="str">
        <f>"1712624X"</f>
        <v>1712624X</v>
      </c>
      <c r="D7482" s="2">
        <v>0.13300000000000001</v>
      </c>
      <c r="E7482" s="2">
        <v>7</v>
      </c>
      <c r="F7482" s="2" t="s">
        <v>64</v>
      </c>
    </row>
    <row r="7483" spans="1:6" ht="25.5">
      <c r="A7483" s="2">
        <v>7480</v>
      </c>
      <c r="B7483" s="2" t="s">
        <v>7560</v>
      </c>
      <c r="C7483" s="2" t="str">
        <f>"11791373"</f>
        <v>11791373</v>
      </c>
      <c r="D7483" s="2">
        <v>0.379</v>
      </c>
      <c r="E7483" s="2">
        <v>3</v>
      </c>
      <c r="F7483" s="2" t="s">
        <v>503</v>
      </c>
    </row>
    <row r="7484" spans="1:6" ht="25.5">
      <c r="A7484" s="2">
        <v>7481</v>
      </c>
      <c r="B7484" s="2" t="s">
        <v>7561</v>
      </c>
      <c r="C7484" s="2" t="str">
        <f>"17301270"</f>
        <v>17301270</v>
      </c>
      <c r="D7484" s="2">
        <v>0.125</v>
      </c>
      <c r="E7484" s="2">
        <v>2</v>
      </c>
      <c r="F7484" s="2" t="s">
        <v>169</v>
      </c>
    </row>
    <row r="7485" spans="1:6" ht="25.5">
      <c r="A7485" s="2">
        <v>7482</v>
      </c>
      <c r="B7485" s="2" t="s">
        <v>7562</v>
      </c>
      <c r="C7485" s="2" t="str">
        <f>"15284336"</f>
        <v>15284336</v>
      </c>
      <c r="D7485" s="2">
        <v>0.749</v>
      </c>
      <c r="E7485" s="2">
        <v>34</v>
      </c>
      <c r="F7485" s="2" t="s">
        <v>6</v>
      </c>
    </row>
    <row r="7486" spans="1:6" ht="25.5">
      <c r="A7486" s="2">
        <v>7483</v>
      </c>
      <c r="B7486" s="2" t="s">
        <v>7563</v>
      </c>
      <c r="C7486" s="2" t="str">
        <f>"1551885X"</f>
        <v>1551885X</v>
      </c>
      <c r="D7486" s="2">
        <v>0.105</v>
      </c>
      <c r="E7486" s="2">
        <v>3</v>
      </c>
      <c r="F7486" s="2" t="s">
        <v>6</v>
      </c>
    </row>
    <row r="7487" spans="1:6" ht="25.5">
      <c r="A7487" s="2">
        <v>7484</v>
      </c>
      <c r="B7487" s="2" t="s">
        <v>7564</v>
      </c>
      <c r="C7487" s="2" t="str">
        <f>"14681293"</f>
        <v>14681293</v>
      </c>
      <c r="D7487" s="2">
        <v>1.272</v>
      </c>
      <c r="E7487" s="2">
        <v>48</v>
      </c>
      <c r="F7487" s="2" t="s">
        <v>16</v>
      </c>
    </row>
    <row r="7488" spans="1:6" ht="25.5">
      <c r="A7488" s="2">
        <v>7485</v>
      </c>
      <c r="B7488" s="2" t="s">
        <v>7565</v>
      </c>
      <c r="C7488" s="2" t="str">
        <f>"14747359"</f>
        <v>14747359</v>
      </c>
      <c r="D7488" s="2">
        <v>0.1</v>
      </c>
      <c r="E7488" s="2">
        <v>1</v>
      </c>
      <c r="F7488" s="2" t="s">
        <v>16</v>
      </c>
    </row>
    <row r="7489" spans="1:6" ht="25.5">
      <c r="A7489" s="2">
        <v>7486</v>
      </c>
      <c r="B7489" s="2" t="s">
        <v>7566</v>
      </c>
      <c r="C7489" s="2" t="str">
        <f>"14330458"</f>
        <v>14330458</v>
      </c>
      <c r="D7489" s="2">
        <v>0.22500000000000001</v>
      </c>
      <c r="E7489" s="2">
        <v>25</v>
      </c>
      <c r="F7489" s="2" t="s">
        <v>12</v>
      </c>
    </row>
    <row r="7490" spans="1:6" ht="25.5">
      <c r="A7490" s="2">
        <v>7487</v>
      </c>
      <c r="B7490" s="2" t="s">
        <v>7567</v>
      </c>
      <c r="C7490" s="2" t="str">
        <f>"18750257"</f>
        <v>18750257</v>
      </c>
      <c r="D7490" s="2">
        <v>0.182</v>
      </c>
      <c r="E7490" s="2">
        <v>2</v>
      </c>
      <c r="F7490" s="2" t="s">
        <v>75</v>
      </c>
    </row>
    <row r="7491" spans="1:6" ht="25.5">
      <c r="A7491" s="2">
        <v>7488</v>
      </c>
      <c r="B7491" s="2" t="s">
        <v>7568</v>
      </c>
      <c r="C7491" s="2" t="str">
        <f>"03676102"</f>
        <v>03676102</v>
      </c>
      <c r="D7491" s="2">
        <v>0.10199999999999999</v>
      </c>
      <c r="E7491" s="2">
        <v>8</v>
      </c>
      <c r="F7491" s="2" t="s">
        <v>131</v>
      </c>
    </row>
    <row r="7492" spans="1:6" ht="25.5">
      <c r="A7492" s="2">
        <v>7489</v>
      </c>
      <c r="B7492" s="2" t="s">
        <v>7569</v>
      </c>
      <c r="C7492" s="2" t="str">
        <f>"15505138"</f>
        <v>15505138</v>
      </c>
      <c r="D7492" s="2">
        <v>0.27600000000000002</v>
      </c>
      <c r="E7492" s="2">
        <v>21</v>
      </c>
      <c r="F7492" s="2" t="s">
        <v>6</v>
      </c>
    </row>
    <row r="7493" spans="1:6" ht="25.5">
      <c r="A7493" s="2">
        <v>7490</v>
      </c>
      <c r="B7493" s="2" t="s">
        <v>7570</v>
      </c>
      <c r="C7493" s="2" t="str">
        <f>"87566583"</f>
        <v>87566583</v>
      </c>
      <c r="D7493" s="2">
        <v>0.10100000000000001</v>
      </c>
      <c r="E7493" s="2">
        <v>7</v>
      </c>
      <c r="F7493" s="2" t="s">
        <v>16</v>
      </c>
    </row>
    <row r="7494" spans="1:6" ht="25.5">
      <c r="A7494" s="2">
        <v>7491</v>
      </c>
      <c r="B7494" s="2" t="s">
        <v>7571</v>
      </c>
      <c r="C7494" s="2" t="str">
        <f>"14770911"</f>
        <v>14770911</v>
      </c>
      <c r="D7494" s="2">
        <v>1.5149999999999999</v>
      </c>
      <c r="E7494" s="2">
        <v>72</v>
      </c>
      <c r="F7494" s="2" t="s">
        <v>16</v>
      </c>
    </row>
    <row r="7495" spans="1:6" ht="25.5">
      <c r="A7495" s="2">
        <v>7492</v>
      </c>
      <c r="B7495" s="2" t="s">
        <v>7572</v>
      </c>
      <c r="C7495" s="2" t="str">
        <f>"17500125"</f>
        <v>17500125</v>
      </c>
      <c r="D7495" s="2">
        <v>0.112</v>
      </c>
      <c r="E7495" s="2">
        <v>3</v>
      </c>
      <c r="F7495" s="2" t="s">
        <v>16</v>
      </c>
    </row>
    <row r="7496" spans="1:6" ht="25.5">
      <c r="A7496" s="2">
        <v>7493</v>
      </c>
      <c r="B7496" s="2" t="s">
        <v>7573</v>
      </c>
      <c r="C7496" s="2" t="str">
        <f>"1436736X"</f>
        <v>1436736X</v>
      </c>
      <c r="D7496" s="2">
        <v>0.505</v>
      </c>
      <c r="E7496" s="2">
        <v>30</v>
      </c>
      <c r="F7496" s="2" t="s">
        <v>12</v>
      </c>
    </row>
    <row r="7497" spans="1:6" ht="25.5">
      <c r="A7497" s="2">
        <v>7494</v>
      </c>
      <c r="B7497" s="2" t="s">
        <v>7574</v>
      </c>
      <c r="C7497" s="2" t="str">
        <f>"1437434X"</f>
        <v>1437434X</v>
      </c>
      <c r="D7497" s="2">
        <v>0.88200000000000001</v>
      </c>
      <c r="E7497" s="2">
        <v>44</v>
      </c>
      <c r="F7497" s="2" t="s">
        <v>12</v>
      </c>
    </row>
    <row r="7498" spans="1:6" ht="25.5">
      <c r="A7498" s="2">
        <v>7495</v>
      </c>
      <c r="B7498" s="2" t="s">
        <v>7575</v>
      </c>
      <c r="C7498" s="2" t="str">
        <f>"17406315"</f>
        <v>17406315</v>
      </c>
      <c r="D7498" s="2">
        <v>0.29099999999999998</v>
      </c>
      <c r="E7498" s="2">
        <v>4</v>
      </c>
      <c r="F7498" s="2" t="s">
        <v>16</v>
      </c>
    </row>
    <row r="7499" spans="1:6" ht="25.5">
      <c r="A7499" s="2">
        <v>7496</v>
      </c>
      <c r="B7499" s="2" t="s">
        <v>7576</v>
      </c>
      <c r="C7499" s="2" t="str">
        <f>"10848223"</f>
        <v>10848223</v>
      </c>
      <c r="D7499" s="2">
        <v>0.13200000000000001</v>
      </c>
      <c r="E7499" s="2">
        <v>10</v>
      </c>
      <c r="F7499" s="2" t="s">
        <v>6</v>
      </c>
    </row>
    <row r="7500" spans="1:6" ht="25.5">
      <c r="A7500" s="2">
        <v>7497</v>
      </c>
      <c r="B7500" s="2" t="s">
        <v>7577</v>
      </c>
      <c r="C7500" s="2" t="str">
        <f>"15390713"</f>
        <v>15390713</v>
      </c>
      <c r="D7500" s="2">
        <v>0.185</v>
      </c>
      <c r="E7500" s="2">
        <v>15</v>
      </c>
      <c r="F7500" s="2" t="s">
        <v>6</v>
      </c>
    </row>
    <row r="7501" spans="1:6" ht="25.5">
      <c r="A7501" s="2">
        <v>7498</v>
      </c>
      <c r="B7501" s="2" t="s">
        <v>7578</v>
      </c>
      <c r="C7501" s="2" t="str">
        <f>"15450856"</f>
        <v>15450856</v>
      </c>
      <c r="D7501" s="2">
        <v>0.33800000000000002</v>
      </c>
      <c r="E7501" s="2">
        <v>17</v>
      </c>
      <c r="F7501" s="2" t="s">
        <v>16</v>
      </c>
    </row>
    <row r="7502" spans="1:6" ht="25.5">
      <c r="A7502" s="2">
        <v>7499</v>
      </c>
      <c r="B7502" s="2" t="s">
        <v>7579</v>
      </c>
      <c r="C7502" s="2" t="str">
        <f>"1558643X"</f>
        <v>1558643X</v>
      </c>
      <c r="D7502" s="2">
        <v>0</v>
      </c>
      <c r="E7502" s="2">
        <v>1</v>
      </c>
      <c r="F7502" s="2" t="s">
        <v>6</v>
      </c>
    </row>
    <row r="7503" spans="1:6" ht="25.5">
      <c r="A7503" s="2">
        <v>7500</v>
      </c>
      <c r="B7503" s="2" t="s">
        <v>7580</v>
      </c>
      <c r="C7503" s="2" t="str">
        <f>"14764245"</f>
        <v>14764245</v>
      </c>
      <c r="D7503" s="2">
        <v>0.38500000000000001</v>
      </c>
      <c r="E7503" s="2">
        <v>24</v>
      </c>
      <c r="F7503" s="2" t="s">
        <v>6</v>
      </c>
    </row>
    <row r="7504" spans="1:6" ht="25.5">
      <c r="A7504" s="2">
        <v>7501</v>
      </c>
      <c r="B7504" s="2" t="s">
        <v>7581</v>
      </c>
      <c r="C7504" s="2" t="str">
        <f>"10887679"</f>
        <v>10887679</v>
      </c>
      <c r="D7504" s="2">
        <v>1.123</v>
      </c>
      <c r="E7504" s="2">
        <v>18</v>
      </c>
      <c r="F7504" s="2" t="s">
        <v>6</v>
      </c>
    </row>
    <row r="7505" spans="1:6" ht="25.5">
      <c r="A7505" s="2">
        <v>7502</v>
      </c>
      <c r="B7505" s="2" t="s">
        <v>7582</v>
      </c>
      <c r="C7505" s="2" t="str">
        <f>"04394216"</f>
        <v>04394216</v>
      </c>
      <c r="D7505" s="2">
        <v>0.17899999999999999</v>
      </c>
      <c r="E7505" s="2">
        <v>7</v>
      </c>
      <c r="F7505" s="2" t="s">
        <v>66</v>
      </c>
    </row>
    <row r="7506" spans="1:6" ht="25.5">
      <c r="A7506" s="2">
        <v>7503</v>
      </c>
      <c r="B7506" s="2" t="s">
        <v>7583</v>
      </c>
      <c r="C7506" s="2" t="str">
        <f>"21010226"</f>
        <v>21010226</v>
      </c>
      <c r="D7506" s="2">
        <v>0.1</v>
      </c>
      <c r="E7506" s="2">
        <v>2</v>
      </c>
      <c r="F7506" s="2" t="s">
        <v>66</v>
      </c>
    </row>
    <row r="7507" spans="1:6" ht="25.5">
      <c r="A7507" s="2">
        <v>7504</v>
      </c>
      <c r="B7507" s="2" t="s">
        <v>7584</v>
      </c>
      <c r="C7507" s="2" t="str">
        <f>"15320081"</f>
        <v>15320081</v>
      </c>
      <c r="D7507" s="2">
        <v>0.34200000000000003</v>
      </c>
      <c r="E7507" s="2">
        <v>12</v>
      </c>
      <c r="F7507" s="2" t="s">
        <v>6</v>
      </c>
    </row>
    <row r="7508" spans="1:6" ht="25.5">
      <c r="A7508" s="2">
        <v>7505</v>
      </c>
      <c r="B7508" s="2" t="s">
        <v>7585</v>
      </c>
      <c r="C7508" s="2" t="str">
        <f>"18147453"</f>
        <v>18147453</v>
      </c>
      <c r="D7508" s="2">
        <v>0.109</v>
      </c>
      <c r="E7508" s="2">
        <v>2</v>
      </c>
      <c r="F7508" s="2" t="s">
        <v>46</v>
      </c>
    </row>
    <row r="7509" spans="1:6" ht="25.5">
      <c r="A7509" s="2">
        <v>7506</v>
      </c>
      <c r="B7509" s="2" t="s">
        <v>7586</v>
      </c>
      <c r="C7509" s="2" t="str">
        <f>"10249079"</f>
        <v>10249079</v>
      </c>
      <c r="D7509" s="2">
        <v>0.154</v>
      </c>
      <c r="E7509" s="2">
        <v>5</v>
      </c>
      <c r="F7509" s="2" t="s">
        <v>46</v>
      </c>
    </row>
    <row r="7510" spans="1:6" ht="25.5">
      <c r="A7510" s="2">
        <v>7507</v>
      </c>
      <c r="B7510" s="2" t="s">
        <v>7587</v>
      </c>
      <c r="C7510" s="2" t="str">
        <f>"15615413"</f>
        <v>15615413</v>
      </c>
      <c r="D7510" s="2">
        <v>0.16200000000000001</v>
      </c>
      <c r="E7510" s="2">
        <v>4</v>
      </c>
      <c r="F7510" s="2" t="s">
        <v>543</v>
      </c>
    </row>
    <row r="7511" spans="1:6" ht="25.5">
      <c r="A7511" s="2">
        <v>7508</v>
      </c>
      <c r="B7511" s="2" t="s">
        <v>7588</v>
      </c>
      <c r="C7511" s="2" t="str">
        <f>"15691861"</f>
        <v>15691861</v>
      </c>
      <c r="D7511" s="2">
        <v>0.159</v>
      </c>
      <c r="E7511" s="2">
        <v>4</v>
      </c>
      <c r="F7511" s="2" t="s">
        <v>543</v>
      </c>
    </row>
    <row r="7512" spans="1:6" ht="25.5">
      <c r="A7512" s="2">
        <v>7509</v>
      </c>
      <c r="B7512" s="2" t="s">
        <v>7589</v>
      </c>
      <c r="C7512" s="2" t="str">
        <f>"10139923"</f>
        <v>10139923</v>
      </c>
      <c r="D7512" s="2">
        <v>0.107</v>
      </c>
      <c r="E7512" s="2">
        <v>4</v>
      </c>
      <c r="F7512" s="2" t="s">
        <v>46</v>
      </c>
    </row>
    <row r="7513" spans="1:6" ht="25.5">
      <c r="A7513" s="2">
        <v>7510</v>
      </c>
      <c r="B7513" s="2" t="s">
        <v>7590</v>
      </c>
      <c r="C7513" s="2" t="str">
        <f>"22236619"</f>
        <v>22236619</v>
      </c>
      <c r="D7513" s="2">
        <v>0.104</v>
      </c>
      <c r="E7513" s="2">
        <v>5</v>
      </c>
      <c r="F7513" s="2" t="s">
        <v>46</v>
      </c>
    </row>
    <row r="7514" spans="1:6" ht="25.5">
      <c r="A7514" s="2">
        <v>7511</v>
      </c>
      <c r="B7514" s="2" t="s">
        <v>7591</v>
      </c>
      <c r="C7514" s="2" t="str">
        <f>"03780600"</f>
        <v>03780600</v>
      </c>
      <c r="D7514" s="2">
        <v>0.19700000000000001</v>
      </c>
      <c r="E7514" s="2">
        <v>2</v>
      </c>
      <c r="F7514" s="2" t="s">
        <v>46</v>
      </c>
    </row>
    <row r="7515" spans="1:6" ht="25.5">
      <c r="A7515" s="2">
        <v>7512</v>
      </c>
      <c r="B7515" s="2" t="s">
        <v>7592</v>
      </c>
      <c r="C7515" s="2" t="str">
        <f>"10242708"</f>
        <v>10242708</v>
      </c>
      <c r="D7515" s="2">
        <v>0.255</v>
      </c>
      <c r="E7515" s="2">
        <v>26</v>
      </c>
      <c r="F7515" s="2" t="s">
        <v>46</v>
      </c>
    </row>
    <row r="7516" spans="1:6" ht="25.5">
      <c r="A7516" s="2">
        <v>7513</v>
      </c>
      <c r="B7516" s="2" t="s">
        <v>7593</v>
      </c>
      <c r="C7516" s="2" t="str">
        <f>"10137025"</f>
        <v>10137025</v>
      </c>
      <c r="D7516" s="2">
        <v>0.122</v>
      </c>
      <c r="E7516" s="2">
        <v>4</v>
      </c>
      <c r="F7516" s="2" t="s">
        <v>46</v>
      </c>
    </row>
    <row r="7517" spans="1:6">
      <c r="A7517" s="2">
        <v>7514</v>
      </c>
      <c r="B7517" s="2" t="s">
        <v>7594</v>
      </c>
      <c r="C7517" s="2" t="str">
        <f>"0"</f>
        <v>0</v>
      </c>
      <c r="D7517" s="2">
        <v>0</v>
      </c>
      <c r="E7517" s="2">
        <v>0</v>
      </c>
      <c r="F7517" s="2" t="s">
        <v>6</v>
      </c>
    </row>
    <row r="7518" spans="1:6" ht="25.5">
      <c r="A7518" s="2">
        <v>7515</v>
      </c>
      <c r="B7518" s="2" t="s">
        <v>7595</v>
      </c>
      <c r="C7518" s="2" t="str">
        <f>"10273948"</f>
        <v>10273948</v>
      </c>
      <c r="D7518" s="2">
        <v>0.11899999999999999</v>
      </c>
      <c r="E7518" s="2">
        <v>6</v>
      </c>
      <c r="F7518" s="2" t="s">
        <v>46</v>
      </c>
    </row>
    <row r="7519" spans="1:6">
      <c r="A7519" s="2">
        <v>7516</v>
      </c>
      <c r="B7519" s="2" t="s">
        <v>7596</v>
      </c>
      <c r="C7519" s="2" t="str">
        <f>"0"</f>
        <v>0</v>
      </c>
      <c r="D7519" s="2">
        <v>0</v>
      </c>
      <c r="E7519" s="2">
        <v>0</v>
      </c>
      <c r="F7519" s="2" t="s">
        <v>6</v>
      </c>
    </row>
    <row r="7520" spans="1:6" ht="25.5">
      <c r="A7520" s="2">
        <v>7517</v>
      </c>
      <c r="B7520" s="2" t="s">
        <v>7597</v>
      </c>
      <c r="C7520" s="2" t="str">
        <f>"10019014"</f>
        <v>10019014</v>
      </c>
      <c r="D7520" s="2">
        <v>0.30299999999999999</v>
      </c>
      <c r="E7520" s="2">
        <v>17</v>
      </c>
      <c r="F7520" s="2" t="s">
        <v>46</v>
      </c>
    </row>
    <row r="7521" spans="1:6" ht="25.5">
      <c r="A7521" s="2">
        <v>7518</v>
      </c>
      <c r="B7521" s="2" t="s">
        <v>7598</v>
      </c>
      <c r="C7521" s="2" t="str">
        <f>"10072276"</f>
        <v>10072276</v>
      </c>
      <c r="D7521" s="2">
        <v>0.28899999999999998</v>
      </c>
      <c r="E7521" s="2">
        <v>15</v>
      </c>
      <c r="F7521" s="2" t="s">
        <v>46</v>
      </c>
    </row>
    <row r="7522" spans="1:6" ht="25.5">
      <c r="A7522" s="2">
        <v>7519</v>
      </c>
      <c r="B7522" s="2" t="s">
        <v>7599</v>
      </c>
      <c r="C7522" s="2" t="str">
        <f>"03609669"</f>
        <v>03609669</v>
      </c>
      <c r="D7522" s="2">
        <v>0.10100000000000001</v>
      </c>
      <c r="E7522" s="2">
        <v>2</v>
      </c>
      <c r="F7522" s="2" t="s">
        <v>6</v>
      </c>
    </row>
    <row r="7523" spans="1:6" ht="25.5">
      <c r="A7523" s="2">
        <v>7520</v>
      </c>
      <c r="B7523" s="2" t="s">
        <v>7600</v>
      </c>
      <c r="C7523" s="2" t="str">
        <f>"18712207"</f>
        <v>18712207</v>
      </c>
      <c r="D7523" s="2">
        <v>0</v>
      </c>
      <c r="E7523" s="2">
        <v>0</v>
      </c>
      <c r="F7523" s="2" t="s">
        <v>75</v>
      </c>
    </row>
    <row r="7524" spans="1:6" ht="25.5">
      <c r="A7524" s="2">
        <v>7521</v>
      </c>
      <c r="B7524" s="2" t="s">
        <v>7601</v>
      </c>
      <c r="C7524" s="2" t="str">
        <f>"01047183"</f>
        <v>01047183</v>
      </c>
      <c r="D7524" s="2">
        <v>0.28100000000000003</v>
      </c>
      <c r="E7524" s="2">
        <v>4</v>
      </c>
      <c r="F7524" s="2" t="s">
        <v>159</v>
      </c>
    </row>
    <row r="7525" spans="1:6" ht="25.5">
      <c r="A7525" s="2">
        <v>7522</v>
      </c>
      <c r="B7525" s="2" t="s">
        <v>7602</v>
      </c>
      <c r="C7525" s="2" t="str">
        <f>"14394286"</f>
        <v>14394286</v>
      </c>
      <c r="D7525" s="2">
        <v>0.81699999999999995</v>
      </c>
      <c r="E7525" s="2">
        <v>66</v>
      </c>
      <c r="F7525" s="2" t="s">
        <v>12</v>
      </c>
    </row>
    <row r="7526" spans="1:6" ht="25.5">
      <c r="A7526" s="2">
        <v>7523</v>
      </c>
      <c r="B7526" s="2" t="s">
        <v>7603</v>
      </c>
      <c r="C7526" s="2" t="str">
        <f>"16632826"</f>
        <v>16632826</v>
      </c>
      <c r="D7526" s="2">
        <v>0.66</v>
      </c>
      <c r="E7526" s="2">
        <v>63</v>
      </c>
      <c r="F7526" s="2" t="s">
        <v>31</v>
      </c>
    </row>
    <row r="7527" spans="1:6" ht="25.5">
      <c r="A7527" s="2">
        <v>7524</v>
      </c>
      <c r="B7527" s="2" t="s">
        <v>7604</v>
      </c>
      <c r="C7527" s="2" t="str">
        <f>"11093099"</f>
        <v>11093099</v>
      </c>
      <c r="D7527" s="2">
        <v>0.57299999999999995</v>
      </c>
      <c r="E7527" s="2">
        <v>20</v>
      </c>
      <c r="F7527" s="2" t="s">
        <v>313</v>
      </c>
    </row>
    <row r="7528" spans="1:6" ht="25.5">
      <c r="A7528" s="2">
        <v>7525</v>
      </c>
      <c r="B7528" s="2" t="s">
        <v>7605</v>
      </c>
      <c r="C7528" s="2" t="str">
        <f>"10956867"</f>
        <v>10956867</v>
      </c>
      <c r="D7528" s="2">
        <v>1.28</v>
      </c>
      <c r="E7528" s="2">
        <v>83</v>
      </c>
      <c r="F7528" s="2" t="s">
        <v>6</v>
      </c>
    </row>
    <row r="7529" spans="1:6" ht="25.5">
      <c r="A7529" s="2">
        <v>7526</v>
      </c>
      <c r="B7529" s="2" t="s">
        <v>7606</v>
      </c>
      <c r="C7529" s="2" t="str">
        <f>"18688500"</f>
        <v>18688500</v>
      </c>
      <c r="D7529" s="2">
        <v>0.91500000000000004</v>
      </c>
      <c r="E7529" s="2">
        <v>7</v>
      </c>
      <c r="F7529" s="2" t="s">
        <v>6</v>
      </c>
    </row>
    <row r="7530" spans="1:6" ht="25.5">
      <c r="A7530" s="2">
        <v>7527</v>
      </c>
      <c r="B7530" s="2" t="s">
        <v>7607</v>
      </c>
      <c r="C7530" s="2" t="str">
        <f>"18069991"</f>
        <v>18069991</v>
      </c>
      <c r="D7530" s="2">
        <v>0.45600000000000002</v>
      </c>
      <c r="E7530" s="2">
        <v>8</v>
      </c>
      <c r="F7530" s="2" t="s">
        <v>159</v>
      </c>
    </row>
    <row r="7531" spans="1:6" ht="25.5">
      <c r="A7531" s="2">
        <v>7528</v>
      </c>
      <c r="B7531" s="2" t="s">
        <v>7608</v>
      </c>
      <c r="C7531" s="2" t="str">
        <f>"0862867X"</f>
        <v>0862867X</v>
      </c>
      <c r="D7531" s="2">
        <v>0.32600000000000001</v>
      </c>
      <c r="E7531" s="2">
        <v>8</v>
      </c>
      <c r="F7531" s="2" t="s">
        <v>208</v>
      </c>
    </row>
    <row r="7532" spans="1:6" ht="25.5">
      <c r="A7532" s="2">
        <v>7529</v>
      </c>
      <c r="B7532" s="2" t="s">
        <v>7609</v>
      </c>
      <c r="C7532" s="2" t="str">
        <f>"00185345"</f>
        <v>00185345</v>
      </c>
      <c r="D7532" s="2">
        <v>0.56200000000000006</v>
      </c>
      <c r="E7532" s="2">
        <v>45</v>
      </c>
      <c r="F7532" s="2" t="s">
        <v>6</v>
      </c>
    </row>
    <row r="7533" spans="1:6" ht="25.5">
      <c r="A7533" s="2">
        <v>7530</v>
      </c>
      <c r="B7533" s="2" t="s">
        <v>7610</v>
      </c>
      <c r="C7533" s="2" t="str">
        <f>"10630198"</f>
        <v>10630198</v>
      </c>
      <c r="D7533" s="2">
        <v>0.52400000000000002</v>
      </c>
      <c r="E7533" s="2">
        <v>26</v>
      </c>
      <c r="F7533" s="2" t="s">
        <v>6</v>
      </c>
    </row>
    <row r="7534" spans="1:6" ht="25.5">
      <c r="A7534" s="2">
        <v>7531</v>
      </c>
      <c r="B7534" s="2" t="s">
        <v>7611</v>
      </c>
      <c r="C7534" s="2" t="str">
        <f>"13307274"</f>
        <v>13307274</v>
      </c>
      <c r="D7534" s="2">
        <v>0.11</v>
      </c>
      <c r="E7534" s="2">
        <v>3</v>
      </c>
      <c r="F7534" s="2" t="s">
        <v>161</v>
      </c>
    </row>
    <row r="7535" spans="1:6" ht="25.5">
      <c r="A7535" s="2">
        <v>7532</v>
      </c>
      <c r="B7535" s="2" t="s">
        <v>7612</v>
      </c>
      <c r="C7535" s="2" t="str">
        <f>"10870652"</f>
        <v>10870652</v>
      </c>
      <c r="D7535" s="2">
        <v>0.111</v>
      </c>
      <c r="E7535" s="2">
        <v>3</v>
      </c>
      <c r="F7535" s="2" t="s">
        <v>6</v>
      </c>
    </row>
    <row r="7536" spans="1:6" ht="25.5">
      <c r="A7536" s="2">
        <v>7533</v>
      </c>
      <c r="B7536" s="2" t="s">
        <v>7613</v>
      </c>
      <c r="C7536" s="2" t="str">
        <f>"0098180X"</f>
        <v>0098180X</v>
      </c>
      <c r="D7536" s="2">
        <v>0.1</v>
      </c>
      <c r="E7536" s="2">
        <v>1</v>
      </c>
      <c r="F7536" s="2" t="s">
        <v>6</v>
      </c>
    </row>
    <row r="7537" spans="1:6" ht="25.5">
      <c r="A7537" s="2">
        <v>7534</v>
      </c>
      <c r="B7537" s="2" t="s">
        <v>7614</v>
      </c>
      <c r="C7537" s="2" t="str">
        <f>"22115943"</f>
        <v>22115943</v>
      </c>
      <c r="D7537" s="2">
        <v>0</v>
      </c>
      <c r="E7537" s="2">
        <v>0</v>
      </c>
      <c r="F7537" s="2" t="s">
        <v>6</v>
      </c>
    </row>
    <row r="7538" spans="1:6" ht="25.5">
      <c r="A7538" s="2">
        <v>7535</v>
      </c>
      <c r="B7538" s="2" t="s">
        <v>7615</v>
      </c>
      <c r="C7538" s="2" t="str">
        <f>"01492632"</f>
        <v>01492632</v>
      </c>
      <c r="D7538" s="2">
        <v>0.10199999999999999</v>
      </c>
      <c r="E7538" s="2">
        <v>4</v>
      </c>
      <c r="F7538" s="2" t="s">
        <v>6</v>
      </c>
    </row>
    <row r="7539" spans="1:6" ht="25.5">
      <c r="A7539" s="2">
        <v>7536</v>
      </c>
      <c r="B7539" s="2" t="s">
        <v>7616</v>
      </c>
      <c r="C7539" s="2" t="str">
        <f>"00185787"</f>
        <v>00185787</v>
      </c>
      <c r="D7539" s="2">
        <v>0.13600000000000001</v>
      </c>
      <c r="E7539" s="2">
        <v>15</v>
      </c>
      <c r="F7539" s="2" t="s">
        <v>6</v>
      </c>
    </row>
    <row r="7540" spans="1:6">
      <c r="A7540" s="2">
        <v>7537</v>
      </c>
      <c r="B7540" s="2" t="s">
        <v>7617</v>
      </c>
      <c r="C7540" s="2" t="str">
        <f>"0"</f>
        <v>0</v>
      </c>
      <c r="D7540" s="2">
        <v>0.28000000000000003</v>
      </c>
      <c r="E7540" s="2">
        <v>6</v>
      </c>
      <c r="F7540" s="2" t="s">
        <v>6</v>
      </c>
    </row>
    <row r="7541" spans="1:6" ht="25.5">
      <c r="A7541" s="2">
        <v>7538</v>
      </c>
      <c r="B7541" s="2" t="s">
        <v>7618</v>
      </c>
      <c r="C7541" s="2" t="str">
        <f>"10688838"</f>
        <v>10688838</v>
      </c>
      <c r="D7541" s="2">
        <v>0.12</v>
      </c>
      <c r="E7541" s="2">
        <v>8</v>
      </c>
      <c r="F7541" s="2" t="s">
        <v>6</v>
      </c>
    </row>
    <row r="7542" spans="1:6" ht="25.5">
      <c r="A7542" s="2">
        <v>7539</v>
      </c>
      <c r="B7542" s="2" t="s">
        <v>7619</v>
      </c>
      <c r="C7542" s="2" t="str">
        <f>"00185868"</f>
        <v>00185868</v>
      </c>
      <c r="D7542" s="2">
        <v>0.19400000000000001</v>
      </c>
      <c r="E7542" s="2">
        <v>13</v>
      </c>
      <c r="F7542" s="2" t="s">
        <v>6</v>
      </c>
    </row>
    <row r="7543" spans="1:6" ht="25.5">
      <c r="A7543" s="2">
        <v>7540</v>
      </c>
      <c r="B7543" s="2" t="s">
        <v>7620</v>
      </c>
      <c r="C7543" s="2" t="str">
        <f>"21582122"</f>
        <v>21582122</v>
      </c>
      <c r="D7543" s="2">
        <v>0.1</v>
      </c>
      <c r="E7543" s="2">
        <v>2</v>
      </c>
      <c r="F7543" s="2" t="s">
        <v>6</v>
      </c>
    </row>
    <row r="7544" spans="1:6" ht="25.5">
      <c r="A7544" s="2">
        <v>7541</v>
      </c>
      <c r="B7544" s="2" t="s">
        <v>7621</v>
      </c>
      <c r="C7544" s="2" t="str">
        <f>"19739621"</f>
        <v>19739621</v>
      </c>
      <c r="D7544" s="2">
        <v>0.107</v>
      </c>
      <c r="E7544" s="2">
        <v>2</v>
      </c>
      <c r="F7544" s="2" t="s">
        <v>190</v>
      </c>
    </row>
    <row r="7545" spans="1:6" ht="25.5">
      <c r="A7545" s="2">
        <v>7542</v>
      </c>
      <c r="B7545" s="2" t="s">
        <v>7622</v>
      </c>
      <c r="C7545" s="2" t="str">
        <f>"1973963X"</f>
        <v>1973963X</v>
      </c>
      <c r="D7545" s="2">
        <v>0.13200000000000001</v>
      </c>
      <c r="E7545" s="2">
        <v>2</v>
      </c>
      <c r="F7545" s="2" t="s">
        <v>190</v>
      </c>
    </row>
    <row r="7546" spans="1:6" ht="25.5">
      <c r="A7546" s="2">
        <v>7543</v>
      </c>
      <c r="B7546" s="2" t="s">
        <v>7623</v>
      </c>
      <c r="C7546" s="2" t="str">
        <f>"19747640"</f>
        <v>19747640</v>
      </c>
      <c r="D7546" s="2">
        <v>0.10199999999999999</v>
      </c>
      <c r="E7546" s="2">
        <v>0</v>
      </c>
      <c r="F7546" s="2" t="s">
        <v>190</v>
      </c>
    </row>
    <row r="7547" spans="1:6" ht="25.5">
      <c r="A7547" s="2">
        <v>7544</v>
      </c>
      <c r="B7547" s="2" t="s">
        <v>7624</v>
      </c>
      <c r="C7547" s="2" t="str">
        <f>"19739656"</f>
        <v>19739656</v>
      </c>
      <c r="D7547" s="2">
        <v>0.10299999999999999</v>
      </c>
      <c r="E7547" s="2">
        <v>0</v>
      </c>
      <c r="F7547" s="2" t="s">
        <v>190</v>
      </c>
    </row>
    <row r="7548" spans="1:6" ht="25.5">
      <c r="A7548" s="2">
        <v>7545</v>
      </c>
      <c r="B7548" s="2" t="s">
        <v>7625</v>
      </c>
      <c r="C7548" s="2" t="str">
        <f>"19739664"</f>
        <v>19739664</v>
      </c>
      <c r="D7548" s="2">
        <v>0.14799999999999999</v>
      </c>
      <c r="E7548" s="2">
        <v>2</v>
      </c>
      <c r="F7548" s="2" t="s">
        <v>190</v>
      </c>
    </row>
    <row r="7549" spans="1:6" ht="25.5">
      <c r="A7549" s="2">
        <v>7546</v>
      </c>
      <c r="B7549" s="2" t="s">
        <v>7626</v>
      </c>
      <c r="C7549" s="2" t="str">
        <f>"19739648"</f>
        <v>19739648</v>
      </c>
      <c r="D7549" s="2">
        <v>0.10100000000000001</v>
      </c>
      <c r="E7549" s="2">
        <v>2</v>
      </c>
      <c r="F7549" s="2" t="s">
        <v>190</v>
      </c>
    </row>
    <row r="7550" spans="1:6" ht="25.5">
      <c r="A7550" s="2">
        <v>7547</v>
      </c>
      <c r="B7550" s="2" t="s">
        <v>7627</v>
      </c>
      <c r="C7550" s="2" t="str">
        <f>"00186368"</f>
        <v>00186368</v>
      </c>
      <c r="D7550" s="2">
        <v>0.13600000000000001</v>
      </c>
      <c r="E7550" s="2">
        <v>8</v>
      </c>
      <c r="F7550" s="2" t="s">
        <v>66</v>
      </c>
    </row>
    <row r="7551" spans="1:6" ht="25.5">
      <c r="A7551" s="2">
        <v>7548</v>
      </c>
      <c r="B7551" s="2" t="s">
        <v>7628</v>
      </c>
      <c r="C7551" s="2" t="str">
        <f>"14608790"</f>
        <v>14608790</v>
      </c>
      <c r="D7551" s="2">
        <v>0.187</v>
      </c>
      <c r="E7551" s="2">
        <v>1</v>
      </c>
      <c r="F7551" s="2" t="s">
        <v>16</v>
      </c>
    </row>
    <row r="7552" spans="1:6" ht="25.5">
      <c r="A7552" s="2">
        <v>7549</v>
      </c>
      <c r="B7552" s="2" t="s">
        <v>7629</v>
      </c>
      <c r="C7552" s="2" t="str">
        <f>"10511482"</f>
        <v>10511482</v>
      </c>
      <c r="D7552" s="2">
        <v>0.52400000000000002</v>
      </c>
      <c r="E7552" s="2">
        <v>36</v>
      </c>
      <c r="F7552" s="2" t="s">
        <v>16</v>
      </c>
    </row>
    <row r="7553" spans="1:6" ht="25.5">
      <c r="A7553" s="2">
        <v>7550</v>
      </c>
      <c r="B7553" s="2" t="s">
        <v>7630</v>
      </c>
      <c r="C7553" s="2" t="str">
        <f>"14661810"</f>
        <v>14661810</v>
      </c>
      <c r="D7553" s="2">
        <v>0.77100000000000002</v>
      </c>
      <c r="E7553" s="2">
        <v>35</v>
      </c>
      <c r="F7553" s="2" t="s">
        <v>16</v>
      </c>
    </row>
    <row r="7554" spans="1:6" ht="25.5">
      <c r="A7554" s="2">
        <v>7551</v>
      </c>
      <c r="B7554" s="2" t="s">
        <v>7631</v>
      </c>
      <c r="C7554" s="2" t="str">
        <f>"16512278"</f>
        <v>16512278</v>
      </c>
      <c r="D7554" s="2">
        <v>0.81200000000000006</v>
      </c>
      <c r="E7554" s="2">
        <v>18</v>
      </c>
      <c r="F7554" s="2" t="s">
        <v>16</v>
      </c>
    </row>
    <row r="7555" spans="1:6" ht="25.5">
      <c r="A7555" s="2">
        <v>7552</v>
      </c>
      <c r="B7555" s="2" t="s">
        <v>7632</v>
      </c>
      <c r="C7555" s="2" t="str">
        <f>"03621588"</f>
        <v>03621588</v>
      </c>
      <c r="D7555" s="2">
        <v>0.437</v>
      </c>
      <c r="E7555" s="2">
        <v>19</v>
      </c>
      <c r="F7555" s="2" t="s">
        <v>6</v>
      </c>
    </row>
    <row r="7556" spans="1:6" ht="25.5">
      <c r="A7556" s="2">
        <v>7553</v>
      </c>
      <c r="B7556" s="2" t="s">
        <v>7633</v>
      </c>
      <c r="C7556" s="2" t="str">
        <f>"10646175"</f>
        <v>10646175</v>
      </c>
      <c r="D7556" s="2">
        <v>0.15</v>
      </c>
      <c r="E7556" s="2">
        <v>8</v>
      </c>
      <c r="F7556" s="2" t="s">
        <v>16</v>
      </c>
    </row>
    <row r="7557" spans="1:6" ht="25.5">
      <c r="A7557" s="2">
        <v>7554</v>
      </c>
      <c r="B7557" s="2" t="s">
        <v>7634</v>
      </c>
      <c r="C7557" s="2" t="str">
        <f>"14682311"</f>
        <v>14682311</v>
      </c>
      <c r="D7557" s="2">
        <v>0</v>
      </c>
      <c r="E7557" s="2">
        <v>2</v>
      </c>
      <c r="F7557" s="2" t="s">
        <v>16</v>
      </c>
    </row>
    <row r="7558" spans="1:6">
      <c r="A7558" s="2">
        <v>7555</v>
      </c>
      <c r="B7558" s="2" t="s">
        <v>7635</v>
      </c>
      <c r="C7558" s="2" t="str">
        <f>"0"</f>
        <v>0</v>
      </c>
      <c r="D7558" s="2">
        <v>0</v>
      </c>
      <c r="E7558" s="2">
        <v>0</v>
      </c>
      <c r="F7558" s="2" t="s">
        <v>6</v>
      </c>
    </row>
    <row r="7559" spans="1:6" ht="25.5">
      <c r="A7559" s="2">
        <v>7556</v>
      </c>
      <c r="B7559" s="2" t="s">
        <v>7636</v>
      </c>
      <c r="C7559" s="2" t="str">
        <f>"14772574"</f>
        <v>14772574</v>
      </c>
      <c r="D7559" s="2">
        <v>0.94399999999999995</v>
      </c>
      <c r="E7559" s="2">
        <v>24</v>
      </c>
      <c r="F7559" s="2" t="s">
        <v>6</v>
      </c>
    </row>
    <row r="7560" spans="1:6" ht="25.5">
      <c r="A7560" s="2">
        <v>7557</v>
      </c>
      <c r="B7560" s="2" t="s">
        <v>7637</v>
      </c>
      <c r="C7560" s="2" t="str">
        <f>"16078462"</f>
        <v>16078462</v>
      </c>
      <c r="D7560" s="2">
        <v>0.28000000000000003</v>
      </c>
      <c r="E7560" s="2">
        <v>18</v>
      </c>
      <c r="F7560" s="2" t="s">
        <v>6</v>
      </c>
    </row>
    <row r="7561" spans="1:6">
      <c r="A7561" s="2">
        <v>7558</v>
      </c>
      <c r="B7561" s="2" t="s">
        <v>7638</v>
      </c>
      <c r="C7561" s="2" t="str">
        <f>"0"</f>
        <v>0</v>
      </c>
      <c r="D7561" s="2">
        <v>0.1</v>
      </c>
      <c r="E7561" s="2">
        <v>14</v>
      </c>
      <c r="F7561" s="2" t="s">
        <v>6</v>
      </c>
    </row>
    <row r="7562" spans="1:6" ht="25.5">
      <c r="A7562" s="2">
        <v>7559</v>
      </c>
      <c r="B7562" s="2" t="s">
        <v>7639</v>
      </c>
      <c r="C7562" s="2" t="str">
        <f>"13313010"</f>
        <v>13313010</v>
      </c>
      <c r="D7562" s="2">
        <v>0.16700000000000001</v>
      </c>
      <c r="E7562" s="2">
        <v>4</v>
      </c>
      <c r="F7562" s="2" t="s">
        <v>149</v>
      </c>
    </row>
    <row r="7563" spans="1:6" ht="25.5">
      <c r="A7563" s="2">
        <v>7560</v>
      </c>
      <c r="B7563" s="2" t="s">
        <v>7640</v>
      </c>
      <c r="C7563" s="2" t="str">
        <f>"13301144"</f>
        <v>13301144</v>
      </c>
      <c r="D7563" s="2">
        <v>0.11</v>
      </c>
      <c r="E7563" s="2">
        <v>3</v>
      </c>
      <c r="F7563" s="2" t="s">
        <v>149</v>
      </c>
    </row>
    <row r="7564" spans="1:6" ht="25.5">
      <c r="A7564" s="2">
        <v>7561</v>
      </c>
      <c r="B7564" s="2" t="s">
        <v>7641</v>
      </c>
      <c r="C7564" s="2" t="str">
        <f>"13307665"</f>
        <v>13307665</v>
      </c>
      <c r="D7564" s="2">
        <v>0.1</v>
      </c>
      <c r="E7564" s="2">
        <v>1</v>
      </c>
      <c r="F7564" s="2" t="s">
        <v>149</v>
      </c>
    </row>
    <row r="7565" spans="1:6" ht="25.5">
      <c r="A7565" s="2">
        <v>7562</v>
      </c>
      <c r="B7565" s="2" t="s">
        <v>7642</v>
      </c>
      <c r="C7565" s="2" t="str">
        <f>"13315854"</f>
        <v>13315854</v>
      </c>
      <c r="D7565" s="2">
        <v>0.189</v>
      </c>
      <c r="E7565" s="2">
        <v>3</v>
      </c>
      <c r="F7565" s="2" t="s">
        <v>149</v>
      </c>
    </row>
    <row r="7566" spans="1:6" ht="25.5">
      <c r="A7566" s="2">
        <v>7563</v>
      </c>
      <c r="B7566" s="2" t="s">
        <v>7643</v>
      </c>
      <c r="C7566" s="2" t="str">
        <f>"13300083"</f>
        <v>13300083</v>
      </c>
      <c r="D7566" s="2">
        <v>0.13700000000000001</v>
      </c>
      <c r="E7566" s="2">
        <v>5</v>
      </c>
      <c r="F7566" s="2" t="s">
        <v>149</v>
      </c>
    </row>
    <row r="7567" spans="1:6" ht="25.5">
      <c r="A7567" s="2">
        <v>7564</v>
      </c>
      <c r="B7567" s="2" t="s">
        <v>7644</v>
      </c>
      <c r="C7567" s="2" t="str">
        <f>"0923666X"</f>
        <v>0923666X</v>
      </c>
      <c r="D7567" s="2">
        <v>0.1</v>
      </c>
      <c r="E7567" s="2">
        <v>1</v>
      </c>
      <c r="F7567" s="2" t="s">
        <v>75</v>
      </c>
    </row>
    <row r="7568" spans="1:6" ht="25.5">
      <c r="A7568" s="2">
        <v>7565</v>
      </c>
      <c r="B7568" s="2" t="s">
        <v>7645</v>
      </c>
      <c r="C7568" s="2" t="str">
        <f>"0253987X"</f>
        <v>0253987X</v>
      </c>
      <c r="D7568" s="2">
        <v>0.20499999999999999</v>
      </c>
      <c r="E7568" s="2">
        <v>16</v>
      </c>
      <c r="F7568" s="2" t="s">
        <v>46</v>
      </c>
    </row>
    <row r="7569" spans="1:6" ht="25.5">
      <c r="A7569" s="2">
        <v>7566</v>
      </c>
      <c r="B7569" s="2" t="s">
        <v>7646</v>
      </c>
      <c r="C7569" s="2" t="str">
        <f>"15563324"</f>
        <v>15563324</v>
      </c>
      <c r="D7569" s="2">
        <v>0.27400000000000002</v>
      </c>
      <c r="E7569" s="2">
        <v>11</v>
      </c>
      <c r="F7569" s="2" t="s">
        <v>6</v>
      </c>
    </row>
    <row r="7570" spans="1:6" ht="25.5">
      <c r="A7570" s="2">
        <v>7567</v>
      </c>
      <c r="B7570" s="2" t="s">
        <v>7647</v>
      </c>
      <c r="C7570" s="2" t="str">
        <f>"20728050"</f>
        <v>20728050</v>
      </c>
      <c r="D7570" s="2">
        <v>0.13800000000000001</v>
      </c>
      <c r="E7570" s="2">
        <v>4</v>
      </c>
      <c r="F7570" s="2" t="s">
        <v>410</v>
      </c>
    </row>
    <row r="7571" spans="1:6" ht="25.5">
      <c r="A7571" s="2">
        <v>7568</v>
      </c>
      <c r="B7571" s="2" t="s">
        <v>7648</v>
      </c>
      <c r="C7571" s="2" t="str">
        <f>"10063080"</f>
        <v>10063080</v>
      </c>
      <c r="D7571" s="2">
        <v>0.108</v>
      </c>
      <c r="E7571" s="2">
        <v>7</v>
      </c>
      <c r="F7571" s="2" t="s">
        <v>46</v>
      </c>
    </row>
    <row r="7572" spans="1:6" ht="25.5">
      <c r="A7572" s="2">
        <v>7569</v>
      </c>
      <c r="B7572" s="2" t="s">
        <v>7649</v>
      </c>
      <c r="C7572" s="2" t="str">
        <f>"04381157"</f>
        <v>04381157</v>
      </c>
      <c r="D7572" s="2">
        <v>0.22800000000000001</v>
      </c>
      <c r="E7572" s="2">
        <v>16</v>
      </c>
      <c r="F7572" s="2" t="s">
        <v>46</v>
      </c>
    </row>
    <row r="7573" spans="1:6" ht="25.5">
      <c r="A7573" s="2">
        <v>7570</v>
      </c>
      <c r="B7573" s="2" t="s">
        <v>7650</v>
      </c>
      <c r="C7573" s="2" t="str">
        <f>"1000565X"</f>
        <v>1000565X</v>
      </c>
      <c r="D7573" s="2">
        <v>0.193</v>
      </c>
      <c r="E7573" s="2">
        <v>11</v>
      </c>
      <c r="F7573" s="2" t="s">
        <v>46</v>
      </c>
    </row>
    <row r="7574" spans="1:6" ht="25.5">
      <c r="A7574" s="2">
        <v>7571</v>
      </c>
      <c r="B7574" s="2" t="s">
        <v>7651</v>
      </c>
      <c r="C7574" s="2" t="str">
        <f>"02503301"</f>
        <v>02503301</v>
      </c>
      <c r="D7574" s="2">
        <v>0.17</v>
      </c>
      <c r="E7574" s="2">
        <v>16</v>
      </c>
      <c r="F7574" s="2" t="s">
        <v>46</v>
      </c>
    </row>
    <row r="7575" spans="1:6" ht="25.5">
      <c r="A7575" s="2">
        <v>7572</v>
      </c>
      <c r="B7575" s="2" t="s">
        <v>7652</v>
      </c>
      <c r="C7575" s="2" t="str">
        <f>"02532468"</f>
        <v>02532468</v>
      </c>
      <c r="D7575" s="2">
        <v>0.19800000000000001</v>
      </c>
      <c r="E7575" s="2">
        <v>8</v>
      </c>
      <c r="F7575" s="2" t="s">
        <v>46</v>
      </c>
    </row>
    <row r="7576" spans="1:6" ht="25.5">
      <c r="A7576" s="2">
        <v>7573</v>
      </c>
      <c r="B7576" s="2" t="s">
        <v>7653</v>
      </c>
      <c r="C7576" s="2" t="str">
        <f>"10017631"</f>
        <v>10017631</v>
      </c>
      <c r="D7576" s="2">
        <v>0.14099999999999999</v>
      </c>
      <c r="E7576" s="2">
        <v>6</v>
      </c>
      <c r="F7576" s="2" t="s">
        <v>46</v>
      </c>
    </row>
    <row r="7577" spans="1:6" ht="25.5">
      <c r="A7577" s="2">
        <v>7574</v>
      </c>
      <c r="B7577" s="2" t="s">
        <v>7654</v>
      </c>
      <c r="C7577" s="2" t="str">
        <f>"10059954"</f>
        <v>10059954</v>
      </c>
      <c r="D7577" s="2">
        <v>0.12</v>
      </c>
      <c r="E7577" s="2">
        <v>6</v>
      </c>
      <c r="F7577" s="2" t="s">
        <v>46</v>
      </c>
    </row>
    <row r="7578" spans="1:6" ht="25.5">
      <c r="A7578" s="2">
        <v>7575</v>
      </c>
      <c r="B7578" s="2" t="s">
        <v>7655</v>
      </c>
      <c r="C7578" s="2" t="str">
        <f>"16714512"</f>
        <v>16714512</v>
      </c>
      <c r="D7578" s="2">
        <v>0.122</v>
      </c>
      <c r="E7578" s="2">
        <v>9</v>
      </c>
      <c r="F7578" s="2" t="s">
        <v>46</v>
      </c>
    </row>
    <row r="7579" spans="1:6" ht="25.5">
      <c r="A7579" s="2">
        <v>7576</v>
      </c>
      <c r="B7579" s="2" t="s">
        <v>7656</v>
      </c>
      <c r="C7579" s="2" t="str">
        <f>"00187003"</f>
        <v>00187003</v>
      </c>
      <c r="D7579" s="2">
        <v>0.1</v>
      </c>
      <c r="E7579" s="2">
        <v>3</v>
      </c>
      <c r="F7579" s="2" t="s">
        <v>208</v>
      </c>
    </row>
    <row r="7580" spans="1:6" ht="25.5">
      <c r="A7580" s="2">
        <v>7577</v>
      </c>
      <c r="B7580" s="2" t="s">
        <v>7657</v>
      </c>
      <c r="C7580" s="2" t="str">
        <f>"18776558"</f>
        <v>18776558</v>
      </c>
      <c r="D7580" s="2">
        <v>0.42199999999999999</v>
      </c>
      <c r="E7580" s="2">
        <v>9</v>
      </c>
      <c r="F7580" s="2" t="s">
        <v>75</v>
      </c>
    </row>
    <row r="7581" spans="1:6" ht="25.5">
      <c r="A7581" s="2">
        <v>7578</v>
      </c>
      <c r="B7581" s="2" t="s">
        <v>7658</v>
      </c>
      <c r="C7581" s="2" t="str">
        <f>"00187070"</f>
        <v>00187070</v>
      </c>
      <c r="D7581" s="2">
        <v>0.14499999999999999</v>
      </c>
      <c r="E7581" s="2">
        <v>17</v>
      </c>
      <c r="F7581" s="2" t="s">
        <v>75</v>
      </c>
    </row>
    <row r="7582" spans="1:6" ht="25.5">
      <c r="A7582" s="2">
        <v>7579</v>
      </c>
      <c r="B7582" s="2" t="s">
        <v>7659</v>
      </c>
      <c r="C7582" s="2" t="str">
        <f>"12103055"</f>
        <v>12103055</v>
      </c>
      <c r="D7582" s="2">
        <v>0</v>
      </c>
      <c r="E7582" s="2">
        <v>0</v>
      </c>
      <c r="F7582" s="2" t="s">
        <v>241</v>
      </c>
    </row>
    <row r="7583" spans="1:6" ht="25.5">
      <c r="A7583" s="2">
        <v>7580</v>
      </c>
      <c r="B7583" s="2" t="s">
        <v>7660</v>
      </c>
      <c r="C7583" s="2" t="str">
        <f>"15497860"</f>
        <v>15497860</v>
      </c>
      <c r="D7583" s="2">
        <v>0.51600000000000001</v>
      </c>
      <c r="E7583" s="2">
        <v>41</v>
      </c>
      <c r="F7583" s="2" t="s">
        <v>16</v>
      </c>
    </row>
    <row r="7584" spans="1:6" ht="25.5">
      <c r="A7584" s="2">
        <v>7581</v>
      </c>
      <c r="B7584" s="2" t="s">
        <v>7661</v>
      </c>
      <c r="C7584" s="2" t="str">
        <f>"09603271"</f>
        <v>09603271</v>
      </c>
      <c r="D7584" s="2">
        <v>0.42</v>
      </c>
      <c r="E7584" s="2">
        <v>48</v>
      </c>
      <c r="F7584" s="2" t="s">
        <v>6</v>
      </c>
    </row>
    <row r="7585" spans="1:6" ht="25.5">
      <c r="A7585" s="2">
        <v>7582</v>
      </c>
      <c r="B7585" s="2" t="s">
        <v>7662</v>
      </c>
      <c r="C7585" s="2" t="str">
        <f>"20667663"</f>
        <v>20667663</v>
      </c>
      <c r="D7585" s="2">
        <v>0.46800000000000003</v>
      </c>
      <c r="E7585" s="2">
        <v>2</v>
      </c>
      <c r="F7585" s="2" t="s">
        <v>19</v>
      </c>
    </row>
    <row r="7586" spans="1:6" ht="25.5">
      <c r="A7586" s="2">
        <v>7583</v>
      </c>
      <c r="B7586" s="2" t="s">
        <v>7663</v>
      </c>
      <c r="C7586" s="2" t="str">
        <f>"10932607"</f>
        <v>10932607</v>
      </c>
      <c r="D7586" s="2">
        <v>0.66600000000000004</v>
      </c>
      <c r="E7586" s="2">
        <v>19</v>
      </c>
      <c r="F7586" s="2" t="s">
        <v>75</v>
      </c>
    </row>
    <row r="7587" spans="1:6" ht="25.5">
      <c r="A7587" s="2">
        <v>7584</v>
      </c>
      <c r="B7587" s="2" t="s">
        <v>7664</v>
      </c>
      <c r="C7587" s="2" t="str">
        <f>"15346617"</f>
        <v>15346617</v>
      </c>
      <c r="D7587" s="2">
        <v>0.66100000000000003</v>
      </c>
      <c r="E7587" s="2">
        <v>38</v>
      </c>
      <c r="F7587" s="2" t="s">
        <v>6</v>
      </c>
    </row>
    <row r="7588" spans="1:6" ht="25.5">
      <c r="A7588" s="2">
        <v>7585</v>
      </c>
      <c r="B7588" s="2" t="s">
        <v>7665</v>
      </c>
      <c r="C7588" s="2" t="str">
        <f>"10970193"</f>
        <v>10970193</v>
      </c>
      <c r="D7588" s="2">
        <v>3.0019999999999998</v>
      </c>
      <c r="E7588" s="2">
        <v>113</v>
      </c>
      <c r="F7588" s="2" t="s">
        <v>6</v>
      </c>
    </row>
    <row r="7589" spans="1:6" ht="25.5">
      <c r="A7589" s="2">
        <v>7586</v>
      </c>
      <c r="B7589" s="2" t="s">
        <v>7666</v>
      </c>
      <c r="C7589" s="2" t="str">
        <f>"09147470"</f>
        <v>09147470</v>
      </c>
      <c r="D7589" s="2">
        <v>0.52500000000000002</v>
      </c>
      <c r="E7589" s="2">
        <v>26</v>
      </c>
      <c r="F7589" s="2" t="s">
        <v>12</v>
      </c>
    </row>
    <row r="7590" spans="1:6" ht="25.5">
      <c r="A7590" s="2">
        <v>7587</v>
      </c>
      <c r="B7590" s="2" t="s">
        <v>7667</v>
      </c>
      <c r="C7590" s="2" t="str">
        <f>"14682958"</f>
        <v>14682958</v>
      </c>
      <c r="D7590" s="2">
        <v>1.748</v>
      </c>
      <c r="E7590" s="2">
        <v>42</v>
      </c>
      <c r="F7590" s="2" t="s">
        <v>16</v>
      </c>
    </row>
    <row r="7591" spans="1:6" ht="25.5">
      <c r="A7591" s="2">
        <v>7588</v>
      </c>
      <c r="B7591" s="2" t="s">
        <v>7668</v>
      </c>
      <c r="C7591" s="2" t="str">
        <f>"15327051"</f>
        <v>15327051</v>
      </c>
      <c r="D7591" s="2">
        <v>0.63100000000000001</v>
      </c>
      <c r="E7591" s="2">
        <v>44</v>
      </c>
      <c r="F7591" s="2" t="s">
        <v>16</v>
      </c>
    </row>
    <row r="7592" spans="1:6" ht="25.5">
      <c r="A7592" s="2">
        <v>7589</v>
      </c>
      <c r="B7592" s="2" t="s">
        <v>7669</v>
      </c>
      <c r="C7592" s="2" t="str">
        <f>"14230054"</f>
        <v>14230054</v>
      </c>
      <c r="D7592" s="2">
        <v>0.39100000000000001</v>
      </c>
      <c r="E7592" s="2">
        <v>32</v>
      </c>
      <c r="F7592" s="2" t="s">
        <v>31</v>
      </c>
    </row>
    <row r="7593" spans="1:6" ht="25.5">
      <c r="A7593" s="2">
        <v>7590</v>
      </c>
      <c r="B7593" s="2" t="s">
        <v>7670</v>
      </c>
      <c r="C7593" s="2" t="str">
        <f>"1533158X"</f>
        <v>1533158X</v>
      </c>
      <c r="D7593" s="2">
        <v>0.55400000000000005</v>
      </c>
      <c r="E7593" s="2">
        <v>10</v>
      </c>
      <c r="F7593" s="2" t="s">
        <v>16</v>
      </c>
    </row>
    <row r="7594" spans="1:6" ht="25.5">
      <c r="A7594" s="2">
        <v>7591</v>
      </c>
      <c r="B7594" s="2" t="s">
        <v>7671</v>
      </c>
      <c r="C7594" s="2" t="str">
        <f>"00468169"</f>
        <v>00468169</v>
      </c>
      <c r="D7594" s="2">
        <v>0.746</v>
      </c>
      <c r="E7594" s="2">
        <v>35</v>
      </c>
      <c r="F7594" s="2" t="s">
        <v>6</v>
      </c>
    </row>
    <row r="7595" spans="1:6" ht="25.5">
      <c r="A7595" s="2">
        <v>7592</v>
      </c>
      <c r="B7595" s="2" t="s">
        <v>7672</v>
      </c>
      <c r="C7595" s="2" t="str">
        <f>"10744827"</f>
        <v>10744827</v>
      </c>
      <c r="D7595" s="2">
        <v>0.51800000000000002</v>
      </c>
      <c r="E7595" s="2">
        <v>18</v>
      </c>
      <c r="F7595" s="2" t="s">
        <v>6</v>
      </c>
    </row>
    <row r="7596" spans="1:6" ht="25.5">
      <c r="A7596" s="2">
        <v>7593</v>
      </c>
      <c r="B7596" s="2" t="s">
        <v>7673</v>
      </c>
      <c r="C7596" s="2" t="str">
        <f>"03939375"</f>
        <v>03939375</v>
      </c>
      <c r="D7596" s="2">
        <v>0.154</v>
      </c>
      <c r="E7596" s="2">
        <v>9</v>
      </c>
      <c r="F7596" s="2" t="s">
        <v>190</v>
      </c>
    </row>
    <row r="7597" spans="1:6" ht="25.5">
      <c r="A7597" s="2">
        <v>7594</v>
      </c>
      <c r="B7597" s="2" t="s">
        <v>7674</v>
      </c>
      <c r="C7597" s="2" t="str">
        <f>"15478181"</f>
        <v>15478181</v>
      </c>
      <c r="D7597" s="2">
        <v>0.59499999999999997</v>
      </c>
      <c r="E7597" s="2">
        <v>57</v>
      </c>
      <c r="F7597" s="2" t="s">
        <v>6</v>
      </c>
    </row>
    <row r="7598" spans="1:6" ht="25.5">
      <c r="A7598" s="2">
        <v>7595</v>
      </c>
      <c r="B7598" s="2" t="s">
        <v>7675</v>
      </c>
      <c r="C7598" s="2" t="str">
        <f>"15206564"</f>
        <v>15206564</v>
      </c>
      <c r="D7598" s="2">
        <v>0.21299999999999999</v>
      </c>
      <c r="E7598" s="2">
        <v>18</v>
      </c>
      <c r="F7598" s="2" t="s">
        <v>6</v>
      </c>
    </row>
    <row r="7599" spans="1:6" ht="25.5">
      <c r="A7599" s="2">
        <v>7596</v>
      </c>
      <c r="B7599" s="2" t="s">
        <v>7676</v>
      </c>
      <c r="C7599" s="2" t="str">
        <f>"17428149"</f>
        <v>17428149</v>
      </c>
      <c r="D7599" s="2">
        <v>0.622</v>
      </c>
      <c r="E7599" s="2">
        <v>22</v>
      </c>
      <c r="F7599" s="2" t="s">
        <v>16</v>
      </c>
    </row>
    <row r="7600" spans="1:6" ht="25.5">
      <c r="A7600" s="2">
        <v>7597</v>
      </c>
      <c r="B7600" s="2" t="s">
        <v>7677</v>
      </c>
      <c r="C7600" s="2" t="str">
        <f>"19466544"</f>
        <v>19466544</v>
      </c>
      <c r="D7600" s="2">
        <v>0</v>
      </c>
      <c r="E7600" s="2">
        <v>1</v>
      </c>
      <c r="F7600" s="2" t="s">
        <v>6</v>
      </c>
    </row>
    <row r="7601" spans="1:6" ht="25.5">
      <c r="A7601" s="2">
        <v>7598</v>
      </c>
      <c r="B7601" s="2" t="s">
        <v>7678</v>
      </c>
      <c r="C7601" s="2" t="str">
        <f>"14321203"</f>
        <v>14321203</v>
      </c>
      <c r="D7601" s="2">
        <v>1.5629999999999999</v>
      </c>
      <c r="E7601" s="2">
        <v>96</v>
      </c>
      <c r="F7601" s="2" t="s">
        <v>12</v>
      </c>
    </row>
    <row r="7602" spans="1:6" ht="25.5">
      <c r="A7602" s="2">
        <v>7599</v>
      </c>
      <c r="B7602" s="2" t="s">
        <v>7679</v>
      </c>
      <c r="C7602" s="2" t="str">
        <f>"14797364"</f>
        <v>14797364</v>
      </c>
      <c r="D7602" s="2">
        <v>1.1879999999999999</v>
      </c>
      <c r="E7602" s="2">
        <v>24</v>
      </c>
      <c r="F7602" s="2" t="s">
        <v>16</v>
      </c>
    </row>
    <row r="7603" spans="1:6" ht="25.5">
      <c r="A7603" s="2">
        <v>7600</v>
      </c>
      <c r="B7603" s="2" t="s">
        <v>7680</v>
      </c>
      <c r="C7603" s="2" t="str">
        <f>"17574242"</f>
        <v>17574242</v>
      </c>
      <c r="D7603" s="2">
        <v>0.50900000000000001</v>
      </c>
      <c r="E7603" s="2">
        <v>3</v>
      </c>
      <c r="F7603" s="2" t="s">
        <v>16</v>
      </c>
    </row>
    <row r="7604" spans="1:6" ht="25.5">
      <c r="A7604" s="2">
        <v>7601</v>
      </c>
      <c r="B7604" s="2" t="s">
        <v>7681</v>
      </c>
      <c r="C7604" s="2" t="str">
        <f>"20672284"</f>
        <v>20672284</v>
      </c>
      <c r="D7604" s="2">
        <v>0</v>
      </c>
      <c r="E7604" s="2">
        <v>0</v>
      </c>
      <c r="F7604" s="2" t="s">
        <v>19</v>
      </c>
    </row>
    <row r="7605" spans="1:6" ht="25.5">
      <c r="A7605" s="2">
        <v>7602</v>
      </c>
      <c r="B7605" s="2" t="s">
        <v>7682</v>
      </c>
      <c r="C7605" s="2" t="str">
        <f>"14230062"</f>
        <v>14230062</v>
      </c>
      <c r="D7605" s="2">
        <v>0.89700000000000002</v>
      </c>
      <c r="E7605" s="2">
        <v>47</v>
      </c>
      <c r="F7605" s="2" t="s">
        <v>31</v>
      </c>
    </row>
    <row r="7606" spans="1:6" ht="25.5">
      <c r="A7606" s="2">
        <v>7603</v>
      </c>
      <c r="B7606" s="2" t="s">
        <v>7683</v>
      </c>
      <c r="C7606" s="2" t="str">
        <f>"01988859"</f>
        <v>01988859</v>
      </c>
      <c r="D7606" s="2">
        <v>0.81699999999999995</v>
      </c>
      <c r="E7606" s="2">
        <v>68</v>
      </c>
      <c r="F7606" s="2" t="s">
        <v>6</v>
      </c>
    </row>
    <row r="7607" spans="1:6" ht="25.5">
      <c r="A7607" s="2">
        <v>7604</v>
      </c>
      <c r="B7607" s="2" t="s">
        <v>7684</v>
      </c>
      <c r="C7607" s="2" t="str">
        <f>"14021501"</f>
        <v>14021501</v>
      </c>
      <c r="D7607" s="2">
        <v>0.33200000000000002</v>
      </c>
      <c r="E7607" s="2">
        <v>5</v>
      </c>
      <c r="F7607" s="2" t="s">
        <v>151</v>
      </c>
    </row>
    <row r="7608" spans="1:6" ht="25.5">
      <c r="A7608" s="2">
        <v>7605</v>
      </c>
      <c r="B7608" s="2" t="s">
        <v>7685</v>
      </c>
      <c r="C7608" s="2" t="str">
        <f>"20120788"</f>
        <v>20120788</v>
      </c>
      <c r="D7608" s="2">
        <v>0</v>
      </c>
      <c r="E7608" s="2">
        <v>0</v>
      </c>
      <c r="F7608" s="2" t="s">
        <v>304</v>
      </c>
    </row>
    <row r="7609" spans="1:6" ht="25.5">
      <c r="A7609" s="2">
        <v>7606</v>
      </c>
      <c r="B7609" s="2" t="s">
        <v>7686</v>
      </c>
      <c r="C7609" s="2" t="str">
        <f>"14602083"</f>
        <v>14602083</v>
      </c>
      <c r="D7609" s="2">
        <v>4.1029999999999998</v>
      </c>
      <c r="E7609" s="2">
        <v>192</v>
      </c>
      <c r="F7609" s="2" t="s">
        <v>16</v>
      </c>
    </row>
    <row r="7610" spans="1:6" ht="25.5">
      <c r="A7610" s="2">
        <v>7607</v>
      </c>
      <c r="B7610" s="2" t="s">
        <v>7687</v>
      </c>
      <c r="C7610" s="2" t="str">
        <f>"17323991"</f>
        <v>17323991</v>
      </c>
      <c r="D7610" s="2">
        <v>0.27100000000000002</v>
      </c>
      <c r="E7610" s="2">
        <v>5</v>
      </c>
      <c r="F7610" s="2" t="s">
        <v>169</v>
      </c>
    </row>
    <row r="7611" spans="1:6" ht="25.5">
      <c r="A7611" s="2">
        <v>7608</v>
      </c>
      <c r="B7611" s="2" t="s">
        <v>7688</v>
      </c>
      <c r="C7611" s="2" t="str">
        <f>"01679457"</f>
        <v>01679457</v>
      </c>
      <c r="D7611" s="2">
        <v>0.64600000000000002</v>
      </c>
      <c r="E7611" s="2">
        <v>49</v>
      </c>
      <c r="F7611" s="2" t="s">
        <v>75</v>
      </c>
    </row>
    <row r="7612" spans="1:6" ht="25.5">
      <c r="A7612" s="2">
        <v>7609</v>
      </c>
      <c r="B7612" s="2" t="s">
        <v>7689</v>
      </c>
      <c r="C7612" s="2" t="str">
        <f>"10981004"</f>
        <v>10981004</v>
      </c>
      <c r="D7612" s="2">
        <v>2.4790000000000001</v>
      </c>
      <c r="E7612" s="2">
        <v>100</v>
      </c>
      <c r="F7612" s="2" t="s">
        <v>6</v>
      </c>
    </row>
    <row r="7613" spans="1:6" ht="25.5">
      <c r="A7613" s="2">
        <v>7610</v>
      </c>
      <c r="B7613" s="2" t="s">
        <v>7690</v>
      </c>
      <c r="C7613" s="2" t="str">
        <f>"10456767"</f>
        <v>10456767</v>
      </c>
      <c r="D7613" s="2">
        <v>1.042</v>
      </c>
      <c r="E7613" s="2">
        <v>35</v>
      </c>
      <c r="F7613" s="2" t="s">
        <v>6</v>
      </c>
    </row>
    <row r="7614" spans="1:6" ht="25.5">
      <c r="A7614" s="2">
        <v>7611</v>
      </c>
      <c r="B7614" s="2" t="s">
        <v>7691</v>
      </c>
      <c r="C7614" s="2" t="str">
        <f>"19383525"</f>
        <v>19383525</v>
      </c>
      <c r="D7614" s="2">
        <v>0.20699999999999999</v>
      </c>
      <c r="E7614" s="2">
        <v>30</v>
      </c>
      <c r="F7614" s="2" t="s">
        <v>6</v>
      </c>
    </row>
    <row r="7615" spans="1:6" ht="25.5">
      <c r="A7615" s="2">
        <v>7612</v>
      </c>
      <c r="B7615" s="2" t="s">
        <v>7692</v>
      </c>
      <c r="C7615" s="2" t="str">
        <f>"00468177"</f>
        <v>00468177</v>
      </c>
      <c r="D7615" s="2">
        <v>1.157</v>
      </c>
      <c r="E7615" s="2">
        <v>97</v>
      </c>
      <c r="F7615" s="2" t="s">
        <v>16</v>
      </c>
    </row>
    <row r="7616" spans="1:6" ht="25.5">
      <c r="A7616" s="2">
        <v>7613</v>
      </c>
      <c r="B7616" s="2" t="s">
        <v>7693</v>
      </c>
      <c r="C7616" s="2" t="str">
        <f>"15327043"</f>
        <v>15327043</v>
      </c>
      <c r="D7616" s="2">
        <v>0.66200000000000003</v>
      </c>
      <c r="E7616" s="2">
        <v>39</v>
      </c>
      <c r="F7616" s="2" t="s">
        <v>16</v>
      </c>
    </row>
    <row r="7617" spans="1:6" ht="25.5">
      <c r="A7617" s="2">
        <v>7614</v>
      </c>
      <c r="B7617" s="2" t="s">
        <v>7694</v>
      </c>
      <c r="C7617" s="2" t="str">
        <f>"16083164"</f>
        <v>16083164</v>
      </c>
      <c r="D7617" s="2">
        <v>0.151</v>
      </c>
      <c r="E7617" s="2">
        <v>4</v>
      </c>
      <c r="F7617" s="2" t="s">
        <v>129</v>
      </c>
    </row>
    <row r="7618" spans="1:6" ht="25.5">
      <c r="A7618" s="2">
        <v>7615</v>
      </c>
      <c r="B7618" s="2" t="s">
        <v>7695</v>
      </c>
      <c r="C7618" s="2" t="str">
        <f>"10991077"</f>
        <v>10991077</v>
      </c>
      <c r="D7618" s="2">
        <v>0.82</v>
      </c>
      <c r="E7618" s="2">
        <v>51</v>
      </c>
      <c r="F7618" s="2" t="s">
        <v>16</v>
      </c>
    </row>
    <row r="7619" spans="1:6" ht="25.5">
      <c r="A7619" s="2">
        <v>7616</v>
      </c>
      <c r="B7619" s="2" t="s">
        <v>7696</v>
      </c>
      <c r="C7619" s="2" t="str">
        <f>"1741282X"</f>
        <v>1741282X</v>
      </c>
      <c r="D7619" s="2">
        <v>1.532</v>
      </c>
      <c r="E7619" s="2">
        <v>64</v>
      </c>
      <c r="F7619" s="2" t="s">
        <v>16</v>
      </c>
    </row>
    <row r="7620" spans="1:6" ht="25.5">
      <c r="A7620" s="2">
        <v>7617</v>
      </c>
      <c r="B7620" s="2" t="s">
        <v>7697</v>
      </c>
      <c r="C7620" s="2" t="str">
        <f>"14602350"</f>
        <v>14602350</v>
      </c>
      <c r="D7620" s="2">
        <v>2.1720000000000002</v>
      </c>
      <c r="E7620" s="2">
        <v>145</v>
      </c>
      <c r="F7620" s="2" t="s">
        <v>16</v>
      </c>
    </row>
    <row r="7621" spans="1:6" ht="25.5">
      <c r="A7621" s="2">
        <v>7618</v>
      </c>
      <c r="B7621" s="2" t="s">
        <v>7698</v>
      </c>
      <c r="C7621" s="2" t="str">
        <f>"10287825"</f>
        <v>10287825</v>
      </c>
      <c r="D7621" s="2">
        <v>0.11600000000000001</v>
      </c>
      <c r="E7621" s="2">
        <v>4</v>
      </c>
      <c r="F7621" s="2" t="s">
        <v>16</v>
      </c>
    </row>
    <row r="7622" spans="1:6" ht="25.5">
      <c r="A7622" s="2">
        <v>7619</v>
      </c>
      <c r="B7622" s="2" t="s">
        <v>7699</v>
      </c>
      <c r="C7622" s="2" t="str">
        <f>"14602396"</f>
        <v>14602396</v>
      </c>
      <c r="D7622" s="2">
        <v>3.758</v>
      </c>
      <c r="E7622" s="2">
        <v>99</v>
      </c>
      <c r="F7622" s="2" t="s">
        <v>16</v>
      </c>
    </row>
    <row r="7623" spans="1:6" ht="25.5">
      <c r="A7623" s="2">
        <v>7620</v>
      </c>
      <c r="B7623" s="2" t="s">
        <v>7700</v>
      </c>
      <c r="C7623" s="2" t="str">
        <f>"15321096"</f>
        <v>15321096</v>
      </c>
      <c r="D7623" s="2">
        <v>0.57699999999999996</v>
      </c>
      <c r="E7623" s="2">
        <v>16</v>
      </c>
      <c r="F7623" s="2" t="s">
        <v>6</v>
      </c>
    </row>
    <row r="7624" spans="1:6" ht="25.5">
      <c r="A7624" s="2">
        <v>7621</v>
      </c>
      <c r="B7624" s="2" t="s">
        <v>7701</v>
      </c>
      <c r="C7624" s="2" t="str">
        <f>"15526712"</f>
        <v>15526712</v>
      </c>
      <c r="D7624" s="2">
        <v>0.56699999999999995</v>
      </c>
      <c r="E7624" s="2">
        <v>12</v>
      </c>
      <c r="F7624" s="2" t="s">
        <v>6</v>
      </c>
    </row>
    <row r="7625" spans="1:6" ht="25.5">
      <c r="A7625" s="2">
        <v>7622</v>
      </c>
      <c r="B7625" s="2" t="s">
        <v>7702</v>
      </c>
      <c r="C7625" s="2" t="str">
        <f>"1009050X"</f>
        <v>1009050X</v>
      </c>
      <c r="D7625" s="2">
        <v>1.6339999999999999</v>
      </c>
      <c r="E7625" s="2">
        <v>39</v>
      </c>
      <c r="F7625" s="2" t="s">
        <v>6</v>
      </c>
    </row>
    <row r="7626" spans="1:6" ht="25.5">
      <c r="A7626" s="2">
        <v>7623</v>
      </c>
      <c r="B7626" s="2" t="s">
        <v>7703</v>
      </c>
      <c r="C7626" s="2" t="str">
        <f>"09670734"</f>
        <v>09670734</v>
      </c>
      <c r="D7626" s="2">
        <v>0.105</v>
      </c>
      <c r="E7626" s="2">
        <v>4</v>
      </c>
      <c r="F7626" s="2" t="s">
        <v>16</v>
      </c>
    </row>
    <row r="7627" spans="1:6" ht="25.5">
      <c r="A7627" s="2">
        <v>7624</v>
      </c>
      <c r="B7627" s="2" t="s">
        <v>7704</v>
      </c>
      <c r="C7627" s="2" t="str">
        <f>"09545395"</f>
        <v>09545395</v>
      </c>
      <c r="D7627" s="2">
        <v>1.0649999999999999</v>
      </c>
      <c r="E7627" s="2">
        <v>20</v>
      </c>
      <c r="F7627" s="2" t="s">
        <v>16</v>
      </c>
    </row>
    <row r="7628" spans="1:6" ht="25.5">
      <c r="A7628" s="2">
        <v>7625</v>
      </c>
      <c r="B7628" s="2" t="s">
        <v>7705</v>
      </c>
      <c r="C7628" s="2" t="str">
        <f>"10534822"</f>
        <v>10534822</v>
      </c>
      <c r="D7628" s="2">
        <v>1.4330000000000001</v>
      </c>
      <c r="E7628" s="2">
        <v>42</v>
      </c>
      <c r="F7628" s="2" t="s">
        <v>16</v>
      </c>
    </row>
    <row r="7629" spans="1:6" ht="25.5">
      <c r="A7629" s="2">
        <v>7626</v>
      </c>
      <c r="B7629" s="2" t="s">
        <v>7706</v>
      </c>
      <c r="C7629" s="2" t="str">
        <f>"14784491"</f>
        <v>14784491</v>
      </c>
      <c r="D7629" s="2">
        <v>1.177</v>
      </c>
      <c r="E7629" s="2">
        <v>26</v>
      </c>
      <c r="F7629" s="2" t="s">
        <v>16</v>
      </c>
    </row>
    <row r="7630" spans="1:6" ht="25.5">
      <c r="A7630" s="2">
        <v>7627</v>
      </c>
      <c r="B7630" s="2" t="s">
        <v>7707</v>
      </c>
      <c r="C7630" s="2" t="str">
        <f>"17441021"</f>
        <v>17441021</v>
      </c>
      <c r="D7630" s="2">
        <v>0.72299999999999998</v>
      </c>
      <c r="E7630" s="2">
        <v>11</v>
      </c>
      <c r="F7630" s="2" t="s">
        <v>16</v>
      </c>
    </row>
    <row r="7631" spans="1:6" ht="25.5">
      <c r="A7631" s="2">
        <v>7628</v>
      </c>
      <c r="B7631" s="2" t="s">
        <v>7708</v>
      </c>
      <c r="C7631" s="2" t="str">
        <f>"1085794X"</f>
        <v>1085794X</v>
      </c>
      <c r="D7631" s="2">
        <v>0.92900000000000005</v>
      </c>
      <c r="E7631" s="2">
        <v>23</v>
      </c>
      <c r="F7631" s="2" t="s">
        <v>6</v>
      </c>
    </row>
    <row r="7632" spans="1:6" ht="25.5">
      <c r="A7632" s="2">
        <v>7629</v>
      </c>
      <c r="B7632" s="2" t="s">
        <v>7709</v>
      </c>
      <c r="C7632" s="2" t="str">
        <f>"15248879"</f>
        <v>15248879</v>
      </c>
      <c r="D7632" s="2">
        <v>0.184</v>
      </c>
      <c r="E7632" s="2">
        <v>5</v>
      </c>
      <c r="F7632" s="2" t="s">
        <v>6</v>
      </c>
    </row>
    <row r="7633" spans="1:6" ht="25.5">
      <c r="A7633" s="2">
        <v>7630</v>
      </c>
      <c r="B7633" s="2" t="s">
        <v>7710</v>
      </c>
      <c r="C7633" s="2" t="str">
        <f>"09181725"</f>
        <v>09181725</v>
      </c>
      <c r="D7633" s="2">
        <v>0.105</v>
      </c>
      <c r="E7633" s="2">
        <v>3</v>
      </c>
      <c r="F7633" s="2" t="s">
        <v>131</v>
      </c>
    </row>
    <row r="7634" spans="1:6" ht="25.5">
      <c r="A7634" s="2">
        <v>7631</v>
      </c>
      <c r="B7634" s="2" t="s">
        <v>7711</v>
      </c>
      <c r="C7634" s="2" t="str">
        <f>"1572851X"</f>
        <v>1572851X</v>
      </c>
      <c r="D7634" s="2">
        <v>0.155</v>
      </c>
      <c r="E7634" s="2">
        <v>11</v>
      </c>
      <c r="F7634" s="2" t="s">
        <v>75</v>
      </c>
    </row>
    <row r="7635" spans="1:6" ht="25.5">
      <c r="A7635" s="2">
        <v>7632</v>
      </c>
      <c r="B7635" s="2" t="s">
        <v>7712</v>
      </c>
      <c r="C7635" s="2" t="str">
        <f>"01672533"</f>
        <v>01672533</v>
      </c>
      <c r="D7635" s="2">
        <v>0.219</v>
      </c>
      <c r="E7635" s="2">
        <v>16</v>
      </c>
      <c r="F7635" s="2" t="s">
        <v>75</v>
      </c>
    </row>
    <row r="7636" spans="1:6" ht="25.5">
      <c r="A7636" s="2">
        <v>7633</v>
      </c>
      <c r="B7636" s="2" t="s">
        <v>7713</v>
      </c>
      <c r="C7636" s="2" t="str">
        <f>"15548619"</f>
        <v>15548619</v>
      </c>
      <c r="D7636" s="2">
        <v>0.73299999999999998</v>
      </c>
      <c r="E7636" s="2">
        <v>27</v>
      </c>
      <c r="F7636" s="2" t="s">
        <v>6</v>
      </c>
    </row>
    <row r="7637" spans="1:6" ht="25.5">
      <c r="A7637" s="2">
        <v>7634</v>
      </c>
      <c r="B7637" s="2" t="s">
        <v>7714</v>
      </c>
      <c r="C7637" s="2" t="str">
        <f>"2164554X"</f>
        <v>2164554X</v>
      </c>
      <c r="D7637" s="2">
        <v>0</v>
      </c>
      <c r="E7637" s="2">
        <v>4</v>
      </c>
      <c r="F7637" s="2" t="s">
        <v>6</v>
      </c>
    </row>
    <row r="7638" spans="1:6" ht="25.5">
      <c r="A7638" s="2">
        <v>7635</v>
      </c>
      <c r="B7638" s="2" t="s">
        <v>7715</v>
      </c>
      <c r="C7638" s="2" t="str">
        <f>"21553874"</f>
        <v>21553874</v>
      </c>
      <c r="D7638" s="2">
        <v>0.214</v>
      </c>
      <c r="E7638" s="2">
        <v>3</v>
      </c>
      <c r="F7638" s="2" t="s">
        <v>6</v>
      </c>
    </row>
    <row r="7639" spans="1:6" ht="25.5">
      <c r="A7639" s="2">
        <v>7636</v>
      </c>
      <c r="B7639" s="2" t="s">
        <v>7716</v>
      </c>
      <c r="C7639" s="2" t="str">
        <f>"01604341"</f>
        <v>01604341</v>
      </c>
      <c r="D7639" s="2">
        <v>0.188</v>
      </c>
      <c r="E7639" s="2">
        <v>5</v>
      </c>
      <c r="F7639" s="2" t="s">
        <v>6</v>
      </c>
    </row>
    <row r="7640" spans="1:6" ht="25.5">
      <c r="A7640" s="2">
        <v>7637</v>
      </c>
      <c r="B7640" s="2" t="s">
        <v>7717</v>
      </c>
      <c r="C7640" s="2" t="str">
        <f>"16133722"</f>
        <v>16133722</v>
      </c>
      <c r="D7640" s="2">
        <v>0.32200000000000001</v>
      </c>
      <c r="E7640" s="2">
        <v>21</v>
      </c>
      <c r="F7640" s="2" t="s">
        <v>12</v>
      </c>
    </row>
    <row r="7641" spans="1:6" ht="25.5">
      <c r="A7641" s="2">
        <v>7638</v>
      </c>
      <c r="B7641" s="2" t="s">
        <v>7718</v>
      </c>
      <c r="C7641" s="2" t="str">
        <f>"10002472"</f>
        <v>10002472</v>
      </c>
      <c r="D7641" s="2">
        <v>0.187</v>
      </c>
      <c r="E7641" s="2">
        <v>8</v>
      </c>
      <c r="F7641" s="2" t="s">
        <v>46</v>
      </c>
    </row>
    <row r="7642" spans="1:6" ht="25.5">
      <c r="A7642" s="2">
        <v>7639</v>
      </c>
      <c r="B7642" s="2" t="s">
        <v>7719</v>
      </c>
      <c r="C7642" s="2" t="str">
        <f>"00285390"</f>
        <v>00285390</v>
      </c>
      <c r="D7642" s="2">
        <v>0.106</v>
      </c>
      <c r="E7642" s="2">
        <v>1</v>
      </c>
      <c r="F7642" s="2" t="s">
        <v>135</v>
      </c>
    </row>
    <row r="7643" spans="1:6" ht="25.5">
      <c r="A7643" s="2">
        <v>7640</v>
      </c>
      <c r="B7643" s="2" t="s">
        <v>7720</v>
      </c>
      <c r="C7643" s="2" t="str">
        <f>"15882772"</f>
        <v>15882772</v>
      </c>
      <c r="D7643" s="2">
        <v>0.1</v>
      </c>
      <c r="E7643" s="2">
        <v>1</v>
      </c>
      <c r="F7643" s="2" t="s">
        <v>135</v>
      </c>
    </row>
    <row r="7644" spans="1:6" ht="25.5">
      <c r="A7644" s="2">
        <v>7641</v>
      </c>
      <c r="B7644" s="2" t="s">
        <v>7721</v>
      </c>
      <c r="C7644" s="2" t="str">
        <f>"1544399X"</f>
        <v>1544399X</v>
      </c>
      <c r="D7644" s="2">
        <v>0.21199999999999999</v>
      </c>
      <c r="E7644" s="2">
        <v>6</v>
      </c>
      <c r="F7644" s="2" t="s">
        <v>6</v>
      </c>
    </row>
    <row r="7645" spans="1:6" ht="25.5">
      <c r="A7645" s="2">
        <v>7642</v>
      </c>
      <c r="B7645" s="2" t="s">
        <v>7722</v>
      </c>
      <c r="C7645" s="2" t="str">
        <f>"10077812"</f>
        <v>10077812</v>
      </c>
      <c r="D7645" s="2">
        <v>0.32900000000000001</v>
      </c>
      <c r="E7645" s="2">
        <v>11</v>
      </c>
      <c r="F7645" s="2" t="s">
        <v>46</v>
      </c>
    </row>
    <row r="7646" spans="1:6" ht="25.5">
      <c r="A7646" s="2">
        <v>7643</v>
      </c>
      <c r="B7646" s="2" t="s">
        <v>7723</v>
      </c>
      <c r="C7646" s="2" t="str">
        <f>"01679848"</f>
        <v>01679848</v>
      </c>
      <c r="D7646" s="2">
        <v>0.151</v>
      </c>
      <c r="E7646" s="2">
        <v>4</v>
      </c>
      <c r="F7646" s="2" t="s">
        <v>75</v>
      </c>
    </row>
    <row r="7647" spans="1:6" ht="25.5">
      <c r="A7647" s="2">
        <v>7644</v>
      </c>
      <c r="B7647" s="2" t="s">
        <v>7724</v>
      </c>
      <c r="C7647" s="2" t="str">
        <f>"10789669"</f>
        <v>10789669</v>
      </c>
      <c r="D7647" s="2">
        <v>0.52800000000000002</v>
      </c>
      <c r="E7647" s="2">
        <v>32</v>
      </c>
      <c r="F7647" s="2" t="s">
        <v>6</v>
      </c>
    </row>
    <row r="7648" spans="1:6" ht="25.5">
      <c r="A7648" s="2">
        <v>7645</v>
      </c>
      <c r="B7648" s="2" t="s">
        <v>7725</v>
      </c>
      <c r="C7648" s="2" t="str">
        <f>"15578348"</f>
        <v>15578348</v>
      </c>
      <c r="D7648" s="2">
        <v>0.23699999999999999</v>
      </c>
      <c r="E7648" s="2">
        <v>29</v>
      </c>
      <c r="F7648" s="2" t="s">
        <v>6</v>
      </c>
    </row>
    <row r="7649" spans="1:6" ht="25.5">
      <c r="A7649" s="2">
        <v>7646</v>
      </c>
      <c r="B7649" s="2" t="s">
        <v>7726</v>
      </c>
      <c r="C7649" s="2" t="str">
        <f>"15735117"</f>
        <v>15735117</v>
      </c>
      <c r="D7649" s="2">
        <v>0.876</v>
      </c>
      <c r="E7649" s="2">
        <v>75</v>
      </c>
      <c r="F7649" s="2" t="s">
        <v>75</v>
      </c>
    </row>
    <row r="7650" spans="1:6" ht="25.5">
      <c r="A7650" s="2">
        <v>7647</v>
      </c>
      <c r="B7650" s="2" t="s">
        <v>7727</v>
      </c>
      <c r="C7650" s="2" t="str">
        <f>"03758990"</f>
        <v>03758990</v>
      </c>
      <c r="D7650" s="2">
        <v>0.17</v>
      </c>
      <c r="E7650" s="2">
        <v>3</v>
      </c>
      <c r="F7650" s="2" t="s">
        <v>6</v>
      </c>
    </row>
    <row r="7651" spans="1:6" ht="25.5">
      <c r="A7651" s="2">
        <v>7648</v>
      </c>
      <c r="B7651" s="2" t="s">
        <v>7728</v>
      </c>
      <c r="C7651" s="2" t="str">
        <f>"14312174"</f>
        <v>14312174</v>
      </c>
      <c r="D7651" s="2">
        <v>0.93</v>
      </c>
      <c r="E7651" s="2">
        <v>47</v>
      </c>
      <c r="F7651" s="2" t="s">
        <v>12</v>
      </c>
    </row>
    <row r="7652" spans="1:6" ht="25.5">
      <c r="A7652" s="2">
        <v>7649</v>
      </c>
      <c r="B7652" s="2" t="s">
        <v>7729</v>
      </c>
      <c r="C7652" s="2" t="str">
        <f>"10991085"</f>
        <v>10991085</v>
      </c>
      <c r="D7652" s="2">
        <v>1.28</v>
      </c>
      <c r="E7652" s="2">
        <v>83</v>
      </c>
      <c r="F7652" s="2" t="s">
        <v>16</v>
      </c>
    </row>
    <row r="7653" spans="1:6" ht="25.5">
      <c r="A7653" s="2">
        <v>7650</v>
      </c>
      <c r="B7653" s="2" t="s">
        <v>7730</v>
      </c>
      <c r="C7653" s="2" t="str">
        <f>"02626667"</f>
        <v>02626667</v>
      </c>
      <c r="D7653" s="2">
        <v>0.61399999999999999</v>
      </c>
      <c r="E7653" s="2">
        <v>50</v>
      </c>
      <c r="F7653" s="2" t="s">
        <v>16</v>
      </c>
    </row>
    <row r="7654" spans="1:6" ht="25.5">
      <c r="A7654" s="2">
        <v>7651</v>
      </c>
      <c r="B7654" s="2" t="s">
        <v>7731</v>
      </c>
      <c r="C7654" s="2" t="str">
        <f>"14391783"</f>
        <v>14391783</v>
      </c>
      <c r="D7654" s="2">
        <v>0.22</v>
      </c>
      <c r="E7654" s="2">
        <v>8</v>
      </c>
      <c r="F7654" s="2" t="s">
        <v>12</v>
      </c>
    </row>
    <row r="7655" spans="1:6" ht="25.5">
      <c r="A7655" s="2">
        <v>7652</v>
      </c>
      <c r="B7655" s="2" t="s">
        <v>7732</v>
      </c>
      <c r="C7655" s="2" t="str">
        <f>"10275606"</f>
        <v>10275606</v>
      </c>
      <c r="D7655" s="2">
        <v>1.605</v>
      </c>
      <c r="E7655" s="2">
        <v>51</v>
      </c>
      <c r="F7655" s="2" t="s">
        <v>12</v>
      </c>
    </row>
    <row r="7656" spans="1:6" ht="25.5">
      <c r="A7656" s="2">
        <v>7653</v>
      </c>
      <c r="B7656" s="2" t="s">
        <v>7733</v>
      </c>
      <c r="C7656" s="2" t="str">
        <f>"00291277"</f>
        <v>00291277</v>
      </c>
      <c r="D7656" s="2">
        <v>0.56899999999999995</v>
      </c>
      <c r="E7656" s="2">
        <v>27</v>
      </c>
      <c r="F7656" s="2" t="s">
        <v>163</v>
      </c>
    </row>
    <row r="7657" spans="1:6" ht="25.5">
      <c r="A7657" s="2">
        <v>7654</v>
      </c>
      <c r="B7657" s="2" t="s">
        <v>7734</v>
      </c>
      <c r="C7657" s="2" t="str">
        <f>"0304386X"</f>
        <v>0304386X</v>
      </c>
      <c r="D7657" s="2">
        <v>1.391</v>
      </c>
      <c r="E7657" s="2">
        <v>53</v>
      </c>
      <c r="F7657" s="2" t="s">
        <v>75</v>
      </c>
    </row>
    <row r="7658" spans="1:6" ht="25.5">
      <c r="A7658" s="2">
        <v>7655</v>
      </c>
      <c r="B7658" s="2" t="s">
        <v>7735</v>
      </c>
      <c r="C7658" s="2" t="str">
        <f>"14044013"</f>
        <v>14044013</v>
      </c>
      <c r="D7658" s="2">
        <v>0.10100000000000001</v>
      </c>
      <c r="E7658" s="2">
        <v>2</v>
      </c>
      <c r="F7658" s="2" t="s">
        <v>151</v>
      </c>
    </row>
    <row r="7659" spans="1:6" ht="25.5">
      <c r="A7659" s="2">
        <v>7656</v>
      </c>
      <c r="B7659" s="2" t="s">
        <v>7736</v>
      </c>
      <c r="C7659" s="2" t="str">
        <f>"12107840"</f>
        <v>12107840</v>
      </c>
      <c r="D7659" s="2">
        <v>0.123</v>
      </c>
      <c r="E7659" s="2">
        <v>5</v>
      </c>
      <c r="F7659" s="2" t="s">
        <v>208</v>
      </c>
    </row>
    <row r="7660" spans="1:6" ht="25.5">
      <c r="A7660" s="2">
        <v>7657</v>
      </c>
      <c r="B7660" s="2" t="s">
        <v>7737</v>
      </c>
      <c r="C7660" s="2" t="str">
        <f>"01723790"</f>
        <v>01723790</v>
      </c>
      <c r="D7660" s="2">
        <v>0.13800000000000001</v>
      </c>
      <c r="E7660" s="2">
        <v>9</v>
      </c>
      <c r="F7660" s="2" t="s">
        <v>12</v>
      </c>
    </row>
    <row r="7661" spans="1:6" ht="25.5">
      <c r="A7661" s="2">
        <v>7658</v>
      </c>
      <c r="B7661" s="2" t="s">
        <v>7738</v>
      </c>
      <c r="C7661" s="2" t="str">
        <f>"14335158"</f>
        <v>14335158</v>
      </c>
      <c r="D7661" s="2">
        <v>0.126</v>
      </c>
      <c r="E7661" s="2">
        <v>10</v>
      </c>
      <c r="F7661" s="2" t="s">
        <v>12</v>
      </c>
    </row>
    <row r="7662" spans="1:6" ht="25.5">
      <c r="A7662" s="2">
        <v>7659</v>
      </c>
      <c r="B7662" s="2" t="s">
        <v>7739</v>
      </c>
      <c r="C7662" s="2" t="str">
        <f>"08875367"</f>
        <v>08875367</v>
      </c>
      <c r="D7662" s="2">
        <v>0.14699999999999999</v>
      </c>
      <c r="E7662" s="2">
        <v>6</v>
      </c>
      <c r="F7662" s="2" t="s">
        <v>6</v>
      </c>
    </row>
    <row r="7663" spans="1:6" ht="25.5">
      <c r="A7663" s="2">
        <v>7660</v>
      </c>
      <c r="B7663" s="2" t="s">
        <v>7740</v>
      </c>
      <c r="C7663" s="2" t="str">
        <f>"15729540"</f>
        <v>15729540</v>
      </c>
      <c r="D7663" s="2">
        <v>0.26600000000000001</v>
      </c>
      <c r="E7663" s="2">
        <v>34</v>
      </c>
      <c r="F7663" s="2" t="s">
        <v>75</v>
      </c>
    </row>
    <row r="7664" spans="1:6" ht="25.5">
      <c r="A7664" s="2">
        <v>7661</v>
      </c>
      <c r="B7664" s="2" t="s">
        <v>7741</v>
      </c>
      <c r="C7664" s="2" t="str">
        <f>"0194911X"</f>
        <v>0194911X</v>
      </c>
      <c r="D7664" s="2">
        <v>2.718</v>
      </c>
      <c r="E7664" s="2">
        <v>182</v>
      </c>
      <c r="F7664" s="2" t="s">
        <v>6</v>
      </c>
    </row>
    <row r="7665" spans="1:6" ht="25.5">
      <c r="A7665" s="2">
        <v>7662</v>
      </c>
      <c r="B7665" s="2" t="s">
        <v>7742</v>
      </c>
      <c r="C7665" s="2" t="str">
        <f>"10641955"</f>
        <v>10641955</v>
      </c>
      <c r="D7665" s="2">
        <v>0.52700000000000002</v>
      </c>
      <c r="E7665" s="2">
        <v>29</v>
      </c>
      <c r="F7665" s="2" t="s">
        <v>16</v>
      </c>
    </row>
    <row r="7666" spans="1:6" ht="25.5">
      <c r="A7666" s="2">
        <v>7663</v>
      </c>
      <c r="B7666" s="2" t="s">
        <v>7743</v>
      </c>
      <c r="C7666" s="2" t="str">
        <f>"09169636"</f>
        <v>09169636</v>
      </c>
      <c r="D7666" s="2">
        <v>0.97699999999999998</v>
      </c>
      <c r="E7666" s="2">
        <v>55</v>
      </c>
      <c r="F7666" s="2" t="s">
        <v>16</v>
      </c>
    </row>
    <row r="7667" spans="1:6" ht="25.5">
      <c r="A7667" s="2">
        <v>7664</v>
      </c>
      <c r="B7667" s="2" t="s">
        <v>7744</v>
      </c>
      <c r="C7667" s="2" t="str">
        <f>"18255272"</f>
        <v>18255272</v>
      </c>
      <c r="D7667" s="2">
        <v>0.20200000000000001</v>
      </c>
      <c r="E7667" s="2">
        <v>4</v>
      </c>
      <c r="F7667" s="2" t="s">
        <v>190</v>
      </c>
    </row>
    <row r="7668" spans="1:6" ht="25.5">
      <c r="A7668" s="2">
        <v>7665</v>
      </c>
      <c r="B7668" s="2" t="s">
        <v>7745</v>
      </c>
      <c r="C7668" s="2" t="str">
        <f>"19929986"</f>
        <v>19929986</v>
      </c>
      <c r="D7668" s="2">
        <v>0.23499999999999999</v>
      </c>
      <c r="E7668" s="2">
        <v>5</v>
      </c>
      <c r="F7668" s="2" t="s">
        <v>46</v>
      </c>
    </row>
    <row r="7669" spans="1:6" ht="25.5">
      <c r="A7669" s="2">
        <v>7666</v>
      </c>
      <c r="B7669" s="2" t="s">
        <v>7746</v>
      </c>
      <c r="C7669" s="2" t="str">
        <f>"18199224"</f>
        <v>18199224</v>
      </c>
      <c r="D7669" s="2">
        <v>0.28799999999999998</v>
      </c>
      <c r="E7669" s="2">
        <v>7</v>
      </c>
      <c r="F7669" s="2" t="s">
        <v>46</v>
      </c>
    </row>
    <row r="7670" spans="1:6" ht="25.5">
      <c r="A7670" s="2">
        <v>7667</v>
      </c>
      <c r="B7670" s="2" t="s">
        <v>7747</v>
      </c>
      <c r="C7670" s="2" t="str">
        <f>"03005038"</f>
        <v>03005038</v>
      </c>
      <c r="D7670" s="2">
        <v>0.13900000000000001</v>
      </c>
      <c r="E7670" s="2">
        <v>28</v>
      </c>
      <c r="F7670" s="2" t="s">
        <v>66</v>
      </c>
    </row>
    <row r="7671" spans="1:6" ht="25.5">
      <c r="A7671" s="2">
        <v>7668</v>
      </c>
      <c r="B7671" s="2" t="s">
        <v>7748</v>
      </c>
      <c r="C7671" s="2" t="str">
        <f>"10171606"</f>
        <v>10171606</v>
      </c>
      <c r="D7671" s="2">
        <v>0.13600000000000001</v>
      </c>
      <c r="E7671" s="2">
        <v>19</v>
      </c>
      <c r="F7671" s="2" t="s">
        <v>66</v>
      </c>
    </row>
    <row r="7672" spans="1:6" ht="25.5">
      <c r="A7672" s="2">
        <v>7669</v>
      </c>
      <c r="B7672" s="2" t="s">
        <v>7749</v>
      </c>
      <c r="C7672" s="2" t="str">
        <f>"01210793"</f>
        <v>01210793</v>
      </c>
      <c r="D7672" s="2">
        <v>0.112</v>
      </c>
      <c r="E7672" s="2">
        <v>7</v>
      </c>
      <c r="F7672" s="2" t="s">
        <v>184</v>
      </c>
    </row>
    <row r="7673" spans="1:6" ht="25.5">
      <c r="A7673" s="2">
        <v>7670</v>
      </c>
      <c r="B7673" s="2" t="s">
        <v>7750</v>
      </c>
      <c r="C7673" s="2" t="str">
        <f>"03861112"</f>
        <v>03861112</v>
      </c>
      <c r="D7673" s="2">
        <v>0.14899999999999999</v>
      </c>
      <c r="E7673" s="2">
        <v>2</v>
      </c>
      <c r="F7673" s="2" t="s">
        <v>75</v>
      </c>
    </row>
    <row r="7674" spans="1:6" ht="25.5">
      <c r="A7674" s="2">
        <v>7671</v>
      </c>
      <c r="B7674" s="2" t="s">
        <v>7751</v>
      </c>
      <c r="C7674" s="2" t="str">
        <f>"18166261"</f>
        <v>18166261</v>
      </c>
      <c r="D7674" s="2">
        <v>0.121</v>
      </c>
      <c r="E7674" s="2">
        <v>3</v>
      </c>
      <c r="F7674" s="2" t="s">
        <v>6</v>
      </c>
    </row>
    <row r="7675" spans="1:6" ht="25.5">
      <c r="A7675" s="2">
        <v>7672</v>
      </c>
      <c r="B7675" s="2" t="s">
        <v>7752</v>
      </c>
      <c r="C7675" s="2" t="str">
        <f>"09281541"</f>
        <v>09281541</v>
      </c>
      <c r="D7675" s="2">
        <v>0.433</v>
      </c>
      <c r="E7675" s="2">
        <v>30</v>
      </c>
      <c r="F7675" s="2" t="s">
        <v>75</v>
      </c>
    </row>
    <row r="7676" spans="1:6" ht="25.5">
      <c r="A7676" s="2">
        <v>7673</v>
      </c>
      <c r="B7676" s="2" t="s">
        <v>7753</v>
      </c>
      <c r="C7676" s="2" t="str">
        <f>"11397241"</f>
        <v>11397241</v>
      </c>
      <c r="D7676" s="2">
        <v>0.224</v>
      </c>
      <c r="E7676" s="2">
        <v>4</v>
      </c>
      <c r="F7676" s="2" t="s">
        <v>351</v>
      </c>
    </row>
    <row r="7677" spans="1:6" ht="25.5">
      <c r="A7677" s="2">
        <v>7674</v>
      </c>
      <c r="B7677" s="2" t="s">
        <v>7754</v>
      </c>
      <c r="C7677" s="2" t="str">
        <f>"00190993"</f>
        <v>00190993</v>
      </c>
      <c r="D7677" s="2">
        <v>0.111</v>
      </c>
      <c r="E7677" s="2">
        <v>2</v>
      </c>
      <c r="F7677" s="2" t="s">
        <v>12</v>
      </c>
    </row>
    <row r="7678" spans="1:6" ht="25.5">
      <c r="A7678" s="2">
        <v>7675</v>
      </c>
      <c r="B7678" s="2" t="s">
        <v>7755</v>
      </c>
      <c r="C7678" s="2" t="str">
        <f>"1474919X"</f>
        <v>1474919X</v>
      </c>
      <c r="D7678" s="2">
        <v>1.01</v>
      </c>
      <c r="E7678" s="2">
        <v>49</v>
      </c>
      <c r="F7678" s="2" t="s">
        <v>16</v>
      </c>
    </row>
    <row r="7679" spans="1:6" ht="25.5">
      <c r="A7679" s="2">
        <v>7676</v>
      </c>
      <c r="B7679" s="2" t="s">
        <v>7756</v>
      </c>
      <c r="C7679" s="2" t="str">
        <f>"00188646"</f>
        <v>00188646</v>
      </c>
      <c r="D7679" s="2">
        <v>0.65100000000000002</v>
      </c>
      <c r="E7679" s="2">
        <v>71</v>
      </c>
      <c r="F7679" s="2" t="s">
        <v>6</v>
      </c>
    </row>
    <row r="7680" spans="1:6" ht="25.5">
      <c r="A7680" s="2">
        <v>7677</v>
      </c>
      <c r="B7680" s="2" t="s">
        <v>7757</v>
      </c>
      <c r="C7680" s="2" t="str">
        <f>"10902643"</f>
        <v>10902643</v>
      </c>
      <c r="D7680" s="2">
        <v>2.044</v>
      </c>
      <c r="E7680" s="2">
        <v>94</v>
      </c>
      <c r="F7680" s="2" t="s">
        <v>6</v>
      </c>
    </row>
    <row r="7681" spans="1:6" ht="25.5">
      <c r="A7681" s="2">
        <v>7678</v>
      </c>
      <c r="B7681" s="2" t="s">
        <v>7758</v>
      </c>
      <c r="C7681" s="2" t="str">
        <f>"1670567X"</f>
        <v>1670567X</v>
      </c>
      <c r="D7681" s="2">
        <v>0.46500000000000002</v>
      </c>
      <c r="E7681" s="2">
        <v>3</v>
      </c>
      <c r="F7681" s="2" t="s">
        <v>7181</v>
      </c>
    </row>
    <row r="7682" spans="1:6" ht="25.5">
      <c r="A7682" s="2">
        <v>7679</v>
      </c>
      <c r="B7682" s="2" t="s">
        <v>7759</v>
      </c>
      <c r="C7682" s="2" t="str">
        <f>"10959289"</f>
        <v>10959289</v>
      </c>
      <c r="D7682" s="2">
        <v>1.2629999999999999</v>
      </c>
      <c r="E7682" s="2">
        <v>70</v>
      </c>
      <c r="F7682" s="2" t="s">
        <v>16</v>
      </c>
    </row>
    <row r="7683" spans="1:6" ht="25.5">
      <c r="A7683" s="2">
        <v>7680</v>
      </c>
      <c r="B7683" s="2" t="s">
        <v>7760</v>
      </c>
      <c r="C7683" s="2" t="str">
        <f>"13896911"</f>
        <v>13896911</v>
      </c>
      <c r="D7683" s="2">
        <v>0.245</v>
      </c>
      <c r="E7683" s="2">
        <v>9</v>
      </c>
      <c r="F7683" s="2" t="s">
        <v>75</v>
      </c>
    </row>
    <row r="7684" spans="1:6" ht="25.5">
      <c r="A7684" s="2">
        <v>7681</v>
      </c>
      <c r="B7684" s="2" t="s">
        <v>7761</v>
      </c>
      <c r="C7684" s="2" t="str">
        <f>"10420940"</f>
        <v>10420940</v>
      </c>
      <c r="D7684" s="2">
        <v>0.28699999999999998</v>
      </c>
      <c r="E7684" s="2">
        <v>21</v>
      </c>
      <c r="F7684" s="2" t="s">
        <v>16</v>
      </c>
    </row>
    <row r="7685" spans="1:6" ht="25.5">
      <c r="A7685" s="2">
        <v>7682</v>
      </c>
      <c r="B7685" s="2" t="s">
        <v>7762</v>
      </c>
      <c r="C7685" s="2" t="str">
        <f>"09369902"</f>
        <v>09369902</v>
      </c>
      <c r="D7685" s="2">
        <v>0.73699999999999999</v>
      </c>
      <c r="E7685" s="2">
        <v>10</v>
      </c>
      <c r="F7685" s="2" t="s">
        <v>12</v>
      </c>
    </row>
    <row r="7686" spans="1:6" ht="25.5">
      <c r="A7686" s="2">
        <v>7683</v>
      </c>
      <c r="B7686" s="2" t="s">
        <v>7763</v>
      </c>
      <c r="C7686" s="2" t="str">
        <f>"16163915"</f>
        <v>16163915</v>
      </c>
      <c r="D7686" s="2">
        <v>0.442</v>
      </c>
      <c r="E7686" s="2">
        <v>21</v>
      </c>
      <c r="F7686" s="2" t="s">
        <v>131</v>
      </c>
    </row>
    <row r="7687" spans="1:6" ht="25.5">
      <c r="A7687" s="2">
        <v>7684</v>
      </c>
      <c r="B7687" s="2" t="s">
        <v>7764</v>
      </c>
      <c r="C7687" s="2" t="str">
        <f>"1881803X"</f>
        <v>1881803X</v>
      </c>
      <c r="D7687" s="2">
        <v>0.50900000000000001</v>
      </c>
      <c r="E7687" s="2">
        <v>16</v>
      </c>
      <c r="F7687" s="2" t="s">
        <v>131</v>
      </c>
    </row>
    <row r="7688" spans="1:6" ht="25.5">
      <c r="A7688" s="2">
        <v>7685</v>
      </c>
      <c r="B7688" s="2" t="s">
        <v>7765</v>
      </c>
      <c r="C7688" s="2" t="str">
        <f>"21852766"</f>
        <v>21852766</v>
      </c>
      <c r="D7688" s="2">
        <v>0.438</v>
      </c>
      <c r="E7688" s="2">
        <v>6</v>
      </c>
      <c r="F7688" s="2" t="s">
        <v>131</v>
      </c>
    </row>
    <row r="7689" spans="1:6" ht="25.5">
      <c r="A7689" s="2">
        <v>7686</v>
      </c>
      <c r="B7689" s="2" t="s">
        <v>7766</v>
      </c>
      <c r="C7689" s="2" t="str">
        <f>"19444524"</f>
        <v>19444524</v>
      </c>
      <c r="D7689" s="2">
        <v>0.11700000000000001</v>
      </c>
      <c r="E7689" s="2">
        <v>2</v>
      </c>
      <c r="F7689" s="2" t="s">
        <v>6</v>
      </c>
    </row>
    <row r="7690" spans="1:6">
      <c r="A7690" s="2">
        <v>7687</v>
      </c>
      <c r="B7690" s="2" t="s">
        <v>7767</v>
      </c>
      <c r="C7690" s="2" t="str">
        <f>"0"</f>
        <v>0</v>
      </c>
      <c r="D7690" s="2">
        <v>0</v>
      </c>
      <c r="E7690" s="2">
        <v>0</v>
      </c>
      <c r="F7690" s="2" t="s">
        <v>6</v>
      </c>
    </row>
    <row r="7691" spans="1:6" ht="25.5">
      <c r="A7691" s="2">
        <v>7688</v>
      </c>
      <c r="B7691" s="2" t="s">
        <v>7768</v>
      </c>
      <c r="C7691" s="2" t="str">
        <f>"15231712"</f>
        <v>15231712</v>
      </c>
      <c r="D7691" s="2">
        <v>0.109</v>
      </c>
      <c r="E7691" s="2">
        <v>1</v>
      </c>
      <c r="F7691" s="2" t="s">
        <v>6</v>
      </c>
    </row>
    <row r="7692" spans="1:6" ht="25.5">
      <c r="A7692" s="2">
        <v>7689</v>
      </c>
      <c r="B7692" s="2" t="s">
        <v>7769</v>
      </c>
      <c r="C7692" s="2" t="str">
        <f>"01200062"</f>
        <v>01200062</v>
      </c>
      <c r="D7692" s="2">
        <v>0.1</v>
      </c>
      <c r="E7692" s="2">
        <v>1</v>
      </c>
      <c r="F7692" s="2" t="s">
        <v>184</v>
      </c>
    </row>
    <row r="7693" spans="1:6" ht="25.5">
      <c r="A7693" s="2">
        <v>7690</v>
      </c>
      <c r="B7693" s="2" t="s">
        <v>7770</v>
      </c>
      <c r="C7693" s="2" t="str">
        <f>"00191442"</f>
        <v>00191442</v>
      </c>
      <c r="D7693" s="2">
        <v>0.14499999999999999</v>
      </c>
      <c r="E7693" s="2">
        <v>8</v>
      </c>
      <c r="F7693" s="2" t="s">
        <v>135</v>
      </c>
    </row>
    <row r="7694" spans="1:6" ht="25.5">
      <c r="A7694" s="2">
        <v>7691</v>
      </c>
      <c r="B7694" s="2" t="s">
        <v>7771</v>
      </c>
      <c r="C7694" s="2" t="str">
        <f>"1070289X"</f>
        <v>1070289X</v>
      </c>
      <c r="D7694" s="2">
        <v>0.20799999999999999</v>
      </c>
      <c r="E7694" s="2">
        <v>17</v>
      </c>
      <c r="F7694" s="2" t="s">
        <v>16</v>
      </c>
    </row>
    <row r="7695" spans="1:6" ht="25.5">
      <c r="A7695" s="2">
        <v>7692</v>
      </c>
      <c r="B7695" s="2" t="s">
        <v>7772</v>
      </c>
      <c r="C7695" s="2" t="str">
        <f>"1532706X"</f>
        <v>1532706X</v>
      </c>
      <c r="D7695" s="2">
        <v>0.42099999999999999</v>
      </c>
      <c r="E7695" s="2">
        <v>14</v>
      </c>
      <c r="F7695" s="2" t="s">
        <v>16</v>
      </c>
    </row>
    <row r="7696" spans="1:6" ht="25.5">
      <c r="A7696" s="2">
        <v>7693</v>
      </c>
      <c r="B7696" s="2" t="s">
        <v>7773</v>
      </c>
      <c r="C7696" s="2" t="str">
        <f>"07183429"</f>
        <v>07183429</v>
      </c>
      <c r="D7696" s="2">
        <v>0.19800000000000001</v>
      </c>
      <c r="E7696" s="2">
        <v>3</v>
      </c>
      <c r="F7696" s="2" t="s">
        <v>182</v>
      </c>
    </row>
    <row r="7697" spans="1:6" ht="25.5">
      <c r="A7697" s="2">
        <v>7694</v>
      </c>
      <c r="B7697" s="2" t="s">
        <v>7774</v>
      </c>
      <c r="C7697" s="2" t="str">
        <f>"03246329"</f>
        <v>03246329</v>
      </c>
      <c r="D7697" s="2">
        <v>0.218</v>
      </c>
      <c r="E7697" s="2">
        <v>4</v>
      </c>
      <c r="F7697" s="2" t="s">
        <v>135</v>
      </c>
    </row>
    <row r="7698" spans="1:6" ht="25.5">
      <c r="A7698" s="2">
        <v>7695</v>
      </c>
      <c r="B7698" s="2" t="s">
        <v>7775</v>
      </c>
      <c r="C7698" s="2" t="str">
        <f>"02655012"</f>
        <v>02655012</v>
      </c>
      <c r="D7698" s="2">
        <v>0.46</v>
      </c>
      <c r="E7698" s="2">
        <v>20</v>
      </c>
      <c r="F7698" s="2" t="s">
        <v>16</v>
      </c>
    </row>
    <row r="7699" spans="1:6">
      <c r="A7699" s="2">
        <v>7696</v>
      </c>
      <c r="B7699" s="2" t="s">
        <v>7776</v>
      </c>
      <c r="C7699" s="2" t="str">
        <f>"0"</f>
        <v>0</v>
      </c>
      <c r="D7699" s="2">
        <v>0.27900000000000003</v>
      </c>
      <c r="E7699" s="2">
        <v>25</v>
      </c>
      <c r="F7699" s="2" t="s">
        <v>6</v>
      </c>
    </row>
    <row r="7700" spans="1:6" ht="25.5">
      <c r="A7700" s="2">
        <v>7697</v>
      </c>
      <c r="B7700" s="2" t="s">
        <v>7777</v>
      </c>
      <c r="C7700" s="2" t="str">
        <f>"10923152"</f>
        <v>10923152</v>
      </c>
      <c r="D7700" s="2">
        <v>1.6140000000000001</v>
      </c>
      <c r="E7700" s="2">
        <v>50</v>
      </c>
      <c r="F7700" s="2" t="s">
        <v>6</v>
      </c>
    </row>
    <row r="7701" spans="1:6" ht="25.5">
      <c r="A7701" s="2">
        <v>7698</v>
      </c>
      <c r="B7701" s="2" t="s">
        <v>7778</v>
      </c>
      <c r="C7701" s="2" t="str">
        <f>"15579964"</f>
        <v>15579964</v>
      </c>
      <c r="D7701" s="2">
        <v>0.71199999999999997</v>
      </c>
      <c r="E7701" s="2">
        <v>32</v>
      </c>
      <c r="F7701" s="2" t="s">
        <v>6</v>
      </c>
    </row>
    <row r="7702" spans="1:6" ht="25.5">
      <c r="A7702" s="2">
        <v>7699</v>
      </c>
      <c r="B7702" s="2" t="s">
        <v>7779</v>
      </c>
      <c r="C7702" s="2" t="str">
        <f>"10636692"</f>
        <v>10636692</v>
      </c>
      <c r="D7702" s="2">
        <v>3.157</v>
      </c>
      <c r="E7702" s="2">
        <v>120</v>
      </c>
      <c r="F7702" s="2" t="s">
        <v>6</v>
      </c>
    </row>
    <row r="7703" spans="1:6" ht="25.5">
      <c r="A7703" s="2">
        <v>7700</v>
      </c>
      <c r="B7703" s="2" t="s">
        <v>7780</v>
      </c>
      <c r="C7703" s="2" t="str">
        <f>"08858985"</f>
        <v>08858985</v>
      </c>
      <c r="D7703" s="2">
        <v>0.434</v>
      </c>
      <c r="E7703" s="2">
        <v>32</v>
      </c>
      <c r="F7703" s="2" t="s">
        <v>6</v>
      </c>
    </row>
    <row r="7704" spans="1:6" ht="25.5">
      <c r="A7704" s="2">
        <v>7701</v>
      </c>
      <c r="B7704" s="2" t="s">
        <v>7781</v>
      </c>
      <c r="C7704" s="2" t="str">
        <f>"1095323X"</f>
        <v>1095323X</v>
      </c>
      <c r="D7704" s="2">
        <v>0.12</v>
      </c>
      <c r="E7704" s="2">
        <v>20</v>
      </c>
      <c r="F7704" s="2" t="s">
        <v>6</v>
      </c>
    </row>
    <row r="7705" spans="1:6">
      <c r="A7705" s="2">
        <v>7702</v>
      </c>
      <c r="B7705" s="2" t="s">
        <v>7782</v>
      </c>
      <c r="C7705" s="2" t="str">
        <f>"0"</f>
        <v>0</v>
      </c>
      <c r="D7705" s="2">
        <v>0.1</v>
      </c>
      <c r="E7705" s="2">
        <v>12</v>
      </c>
      <c r="F7705" s="2" t="s">
        <v>6</v>
      </c>
    </row>
    <row r="7706" spans="1:6" ht="25.5">
      <c r="A7706" s="2">
        <v>7703</v>
      </c>
      <c r="B7706" s="2" t="s">
        <v>7783</v>
      </c>
      <c r="C7706" s="2" t="str">
        <f>"10586180"</f>
        <v>10586180</v>
      </c>
      <c r="D7706" s="2">
        <v>0.30599999999999999</v>
      </c>
      <c r="E7706" s="2">
        <v>11</v>
      </c>
      <c r="F7706" s="2" t="s">
        <v>6</v>
      </c>
    </row>
    <row r="7707" spans="1:6" ht="25.5">
      <c r="A7707" s="2">
        <v>7704</v>
      </c>
      <c r="B7707" s="2" t="s">
        <v>7784</v>
      </c>
      <c r="C7707" s="2" t="str">
        <f>"10459243"</f>
        <v>10459243</v>
      </c>
      <c r="D7707" s="2">
        <v>0.89800000000000002</v>
      </c>
      <c r="E7707" s="2">
        <v>52</v>
      </c>
      <c r="F7707" s="2" t="s">
        <v>6</v>
      </c>
    </row>
    <row r="7708" spans="1:6" ht="25.5">
      <c r="A7708" s="2">
        <v>7705</v>
      </c>
      <c r="B7708" s="2" t="s">
        <v>7785</v>
      </c>
      <c r="C7708" s="2" t="str">
        <f>"15361225"</f>
        <v>15361225</v>
      </c>
      <c r="D7708" s="2">
        <v>1.5509999999999999</v>
      </c>
      <c r="E7708" s="2">
        <v>46</v>
      </c>
      <c r="F7708" s="2" t="s">
        <v>6</v>
      </c>
    </row>
    <row r="7709" spans="1:6" ht="25.5">
      <c r="A7709" s="2">
        <v>7706</v>
      </c>
      <c r="B7709" s="2" t="s">
        <v>7786</v>
      </c>
      <c r="C7709" s="2" t="str">
        <f>"0"</f>
        <v>0</v>
      </c>
      <c r="D7709" s="2">
        <v>0.13800000000000001</v>
      </c>
      <c r="E7709" s="2">
        <v>11</v>
      </c>
      <c r="F7709" s="2" t="s">
        <v>6</v>
      </c>
    </row>
    <row r="7710" spans="1:6" ht="25.5">
      <c r="A7710" s="2">
        <v>7707</v>
      </c>
      <c r="B7710" s="2" t="s">
        <v>7787</v>
      </c>
      <c r="C7710" s="2" t="str">
        <f>"0"</f>
        <v>0</v>
      </c>
      <c r="D7710" s="2">
        <v>0.23899999999999999</v>
      </c>
      <c r="E7710" s="2">
        <v>19</v>
      </c>
      <c r="F7710" s="2" t="s">
        <v>6</v>
      </c>
    </row>
    <row r="7711" spans="1:6" ht="25.5">
      <c r="A7711" s="2">
        <v>7708</v>
      </c>
      <c r="B7711" s="2" t="s">
        <v>7788</v>
      </c>
      <c r="C7711" s="2" t="str">
        <f>"10834435"</f>
        <v>10834435</v>
      </c>
      <c r="D7711" s="2">
        <v>2.032</v>
      </c>
      <c r="E7711" s="2">
        <v>67</v>
      </c>
      <c r="F7711" s="2" t="s">
        <v>6</v>
      </c>
    </row>
    <row r="7712" spans="1:6" ht="25.5">
      <c r="A7712" s="2">
        <v>7709</v>
      </c>
      <c r="B7712" s="2" t="s">
        <v>7789</v>
      </c>
      <c r="C7712" s="2" t="str">
        <f>"1531636X"</f>
        <v>1531636X</v>
      </c>
      <c r="D7712" s="2">
        <v>0.98699999999999999</v>
      </c>
      <c r="E7712" s="2">
        <v>28</v>
      </c>
      <c r="F7712" s="2" t="s">
        <v>6</v>
      </c>
    </row>
    <row r="7713" spans="1:6" ht="25.5">
      <c r="A7713" s="2">
        <v>7710</v>
      </c>
      <c r="B7713" s="2" t="s">
        <v>7790</v>
      </c>
      <c r="C7713" s="2" t="str">
        <f>"10897798"</f>
        <v>10897798</v>
      </c>
      <c r="D7713" s="2">
        <v>1.371</v>
      </c>
      <c r="E7713" s="2">
        <v>90</v>
      </c>
      <c r="F7713" s="2" t="s">
        <v>6</v>
      </c>
    </row>
    <row r="7714" spans="1:6" ht="25.5">
      <c r="A7714" s="2">
        <v>7711</v>
      </c>
      <c r="B7714" s="2" t="s">
        <v>7791</v>
      </c>
      <c r="C7714" s="2" t="str">
        <f>"01636804"</f>
        <v>01636804</v>
      </c>
      <c r="D7714" s="2">
        <v>4.9189999999999996</v>
      </c>
      <c r="E7714" s="2">
        <v>130</v>
      </c>
      <c r="F7714" s="2" t="s">
        <v>6</v>
      </c>
    </row>
    <row r="7715" spans="1:6" ht="25.5">
      <c r="A7715" s="2">
        <v>7712</v>
      </c>
      <c r="B7715" s="2" t="s">
        <v>7792</v>
      </c>
      <c r="C7715" s="2" t="str">
        <f>"1553877X"</f>
        <v>1553877X</v>
      </c>
      <c r="D7715" s="2">
        <v>5.9029999999999996</v>
      </c>
      <c r="E7715" s="2">
        <v>27</v>
      </c>
      <c r="F7715" s="2" t="s">
        <v>6</v>
      </c>
    </row>
    <row r="7716" spans="1:6" ht="25.5">
      <c r="A7716" s="2">
        <v>7713</v>
      </c>
      <c r="B7716" s="2" t="s">
        <v>7793</v>
      </c>
      <c r="C7716" s="2" t="str">
        <f>"1556603X"</f>
        <v>1556603X</v>
      </c>
      <c r="D7716" s="2">
        <v>2.3290000000000002</v>
      </c>
      <c r="E7716" s="2">
        <v>22</v>
      </c>
      <c r="F7716" s="2" t="s">
        <v>6</v>
      </c>
    </row>
    <row r="7717" spans="1:6" ht="25.5">
      <c r="A7717" s="2">
        <v>7714</v>
      </c>
      <c r="B7717" s="2" t="s">
        <v>7794</v>
      </c>
      <c r="C7717" s="2" t="str">
        <f>"15566056"</f>
        <v>15566056</v>
      </c>
      <c r="D7717" s="2">
        <v>0.44400000000000001</v>
      </c>
      <c r="E7717" s="2">
        <v>12</v>
      </c>
      <c r="F7717" s="2" t="s">
        <v>6</v>
      </c>
    </row>
    <row r="7718" spans="1:6" ht="25.5">
      <c r="A7718" s="2">
        <v>7715</v>
      </c>
      <c r="B7718" s="2" t="s">
        <v>7795</v>
      </c>
      <c r="C7718" s="2" t="str">
        <f>"02721716"</f>
        <v>02721716</v>
      </c>
      <c r="D7718" s="2">
        <v>0.91700000000000004</v>
      </c>
      <c r="E7718" s="2">
        <v>57</v>
      </c>
      <c r="F7718" s="2" t="s">
        <v>6</v>
      </c>
    </row>
    <row r="7719" spans="1:6" ht="25.5">
      <c r="A7719" s="2">
        <v>7716</v>
      </c>
      <c r="B7719" s="2" t="s">
        <v>7796</v>
      </c>
      <c r="C7719" s="2" t="str">
        <f>"0"</f>
        <v>0</v>
      </c>
      <c r="D7719" s="2">
        <v>0.253</v>
      </c>
      <c r="E7719" s="2">
        <v>25</v>
      </c>
      <c r="F7719" s="2" t="s">
        <v>6</v>
      </c>
    </row>
    <row r="7720" spans="1:6" ht="25.5">
      <c r="A7720" s="2">
        <v>7717</v>
      </c>
      <c r="B7720" s="2" t="s">
        <v>7797</v>
      </c>
      <c r="C7720" s="2" t="str">
        <f>"01902172"</f>
        <v>01902172</v>
      </c>
      <c r="D7720" s="2">
        <v>0.1</v>
      </c>
      <c r="E7720" s="2">
        <v>6</v>
      </c>
      <c r="F7720" s="2" t="s">
        <v>6</v>
      </c>
    </row>
    <row r="7721" spans="1:6" ht="25.5">
      <c r="A7721" s="2">
        <v>7718</v>
      </c>
      <c r="B7721" s="2" t="s">
        <v>7798</v>
      </c>
      <c r="C7721" s="2" t="str">
        <f>"08880611"</f>
        <v>08880611</v>
      </c>
      <c r="D7721" s="2">
        <v>1.665</v>
      </c>
      <c r="E7721" s="2">
        <v>67</v>
      </c>
      <c r="F7721" s="2" t="s">
        <v>6</v>
      </c>
    </row>
    <row r="7722" spans="1:6" ht="25.5">
      <c r="A7722" s="2">
        <v>7719</v>
      </c>
      <c r="B7722" s="2" t="s">
        <v>7799</v>
      </c>
      <c r="C7722" s="2" t="str">
        <f>"07407475"</f>
        <v>07407475</v>
      </c>
      <c r="D7722" s="2">
        <v>1.516</v>
      </c>
      <c r="E7722" s="2">
        <v>51</v>
      </c>
      <c r="F7722" s="2" t="s">
        <v>6</v>
      </c>
    </row>
    <row r="7723" spans="1:6" ht="25.5">
      <c r="A7723" s="2">
        <v>7720</v>
      </c>
      <c r="B7723" s="2" t="s">
        <v>7800</v>
      </c>
      <c r="C7723" s="2" t="str">
        <f>"08837554"</f>
        <v>08837554</v>
      </c>
      <c r="D7723" s="2">
        <v>0.79200000000000004</v>
      </c>
      <c r="E7723" s="2">
        <v>36</v>
      </c>
      <c r="F7723" s="2" t="s">
        <v>6</v>
      </c>
    </row>
    <row r="7724" spans="1:6" ht="25.5">
      <c r="A7724" s="2">
        <v>7721</v>
      </c>
      <c r="B7724" s="2" t="s">
        <v>7801</v>
      </c>
      <c r="C7724" s="2" t="str">
        <f>"07413106"</f>
        <v>07413106</v>
      </c>
      <c r="D7724" s="2">
        <v>1.859</v>
      </c>
      <c r="E7724" s="2">
        <v>98</v>
      </c>
      <c r="F7724" s="2" t="s">
        <v>6</v>
      </c>
    </row>
    <row r="7725" spans="1:6" ht="25.5">
      <c r="A7725" s="2">
        <v>7722</v>
      </c>
      <c r="B7725" s="2" t="s">
        <v>7802</v>
      </c>
      <c r="C7725" s="2" t="str">
        <f>"19430671"</f>
        <v>19430671</v>
      </c>
      <c r="D7725" s="2">
        <v>0.26700000000000002</v>
      </c>
      <c r="E7725" s="2">
        <v>7</v>
      </c>
      <c r="F7725" s="2" t="s">
        <v>6</v>
      </c>
    </row>
    <row r="7726" spans="1:6" ht="25.5">
      <c r="A7726" s="2">
        <v>7723</v>
      </c>
      <c r="B7726" s="2" t="s">
        <v>7803</v>
      </c>
      <c r="C7726" s="2" t="str">
        <f>"03608581"</f>
        <v>03608581</v>
      </c>
      <c r="D7726" s="2">
        <v>0.10199999999999999</v>
      </c>
      <c r="E7726" s="2">
        <v>9</v>
      </c>
      <c r="F7726" s="2" t="s">
        <v>6</v>
      </c>
    </row>
    <row r="7727" spans="1:6" ht="25.5">
      <c r="A7727" s="2">
        <v>7724</v>
      </c>
      <c r="B7727" s="2" t="s">
        <v>7804</v>
      </c>
      <c r="C7727" s="2" t="str">
        <f>"1545598X"</f>
        <v>1545598X</v>
      </c>
      <c r="D7727" s="2">
        <v>1.2210000000000001</v>
      </c>
      <c r="E7727" s="2">
        <v>40</v>
      </c>
      <c r="F7727" s="2" t="s">
        <v>6</v>
      </c>
    </row>
    <row r="7728" spans="1:6" ht="25.5">
      <c r="A7728" s="2">
        <v>7725</v>
      </c>
      <c r="B7728" s="2" t="s">
        <v>7805</v>
      </c>
      <c r="C7728" s="2" t="str">
        <f>"19324529"</f>
        <v>19324529</v>
      </c>
      <c r="D7728" s="2">
        <v>2.8039999999999998</v>
      </c>
      <c r="E7728" s="2">
        <v>20</v>
      </c>
      <c r="F7728" s="2" t="s">
        <v>6</v>
      </c>
    </row>
    <row r="7729" spans="1:6" ht="25.5">
      <c r="A7729" s="2">
        <v>7726</v>
      </c>
      <c r="B7729" s="2" t="s">
        <v>7806</v>
      </c>
      <c r="C7729" s="2" t="str">
        <f>"10772618"</f>
        <v>10772618</v>
      </c>
      <c r="D7729" s="2">
        <v>0.57499999999999996</v>
      </c>
      <c r="E7729" s="2">
        <v>33</v>
      </c>
      <c r="F7729" s="2" t="s">
        <v>6</v>
      </c>
    </row>
    <row r="7730" spans="1:6" ht="25.5">
      <c r="A7730" s="2">
        <v>7727</v>
      </c>
      <c r="B7730" s="2" t="s">
        <v>7807</v>
      </c>
      <c r="C7730" s="2" t="str">
        <f>"10946969"</f>
        <v>10946969</v>
      </c>
      <c r="D7730" s="2">
        <v>0.23699999999999999</v>
      </c>
      <c r="E7730" s="2">
        <v>24</v>
      </c>
      <c r="F7730" s="2" t="s">
        <v>6</v>
      </c>
    </row>
    <row r="7731" spans="1:6" ht="25.5">
      <c r="A7731" s="2">
        <v>7728</v>
      </c>
      <c r="B7731" s="2" t="s">
        <v>7808</v>
      </c>
      <c r="C7731" s="2" t="str">
        <f>"15411672"</f>
        <v>15411672</v>
      </c>
      <c r="D7731" s="2">
        <v>1.7210000000000001</v>
      </c>
      <c r="E7731" s="2">
        <v>71</v>
      </c>
      <c r="F7731" s="2" t="s">
        <v>6</v>
      </c>
    </row>
    <row r="7732" spans="1:6" ht="25.5">
      <c r="A7732" s="2">
        <v>7729</v>
      </c>
      <c r="B7732" s="2" t="s">
        <v>7809</v>
      </c>
      <c r="C7732" s="2" t="str">
        <f>"19391390"</f>
        <v>19391390</v>
      </c>
      <c r="D7732" s="2">
        <v>0.95499999999999996</v>
      </c>
      <c r="E7732" s="2">
        <v>7</v>
      </c>
      <c r="F7732" s="2" t="s">
        <v>6</v>
      </c>
    </row>
    <row r="7733" spans="1:6">
      <c r="A7733" s="2">
        <v>7730</v>
      </c>
      <c r="B7733" s="2" t="s">
        <v>7810</v>
      </c>
      <c r="C7733" s="2" t="str">
        <f>"0"</f>
        <v>0</v>
      </c>
      <c r="D7733" s="2">
        <v>0.40400000000000003</v>
      </c>
      <c r="E7733" s="2">
        <v>28</v>
      </c>
      <c r="F7733" s="2" t="s">
        <v>6</v>
      </c>
    </row>
    <row r="7734" spans="1:6" ht="25.5">
      <c r="A7734" s="2">
        <v>7731</v>
      </c>
      <c r="B7734" s="2" t="s">
        <v>7811</v>
      </c>
      <c r="C7734" s="2" t="str">
        <f>"10987584"</f>
        <v>10987584</v>
      </c>
      <c r="D7734" s="2">
        <v>0.23699999999999999</v>
      </c>
      <c r="E7734" s="2">
        <v>31</v>
      </c>
      <c r="F7734" s="2" t="s">
        <v>6</v>
      </c>
    </row>
    <row r="7735" spans="1:6">
      <c r="A7735" s="2">
        <v>7732</v>
      </c>
      <c r="B7735" s="2" t="s">
        <v>7812</v>
      </c>
      <c r="C7735" s="2" t="str">
        <f>"0"</f>
        <v>0</v>
      </c>
      <c r="D7735" s="2">
        <v>0.41599999999999998</v>
      </c>
      <c r="E7735" s="2">
        <v>46</v>
      </c>
      <c r="F7735" s="2" t="s">
        <v>6</v>
      </c>
    </row>
    <row r="7736" spans="1:6">
      <c r="A7736" s="2">
        <v>7733</v>
      </c>
      <c r="B7736" s="2" t="s">
        <v>7813</v>
      </c>
      <c r="C7736" s="2" t="str">
        <f>"0"</f>
        <v>0</v>
      </c>
      <c r="D7736" s="2">
        <v>0.37</v>
      </c>
      <c r="E7736" s="2">
        <v>14</v>
      </c>
      <c r="F7736" s="2" t="s">
        <v>6</v>
      </c>
    </row>
    <row r="7737" spans="1:6" ht="25.5">
      <c r="A7737" s="2">
        <v>7734</v>
      </c>
      <c r="B7737" s="2" t="s">
        <v>7814</v>
      </c>
      <c r="C7737" s="2" t="str">
        <f>"19457901"</f>
        <v>19457901</v>
      </c>
      <c r="D7737" s="2">
        <v>0.104</v>
      </c>
      <c r="E7737" s="2">
        <v>0</v>
      </c>
      <c r="F7737" s="2" t="s">
        <v>6</v>
      </c>
    </row>
    <row r="7738" spans="1:6">
      <c r="A7738" s="2">
        <v>7735</v>
      </c>
      <c r="B7738" s="2" t="s">
        <v>7815</v>
      </c>
      <c r="C7738" s="2" t="str">
        <f>"0"</f>
        <v>0</v>
      </c>
      <c r="D7738" s="2">
        <v>0.46</v>
      </c>
      <c r="E7738" s="2">
        <v>29</v>
      </c>
      <c r="F7738" s="2" t="s">
        <v>6</v>
      </c>
    </row>
    <row r="7739" spans="1:6">
      <c r="A7739" s="2">
        <v>7736</v>
      </c>
      <c r="B7739" s="2" t="s">
        <v>7816</v>
      </c>
      <c r="C7739" s="2" t="str">
        <f>"0"</f>
        <v>0</v>
      </c>
      <c r="D7739" s="2">
        <v>0.10199999999999999</v>
      </c>
      <c r="E7739" s="2">
        <v>7</v>
      </c>
      <c r="F7739" s="2" t="s">
        <v>6</v>
      </c>
    </row>
    <row r="7740" spans="1:6" ht="25.5">
      <c r="A7740" s="2">
        <v>7737</v>
      </c>
      <c r="B7740" s="2" t="s">
        <v>7817</v>
      </c>
      <c r="C7740" s="2" t="str">
        <f>"1078621X"</f>
        <v>1078621X</v>
      </c>
      <c r="D7740" s="2">
        <v>0.13600000000000001</v>
      </c>
      <c r="E7740" s="2">
        <v>13</v>
      </c>
      <c r="F7740" s="2" t="s">
        <v>6</v>
      </c>
    </row>
    <row r="7741" spans="1:6" ht="25.5">
      <c r="A7741" s="2">
        <v>7738</v>
      </c>
      <c r="B7741" s="2" t="s">
        <v>7818</v>
      </c>
      <c r="C7741" s="2" t="str">
        <f>"01901494"</f>
        <v>01901494</v>
      </c>
      <c r="D7741" s="2">
        <v>0.33</v>
      </c>
      <c r="E7741" s="2">
        <v>17</v>
      </c>
      <c r="F7741" s="2" t="s">
        <v>6</v>
      </c>
    </row>
    <row r="7742" spans="1:6">
      <c r="A7742" s="2">
        <v>7739</v>
      </c>
      <c r="B7742" s="2" t="s">
        <v>7819</v>
      </c>
      <c r="C7742" s="2" t="str">
        <f>"0"</f>
        <v>0</v>
      </c>
      <c r="D7742" s="2">
        <v>0.86</v>
      </c>
      <c r="E7742" s="2">
        <v>35</v>
      </c>
      <c r="F7742" s="2" t="s">
        <v>6</v>
      </c>
    </row>
    <row r="7743" spans="1:6">
      <c r="A7743" s="2">
        <v>7740</v>
      </c>
      <c r="B7743" s="2" t="s">
        <v>7820</v>
      </c>
      <c r="C7743" s="2" t="str">
        <f>"0"</f>
        <v>0</v>
      </c>
      <c r="D7743" s="2">
        <v>0.25</v>
      </c>
      <c r="E7743" s="2">
        <v>18</v>
      </c>
      <c r="F7743" s="2" t="s">
        <v>6</v>
      </c>
    </row>
    <row r="7744" spans="1:6" ht="25.5">
      <c r="A7744" s="2">
        <v>7741</v>
      </c>
      <c r="B7744" s="2" t="s">
        <v>7821</v>
      </c>
      <c r="C7744" s="2" t="str">
        <f>"0"</f>
        <v>0</v>
      </c>
      <c r="D7744" s="2">
        <v>0.17199999999999999</v>
      </c>
      <c r="E7744" s="2">
        <v>35</v>
      </c>
      <c r="F7744" s="2" t="s">
        <v>6</v>
      </c>
    </row>
    <row r="7745" spans="1:6" ht="25.5">
      <c r="A7745" s="2">
        <v>7742</v>
      </c>
      <c r="B7745" s="2" t="s">
        <v>7822</v>
      </c>
      <c r="C7745" s="2" t="str">
        <f>"10788743"</f>
        <v>10788743</v>
      </c>
      <c r="D7745" s="2">
        <v>0.1</v>
      </c>
      <c r="E7745" s="2">
        <v>12</v>
      </c>
      <c r="F7745" s="2" t="s">
        <v>6</v>
      </c>
    </row>
    <row r="7746" spans="1:6" ht="25.5">
      <c r="A7746" s="2">
        <v>7743</v>
      </c>
      <c r="B7746" s="2" t="s">
        <v>7823</v>
      </c>
      <c r="C7746" s="2" t="str">
        <f>"10893539"</f>
        <v>10893539</v>
      </c>
      <c r="D7746" s="2">
        <v>0.28799999999999998</v>
      </c>
      <c r="E7746" s="2">
        <v>56</v>
      </c>
      <c r="F7746" s="2" t="s">
        <v>6</v>
      </c>
    </row>
    <row r="7747" spans="1:6" ht="25.5">
      <c r="A7747" s="2">
        <v>7744</v>
      </c>
      <c r="B7747" s="2" t="s">
        <v>7824</v>
      </c>
      <c r="C7747" s="2" t="str">
        <f>"10897801"</f>
        <v>10897801</v>
      </c>
      <c r="D7747" s="2">
        <v>1.377</v>
      </c>
      <c r="E7747" s="2">
        <v>70</v>
      </c>
      <c r="F7747" s="2" t="s">
        <v>6</v>
      </c>
    </row>
    <row r="7748" spans="1:6" ht="25.5">
      <c r="A7748" s="2">
        <v>7745</v>
      </c>
      <c r="B7748" s="2" t="s">
        <v>7825</v>
      </c>
      <c r="C7748" s="2" t="str">
        <f>"03649059"</f>
        <v>03649059</v>
      </c>
      <c r="D7748" s="2">
        <v>0.66</v>
      </c>
      <c r="E7748" s="2">
        <v>58</v>
      </c>
      <c r="F7748" s="2" t="s">
        <v>6</v>
      </c>
    </row>
    <row r="7749" spans="1:6" ht="25.5">
      <c r="A7749" s="2">
        <v>7746</v>
      </c>
      <c r="B7749" s="2" t="s">
        <v>7826</v>
      </c>
      <c r="C7749" s="2" t="str">
        <f>"00189197"</f>
        <v>00189197</v>
      </c>
      <c r="D7749" s="2">
        <v>1.238</v>
      </c>
      <c r="E7749" s="2">
        <v>92</v>
      </c>
      <c r="F7749" s="2" t="s">
        <v>6</v>
      </c>
    </row>
    <row r="7750" spans="1:6" ht="25.5">
      <c r="A7750" s="2">
        <v>7747</v>
      </c>
      <c r="B7750" s="2" t="s">
        <v>7827</v>
      </c>
      <c r="C7750" s="2" t="str">
        <f>"19391404"</f>
        <v>19391404</v>
      </c>
      <c r="D7750" s="2">
        <v>1.232</v>
      </c>
      <c r="E7750" s="2">
        <v>14</v>
      </c>
      <c r="F7750" s="2" t="s">
        <v>6</v>
      </c>
    </row>
    <row r="7751" spans="1:6" ht="25.5">
      <c r="A7751" s="2">
        <v>7748</v>
      </c>
      <c r="B7751" s="2" t="s">
        <v>7828</v>
      </c>
      <c r="C7751" s="2" t="str">
        <f>"00189200"</f>
        <v>00189200</v>
      </c>
      <c r="D7751" s="2">
        <v>5.0209999999999999</v>
      </c>
      <c r="E7751" s="2">
        <v>133</v>
      </c>
      <c r="F7751" s="2" t="s">
        <v>6</v>
      </c>
    </row>
    <row r="7752" spans="1:6" ht="25.5">
      <c r="A7752" s="2">
        <v>7749</v>
      </c>
      <c r="B7752" s="2" t="s">
        <v>7829</v>
      </c>
      <c r="C7752" s="2" t="str">
        <f>"07338716"</f>
        <v>07338716</v>
      </c>
      <c r="D7752" s="2">
        <v>4.1660000000000004</v>
      </c>
      <c r="E7752" s="2">
        <v>155</v>
      </c>
      <c r="F7752" s="2" t="s">
        <v>6</v>
      </c>
    </row>
    <row r="7753" spans="1:6" ht="25.5">
      <c r="A7753" s="2">
        <v>7750</v>
      </c>
      <c r="B7753" s="2" t="s">
        <v>7830</v>
      </c>
      <c r="C7753" s="2" t="str">
        <f>"1077260X"</f>
        <v>1077260X</v>
      </c>
      <c r="D7753" s="2">
        <v>2.4089999999999998</v>
      </c>
      <c r="E7753" s="2">
        <v>104</v>
      </c>
      <c r="F7753" s="2" t="s">
        <v>6</v>
      </c>
    </row>
    <row r="7754" spans="1:6" ht="25.5">
      <c r="A7754" s="2">
        <v>7751</v>
      </c>
      <c r="B7754" s="2" t="s">
        <v>7831</v>
      </c>
      <c r="C7754" s="2" t="str">
        <f>"19324553"</f>
        <v>19324553</v>
      </c>
      <c r="D7754" s="2">
        <v>2.9670000000000001</v>
      </c>
      <c r="E7754" s="2">
        <v>36</v>
      </c>
      <c r="F7754" s="2" t="s">
        <v>6</v>
      </c>
    </row>
    <row r="7755" spans="1:6" ht="25.5">
      <c r="A7755" s="2">
        <v>7752</v>
      </c>
      <c r="B7755" s="2" t="s">
        <v>7832</v>
      </c>
      <c r="C7755" s="2" t="str">
        <f>"15480992"</f>
        <v>15480992</v>
      </c>
      <c r="D7755" s="2">
        <v>0.24199999999999999</v>
      </c>
      <c r="E7755" s="2">
        <v>5</v>
      </c>
      <c r="F7755" s="2" t="s">
        <v>6</v>
      </c>
    </row>
    <row r="7756" spans="1:6" ht="25.5">
      <c r="A7756" s="2">
        <v>7753</v>
      </c>
      <c r="B7756" s="2" t="s">
        <v>7833</v>
      </c>
      <c r="C7756" s="2" t="str">
        <f>"1949307X"</f>
        <v>1949307X</v>
      </c>
      <c r="D7756" s="2">
        <v>0.69099999999999995</v>
      </c>
      <c r="E7756" s="2">
        <v>4</v>
      </c>
      <c r="F7756" s="2" t="s">
        <v>6</v>
      </c>
    </row>
    <row r="7757" spans="1:6" ht="25.5">
      <c r="A7757" s="2">
        <v>7754</v>
      </c>
      <c r="B7757" s="2" t="s">
        <v>7834</v>
      </c>
      <c r="C7757" s="2" t="str">
        <f>"02721732"</f>
        <v>02721732</v>
      </c>
      <c r="D7757" s="2">
        <v>2.1269999999999998</v>
      </c>
      <c r="E7757" s="2">
        <v>61</v>
      </c>
      <c r="F7757" s="2" t="s">
        <v>6</v>
      </c>
    </row>
    <row r="7758" spans="1:6" ht="25.5">
      <c r="A7758" s="2">
        <v>7755</v>
      </c>
      <c r="B7758" s="2" t="s">
        <v>7835</v>
      </c>
      <c r="C7758" s="2" t="str">
        <f>"15311309"</f>
        <v>15311309</v>
      </c>
      <c r="D7758" s="2">
        <v>2.302</v>
      </c>
      <c r="E7758" s="2">
        <v>81</v>
      </c>
      <c r="F7758" s="2" t="s">
        <v>6</v>
      </c>
    </row>
    <row r="7759" spans="1:6" ht="25.5">
      <c r="A7759" s="2">
        <v>7756</v>
      </c>
      <c r="B7759" s="2" t="s">
        <v>7836</v>
      </c>
      <c r="C7759" s="2" t="str">
        <f>"15273342"</f>
        <v>15273342</v>
      </c>
      <c r="D7759" s="2">
        <v>0.91100000000000003</v>
      </c>
      <c r="E7759" s="2">
        <v>35</v>
      </c>
      <c r="F7759" s="2" t="s">
        <v>6</v>
      </c>
    </row>
    <row r="7760" spans="1:6" ht="25.5">
      <c r="A7760" s="2">
        <v>7757</v>
      </c>
      <c r="B7760" s="2" t="s">
        <v>7837</v>
      </c>
      <c r="C7760" s="2" t="str">
        <f>"0149645X"</f>
        <v>0149645X</v>
      </c>
      <c r="D7760" s="2">
        <v>0.67800000000000005</v>
      </c>
      <c r="E7760" s="2">
        <v>43</v>
      </c>
      <c r="F7760" s="2" t="s">
        <v>6</v>
      </c>
    </row>
    <row r="7761" spans="1:6" ht="25.5">
      <c r="A7761" s="2">
        <v>7758</v>
      </c>
      <c r="B7761" s="2" t="s">
        <v>7838</v>
      </c>
      <c r="C7761" s="2" t="str">
        <f>"1070986X"</f>
        <v>1070986X</v>
      </c>
      <c r="D7761" s="2">
        <v>0.63900000000000001</v>
      </c>
      <c r="E7761" s="2">
        <v>43</v>
      </c>
      <c r="F7761" s="2" t="s">
        <v>6</v>
      </c>
    </row>
    <row r="7762" spans="1:6" ht="25.5">
      <c r="A7762" s="2">
        <v>7759</v>
      </c>
      <c r="B7762" s="2" t="s">
        <v>7839</v>
      </c>
      <c r="C7762" s="2" t="str">
        <f>"19324310"</f>
        <v>19324310</v>
      </c>
      <c r="D7762" s="2">
        <v>0.16300000000000001</v>
      </c>
      <c r="E7762" s="2">
        <v>6</v>
      </c>
      <c r="F7762" s="2" t="s">
        <v>6</v>
      </c>
    </row>
    <row r="7763" spans="1:6" ht="25.5">
      <c r="A7763" s="2">
        <v>7760</v>
      </c>
      <c r="B7763" s="2" t="s">
        <v>7840</v>
      </c>
      <c r="C7763" s="2" t="str">
        <f>"10975659"</f>
        <v>10975659</v>
      </c>
      <c r="D7763" s="2">
        <v>0.309</v>
      </c>
      <c r="E7763" s="2">
        <v>22</v>
      </c>
      <c r="F7763" s="2" t="s">
        <v>6</v>
      </c>
    </row>
    <row r="7764" spans="1:6" ht="25.5">
      <c r="A7764" s="2">
        <v>7761</v>
      </c>
      <c r="B7764" s="2" t="s">
        <v>7841</v>
      </c>
      <c r="C7764" s="2" t="str">
        <f>"08908044"</f>
        <v>08908044</v>
      </c>
      <c r="D7764" s="2">
        <v>2.363</v>
      </c>
      <c r="E7764" s="2">
        <v>73</v>
      </c>
      <c r="F7764" s="2" t="s">
        <v>6</v>
      </c>
    </row>
    <row r="7765" spans="1:6" ht="25.5">
      <c r="A7765" s="2">
        <v>7762</v>
      </c>
      <c r="B7765" s="2" t="s">
        <v>7842</v>
      </c>
      <c r="C7765" s="2" t="str">
        <f>"10957863"</f>
        <v>10957863</v>
      </c>
      <c r="D7765" s="2">
        <v>0.20799999999999999</v>
      </c>
      <c r="E7765" s="2">
        <v>18</v>
      </c>
      <c r="F7765" s="2" t="s">
        <v>6</v>
      </c>
    </row>
    <row r="7766" spans="1:6" ht="25.5">
      <c r="A7766" s="2">
        <v>7763</v>
      </c>
      <c r="B7766" s="2" t="s">
        <v>7843</v>
      </c>
      <c r="C7766" s="2" t="str">
        <f>"1551319X"</f>
        <v>1551319X</v>
      </c>
      <c r="D7766" s="2">
        <v>0.99</v>
      </c>
      <c r="E7766" s="2">
        <v>29</v>
      </c>
      <c r="F7766" s="2" t="s">
        <v>6</v>
      </c>
    </row>
    <row r="7767" spans="1:6" ht="25.5">
      <c r="A7767" s="2">
        <v>7764</v>
      </c>
      <c r="B7767" s="2" t="s">
        <v>7844</v>
      </c>
      <c r="C7767" s="2" t="str">
        <f>"0"</f>
        <v>0</v>
      </c>
      <c r="D7767" s="2">
        <v>0.128</v>
      </c>
      <c r="E7767" s="2">
        <v>14</v>
      </c>
      <c r="F7767" s="2" t="s">
        <v>6</v>
      </c>
    </row>
    <row r="7768" spans="1:6" ht="25.5">
      <c r="A7768" s="2">
        <v>7765</v>
      </c>
      <c r="B7768" s="2" t="s">
        <v>7845</v>
      </c>
      <c r="C7768" s="2" t="str">
        <f>"15361268"</f>
        <v>15361268</v>
      </c>
      <c r="D7768" s="2">
        <v>1.1379999999999999</v>
      </c>
      <c r="E7768" s="2">
        <v>62</v>
      </c>
      <c r="F7768" s="2" t="s">
        <v>6</v>
      </c>
    </row>
    <row r="7769" spans="1:6" ht="25.5">
      <c r="A7769" s="2">
        <v>7766</v>
      </c>
      <c r="B7769" s="2" t="s">
        <v>7846</v>
      </c>
      <c r="C7769" s="2" t="str">
        <f>"19430655"</f>
        <v>19430655</v>
      </c>
      <c r="D7769" s="2">
        <v>1.1850000000000001</v>
      </c>
      <c r="E7769" s="2">
        <v>11</v>
      </c>
      <c r="F7769" s="2" t="s">
        <v>6</v>
      </c>
    </row>
    <row r="7770" spans="1:6" ht="25.5">
      <c r="A7770" s="2">
        <v>7767</v>
      </c>
      <c r="B7770" s="2" t="s">
        <v>7847</v>
      </c>
      <c r="C7770" s="2" t="str">
        <f>"10411135"</f>
        <v>10411135</v>
      </c>
      <c r="D7770" s="2">
        <v>1.4690000000000001</v>
      </c>
      <c r="E7770" s="2">
        <v>102</v>
      </c>
      <c r="F7770" s="2" t="s">
        <v>6</v>
      </c>
    </row>
    <row r="7771" spans="1:6" ht="25.5">
      <c r="A7771" s="2">
        <v>7768</v>
      </c>
      <c r="B7771" s="2" t="s">
        <v>7848</v>
      </c>
      <c r="C7771" s="2" t="str">
        <f>"02786648"</f>
        <v>02786648</v>
      </c>
      <c r="D7771" s="2">
        <v>0.13400000000000001</v>
      </c>
      <c r="E7771" s="2">
        <v>17</v>
      </c>
      <c r="F7771" s="2" t="s">
        <v>6</v>
      </c>
    </row>
    <row r="7772" spans="1:6" ht="25.5">
      <c r="A7772" s="2">
        <v>7769</v>
      </c>
      <c r="B7772" s="2" t="s">
        <v>7849</v>
      </c>
      <c r="C7772" s="2" t="str">
        <f>"15407977"</f>
        <v>15407977</v>
      </c>
      <c r="D7772" s="2">
        <v>1.1850000000000001</v>
      </c>
      <c r="E7772" s="2">
        <v>41</v>
      </c>
      <c r="F7772" s="2" t="s">
        <v>6</v>
      </c>
    </row>
    <row r="7773" spans="1:6" ht="25.5">
      <c r="A7773" s="2">
        <v>7770</v>
      </c>
      <c r="B7773" s="2" t="s">
        <v>7850</v>
      </c>
      <c r="C7773" s="2" t="str">
        <f>"21542287"</f>
        <v>21542287</v>
      </c>
      <c r="D7773" s="2">
        <v>0.28799999999999998</v>
      </c>
      <c r="E7773" s="2">
        <v>54</v>
      </c>
      <c r="F7773" s="2" t="s">
        <v>6</v>
      </c>
    </row>
    <row r="7774" spans="1:6" ht="25.5">
      <c r="A7774" s="2">
        <v>7771</v>
      </c>
      <c r="B7774" s="2" t="s">
        <v>7851</v>
      </c>
      <c r="C7774" s="2" t="str">
        <f>"0"</f>
        <v>0</v>
      </c>
      <c r="D7774" s="2">
        <v>0.11600000000000001</v>
      </c>
      <c r="E7774" s="2">
        <v>17</v>
      </c>
      <c r="F7774" s="2" t="s">
        <v>6</v>
      </c>
    </row>
    <row r="7775" spans="1:6" ht="25.5">
      <c r="A7775" s="2">
        <v>7772</v>
      </c>
      <c r="B7775" s="2" t="s">
        <v>7852</v>
      </c>
      <c r="C7775" s="2" t="str">
        <f>"19373333"</f>
        <v>19373333</v>
      </c>
      <c r="D7775" s="2">
        <v>0.59199999999999997</v>
      </c>
      <c r="E7775" s="2">
        <v>10</v>
      </c>
      <c r="F7775" s="2" t="s">
        <v>6</v>
      </c>
    </row>
    <row r="7776" spans="1:6" ht="25.5">
      <c r="A7776" s="2">
        <v>7773</v>
      </c>
      <c r="B7776" s="2" t="s">
        <v>7853</v>
      </c>
      <c r="C7776" s="2" t="str">
        <f>"10709932"</f>
        <v>10709932</v>
      </c>
      <c r="D7776" s="2">
        <v>1.571</v>
      </c>
      <c r="E7776" s="2">
        <v>44</v>
      </c>
      <c r="F7776" s="2" t="s">
        <v>6</v>
      </c>
    </row>
    <row r="7777" spans="1:6" ht="25.5">
      <c r="A7777" s="2">
        <v>7774</v>
      </c>
      <c r="B7777" s="2" t="s">
        <v>7854</v>
      </c>
      <c r="C7777" s="2" t="str">
        <f>"15407993"</f>
        <v>15407993</v>
      </c>
      <c r="D7777" s="2">
        <v>0.82399999999999995</v>
      </c>
      <c r="E7777" s="2">
        <v>39</v>
      </c>
      <c r="F7777" s="2" t="s">
        <v>6</v>
      </c>
    </row>
    <row r="7778" spans="1:6" ht="25.5">
      <c r="A7778" s="2">
        <v>7775</v>
      </c>
      <c r="B7778" s="2" t="s">
        <v>7855</v>
      </c>
      <c r="C7778" s="2" t="str">
        <f>"1530437X"</f>
        <v>1530437X</v>
      </c>
      <c r="D7778" s="2">
        <v>0.66700000000000004</v>
      </c>
      <c r="E7778" s="2">
        <v>49</v>
      </c>
      <c r="F7778" s="2" t="s">
        <v>6</v>
      </c>
    </row>
    <row r="7779" spans="1:6" ht="25.5">
      <c r="A7779" s="2">
        <v>7776</v>
      </c>
      <c r="B7779" s="2" t="s">
        <v>7856</v>
      </c>
      <c r="C7779" s="2" t="str">
        <f>"10709908"</f>
        <v>10709908</v>
      </c>
      <c r="D7779" s="2">
        <v>1.587</v>
      </c>
      <c r="E7779" s="2">
        <v>74</v>
      </c>
      <c r="F7779" s="2" t="s">
        <v>6</v>
      </c>
    </row>
    <row r="7780" spans="1:6" ht="25.5">
      <c r="A7780" s="2">
        <v>7777</v>
      </c>
      <c r="B7780" s="2" t="s">
        <v>7857</v>
      </c>
      <c r="C7780" s="2" t="str">
        <f>"10535888"</f>
        <v>10535888</v>
      </c>
      <c r="D7780" s="2">
        <v>2.4670000000000001</v>
      </c>
      <c r="E7780" s="2">
        <v>98</v>
      </c>
      <c r="F7780" s="2" t="s">
        <v>6</v>
      </c>
    </row>
    <row r="7781" spans="1:6" ht="25.5">
      <c r="A7781" s="2">
        <v>7778</v>
      </c>
      <c r="B7781" s="2" t="s">
        <v>7858</v>
      </c>
      <c r="C7781" s="2" t="str">
        <f>"07407459"</f>
        <v>07407459</v>
      </c>
      <c r="D7781" s="2">
        <v>1.2549999999999999</v>
      </c>
      <c r="E7781" s="2">
        <v>67</v>
      </c>
      <c r="F7781" s="2" t="s">
        <v>6</v>
      </c>
    </row>
    <row r="7782" spans="1:6" ht="25.5">
      <c r="A7782" s="2">
        <v>7779</v>
      </c>
      <c r="B7782" s="2" t="s">
        <v>7859</v>
      </c>
      <c r="C7782" s="2" t="str">
        <f>"00189235"</f>
        <v>00189235</v>
      </c>
      <c r="D7782" s="2">
        <v>0.189</v>
      </c>
      <c r="E7782" s="2">
        <v>42</v>
      </c>
      <c r="F7782" s="2" t="s">
        <v>6</v>
      </c>
    </row>
    <row r="7783" spans="1:6">
      <c r="A7783" s="2">
        <v>7780</v>
      </c>
      <c r="B7783" s="2" t="s">
        <v>7860</v>
      </c>
      <c r="C7783" s="2" t="str">
        <f>"0"</f>
        <v>0</v>
      </c>
      <c r="D7783" s="2">
        <v>3.3330000000000002</v>
      </c>
      <c r="E7783" s="2">
        <v>34</v>
      </c>
      <c r="F7783" s="2" t="s">
        <v>6</v>
      </c>
    </row>
    <row r="7784" spans="1:6" ht="25.5">
      <c r="A7784" s="2">
        <v>7781</v>
      </c>
      <c r="B7784" s="2" t="s">
        <v>7861</v>
      </c>
      <c r="C7784" s="2" t="str">
        <f>"19328184"</f>
        <v>19328184</v>
      </c>
      <c r="D7784" s="2">
        <v>0.67400000000000004</v>
      </c>
      <c r="E7784" s="2">
        <v>14</v>
      </c>
      <c r="F7784" s="2" t="s">
        <v>6</v>
      </c>
    </row>
    <row r="7785" spans="1:6" ht="25.5">
      <c r="A7785" s="2">
        <v>7782</v>
      </c>
      <c r="B7785" s="2" t="s">
        <v>7862</v>
      </c>
      <c r="C7785" s="2" t="str">
        <f>"02780097"</f>
        <v>02780097</v>
      </c>
      <c r="D7785" s="2">
        <v>0.24299999999999999</v>
      </c>
      <c r="E7785" s="2">
        <v>15</v>
      </c>
      <c r="F7785" s="2" t="s">
        <v>6</v>
      </c>
    </row>
    <row r="7786" spans="1:6" ht="25.5">
      <c r="A7786" s="2">
        <v>7783</v>
      </c>
      <c r="B7786" s="2" t="s">
        <v>7863</v>
      </c>
      <c r="C7786" s="2" t="str">
        <f>"00189251"</f>
        <v>00189251</v>
      </c>
      <c r="D7786" s="2">
        <v>1.377</v>
      </c>
      <c r="E7786" s="2">
        <v>78</v>
      </c>
      <c r="F7786" s="2" t="s">
        <v>6</v>
      </c>
    </row>
    <row r="7787" spans="1:6" ht="25.5">
      <c r="A7787" s="2">
        <v>7784</v>
      </c>
      <c r="B7787" s="2" t="s">
        <v>7864</v>
      </c>
      <c r="C7787" s="2" t="str">
        <f>"19493045"</f>
        <v>19493045</v>
      </c>
      <c r="D7787" s="2">
        <v>1.9670000000000001</v>
      </c>
      <c r="E7787" s="2">
        <v>8</v>
      </c>
      <c r="F7787" s="2" t="s">
        <v>6</v>
      </c>
    </row>
    <row r="7788" spans="1:6" ht="25.5">
      <c r="A7788" s="2">
        <v>7785</v>
      </c>
      <c r="B7788" s="2" t="s">
        <v>7865</v>
      </c>
      <c r="C7788" s="2" t="str">
        <f>"0018926X"</f>
        <v>0018926X</v>
      </c>
      <c r="D7788" s="2">
        <v>2.1019999999999999</v>
      </c>
      <c r="E7788" s="2">
        <v>108</v>
      </c>
      <c r="F7788" s="2" t="s">
        <v>6</v>
      </c>
    </row>
    <row r="7789" spans="1:6" ht="25.5">
      <c r="A7789" s="2">
        <v>7786</v>
      </c>
      <c r="B7789" s="2" t="s">
        <v>7866</v>
      </c>
      <c r="C7789" s="2" t="str">
        <f>"10518223"</f>
        <v>10518223</v>
      </c>
      <c r="D7789" s="2">
        <v>0.51500000000000001</v>
      </c>
      <c r="E7789" s="2">
        <v>49</v>
      </c>
      <c r="F7789" s="2" t="s">
        <v>6</v>
      </c>
    </row>
    <row r="7790" spans="1:6" ht="25.5">
      <c r="A7790" s="2">
        <v>7787</v>
      </c>
      <c r="B7790" s="2" t="s">
        <v>7867</v>
      </c>
      <c r="C7790" s="2" t="str">
        <f>"15587924"</f>
        <v>15587924</v>
      </c>
      <c r="D7790" s="2">
        <v>1.613</v>
      </c>
      <c r="E7790" s="2">
        <v>83</v>
      </c>
      <c r="F7790" s="2" t="s">
        <v>6</v>
      </c>
    </row>
    <row r="7791" spans="1:6" ht="25.5">
      <c r="A7791" s="2">
        <v>7788</v>
      </c>
      <c r="B7791" s="2" t="s">
        <v>7868</v>
      </c>
      <c r="C7791" s="2" t="str">
        <f>"00189286"</f>
        <v>00189286</v>
      </c>
      <c r="D7791" s="2">
        <v>5.4589999999999996</v>
      </c>
      <c r="E7791" s="2">
        <v>162</v>
      </c>
      <c r="F7791" s="2" t="s">
        <v>6</v>
      </c>
    </row>
    <row r="7792" spans="1:6" ht="25.5">
      <c r="A7792" s="2">
        <v>7789</v>
      </c>
      <c r="B7792" s="2" t="s">
        <v>7869</v>
      </c>
      <c r="C7792" s="2" t="str">
        <f>"15455955"</f>
        <v>15455955</v>
      </c>
      <c r="D7792" s="2">
        <v>1.389</v>
      </c>
      <c r="E7792" s="2">
        <v>30</v>
      </c>
      <c r="F7792" s="2" t="s">
        <v>6</v>
      </c>
    </row>
    <row r="7793" spans="1:6" ht="25.5">
      <c r="A7793" s="2">
        <v>7790</v>
      </c>
      <c r="B7793" s="2" t="s">
        <v>7870</v>
      </c>
      <c r="C7793" s="2" t="str">
        <f>"19430612"</f>
        <v>19430612</v>
      </c>
      <c r="D7793" s="2">
        <v>1.3140000000000001</v>
      </c>
      <c r="E7793" s="2">
        <v>11</v>
      </c>
      <c r="F7793" s="2" t="s">
        <v>6</v>
      </c>
    </row>
    <row r="7794" spans="1:6" ht="25.5">
      <c r="A7794" s="2">
        <v>7791</v>
      </c>
      <c r="B7794" s="2" t="s">
        <v>7871</v>
      </c>
      <c r="C7794" s="2" t="str">
        <f>"19324545"</f>
        <v>19324545</v>
      </c>
      <c r="D7794" s="2">
        <v>1.508</v>
      </c>
      <c r="E7794" s="2">
        <v>25</v>
      </c>
      <c r="F7794" s="2" t="s">
        <v>6</v>
      </c>
    </row>
    <row r="7795" spans="1:6" ht="25.5">
      <c r="A7795" s="2">
        <v>7792</v>
      </c>
      <c r="B7795" s="2" t="s">
        <v>7872</v>
      </c>
      <c r="C7795" s="2" t="str">
        <f>"00189294"</f>
        <v>00189294</v>
      </c>
      <c r="D7795" s="2">
        <v>0.78900000000000003</v>
      </c>
      <c r="E7795" s="2">
        <v>107</v>
      </c>
      <c r="F7795" s="2" t="s">
        <v>6</v>
      </c>
    </row>
    <row r="7796" spans="1:6" ht="25.5">
      <c r="A7796" s="2">
        <v>7793</v>
      </c>
      <c r="B7796" s="2" t="s">
        <v>7873</v>
      </c>
      <c r="C7796" s="2" t="str">
        <f>"00189316"</f>
        <v>00189316</v>
      </c>
      <c r="D7796" s="2">
        <v>1.95</v>
      </c>
      <c r="E7796" s="2">
        <v>49</v>
      </c>
      <c r="F7796" s="2" t="s">
        <v>6</v>
      </c>
    </row>
    <row r="7797" spans="1:6" ht="25.5">
      <c r="A7797" s="2">
        <v>7794</v>
      </c>
      <c r="B7797" s="2" t="s">
        <v>7874</v>
      </c>
      <c r="C7797" s="2" t="str">
        <f>"10518215"</f>
        <v>10518215</v>
      </c>
      <c r="D7797" s="2">
        <v>1.835</v>
      </c>
      <c r="E7797" s="2">
        <v>115</v>
      </c>
      <c r="F7797" s="2" t="s">
        <v>6</v>
      </c>
    </row>
    <row r="7798" spans="1:6" ht="25.5">
      <c r="A7798" s="2">
        <v>7795</v>
      </c>
      <c r="B7798" s="2" t="s">
        <v>7875</v>
      </c>
      <c r="C7798" s="2" t="str">
        <f>"15498328"</f>
        <v>15498328</v>
      </c>
      <c r="D7798" s="2">
        <v>1.8029999999999999</v>
      </c>
      <c r="E7798" s="2">
        <v>59</v>
      </c>
      <c r="F7798" s="2" t="s">
        <v>6</v>
      </c>
    </row>
    <row r="7799" spans="1:6" ht="25.5">
      <c r="A7799" s="2">
        <v>7796</v>
      </c>
      <c r="B7799" s="2" t="s">
        <v>7876</v>
      </c>
      <c r="C7799" s="2" t="str">
        <f>"00906778"</f>
        <v>00906778</v>
      </c>
      <c r="D7799" s="2">
        <v>2.6960000000000002</v>
      </c>
      <c r="E7799" s="2">
        <v>141</v>
      </c>
      <c r="F7799" s="2" t="s">
        <v>6</v>
      </c>
    </row>
    <row r="7800" spans="1:6" ht="25.5">
      <c r="A7800" s="2">
        <v>7797</v>
      </c>
      <c r="B7800" s="2" t="s">
        <v>7877</v>
      </c>
      <c r="C7800" s="2" t="str">
        <f>"21563950"</f>
        <v>21563950</v>
      </c>
      <c r="D7800" s="2">
        <v>0.53500000000000003</v>
      </c>
      <c r="E7800" s="2">
        <v>8</v>
      </c>
      <c r="F7800" s="2" t="s">
        <v>6</v>
      </c>
    </row>
    <row r="7801" spans="1:6" ht="25.5">
      <c r="A7801" s="2">
        <v>7798</v>
      </c>
      <c r="B7801" s="2" t="s">
        <v>7878</v>
      </c>
      <c r="C7801" s="2" t="str">
        <f>"19430698"</f>
        <v>19430698</v>
      </c>
      <c r="D7801" s="2">
        <v>0.83099999999999996</v>
      </c>
      <c r="E7801" s="2">
        <v>14</v>
      </c>
      <c r="F7801" s="2" t="s">
        <v>6</v>
      </c>
    </row>
    <row r="7802" spans="1:6" ht="25.5">
      <c r="A7802" s="2">
        <v>7799</v>
      </c>
      <c r="B7802" s="2" t="s">
        <v>7879</v>
      </c>
      <c r="C7802" s="2" t="str">
        <f>"02780070"</f>
        <v>02780070</v>
      </c>
      <c r="D7802" s="2">
        <v>1.1850000000000001</v>
      </c>
      <c r="E7802" s="2">
        <v>78</v>
      </c>
      <c r="F7802" s="2" t="s">
        <v>6</v>
      </c>
    </row>
    <row r="7803" spans="1:6" ht="25.5">
      <c r="A7803" s="2">
        <v>7800</v>
      </c>
      <c r="B7803" s="2" t="s">
        <v>7880</v>
      </c>
      <c r="C7803" s="2" t="str">
        <f>"00189340"</f>
        <v>00189340</v>
      </c>
      <c r="D7803" s="2">
        <v>1.292</v>
      </c>
      <c r="E7803" s="2">
        <v>75</v>
      </c>
      <c r="F7803" s="2" t="s">
        <v>6</v>
      </c>
    </row>
    <row r="7804" spans="1:6" ht="25.5">
      <c r="A7804" s="2">
        <v>7801</v>
      </c>
      <c r="B7804" s="2" t="s">
        <v>7881</v>
      </c>
      <c r="C7804" s="2" t="str">
        <f>"00983063"</f>
        <v>00983063</v>
      </c>
      <c r="D7804" s="2">
        <v>0.83199999999999996</v>
      </c>
      <c r="E7804" s="2">
        <v>63</v>
      </c>
      <c r="F7804" s="2" t="s">
        <v>6</v>
      </c>
    </row>
    <row r="7805" spans="1:6" ht="25.5">
      <c r="A7805" s="2">
        <v>7802</v>
      </c>
      <c r="B7805" s="2" t="s">
        <v>7882</v>
      </c>
      <c r="C7805" s="2" t="str">
        <f>"10636536"</f>
        <v>10636536</v>
      </c>
      <c r="D7805" s="2">
        <v>2.0659999999999998</v>
      </c>
      <c r="E7805" s="2">
        <v>77</v>
      </c>
      <c r="F7805" s="2" t="s">
        <v>6</v>
      </c>
    </row>
    <row r="7806" spans="1:6" ht="25.5">
      <c r="A7806" s="2">
        <v>7803</v>
      </c>
      <c r="B7806" s="2" t="s">
        <v>7883</v>
      </c>
      <c r="C7806" s="2" t="str">
        <f>"15455971"</f>
        <v>15455971</v>
      </c>
      <c r="D7806" s="2">
        <v>1.1140000000000001</v>
      </c>
      <c r="E7806" s="2">
        <v>32</v>
      </c>
      <c r="F7806" s="2" t="s">
        <v>6</v>
      </c>
    </row>
    <row r="7807" spans="1:6" ht="25.5">
      <c r="A7807" s="2">
        <v>7804</v>
      </c>
      <c r="B7807" s="2" t="s">
        <v>7884</v>
      </c>
      <c r="C7807" s="2" t="str">
        <f>"15304388"</f>
        <v>15304388</v>
      </c>
      <c r="D7807" s="2">
        <v>0.77600000000000002</v>
      </c>
      <c r="E7807" s="2">
        <v>40</v>
      </c>
      <c r="F7807" s="2" t="s">
        <v>6</v>
      </c>
    </row>
    <row r="7808" spans="1:6" ht="25.5">
      <c r="A7808" s="2">
        <v>7805</v>
      </c>
      <c r="B7808" s="2" t="s">
        <v>7885</v>
      </c>
      <c r="C7808" s="2" t="str">
        <f>"10709878"</f>
        <v>10709878</v>
      </c>
      <c r="D7808" s="2">
        <v>0.66500000000000004</v>
      </c>
      <c r="E7808" s="2">
        <v>64</v>
      </c>
      <c r="F7808" s="2" t="s">
        <v>6</v>
      </c>
    </row>
    <row r="7809" spans="1:6" ht="25.5">
      <c r="A7809" s="2">
        <v>7806</v>
      </c>
      <c r="B7809" s="2" t="s">
        <v>7886</v>
      </c>
      <c r="C7809" s="2" t="str">
        <f>"00189359"</f>
        <v>00189359</v>
      </c>
      <c r="D7809" s="2">
        <v>0.67200000000000004</v>
      </c>
      <c r="E7809" s="2">
        <v>40</v>
      </c>
      <c r="F7809" s="2" t="s">
        <v>6</v>
      </c>
    </row>
    <row r="7810" spans="1:6" ht="25.5">
      <c r="A7810" s="2">
        <v>7807</v>
      </c>
      <c r="B7810" s="2" t="s">
        <v>7887</v>
      </c>
      <c r="C7810" s="2" t="str">
        <f>"00189375"</f>
        <v>00189375</v>
      </c>
      <c r="D7810" s="2">
        <v>1.0640000000000001</v>
      </c>
      <c r="E7810" s="2">
        <v>53</v>
      </c>
      <c r="F7810" s="2" t="s">
        <v>6</v>
      </c>
    </row>
    <row r="7811" spans="1:6" ht="25.5">
      <c r="A7811" s="2">
        <v>7808</v>
      </c>
      <c r="B7811" s="2" t="s">
        <v>7888</v>
      </c>
      <c r="C7811" s="2" t="str">
        <f>"00189383"</f>
        <v>00189383</v>
      </c>
      <c r="D7811" s="2">
        <v>1.2609999999999999</v>
      </c>
      <c r="E7811" s="2">
        <v>112</v>
      </c>
      <c r="F7811" s="2" t="s">
        <v>6</v>
      </c>
    </row>
    <row r="7812" spans="1:6" ht="25.5">
      <c r="A7812" s="2">
        <v>7809</v>
      </c>
      <c r="B7812" s="2" t="s">
        <v>7889</v>
      </c>
      <c r="C7812" s="2" t="str">
        <f>"08858969"</f>
        <v>08858969</v>
      </c>
      <c r="D7812" s="2">
        <v>2.7170000000000001</v>
      </c>
      <c r="E7812" s="2">
        <v>89</v>
      </c>
      <c r="F7812" s="2" t="s">
        <v>6</v>
      </c>
    </row>
    <row r="7813" spans="1:6" ht="25.5">
      <c r="A7813" s="2">
        <v>7810</v>
      </c>
      <c r="B7813" s="2" t="s">
        <v>7890</v>
      </c>
      <c r="C7813" s="2" t="str">
        <f>"00189391"</f>
        <v>00189391</v>
      </c>
      <c r="D7813" s="2">
        <v>0.71199999999999997</v>
      </c>
      <c r="E7813" s="2">
        <v>52</v>
      </c>
      <c r="F7813" s="2" t="s">
        <v>6</v>
      </c>
    </row>
    <row r="7814" spans="1:6" ht="25.5">
      <c r="A7814" s="2">
        <v>7811</v>
      </c>
      <c r="B7814" s="2" t="s">
        <v>7891</v>
      </c>
      <c r="C7814" s="2" t="str">
        <f>"1089778X"</f>
        <v>1089778X</v>
      </c>
      <c r="D7814" s="2">
        <v>4.6020000000000003</v>
      </c>
      <c r="E7814" s="2">
        <v>104</v>
      </c>
      <c r="F7814" s="2" t="s">
        <v>6</v>
      </c>
    </row>
    <row r="7815" spans="1:6" ht="25.5">
      <c r="A7815" s="2">
        <v>7812</v>
      </c>
      <c r="B7815" s="2" t="s">
        <v>7892</v>
      </c>
      <c r="C7815" s="2" t="str">
        <f>"10636706"</f>
        <v>10636706</v>
      </c>
      <c r="D7815" s="2">
        <v>4.1280000000000001</v>
      </c>
      <c r="E7815" s="2">
        <v>106</v>
      </c>
      <c r="F7815" s="2" t="s">
        <v>6</v>
      </c>
    </row>
    <row r="7816" spans="1:6" ht="25.5">
      <c r="A7816" s="2">
        <v>7813</v>
      </c>
      <c r="B7816" s="2" t="s">
        <v>7893</v>
      </c>
      <c r="C7816" s="2" t="str">
        <f>"01962892"</f>
        <v>01962892</v>
      </c>
      <c r="D7816" s="2">
        <v>2.206</v>
      </c>
      <c r="E7816" s="2">
        <v>125</v>
      </c>
      <c r="F7816" s="2" t="s">
        <v>6</v>
      </c>
    </row>
    <row r="7817" spans="1:6" ht="25.5">
      <c r="A7817" s="2">
        <v>7814</v>
      </c>
      <c r="B7817" s="2" t="s">
        <v>7894</v>
      </c>
      <c r="C7817" s="2" t="str">
        <f>"19391412"</f>
        <v>19391412</v>
      </c>
      <c r="D7817" s="2">
        <v>0.86399999999999999</v>
      </c>
      <c r="E7817" s="2">
        <v>15</v>
      </c>
      <c r="F7817" s="2" t="s">
        <v>6</v>
      </c>
    </row>
    <row r="7818" spans="1:6" ht="25.5">
      <c r="A7818" s="2">
        <v>7815</v>
      </c>
      <c r="B7818" s="2" t="s">
        <v>7895</v>
      </c>
      <c r="C7818" s="2" t="str">
        <f>"10577149"</f>
        <v>10577149</v>
      </c>
      <c r="D7818" s="2">
        <v>2.835</v>
      </c>
      <c r="E7818" s="2">
        <v>156</v>
      </c>
      <c r="F7818" s="2" t="s">
        <v>6</v>
      </c>
    </row>
    <row r="7819" spans="1:6" ht="25.5">
      <c r="A7819" s="2">
        <v>7816</v>
      </c>
      <c r="B7819" s="2" t="s">
        <v>7896</v>
      </c>
      <c r="C7819" s="2" t="str">
        <f>"02780046"</f>
        <v>02780046</v>
      </c>
      <c r="D7819" s="2">
        <v>3.4809999999999999</v>
      </c>
      <c r="E7819" s="2">
        <v>116</v>
      </c>
      <c r="F7819" s="2" t="s">
        <v>6</v>
      </c>
    </row>
    <row r="7820" spans="1:6" ht="25.5">
      <c r="A7820" s="2">
        <v>7817</v>
      </c>
      <c r="B7820" s="2" t="s">
        <v>7897</v>
      </c>
      <c r="C7820" s="2" t="str">
        <f>"15513203"</f>
        <v>15513203</v>
      </c>
      <c r="D7820" s="2">
        <v>1.2350000000000001</v>
      </c>
      <c r="E7820" s="2">
        <v>31</v>
      </c>
      <c r="F7820" s="2" t="s">
        <v>6</v>
      </c>
    </row>
    <row r="7821" spans="1:6" ht="25.5">
      <c r="A7821" s="2">
        <v>7818</v>
      </c>
      <c r="B7821" s="2" t="s">
        <v>7898</v>
      </c>
      <c r="C7821" s="2" t="str">
        <f>"00939994"</f>
        <v>00939994</v>
      </c>
      <c r="D7821" s="2">
        <v>2.1949999999999998</v>
      </c>
      <c r="E7821" s="2">
        <v>107</v>
      </c>
      <c r="F7821" s="2" t="s">
        <v>6</v>
      </c>
    </row>
    <row r="7822" spans="1:6" ht="25.5">
      <c r="A7822" s="2">
        <v>7819</v>
      </c>
      <c r="B7822" s="2" t="s">
        <v>7899</v>
      </c>
      <c r="C7822" s="2" t="str">
        <f>"15566013"</f>
        <v>15566013</v>
      </c>
      <c r="D7822" s="2">
        <v>1.6830000000000001</v>
      </c>
      <c r="E7822" s="2">
        <v>39</v>
      </c>
      <c r="F7822" s="2" t="s">
        <v>6</v>
      </c>
    </row>
    <row r="7823" spans="1:6" ht="25.5">
      <c r="A7823" s="2">
        <v>7820</v>
      </c>
      <c r="B7823" s="2" t="s">
        <v>7900</v>
      </c>
      <c r="C7823" s="2" t="str">
        <f>"10897771"</f>
        <v>10897771</v>
      </c>
      <c r="D7823" s="2">
        <v>0.877</v>
      </c>
      <c r="E7823" s="2">
        <v>55</v>
      </c>
      <c r="F7823" s="2" t="s">
        <v>6</v>
      </c>
    </row>
    <row r="7824" spans="1:6" ht="25.5">
      <c r="A7824" s="2">
        <v>7821</v>
      </c>
      <c r="B7824" s="2" t="s">
        <v>7901</v>
      </c>
      <c r="C7824" s="2" t="str">
        <f>"00189448"</f>
        <v>00189448</v>
      </c>
      <c r="D7824" s="2">
        <v>4.1310000000000002</v>
      </c>
      <c r="E7824" s="2">
        <v>176</v>
      </c>
      <c r="F7824" s="2" t="s">
        <v>6</v>
      </c>
    </row>
    <row r="7825" spans="1:6" ht="25.5">
      <c r="A7825" s="2">
        <v>7822</v>
      </c>
      <c r="B7825" s="2" t="s">
        <v>7902</v>
      </c>
      <c r="C7825" s="2" t="str">
        <f>"00189456"</f>
        <v>00189456</v>
      </c>
      <c r="D7825" s="2">
        <v>0.80800000000000005</v>
      </c>
      <c r="E7825" s="2">
        <v>61</v>
      </c>
      <c r="F7825" s="2" t="s">
        <v>6</v>
      </c>
    </row>
    <row r="7826" spans="1:6" ht="25.5">
      <c r="A7826" s="2">
        <v>7823</v>
      </c>
      <c r="B7826" s="2" t="s">
        <v>7903</v>
      </c>
      <c r="C7826" s="2" t="str">
        <f>"15249050"</f>
        <v>15249050</v>
      </c>
      <c r="D7826" s="2">
        <v>2.0710000000000002</v>
      </c>
      <c r="E7826" s="2">
        <v>57</v>
      </c>
      <c r="F7826" s="2" t="s">
        <v>6</v>
      </c>
    </row>
    <row r="7827" spans="1:6" ht="25.5">
      <c r="A7827" s="2">
        <v>7824</v>
      </c>
      <c r="B7827" s="2" t="s">
        <v>7904</v>
      </c>
      <c r="C7827" s="2" t="str">
        <f>"10414347"</f>
        <v>10414347</v>
      </c>
      <c r="D7827" s="2">
        <v>2.6749999999999998</v>
      </c>
      <c r="E7827" s="2">
        <v>94</v>
      </c>
      <c r="F7827" s="2" t="s">
        <v>6</v>
      </c>
    </row>
    <row r="7828" spans="1:6" ht="25.5">
      <c r="A7828" s="2">
        <v>7825</v>
      </c>
      <c r="B7828" s="2" t="s">
        <v>7905</v>
      </c>
      <c r="C7828" s="2" t="str">
        <f>"19391382"</f>
        <v>19391382</v>
      </c>
      <c r="D7828" s="2">
        <v>0.82899999999999996</v>
      </c>
      <c r="E7828" s="2">
        <v>13</v>
      </c>
      <c r="F7828" s="2" t="s">
        <v>6</v>
      </c>
    </row>
    <row r="7829" spans="1:6" ht="25.5">
      <c r="A7829" s="2">
        <v>7826</v>
      </c>
      <c r="B7829" s="2" t="s">
        <v>7906</v>
      </c>
      <c r="C7829" s="2" t="str">
        <f>"00189464"</f>
        <v>00189464</v>
      </c>
      <c r="D7829" s="2">
        <v>0.83099999999999996</v>
      </c>
      <c r="E7829" s="2">
        <v>79</v>
      </c>
      <c r="F7829" s="2" t="s">
        <v>6</v>
      </c>
    </row>
    <row r="7830" spans="1:6" ht="25.5">
      <c r="A7830" s="2">
        <v>7827</v>
      </c>
      <c r="B7830" s="2" t="s">
        <v>7907</v>
      </c>
      <c r="C7830" s="2" t="str">
        <f>"15580062"</f>
        <v>15580062</v>
      </c>
      <c r="D7830" s="2">
        <v>1.665</v>
      </c>
      <c r="E7830" s="2">
        <v>131</v>
      </c>
      <c r="F7830" s="2" t="s">
        <v>6</v>
      </c>
    </row>
    <row r="7831" spans="1:6" ht="25.5">
      <c r="A7831" s="2">
        <v>7828</v>
      </c>
      <c r="B7831" s="2" t="s">
        <v>7908</v>
      </c>
      <c r="C7831" s="2" t="str">
        <f>"00189480"</f>
        <v>00189480</v>
      </c>
      <c r="D7831" s="2">
        <v>2.2829999999999999</v>
      </c>
      <c r="E7831" s="2">
        <v>124</v>
      </c>
      <c r="F7831" s="2" t="s">
        <v>6</v>
      </c>
    </row>
    <row r="7832" spans="1:6" ht="25.5">
      <c r="A7832" s="2">
        <v>7829</v>
      </c>
      <c r="B7832" s="2" t="s">
        <v>7909</v>
      </c>
      <c r="C7832" s="2" t="str">
        <f>"15361233"</f>
        <v>15361233</v>
      </c>
      <c r="D7832" s="2">
        <v>3.302</v>
      </c>
      <c r="E7832" s="2">
        <v>69</v>
      </c>
      <c r="F7832" s="2" t="s">
        <v>6</v>
      </c>
    </row>
    <row r="7833" spans="1:6" ht="25.5">
      <c r="A7833" s="2">
        <v>7830</v>
      </c>
      <c r="B7833" s="2" t="s">
        <v>7910</v>
      </c>
      <c r="C7833" s="2" t="str">
        <f>"15209210"</f>
        <v>15209210</v>
      </c>
      <c r="D7833" s="2">
        <v>1.68</v>
      </c>
      <c r="E7833" s="2">
        <v>69</v>
      </c>
      <c r="F7833" s="2" t="s">
        <v>6</v>
      </c>
    </row>
    <row r="7834" spans="1:6" ht="25.5">
      <c r="A7834" s="2">
        <v>7831</v>
      </c>
      <c r="B7834" s="2" t="s">
        <v>7911</v>
      </c>
      <c r="C7834" s="2" t="str">
        <f>"15361241"</f>
        <v>15361241</v>
      </c>
      <c r="D7834" s="2">
        <v>0.40500000000000003</v>
      </c>
      <c r="E7834" s="2">
        <v>33</v>
      </c>
      <c r="F7834" s="2" t="s">
        <v>6</v>
      </c>
    </row>
    <row r="7835" spans="1:6" ht="25.5">
      <c r="A7835" s="2">
        <v>7832</v>
      </c>
      <c r="B7835" s="2" t="s">
        <v>7912</v>
      </c>
      <c r="C7835" s="2" t="str">
        <f>"1536125X"</f>
        <v>1536125X</v>
      </c>
      <c r="D7835" s="2">
        <v>0.87</v>
      </c>
      <c r="E7835" s="2">
        <v>46</v>
      </c>
      <c r="F7835" s="2" t="s">
        <v>6</v>
      </c>
    </row>
    <row r="7836" spans="1:6" ht="25.5">
      <c r="A7836" s="2">
        <v>7833</v>
      </c>
      <c r="B7836" s="2" t="s">
        <v>7913</v>
      </c>
      <c r="C7836" s="2" t="str">
        <f>"19324537"</f>
        <v>19324537</v>
      </c>
      <c r="D7836" s="2">
        <v>1.01</v>
      </c>
      <c r="E7836" s="2">
        <v>11</v>
      </c>
      <c r="F7836" s="2" t="s">
        <v>6</v>
      </c>
    </row>
    <row r="7837" spans="1:6" ht="25.5">
      <c r="A7837" s="2">
        <v>7834</v>
      </c>
      <c r="B7837" s="2" t="s">
        <v>7914</v>
      </c>
      <c r="C7837" s="2" t="str">
        <f>"10459227"</f>
        <v>10459227</v>
      </c>
      <c r="D7837" s="2">
        <v>1.48</v>
      </c>
      <c r="E7837" s="2">
        <v>118</v>
      </c>
      <c r="F7837" s="2" t="s">
        <v>6</v>
      </c>
    </row>
    <row r="7838" spans="1:6" ht="25.5">
      <c r="A7838" s="2">
        <v>7835</v>
      </c>
      <c r="B7838" s="2" t="s">
        <v>7915</v>
      </c>
      <c r="C7838" s="2" t="str">
        <f>"15580210"</f>
        <v>15580210</v>
      </c>
      <c r="D7838" s="2">
        <v>0.90700000000000003</v>
      </c>
      <c r="E7838" s="2">
        <v>77</v>
      </c>
      <c r="F7838" s="2" t="s">
        <v>6</v>
      </c>
    </row>
    <row r="7839" spans="1:6" ht="25.5">
      <c r="A7839" s="2">
        <v>7836</v>
      </c>
      <c r="B7839" s="2" t="s">
        <v>7916</v>
      </c>
      <c r="C7839" s="2" t="str">
        <f>"00189499"</f>
        <v>00189499</v>
      </c>
      <c r="D7839" s="2">
        <v>0.72599999999999998</v>
      </c>
      <c r="E7839" s="2">
        <v>77</v>
      </c>
      <c r="F7839" s="2" t="s">
        <v>6</v>
      </c>
    </row>
    <row r="7840" spans="1:6" ht="25.5">
      <c r="A7840" s="2">
        <v>7837</v>
      </c>
      <c r="B7840" s="2" t="s">
        <v>7917</v>
      </c>
      <c r="C7840" s="2" t="str">
        <f>"10459219"</f>
        <v>10459219</v>
      </c>
      <c r="D7840" s="2">
        <v>1.419</v>
      </c>
      <c r="E7840" s="2">
        <v>72</v>
      </c>
      <c r="F7840" s="2" t="s">
        <v>6</v>
      </c>
    </row>
    <row r="7841" spans="1:6" ht="25.5">
      <c r="A7841" s="2">
        <v>7838</v>
      </c>
      <c r="B7841" s="2" t="s">
        <v>7918</v>
      </c>
      <c r="C7841" s="2" t="str">
        <f>"01628828"</f>
        <v>01628828</v>
      </c>
      <c r="D7841" s="2">
        <v>8.0939999999999994</v>
      </c>
      <c r="E7841" s="2">
        <v>200</v>
      </c>
      <c r="F7841" s="2" t="s">
        <v>6</v>
      </c>
    </row>
    <row r="7842" spans="1:6" ht="25.5">
      <c r="A7842" s="2">
        <v>7839</v>
      </c>
      <c r="B7842" s="2" t="s">
        <v>7919</v>
      </c>
      <c r="C7842" s="2" t="str">
        <f>"00933813"</f>
        <v>00933813</v>
      </c>
      <c r="D7842" s="2">
        <v>0.51900000000000002</v>
      </c>
      <c r="E7842" s="2">
        <v>67</v>
      </c>
      <c r="F7842" s="2" t="s">
        <v>6</v>
      </c>
    </row>
    <row r="7843" spans="1:6" ht="25.5">
      <c r="A7843" s="2">
        <v>7840</v>
      </c>
      <c r="B7843" s="2" t="s">
        <v>7920</v>
      </c>
      <c r="C7843" s="2" t="str">
        <f>"08858977"</f>
        <v>08858977</v>
      </c>
      <c r="D7843" s="2">
        <v>1.9219999999999999</v>
      </c>
      <c r="E7843" s="2">
        <v>95</v>
      </c>
      <c r="F7843" s="2" t="s">
        <v>6</v>
      </c>
    </row>
    <row r="7844" spans="1:6" ht="25.5">
      <c r="A7844" s="2">
        <v>7841</v>
      </c>
      <c r="B7844" s="2" t="s">
        <v>7921</v>
      </c>
      <c r="C7844" s="2" t="str">
        <f>"08858993"</f>
        <v>08858993</v>
      </c>
      <c r="D7844" s="2">
        <v>3.3079999999999998</v>
      </c>
      <c r="E7844" s="2">
        <v>111</v>
      </c>
      <c r="F7844" s="2" t="s">
        <v>6</v>
      </c>
    </row>
    <row r="7845" spans="1:6" ht="25.5">
      <c r="A7845" s="2">
        <v>7842</v>
      </c>
      <c r="B7845" s="2" t="s">
        <v>7922</v>
      </c>
      <c r="C7845" s="2" t="str">
        <f>"08858950"</f>
        <v>08858950</v>
      </c>
      <c r="D7845" s="2">
        <v>2.8370000000000002</v>
      </c>
      <c r="E7845" s="2">
        <v>129</v>
      </c>
      <c r="F7845" s="2" t="s">
        <v>6</v>
      </c>
    </row>
    <row r="7846" spans="1:6" ht="25.5">
      <c r="A7846" s="2">
        <v>7843</v>
      </c>
      <c r="B7846" s="2" t="s">
        <v>7923</v>
      </c>
      <c r="C7846" s="2" t="str">
        <f>"03611434"</f>
        <v>03611434</v>
      </c>
      <c r="D7846" s="2">
        <v>0.53</v>
      </c>
      <c r="E7846" s="2">
        <v>26</v>
      </c>
      <c r="F7846" s="2" t="s">
        <v>6</v>
      </c>
    </row>
    <row r="7847" spans="1:6" ht="25.5">
      <c r="A7847" s="2">
        <v>7844</v>
      </c>
      <c r="B7847" s="2" t="s">
        <v>7924</v>
      </c>
      <c r="C7847" s="2" t="str">
        <f>"00189529"</f>
        <v>00189529</v>
      </c>
      <c r="D7847" s="2">
        <v>1.4319999999999999</v>
      </c>
      <c r="E7847" s="2">
        <v>49</v>
      </c>
      <c r="F7847" s="2" t="s">
        <v>6</v>
      </c>
    </row>
    <row r="7848" spans="1:6" ht="25.5">
      <c r="A7848" s="2">
        <v>7845</v>
      </c>
      <c r="B7848" s="2" t="s">
        <v>7925</v>
      </c>
      <c r="C7848" s="2" t="str">
        <f>"15523098"</f>
        <v>15523098</v>
      </c>
      <c r="D7848" s="2">
        <v>3.3029999999999999</v>
      </c>
      <c r="E7848" s="2">
        <v>64</v>
      </c>
      <c r="F7848" s="2" t="s">
        <v>6</v>
      </c>
    </row>
    <row r="7849" spans="1:6" ht="25.5">
      <c r="A7849" s="2">
        <v>7846</v>
      </c>
      <c r="B7849" s="2" t="s">
        <v>7926</v>
      </c>
      <c r="C7849" s="2" t="str">
        <f>"08946507"</f>
        <v>08946507</v>
      </c>
      <c r="D7849" s="2">
        <v>0.48</v>
      </c>
      <c r="E7849" s="2">
        <v>44</v>
      </c>
      <c r="F7849" s="2" t="s">
        <v>6</v>
      </c>
    </row>
    <row r="7850" spans="1:6" ht="25.5">
      <c r="A7850" s="2">
        <v>7847</v>
      </c>
      <c r="B7850" s="2" t="s">
        <v>7927</v>
      </c>
      <c r="C7850" s="2" t="str">
        <f>"19391374"</f>
        <v>19391374</v>
      </c>
      <c r="D7850" s="2">
        <v>2.988</v>
      </c>
      <c r="E7850" s="2">
        <v>21</v>
      </c>
      <c r="F7850" s="2" t="s">
        <v>6</v>
      </c>
    </row>
    <row r="7851" spans="1:6" ht="25.5">
      <c r="A7851" s="2">
        <v>7848</v>
      </c>
      <c r="B7851" s="2" t="s">
        <v>7928</v>
      </c>
      <c r="C7851" s="2" t="str">
        <f>"1053587X"</f>
        <v>1053587X</v>
      </c>
      <c r="D7851" s="2">
        <v>3.7149999999999999</v>
      </c>
      <c r="E7851" s="2">
        <v>151</v>
      </c>
      <c r="F7851" s="2" t="s">
        <v>6</v>
      </c>
    </row>
    <row r="7852" spans="1:6" ht="25.5">
      <c r="A7852" s="2">
        <v>7849</v>
      </c>
      <c r="B7852" s="2" t="s">
        <v>7929</v>
      </c>
      <c r="C7852" s="2" t="str">
        <f>"19493053"</f>
        <v>19493053</v>
      </c>
      <c r="D7852" s="2">
        <v>3.0350000000000001</v>
      </c>
      <c r="E7852" s="2">
        <v>25</v>
      </c>
      <c r="F7852" s="2" t="s">
        <v>6</v>
      </c>
    </row>
    <row r="7853" spans="1:6" ht="25.5">
      <c r="A7853" s="2">
        <v>7850</v>
      </c>
      <c r="B7853" s="2" t="s">
        <v>7930</v>
      </c>
      <c r="C7853" s="2" t="str">
        <f>"00985589"</f>
        <v>00985589</v>
      </c>
      <c r="D7853" s="2">
        <v>3.3929999999999998</v>
      </c>
      <c r="E7853" s="2">
        <v>100</v>
      </c>
      <c r="F7853" s="2" t="s">
        <v>6</v>
      </c>
    </row>
    <row r="7854" spans="1:6" ht="25.5">
      <c r="A7854" s="2">
        <v>7851</v>
      </c>
      <c r="B7854" s="2" t="s">
        <v>7931</v>
      </c>
      <c r="C7854" s="2" t="str">
        <f>"19493029"</f>
        <v>19493029</v>
      </c>
      <c r="D7854" s="2">
        <v>1.766</v>
      </c>
      <c r="E7854" s="2">
        <v>14</v>
      </c>
      <c r="F7854" s="2" t="s">
        <v>6</v>
      </c>
    </row>
    <row r="7855" spans="1:6" ht="25.5">
      <c r="A7855" s="2">
        <v>7852</v>
      </c>
      <c r="B7855" s="2" t="s">
        <v>7932</v>
      </c>
      <c r="C7855" s="2" t="str">
        <f>"10834427"</f>
        <v>10834427</v>
      </c>
      <c r="D7855" s="2">
        <v>1.976</v>
      </c>
      <c r="E7855" s="2">
        <v>66</v>
      </c>
      <c r="F7855" s="2" t="s">
        <v>6</v>
      </c>
    </row>
    <row r="7856" spans="1:6" ht="25.5">
      <c r="A7856" s="2">
        <v>7853</v>
      </c>
      <c r="B7856" s="2" t="s">
        <v>7933</v>
      </c>
      <c r="C7856" s="2" t="str">
        <f>"10834419"</f>
        <v>10834419</v>
      </c>
      <c r="D7856" s="2">
        <v>2.7549999999999999</v>
      </c>
      <c r="E7856" s="2">
        <v>90</v>
      </c>
      <c r="F7856" s="2" t="s">
        <v>6</v>
      </c>
    </row>
    <row r="7857" spans="1:6" ht="25.5">
      <c r="A7857" s="2">
        <v>7854</v>
      </c>
      <c r="B7857" s="2" t="s">
        <v>7934</v>
      </c>
      <c r="C7857" s="2" t="str">
        <f>"10946977"</f>
        <v>10946977</v>
      </c>
      <c r="D7857" s="2">
        <v>1.718</v>
      </c>
      <c r="E7857" s="2">
        <v>61</v>
      </c>
      <c r="F7857" s="2" t="s">
        <v>6</v>
      </c>
    </row>
    <row r="7858" spans="1:6" ht="25.5">
      <c r="A7858" s="2">
        <v>7855</v>
      </c>
      <c r="B7858" s="2" t="s">
        <v>7935</v>
      </c>
      <c r="C7858" s="2" t="str">
        <f>"2156342X"</f>
        <v>2156342X</v>
      </c>
      <c r="D7858" s="2">
        <v>3.34</v>
      </c>
      <c r="E7858" s="2">
        <v>9</v>
      </c>
      <c r="F7858" s="2" t="s">
        <v>6</v>
      </c>
    </row>
    <row r="7859" spans="1:6" ht="25.5">
      <c r="A7859" s="2">
        <v>7856</v>
      </c>
      <c r="B7859" s="2" t="s">
        <v>7936</v>
      </c>
      <c r="C7859" s="2" t="str">
        <f>"08853010"</f>
        <v>08853010</v>
      </c>
      <c r="D7859" s="2">
        <v>0.79600000000000004</v>
      </c>
      <c r="E7859" s="2">
        <v>78</v>
      </c>
      <c r="F7859" s="2" t="s">
        <v>6</v>
      </c>
    </row>
    <row r="7860" spans="1:6" ht="25.5">
      <c r="A7860" s="2">
        <v>7857</v>
      </c>
      <c r="B7860" s="2" t="s">
        <v>7937</v>
      </c>
      <c r="C7860" s="2" t="str">
        <f>"00189545"</f>
        <v>00189545</v>
      </c>
      <c r="D7860" s="2">
        <v>2.3069999999999999</v>
      </c>
      <c r="E7860" s="2">
        <v>89</v>
      </c>
      <c r="F7860" s="2" t="s">
        <v>6</v>
      </c>
    </row>
    <row r="7861" spans="1:6" ht="25.5">
      <c r="A7861" s="2">
        <v>7858</v>
      </c>
      <c r="B7861" s="2" t="s">
        <v>7938</v>
      </c>
      <c r="C7861" s="2" t="str">
        <f>"10638210"</f>
        <v>10638210</v>
      </c>
      <c r="D7861" s="2">
        <v>0.95899999999999996</v>
      </c>
      <c r="E7861" s="2">
        <v>65</v>
      </c>
      <c r="F7861" s="2" t="s">
        <v>6</v>
      </c>
    </row>
    <row r="7862" spans="1:6" ht="25.5">
      <c r="A7862" s="2">
        <v>7859</v>
      </c>
      <c r="B7862" s="2" t="s">
        <v>7939</v>
      </c>
      <c r="C7862" s="2" t="str">
        <f>"10772626"</f>
        <v>10772626</v>
      </c>
      <c r="D7862" s="2">
        <v>1.89</v>
      </c>
      <c r="E7862" s="2">
        <v>69</v>
      </c>
      <c r="F7862" s="2" t="s">
        <v>6</v>
      </c>
    </row>
    <row r="7863" spans="1:6" ht="25.5">
      <c r="A7863" s="2">
        <v>7860</v>
      </c>
      <c r="B7863" s="2" t="s">
        <v>7940</v>
      </c>
      <c r="C7863" s="2" t="str">
        <f>"15361276"</f>
        <v>15361276</v>
      </c>
      <c r="D7863" s="2">
        <v>3.6480000000000001</v>
      </c>
      <c r="E7863" s="2">
        <v>104</v>
      </c>
      <c r="F7863" s="2" t="s">
        <v>6</v>
      </c>
    </row>
    <row r="7864" spans="1:6" ht="25.5">
      <c r="A7864" s="2">
        <v>7861</v>
      </c>
      <c r="B7864" s="2" t="s">
        <v>7941</v>
      </c>
      <c r="C7864" s="2" t="str">
        <f>"07400551"</f>
        <v>07400551</v>
      </c>
      <c r="D7864" s="2">
        <v>0.115</v>
      </c>
      <c r="E7864" s="2">
        <v>62</v>
      </c>
      <c r="F7864" s="2" t="s">
        <v>6</v>
      </c>
    </row>
    <row r="7865" spans="1:6" ht="25.5">
      <c r="A7865" s="2">
        <v>7862</v>
      </c>
      <c r="B7865" s="2" t="s">
        <v>7942</v>
      </c>
      <c r="C7865" s="2" t="str">
        <f>"15566072"</f>
        <v>15566072</v>
      </c>
      <c r="D7865" s="2">
        <v>0.76500000000000001</v>
      </c>
      <c r="E7865" s="2">
        <v>18</v>
      </c>
      <c r="F7865" s="2" t="s">
        <v>6</v>
      </c>
    </row>
    <row r="7866" spans="1:6" ht="25.5">
      <c r="A7866" s="2">
        <v>7863</v>
      </c>
      <c r="B7866" s="2" t="s">
        <v>7943</v>
      </c>
      <c r="C7866" s="2" t="str">
        <f>"15361284"</f>
        <v>15361284</v>
      </c>
      <c r="D7866" s="2">
        <v>2.9020000000000001</v>
      </c>
      <c r="E7866" s="2">
        <v>89</v>
      </c>
      <c r="F7866" s="2" t="s">
        <v>6</v>
      </c>
    </row>
    <row r="7867" spans="1:6" ht="25.5">
      <c r="A7867" s="2">
        <v>7864</v>
      </c>
      <c r="B7867" s="2" t="s">
        <v>7944</v>
      </c>
      <c r="C7867" s="2" t="str">
        <f>"21622337"</f>
        <v>21622337</v>
      </c>
      <c r="D7867" s="2">
        <v>0</v>
      </c>
      <c r="E7867" s="2">
        <v>4</v>
      </c>
      <c r="F7867" s="2" t="s">
        <v>6</v>
      </c>
    </row>
    <row r="7868" spans="1:6" ht="25.5">
      <c r="A7868" s="2">
        <v>7865</v>
      </c>
      <c r="B7868" s="2" t="s">
        <v>7945</v>
      </c>
      <c r="C7868" s="2" t="str">
        <f>"19314973"</f>
        <v>19314973</v>
      </c>
      <c r="D7868" s="2">
        <v>0.29099999999999998</v>
      </c>
      <c r="E7868" s="2">
        <v>12</v>
      </c>
      <c r="F7868" s="2" t="s">
        <v>6</v>
      </c>
    </row>
    <row r="7869" spans="1:6" ht="25.5">
      <c r="A7869" s="2">
        <v>7866</v>
      </c>
      <c r="B7869" s="2" t="s">
        <v>7946</v>
      </c>
      <c r="C7869" s="2" t="str">
        <f>"03854221"</f>
        <v>03854221</v>
      </c>
      <c r="D7869" s="2">
        <v>0.223</v>
      </c>
      <c r="E7869" s="2">
        <v>8</v>
      </c>
      <c r="F7869" s="2" t="s">
        <v>131</v>
      </c>
    </row>
    <row r="7870" spans="1:6" ht="25.5">
      <c r="A7870" s="2">
        <v>7867</v>
      </c>
      <c r="B7870" s="2" t="s">
        <v>7947</v>
      </c>
      <c r="C7870" s="2" t="str">
        <f>"13475533"</f>
        <v>13475533</v>
      </c>
      <c r="D7870" s="2">
        <v>0.25600000000000001</v>
      </c>
      <c r="E7870" s="2">
        <v>12</v>
      </c>
      <c r="F7870" s="2" t="s">
        <v>131</v>
      </c>
    </row>
    <row r="7871" spans="1:6" ht="25.5">
      <c r="A7871" s="2">
        <v>7868</v>
      </c>
      <c r="B7871" s="2" t="s">
        <v>7948</v>
      </c>
      <c r="C7871" s="2" t="str">
        <f>"13488163"</f>
        <v>13488163</v>
      </c>
      <c r="D7871" s="2">
        <v>0.27100000000000002</v>
      </c>
      <c r="E7871" s="2">
        <v>13</v>
      </c>
      <c r="F7871" s="2" t="s">
        <v>131</v>
      </c>
    </row>
    <row r="7872" spans="1:6" ht="25.5">
      <c r="A7872" s="2">
        <v>7869</v>
      </c>
      <c r="B7872" s="2" t="s">
        <v>7949</v>
      </c>
      <c r="C7872" s="2" t="str">
        <f>"13488147"</f>
        <v>13488147</v>
      </c>
      <c r="D7872" s="2">
        <v>0.30099999999999999</v>
      </c>
      <c r="E7872" s="2">
        <v>11</v>
      </c>
      <c r="F7872" s="2" t="s">
        <v>131</v>
      </c>
    </row>
    <row r="7873" spans="1:6" ht="25.5">
      <c r="A7873" s="2">
        <v>7870</v>
      </c>
      <c r="B7873" s="2" t="s">
        <v>7950</v>
      </c>
      <c r="C7873" s="2" t="str">
        <f>"13475525"</f>
        <v>13475525</v>
      </c>
      <c r="D7873" s="2">
        <v>0.25700000000000001</v>
      </c>
      <c r="E7873" s="2">
        <v>7</v>
      </c>
      <c r="F7873" s="2" t="s">
        <v>131</v>
      </c>
    </row>
    <row r="7874" spans="1:6" ht="25.5">
      <c r="A7874" s="2">
        <v>7871</v>
      </c>
      <c r="B7874" s="2" t="s">
        <v>7951</v>
      </c>
      <c r="C7874" s="2" t="str">
        <f>"13492543"</f>
        <v>13492543</v>
      </c>
      <c r="D7874" s="2">
        <v>0.26800000000000002</v>
      </c>
      <c r="E7874" s="2">
        <v>16</v>
      </c>
      <c r="F7874" s="2" t="s">
        <v>131</v>
      </c>
    </row>
    <row r="7875" spans="1:6" ht="25.5">
      <c r="A7875" s="2">
        <v>7872</v>
      </c>
      <c r="B7875" s="2" t="s">
        <v>7952</v>
      </c>
      <c r="C7875" s="2" t="str">
        <f>"09168516"</f>
        <v>09168516</v>
      </c>
      <c r="D7875" s="2">
        <v>0.27700000000000002</v>
      </c>
      <c r="E7875" s="2">
        <v>38</v>
      </c>
      <c r="F7875" s="2" t="s">
        <v>131</v>
      </c>
    </row>
    <row r="7876" spans="1:6" ht="25.5">
      <c r="A7876" s="2">
        <v>7873</v>
      </c>
      <c r="B7876" s="2" t="s">
        <v>7953</v>
      </c>
      <c r="C7876" s="2" t="str">
        <f>"09168524"</f>
        <v>09168524</v>
      </c>
      <c r="D7876" s="2">
        <v>0.22600000000000001</v>
      </c>
      <c r="E7876" s="2">
        <v>34</v>
      </c>
      <c r="F7876" s="2" t="s">
        <v>131</v>
      </c>
    </row>
    <row r="7877" spans="1:6" ht="25.5">
      <c r="A7877" s="2">
        <v>7874</v>
      </c>
      <c r="B7877" s="2" t="s">
        <v>7954</v>
      </c>
      <c r="C7877" s="2" t="str">
        <f>"09168508"</f>
        <v>09168508</v>
      </c>
      <c r="D7877" s="2">
        <v>0.27400000000000002</v>
      </c>
      <c r="E7877" s="2">
        <v>36</v>
      </c>
      <c r="F7877" s="2" t="s">
        <v>131</v>
      </c>
    </row>
    <row r="7878" spans="1:6" ht="25.5">
      <c r="A7878" s="2">
        <v>7875</v>
      </c>
      <c r="B7878" s="2" t="s">
        <v>7955</v>
      </c>
      <c r="C7878" s="2" t="str">
        <f>"09168532"</f>
        <v>09168532</v>
      </c>
      <c r="D7878" s="2">
        <v>0.22800000000000001</v>
      </c>
      <c r="E7878" s="2">
        <v>32</v>
      </c>
      <c r="F7878" s="2" t="s">
        <v>131</v>
      </c>
    </row>
    <row r="7879" spans="1:6" ht="25.5">
      <c r="A7879" s="2">
        <v>7876</v>
      </c>
      <c r="B7879" s="2" t="s">
        <v>7956</v>
      </c>
      <c r="C7879" s="2" t="str">
        <f>"20474946"</f>
        <v>20474946</v>
      </c>
      <c r="D7879" s="2">
        <v>0</v>
      </c>
      <c r="E7879" s="2">
        <v>1</v>
      </c>
      <c r="F7879" s="2" t="s">
        <v>16</v>
      </c>
    </row>
    <row r="7880" spans="1:6" ht="25.5">
      <c r="A7880" s="2">
        <v>7877</v>
      </c>
      <c r="B7880" s="2" t="s">
        <v>7957</v>
      </c>
      <c r="C7880" s="2" t="str">
        <f>"17518598"</f>
        <v>17518598</v>
      </c>
      <c r="D7880" s="2">
        <v>0.47199999999999998</v>
      </c>
      <c r="E7880" s="2">
        <v>30</v>
      </c>
      <c r="F7880" s="2" t="s">
        <v>16</v>
      </c>
    </row>
    <row r="7881" spans="1:6" ht="25.5">
      <c r="A7881" s="2">
        <v>7878</v>
      </c>
      <c r="B7881" s="2" t="s">
        <v>7958</v>
      </c>
      <c r="C7881" s="2" t="str">
        <f>"17518628"</f>
        <v>17518628</v>
      </c>
      <c r="D7881" s="2">
        <v>0.61699999999999999</v>
      </c>
      <c r="E7881" s="2">
        <v>34</v>
      </c>
      <c r="F7881" s="2" t="s">
        <v>16</v>
      </c>
    </row>
    <row r="7882" spans="1:6" ht="25.5">
      <c r="A7882" s="2">
        <v>7879</v>
      </c>
      <c r="B7882" s="2" t="s">
        <v>7959</v>
      </c>
      <c r="C7882" s="2" t="str">
        <f>"1751861X"</f>
        <v>1751861X</v>
      </c>
      <c r="D7882" s="2">
        <v>0.27</v>
      </c>
      <c r="E7882" s="2">
        <v>30</v>
      </c>
      <c r="F7882" s="2" t="s">
        <v>16</v>
      </c>
    </row>
    <row r="7883" spans="1:6" ht="25.5">
      <c r="A7883" s="2">
        <v>7880</v>
      </c>
      <c r="B7883" s="2" t="s">
        <v>7960</v>
      </c>
      <c r="C7883" s="2" t="str">
        <f>"17519640"</f>
        <v>17519640</v>
      </c>
      <c r="D7883" s="2">
        <v>0.36699999999999999</v>
      </c>
      <c r="E7883" s="2">
        <v>10</v>
      </c>
      <c r="F7883" s="2" t="s">
        <v>16</v>
      </c>
    </row>
    <row r="7884" spans="1:6" ht="25.5">
      <c r="A7884" s="2">
        <v>7881</v>
      </c>
      <c r="B7884" s="2" t="s">
        <v>7961</v>
      </c>
      <c r="C7884" s="2" t="str">
        <f>"17518652"</f>
        <v>17518652</v>
      </c>
      <c r="D7884" s="2">
        <v>1.587</v>
      </c>
      <c r="E7884" s="2">
        <v>59</v>
      </c>
      <c r="F7884" s="2" t="s">
        <v>16</v>
      </c>
    </row>
    <row r="7885" spans="1:6">
      <c r="A7885" s="2">
        <v>7882</v>
      </c>
      <c r="B7885" s="2" t="s">
        <v>7962</v>
      </c>
      <c r="C7885" s="2" t="str">
        <f>"0"</f>
        <v>0</v>
      </c>
      <c r="D7885" s="2">
        <v>0.16900000000000001</v>
      </c>
      <c r="E7885" s="2">
        <v>10</v>
      </c>
      <c r="F7885" s="2" t="s">
        <v>488</v>
      </c>
    </row>
    <row r="7886" spans="1:6" ht="25.5">
      <c r="A7886" s="2">
        <v>7883</v>
      </c>
      <c r="B7886" s="2" t="s">
        <v>7963</v>
      </c>
      <c r="C7886" s="2" t="str">
        <f>"20429746"</f>
        <v>20429746</v>
      </c>
      <c r="D7886" s="2">
        <v>0.749</v>
      </c>
      <c r="E7886" s="2">
        <v>4</v>
      </c>
      <c r="F7886" s="2" t="s">
        <v>16</v>
      </c>
    </row>
    <row r="7887" spans="1:6" ht="25.5">
      <c r="A7887" s="2">
        <v>7884</v>
      </c>
      <c r="B7887" s="2" t="s">
        <v>7964</v>
      </c>
      <c r="C7887" s="2" t="str">
        <f>"17518660"</f>
        <v>17518660</v>
      </c>
      <c r="D7887" s="2">
        <v>1.304</v>
      </c>
      <c r="E7887" s="2">
        <v>56</v>
      </c>
      <c r="F7887" s="2" t="s">
        <v>16</v>
      </c>
    </row>
    <row r="7888" spans="1:6" ht="25.5">
      <c r="A7888" s="2">
        <v>7885</v>
      </c>
      <c r="B7888" s="2" t="s">
        <v>7965</v>
      </c>
      <c r="C7888" s="2" t="str">
        <f>"09745971"</f>
        <v>09745971</v>
      </c>
      <c r="D7888" s="2">
        <v>0.32700000000000001</v>
      </c>
      <c r="E7888" s="2">
        <v>10</v>
      </c>
      <c r="F7888" s="2" t="s">
        <v>488</v>
      </c>
    </row>
    <row r="7889" spans="1:6" ht="25.5">
      <c r="A7889" s="2">
        <v>7886</v>
      </c>
      <c r="B7889" s="2" t="s">
        <v>7966</v>
      </c>
      <c r="C7889" s="2" t="str">
        <f>"17518695"</f>
        <v>17518695</v>
      </c>
      <c r="D7889" s="2">
        <v>1.5409999999999999</v>
      </c>
      <c r="E7889" s="2">
        <v>56</v>
      </c>
      <c r="F7889" s="2" t="s">
        <v>16</v>
      </c>
    </row>
    <row r="7890" spans="1:6" ht="25.5">
      <c r="A7890" s="2">
        <v>7887</v>
      </c>
      <c r="B7890" s="2" t="s">
        <v>7967</v>
      </c>
      <c r="C7890" s="2" t="str">
        <f>"17519659"</f>
        <v>17519659</v>
      </c>
      <c r="D7890" s="2">
        <v>0.442</v>
      </c>
      <c r="E7890" s="2">
        <v>12</v>
      </c>
      <c r="F7890" s="2" t="s">
        <v>16</v>
      </c>
    </row>
    <row r="7891" spans="1:6" ht="25.5">
      <c r="A7891" s="2">
        <v>7888</v>
      </c>
      <c r="B7891" s="2" t="s">
        <v>7968</v>
      </c>
      <c r="C7891" s="2" t="str">
        <f>"17518709"</f>
        <v>17518709</v>
      </c>
      <c r="D7891" s="2">
        <v>0.61699999999999999</v>
      </c>
      <c r="E7891" s="2">
        <v>9</v>
      </c>
      <c r="F7891" s="2" t="s">
        <v>16</v>
      </c>
    </row>
    <row r="7892" spans="1:6" ht="25.5">
      <c r="A7892" s="2">
        <v>7889</v>
      </c>
      <c r="B7892" s="2" t="s">
        <v>7969</v>
      </c>
      <c r="C7892" s="2" t="str">
        <f>"17519578"</f>
        <v>17519578</v>
      </c>
      <c r="D7892" s="2">
        <v>0.71699999999999997</v>
      </c>
      <c r="E7892" s="2">
        <v>11</v>
      </c>
      <c r="F7892" s="2" t="s">
        <v>16</v>
      </c>
    </row>
    <row r="7893" spans="1:6" ht="25.5">
      <c r="A7893" s="2">
        <v>7890</v>
      </c>
      <c r="B7893" s="2" t="s">
        <v>7970</v>
      </c>
      <c r="C7893" s="2" t="str">
        <f>"17518725"</f>
        <v>17518725</v>
      </c>
      <c r="D7893" s="2">
        <v>0.83799999999999997</v>
      </c>
      <c r="E7893" s="2">
        <v>36</v>
      </c>
      <c r="F7893" s="2" t="s">
        <v>16</v>
      </c>
    </row>
    <row r="7894" spans="1:6" ht="25.5">
      <c r="A7894" s="2">
        <v>7891</v>
      </c>
      <c r="B7894" s="2" t="s">
        <v>7971</v>
      </c>
      <c r="C7894" s="2" t="str">
        <f>"17518741"</f>
        <v>17518741</v>
      </c>
      <c r="D7894" s="2">
        <v>0.26800000000000002</v>
      </c>
      <c r="E7894" s="2">
        <v>21</v>
      </c>
      <c r="F7894" s="2" t="s">
        <v>16</v>
      </c>
    </row>
    <row r="7895" spans="1:6" ht="25.5">
      <c r="A7895" s="2">
        <v>7892</v>
      </c>
      <c r="B7895" s="2" t="s">
        <v>7972</v>
      </c>
      <c r="C7895" s="2" t="str">
        <f>"17518768"</f>
        <v>17518768</v>
      </c>
      <c r="D7895" s="2">
        <v>0.63100000000000001</v>
      </c>
      <c r="E7895" s="2">
        <v>28</v>
      </c>
      <c r="F7895" s="2" t="s">
        <v>16</v>
      </c>
    </row>
    <row r="7896" spans="1:6" ht="25.5">
      <c r="A7896" s="2">
        <v>7893</v>
      </c>
      <c r="B7896" s="2" t="s">
        <v>7973</v>
      </c>
      <c r="C7896" s="2" t="str">
        <f>"17554543"</f>
        <v>17554543</v>
      </c>
      <c r="D7896" s="2">
        <v>1.097</v>
      </c>
      <c r="E7896" s="2">
        <v>13</v>
      </c>
      <c r="F7896" s="2" t="s">
        <v>16</v>
      </c>
    </row>
    <row r="7897" spans="1:6" ht="25.5">
      <c r="A7897" s="2">
        <v>7894</v>
      </c>
      <c r="B7897" s="2" t="s">
        <v>7974</v>
      </c>
      <c r="C7897" s="2" t="str">
        <f>"17518792"</f>
        <v>17518792</v>
      </c>
      <c r="D7897" s="2">
        <v>1.2310000000000001</v>
      </c>
      <c r="E7897" s="2">
        <v>46</v>
      </c>
      <c r="F7897" s="2" t="s">
        <v>16</v>
      </c>
    </row>
    <row r="7898" spans="1:6" ht="25.5">
      <c r="A7898" s="2">
        <v>7895</v>
      </c>
      <c r="B7898" s="2" t="s">
        <v>7975</v>
      </c>
      <c r="C7898" s="2" t="str">
        <f>"17521424"</f>
        <v>17521424</v>
      </c>
      <c r="D7898" s="2">
        <v>1.7989999999999999</v>
      </c>
      <c r="E7898" s="2">
        <v>24</v>
      </c>
      <c r="F7898" s="2" t="s">
        <v>16</v>
      </c>
    </row>
    <row r="7899" spans="1:6" ht="25.5">
      <c r="A7899" s="2">
        <v>7896</v>
      </c>
      <c r="B7899" s="2" t="s">
        <v>7976</v>
      </c>
      <c r="C7899" s="2" t="str">
        <f>"17518830"</f>
        <v>17518830</v>
      </c>
      <c r="D7899" s="2">
        <v>0.441</v>
      </c>
      <c r="E7899" s="2">
        <v>27</v>
      </c>
      <c r="F7899" s="2" t="s">
        <v>16</v>
      </c>
    </row>
    <row r="7900" spans="1:6" ht="25.5">
      <c r="A7900" s="2">
        <v>7897</v>
      </c>
      <c r="B7900" s="2" t="s">
        <v>7977</v>
      </c>
      <c r="C7900" s="2" t="str">
        <f>"17519683"</f>
        <v>17519683</v>
      </c>
      <c r="D7900" s="2">
        <v>0.45700000000000002</v>
      </c>
      <c r="E7900" s="2">
        <v>12</v>
      </c>
      <c r="F7900" s="2" t="s">
        <v>16</v>
      </c>
    </row>
    <row r="7901" spans="1:6" ht="25.5">
      <c r="A7901" s="2">
        <v>7898</v>
      </c>
      <c r="B7901" s="2" t="s">
        <v>7978</v>
      </c>
      <c r="C7901" s="2" t="str">
        <f>"17518806"</f>
        <v>17518806</v>
      </c>
      <c r="D7901" s="2">
        <v>0.55200000000000005</v>
      </c>
      <c r="E7901" s="2">
        <v>26</v>
      </c>
      <c r="F7901" s="2" t="s">
        <v>16</v>
      </c>
    </row>
    <row r="7902" spans="1:6" ht="25.5">
      <c r="A7902" s="2">
        <v>7899</v>
      </c>
      <c r="B7902" s="2" t="s">
        <v>7979</v>
      </c>
      <c r="C7902" s="2" t="str">
        <f>"17518849"</f>
        <v>17518849</v>
      </c>
      <c r="D7902" s="2">
        <v>0.67400000000000004</v>
      </c>
      <c r="E7902" s="2">
        <v>17</v>
      </c>
      <c r="F7902" s="2" t="s">
        <v>16</v>
      </c>
    </row>
    <row r="7903" spans="1:6" ht="25.5">
      <c r="A7903" s="2">
        <v>7900</v>
      </c>
      <c r="B7903" s="2" t="s">
        <v>7980</v>
      </c>
      <c r="C7903" s="2" t="str">
        <f>"20436394"</f>
        <v>20436394</v>
      </c>
      <c r="D7903" s="2">
        <v>0.20300000000000001</v>
      </c>
      <c r="E7903" s="2">
        <v>2</v>
      </c>
      <c r="F7903" s="2" t="s">
        <v>16</v>
      </c>
    </row>
    <row r="7904" spans="1:6" ht="25.5">
      <c r="A7904" s="2">
        <v>7901</v>
      </c>
      <c r="B7904" s="2" t="s">
        <v>7981</v>
      </c>
      <c r="C7904" s="2" t="str">
        <f>"14746670"</f>
        <v>14746670</v>
      </c>
      <c r="D7904" s="2">
        <v>0.22500000000000001</v>
      </c>
      <c r="E7904" s="2">
        <v>10</v>
      </c>
      <c r="F7904" s="2" t="s">
        <v>288</v>
      </c>
    </row>
    <row r="7905" spans="1:6" ht="25.5">
      <c r="A7905" s="2">
        <v>7902</v>
      </c>
      <c r="B7905" s="2" t="s">
        <v>7982</v>
      </c>
      <c r="C7905" s="2" t="str">
        <f>"18684238"</f>
        <v>18684238</v>
      </c>
      <c r="D7905" s="2">
        <v>0.129</v>
      </c>
      <c r="E7905" s="2">
        <v>4</v>
      </c>
      <c r="F7905" s="2" t="s">
        <v>6</v>
      </c>
    </row>
    <row r="7906" spans="1:6" ht="25.5">
      <c r="A7906" s="2">
        <v>7903</v>
      </c>
      <c r="B7906" s="2" t="s">
        <v>7983</v>
      </c>
      <c r="C7906" s="2" t="str">
        <f>"03400352"</f>
        <v>03400352</v>
      </c>
      <c r="D7906" s="2">
        <v>0.23799999999999999</v>
      </c>
      <c r="E7906" s="2">
        <v>6</v>
      </c>
      <c r="F7906" s="2" t="s">
        <v>16</v>
      </c>
    </row>
    <row r="7907" spans="1:6" ht="25.5">
      <c r="A7907" s="2">
        <v>7904</v>
      </c>
      <c r="B7907" s="2" t="s">
        <v>7984</v>
      </c>
      <c r="C7907" s="2" t="str">
        <f>"19717458"</f>
        <v>19717458</v>
      </c>
      <c r="D7907" s="2">
        <v>0.38600000000000001</v>
      </c>
      <c r="E7907" s="2">
        <v>6</v>
      </c>
      <c r="F7907" s="2" t="s">
        <v>190</v>
      </c>
    </row>
    <row r="7908" spans="1:6" ht="25.5">
      <c r="A7908" s="2">
        <v>7905</v>
      </c>
      <c r="B7908" s="2" t="s">
        <v>7985</v>
      </c>
      <c r="C7908" s="2" t="str">
        <f>"1562479X"</f>
        <v>1562479X</v>
      </c>
      <c r="D7908" s="2">
        <v>0.13400000000000001</v>
      </c>
      <c r="E7908" s="2">
        <v>1</v>
      </c>
      <c r="F7908" s="2" t="s">
        <v>190</v>
      </c>
    </row>
    <row r="7909" spans="1:6" ht="38.25">
      <c r="A7909" s="2">
        <v>7906</v>
      </c>
      <c r="B7909" s="2" t="s">
        <v>7986</v>
      </c>
      <c r="C7909" s="2" t="str">
        <f>"13455354"</f>
        <v>13455354</v>
      </c>
      <c r="D7909" s="2">
        <v>0.109</v>
      </c>
      <c r="E7909" s="2">
        <v>5</v>
      </c>
      <c r="F7909" s="2" t="s">
        <v>131</v>
      </c>
    </row>
    <row r="7910" spans="1:6" ht="25.5">
      <c r="A7910" s="2">
        <v>7907</v>
      </c>
      <c r="B7910" s="2" t="s">
        <v>7987</v>
      </c>
      <c r="C7910" s="2" t="str">
        <f>"00191639"</f>
        <v>00191639</v>
      </c>
      <c r="D7910" s="2">
        <v>0.106</v>
      </c>
      <c r="E7910" s="2">
        <v>5</v>
      </c>
      <c r="F7910" s="2" t="s">
        <v>66</v>
      </c>
    </row>
    <row r="7911" spans="1:6" ht="25.5">
      <c r="A7911" s="2">
        <v>7908</v>
      </c>
      <c r="B7911" s="2" t="s">
        <v>7988</v>
      </c>
      <c r="C7911" s="2" t="str">
        <f>"00734705"</f>
        <v>00734705</v>
      </c>
      <c r="D7911" s="2">
        <v>0.28999999999999998</v>
      </c>
      <c r="E7911" s="2">
        <v>2</v>
      </c>
      <c r="F7911" s="2" t="s">
        <v>159</v>
      </c>
    </row>
    <row r="7912" spans="1:6" ht="25.5">
      <c r="A7912" s="2">
        <v>7909</v>
      </c>
      <c r="B7912" s="2" t="s">
        <v>7989</v>
      </c>
      <c r="C7912" s="2" t="str">
        <f>"00734721"</f>
        <v>00734721</v>
      </c>
      <c r="D7912" s="2">
        <v>0.34399999999999997</v>
      </c>
      <c r="E7912" s="2">
        <v>11</v>
      </c>
      <c r="F7912" s="2" t="s">
        <v>159</v>
      </c>
    </row>
    <row r="7913" spans="1:6" ht="25.5">
      <c r="A7913" s="2">
        <v>7910</v>
      </c>
      <c r="B7913" s="2" t="s">
        <v>7990</v>
      </c>
      <c r="C7913" s="2" t="str">
        <f>"00189855"</f>
        <v>00189855</v>
      </c>
      <c r="D7913" s="2">
        <v>0.192</v>
      </c>
      <c r="E7913" s="2">
        <v>4</v>
      </c>
      <c r="F7913" s="2" t="s">
        <v>12</v>
      </c>
    </row>
    <row r="7914" spans="1:6" ht="25.5">
      <c r="A7914" s="2">
        <v>7911</v>
      </c>
      <c r="B7914" s="2" t="s">
        <v>7991</v>
      </c>
      <c r="C7914" s="2" t="str">
        <f>"0740817X"</f>
        <v>0740817X</v>
      </c>
      <c r="D7914" s="2">
        <v>1.575</v>
      </c>
      <c r="E7914" s="2">
        <v>51</v>
      </c>
      <c r="F7914" s="2" t="s">
        <v>16</v>
      </c>
    </row>
    <row r="7915" spans="1:6" ht="25.5">
      <c r="A7915" s="2">
        <v>7912</v>
      </c>
      <c r="B7915" s="2" t="s">
        <v>7992</v>
      </c>
      <c r="C7915" s="2" t="str">
        <f>"09703896"</f>
        <v>09703896</v>
      </c>
      <c r="D7915" s="2">
        <v>0.20200000000000001</v>
      </c>
      <c r="E7915" s="2">
        <v>2</v>
      </c>
      <c r="F7915" s="2" t="s">
        <v>16</v>
      </c>
    </row>
    <row r="7916" spans="1:6" ht="25.5">
      <c r="A7916" s="2">
        <v>7913</v>
      </c>
      <c r="B7916" s="2" t="s">
        <v>7993</v>
      </c>
      <c r="C7916" s="2" t="str">
        <f>"02053292"</f>
        <v>02053292</v>
      </c>
      <c r="D7916" s="2">
        <v>0.1</v>
      </c>
      <c r="E7916" s="2">
        <v>1</v>
      </c>
      <c r="F7916" s="2" t="s">
        <v>293</v>
      </c>
    </row>
    <row r="7917" spans="1:6" ht="25.5">
      <c r="A7917" s="2">
        <v>7914</v>
      </c>
      <c r="B7917" s="2" t="s">
        <v>7994</v>
      </c>
      <c r="C7917" s="2" t="str">
        <f>"10842020"</f>
        <v>10842020</v>
      </c>
      <c r="D7917" s="2">
        <v>0.67200000000000004</v>
      </c>
      <c r="E7917" s="2">
        <v>36</v>
      </c>
      <c r="F7917" s="2" t="s">
        <v>6</v>
      </c>
    </row>
    <row r="7918" spans="1:6" ht="25.5">
      <c r="A7918" s="2">
        <v>7915</v>
      </c>
      <c r="B7918" s="2" t="s">
        <v>7995</v>
      </c>
      <c r="C7918" s="2" t="str">
        <f>"01014846"</f>
        <v>01014846</v>
      </c>
      <c r="D7918" s="2">
        <v>0</v>
      </c>
      <c r="E7918" s="2">
        <v>0</v>
      </c>
      <c r="F7918" s="2" t="s">
        <v>159</v>
      </c>
    </row>
    <row r="7919" spans="1:6" ht="25.5">
      <c r="A7919" s="2">
        <v>7916</v>
      </c>
      <c r="B7919" s="2" t="s">
        <v>7996</v>
      </c>
      <c r="C7919" s="2" t="str">
        <f>"00192082"</f>
        <v>00192082</v>
      </c>
      <c r="D7919" s="2">
        <v>0.622</v>
      </c>
      <c r="E7919" s="2">
        <v>21</v>
      </c>
      <c r="F7919" s="2" t="s">
        <v>6</v>
      </c>
    </row>
    <row r="7920" spans="1:6" ht="25.5">
      <c r="A7920" s="2">
        <v>7917</v>
      </c>
      <c r="B7920" s="2" t="s">
        <v>7997</v>
      </c>
      <c r="C7920" s="2" t="str">
        <f>"10541373"</f>
        <v>10541373</v>
      </c>
      <c r="D7920" s="2">
        <v>0.121</v>
      </c>
      <c r="E7920" s="2">
        <v>4</v>
      </c>
      <c r="F7920" s="2" t="s">
        <v>6</v>
      </c>
    </row>
    <row r="7921" spans="1:6" ht="25.5">
      <c r="A7921" s="2">
        <v>7918</v>
      </c>
      <c r="B7921" s="2" t="s">
        <v>7998</v>
      </c>
      <c r="C7921" s="2" t="str">
        <f>"15781305"</f>
        <v>15781305</v>
      </c>
      <c r="D7921" s="2">
        <v>0.10299999999999999</v>
      </c>
      <c r="E7921" s="2">
        <v>1</v>
      </c>
      <c r="F7921" s="2" t="s">
        <v>351</v>
      </c>
    </row>
    <row r="7922" spans="1:6" ht="25.5">
      <c r="A7922" s="2">
        <v>7919</v>
      </c>
      <c r="B7922" s="2" t="s">
        <v>7999</v>
      </c>
      <c r="C7922" s="2" t="str">
        <f>"15803139"</f>
        <v>15803139</v>
      </c>
      <c r="D7922" s="2">
        <v>0.35099999999999998</v>
      </c>
      <c r="E7922" s="2">
        <v>5</v>
      </c>
      <c r="F7922" s="2" t="s">
        <v>154</v>
      </c>
    </row>
    <row r="7923" spans="1:6" ht="25.5">
      <c r="A7923" s="2">
        <v>7920</v>
      </c>
      <c r="B7923" s="2" t="s">
        <v>8000</v>
      </c>
      <c r="C7923" s="2" t="str">
        <f>"02628856"</f>
        <v>02628856</v>
      </c>
      <c r="D7923" s="2">
        <v>1.839</v>
      </c>
      <c r="E7923" s="2">
        <v>75</v>
      </c>
      <c r="F7923" s="2" t="s">
        <v>16</v>
      </c>
    </row>
    <row r="7924" spans="1:6" ht="25.5">
      <c r="A7924" s="2">
        <v>7921</v>
      </c>
      <c r="B7924" s="2" t="s">
        <v>8001</v>
      </c>
      <c r="C7924" s="2" t="str">
        <f>"21713669"</f>
        <v>21713669</v>
      </c>
      <c r="D7924" s="2">
        <v>0.10100000000000001</v>
      </c>
      <c r="E7924" s="2">
        <v>1</v>
      </c>
      <c r="F7924" s="2" t="s">
        <v>351</v>
      </c>
    </row>
    <row r="7925" spans="1:6" ht="25.5">
      <c r="A7925" s="2">
        <v>7922</v>
      </c>
      <c r="B7925" s="2" t="s">
        <v>8002</v>
      </c>
      <c r="C7925" s="2" t="str">
        <f>"17769817"</f>
        <v>17769817</v>
      </c>
      <c r="D7925" s="2">
        <v>0.14199999999999999</v>
      </c>
      <c r="E7925" s="2">
        <v>8</v>
      </c>
      <c r="F7925" s="2" t="s">
        <v>66</v>
      </c>
    </row>
    <row r="7926" spans="1:6" ht="25.5">
      <c r="A7926" s="2">
        <v>7923</v>
      </c>
      <c r="B7926" s="2" t="s">
        <v>8003</v>
      </c>
      <c r="C7926" s="2" t="str">
        <f>"18717993"</f>
        <v>18717993</v>
      </c>
      <c r="D7926" s="2">
        <v>0.10100000000000001</v>
      </c>
      <c r="E7926" s="2">
        <v>1</v>
      </c>
      <c r="F7926" s="2" t="s">
        <v>75</v>
      </c>
    </row>
    <row r="7927" spans="1:6" ht="25.5">
      <c r="A7927" s="2">
        <v>7924</v>
      </c>
      <c r="B7927" s="2" t="s">
        <v>8004</v>
      </c>
      <c r="C7927" s="2" t="str">
        <f>"16289676"</f>
        <v>16289676</v>
      </c>
      <c r="D7927" s="2">
        <v>0.1</v>
      </c>
      <c r="E7927" s="2">
        <v>2</v>
      </c>
      <c r="F7927" s="2" t="s">
        <v>66</v>
      </c>
    </row>
    <row r="7928" spans="1:6" ht="25.5">
      <c r="A7928" s="2">
        <v>7925</v>
      </c>
      <c r="B7928" s="2" t="s">
        <v>8005</v>
      </c>
      <c r="C7928" s="2" t="str">
        <f>"17555191"</f>
        <v>17555191</v>
      </c>
      <c r="D7928" s="2">
        <v>0.186</v>
      </c>
      <c r="E7928" s="2">
        <v>4</v>
      </c>
      <c r="F7928" s="2" t="s">
        <v>16</v>
      </c>
    </row>
    <row r="7929" spans="1:6" ht="25.5">
      <c r="A7929" s="2">
        <v>7926</v>
      </c>
      <c r="B7929" s="2" t="s">
        <v>8006</v>
      </c>
      <c r="C7929" s="2" t="str">
        <f>"13682199"</f>
        <v>13682199</v>
      </c>
      <c r="D7929" s="2">
        <v>0.19900000000000001</v>
      </c>
      <c r="E7929" s="2">
        <v>11</v>
      </c>
      <c r="F7929" s="2" t="s">
        <v>16</v>
      </c>
    </row>
    <row r="7930" spans="1:6" ht="25.5">
      <c r="A7930" s="2">
        <v>7927</v>
      </c>
      <c r="B7930" s="2" t="s">
        <v>8007</v>
      </c>
      <c r="C7930" s="2" t="str">
        <f>"14797801"</f>
        <v>14797801</v>
      </c>
      <c r="D7930" s="2">
        <v>0.20300000000000001</v>
      </c>
      <c r="E7930" s="2">
        <v>7</v>
      </c>
      <c r="F7930" s="2" t="s">
        <v>6</v>
      </c>
    </row>
    <row r="7931" spans="1:6" ht="25.5">
      <c r="A7931" s="2">
        <v>7928</v>
      </c>
      <c r="B7931" s="2" t="s">
        <v>8008</v>
      </c>
      <c r="C7931" s="2" t="str">
        <f>"14716798"</f>
        <v>14716798</v>
      </c>
      <c r="D7931" s="2">
        <v>0.68600000000000005</v>
      </c>
      <c r="E7931" s="2">
        <v>14</v>
      </c>
      <c r="F7931" s="2" t="s">
        <v>16</v>
      </c>
    </row>
    <row r="7932" spans="1:6" ht="25.5">
      <c r="A7932" s="2">
        <v>7929</v>
      </c>
      <c r="B7932" s="2" t="s">
        <v>8009</v>
      </c>
      <c r="C7932" s="2" t="str">
        <f>"14643634"</f>
        <v>14643634</v>
      </c>
      <c r="D7932" s="2">
        <v>0.55100000000000005</v>
      </c>
      <c r="E7932" s="2">
        <v>22</v>
      </c>
      <c r="F7932" s="2" t="s">
        <v>16</v>
      </c>
    </row>
    <row r="7933" spans="1:6" ht="25.5">
      <c r="A7933" s="2">
        <v>7930</v>
      </c>
      <c r="B7933" s="2" t="s">
        <v>8010</v>
      </c>
      <c r="C7933" s="2" t="str">
        <f>"14716879"</f>
        <v>14716879</v>
      </c>
      <c r="D7933" s="2">
        <v>0.64200000000000002</v>
      </c>
      <c r="E7933" s="2">
        <v>22</v>
      </c>
      <c r="F7933" s="2" t="s">
        <v>16</v>
      </c>
    </row>
    <row r="7934" spans="1:6" ht="25.5">
      <c r="A7934" s="2">
        <v>7931</v>
      </c>
      <c r="B7934" s="2" t="s">
        <v>8011</v>
      </c>
      <c r="C7934" s="2" t="str">
        <f>"14643642"</f>
        <v>14643642</v>
      </c>
      <c r="D7934" s="2">
        <v>1.6040000000000001</v>
      </c>
      <c r="E7934" s="2">
        <v>34</v>
      </c>
      <c r="F7934" s="2" t="s">
        <v>16</v>
      </c>
    </row>
    <row r="7935" spans="1:6" ht="25.5">
      <c r="A7935" s="2">
        <v>7932</v>
      </c>
      <c r="B7935" s="2" t="s">
        <v>8012</v>
      </c>
      <c r="C7935" s="2" t="str">
        <f>"2041417X"</f>
        <v>2041417X</v>
      </c>
      <c r="D7935" s="2">
        <v>4.9779999999999998</v>
      </c>
      <c r="E7935" s="2">
        <v>36</v>
      </c>
      <c r="F7935" s="2" t="s">
        <v>16</v>
      </c>
    </row>
    <row r="7936" spans="1:6" ht="25.5">
      <c r="A7936" s="2">
        <v>7933</v>
      </c>
      <c r="B7936" s="2" t="s">
        <v>8013</v>
      </c>
      <c r="C7936" s="2" t="str">
        <f>"02619288"</f>
        <v>02619288</v>
      </c>
      <c r="D7936" s="2">
        <v>0.10299999999999999</v>
      </c>
      <c r="E7936" s="2">
        <v>6</v>
      </c>
      <c r="F7936" s="2" t="s">
        <v>16</v>
      </c>
    </row>
    <row r="7937" spans="1:6" ht="25.5">
      <c r="A7937" s="2">
        <v>7934</v>
      </c>
      <c r="B7937" s="2" t="s">
        <v>8014</v>
      </c>
      <c r="C7937" s="2" t="str">
        <f>"10974180"</f>
        <v>10974180</v>
      </c>
      <c r="D7937" s="2">
        <v>12.481999999999999</v>
      </c>
      <c r="E7937" s="2">
        <v>260</v>
      </c>
      <c r="F7937" s="2" t="s">
        <v>6</v>
      </c>
    </row>
    <row r="7938" spans="1:6" ht="25.5">
      <c r="A7938" s="2">
        <v>7935</v>
      </c>
      <c r="B7938" s="2" t="s">
        <v>8015</v>
      </c>
      <c r="C7938" s="2" t="str">
        <f>"17424933"</f>
        <v>17424933</v>
      </c>
      <c r="D7938" s="2">
        <v>0.55600000000000005</v>
      </c>
      <c r="E7938" s="2">
        <v>19</v>
      </c>
      <c r="F7938" s="2" t="s">
        <v>16</v>
      </c>
    </row>
    <row r="7939" spans="1:6" ht="25.5">
      <c r="A7939" s="2">
        <v>7936</v>
      </c>
      <c r="B7939" s="2" t="s">
        <v>8016</v>
      </c>
      <c r="C7939" s="2" t="str">
        <f>"09232532"</f>
        <v>09232532</v>
      </c>
      <c r="D7939" s="2">
        <v>0.13900000000000001</v>
      </c>
      <c r="E7939" s="2">
        <v>8</v>
      </c>
      <c r="F7939" s="2" t="s">
        <v>190</v>
      </c>
    </row>
    <row r="7940" spans="1:6" ht="25.5">
      <c r="A7940" s="2">
        <v>7937</v>
      </c>
      <c r="B7940" s="2" t="s">
        <v>8017</v>
      </c>
      <c r="C7940" s="2" t="str">
        <f>"01712985"</f>
        <v>01712985</v>
      </c>
      <c r="D7940" s="2">
        <v>1.0629999999999999</v>
      </c>
      <c r="E7940" s="2">
        <v>54</v>
      </c>
      <c r="F7940" s="2" t="s">
        <v>12</v>
      </c>
    </row>
    <row r="7941" spans="1:6" ht="25.5">
      <c r="A7941" s="2">
        <v>7938</v>
      </c>
      <c r="B7941" s="2" t="s">
        <v>8018</v>
      </c>
      <c r="C7941" s="2" t="str">
        <f>"14321211"</f>
        <v>14321211</v>
      </c>
      <c r="D7941" s="2">
        <v>1.121</v>
      </c>
      <c r="E7941" s="2">
        <v>68</v>
      </c>
      <c r="F7941" s="2" t="s">
        <v>12</v>
      </c>
    </row>
    <row r="7942" spans="1:6" ht="25.5">
      <c r="A7942" s="2">
        <v>7939</v>
      </c>
      <c r="B7942" s="2" t="s">
        <v>8019</v>
      </c>
      <c r="C7942" s="2" t="str">
        <f>"0894203X"</f>
        <v>0894203X</v>
      </c>
      <c r="D7942" s="2">
        <v>0.23300000000000001</v>
      </c>
      <c r="E7942" s="2">
        <v>14</v>
      </c>
      <c r="F7942" s="2" t="s">
        <v>6</v>
      </c>
    </row>
    <row r="7943" spans="1:6" ht="25.5">
      <c r="A7943" s="2">
        <v>7940</v>
      </c>
      <c r="B7943" s="2" t="s">
        <v>8020</v>
      </c>
      <c r="C7943" s="2" t="str">
        <f>"15324311"</f>
        <v>15324311</v>
      </c>
      <c r="D7943" s="2">
        <v>0.48399999999999999</v>
      </c>
      <c r="E7943" s="2">
        <v>29</v>
      </c>
      <c r="F7943" s="2" t="s">
        <v>16</v>
      </c>
    </row>
    <row r="7944" spans="1:6" ht="25.5">
      <c r="A7944" s="2">
        <v>7941</v>
      </c>
      <c r="B7944" s="2" t="s">
        <v>8021</v>
      </c>
      <c r="C7944" s="2" t="str">
        <f>"1600065X"</f>
        <v>1600065X</v>
      </c>
      <c r="D7944" s="2">
        <v>7</v>
      </c>
      <c r="E7944" s="2">
        <v>143</v>
      </c>
      <c r="F7944" s="2" t="s">
        <v>16</v>
      </c>
    </row>
    <row r="7945" spans="1:6" ht="25.5">
      <c r="A7945" s="2">
        <v>7942</v>
      </c>
      <c r="B7945" s="2" t="s">
        <v>8022</v>
      </c>
      <c r="C7945" s="2" t="str">
        <f>"0257277X"</f>
        <v>0257277X</v>
      </c>
      <c r="D7945" s="2">
        <v>1.276</v>
      </c>
      <c r="E7945" s="2">
        <v>55</v>
      </c>
      <c r="F7945" s="2" t="s">
        <v>6</v>
      </c>
    </row>
    <row r="7946" spans="1:6" ht="25.5">
      <c r="A7946" s="2">
        <v>7943</v>
      </c>
      <c r="B7946" s="2" t="s">
        <v>8023</v>
      </c>
      <c r="C7946" s="2" t="str">
        <f>"13652567"</f>
        <v>13652567</v>
      </c>
      <c r="D7946" s="2">
        <v>1.5529999999999999</v>
      </c>
      <c r="E7946" s="2">
        <v>86</v>
      </c>
      <c r="F7946" s="2" t="s">
        <v>16</v>
      </c>
    </row>
    <row r="7947" spans="1:6" ht="25.5">
      <c r="A7947" s="2">
        <v>7944</v>
      </c>
      <c r="B7947" s="2" t="s">
        <v>8024</v>
      </c>
      <c r="C7947" s="2" t="str">
        <f>"08898561"</f>
        <v>08898561</v>
      </c>
      <c r="D7947" s="2">
        <v>0.72699999999999998</v>
      </c>
      <c r="E7947" s="2">
        <v>35</v>
      </c>
      <c r="F7947" s="2" t="s">
        <v>16</v>
      </c>
    </row>
    <row r="7948" spans="1:6" ht="25.5">
      <c r="A7948" s="2">
        <v>7945</v>
      </c>
      <c r="B7948" s="2" t="s">
        <v>8025</v>
      </c>
      <c r="C7948" s="2" t="str">
        <f>"14401711"</f>
        <v>14401711</v>
      </c>
      <c r="D7948" s="2">
        <v>1.633</v>
      </c>
      <c r="E7948" s="2">
        <v>67</v>
      </c>
      <c r="F7948" s="2" t="s">
        <v>16</v>
      </c>
    </row>
    <row r="7949" spans="1:6" ht="25.5">
      <c r="A7949" s="2">
        <v>7946</v>
      </c>
      <c r="B7949" s="2" t="s">
        <v>8026</v>
      </c>
      <c r="C7949" s="2" t="str">
        <f>"11786345"</f>
        <v>11786345</v>
      </c>
      <c r="D7949" s="2">
        <v>0.215</v>
      </c>
      <c r="E7949" s="2">
        <v>3</v>
      </c>
      <c r="F7949" s="2" t="s">
        <v>503</v>
      </c>
    </row>
    <row r="7950" spans="1:6" ht="25.5">
      <c r="A7950" s="2">
        <v>7947</v>
      </c>
      <c r="B7950" s="2" t="s">
        <v>8027</v>
      </c>
      <c r="C7950" s="2" t="str">
        <f>"18715222"</f>
        <v>18715222</v>
      </c>
      <c r="D7950" s="2">
        <v>0.21</v>
      </c>
      <c r="E7950" s="2">
        <v>10</v>
      </c>
      <c r="F7950" s="2" t="s">
        <v>75</v>
      </c>
    </row>
    <row r="7951" spans="1:6" ht="25.5">
      <c r="A7951" s="2">
        <v>7948</v>
      </c>
      <c r="B7951" s="2" t="s">
        <v>8028</v>
      </c>
      <c r="C7951" s="2" t="str">
        <f>"01652478"</f>
        <v>01652478</v>
      </c>
      <c r="D7951" s="2">
        <v>0.93700000000000006</v>
      </c>
      <c r="E7951" s="2">
        <v>61</v>
      </c>
      <c r="F7951" s="2" t="s">
        <v>75</v>
      </c>
    </row>
    <row r="7952" spans="1:6" ht="25.5">
      <c r="A7952" s="2">
        <v>7949</v>
      </c>
      <c r="B7952" s="2" t="s">
        <v>8029</v>
      </c>
      <c r="C7952" s="2" t="str">
        <f>"17457580"</f>
        <v>17457580</v>
      </c>
      <c r="D7952" s="2">
        <v>0.58799999999999997</v>
      </c>
      <c r="E7952" s="2">
        <v>11</v>
      </c>
      <c r="F7952" s="2" t="s">
        <v>16</v>
      </c>
    </row>
    <row r="7953" spans="1:6" ht="25.5">
      <c r="A7953" s="2">
        <v>7950</v>
      </c>
      <c r="B7953" s="2" t="s">
        <v>8030</v>
      </c>
      <c r="C7953" s="2" t="str">
        <f>"15322513"</f>
        <v>15322513</v>
      </c>
      <c r="D7953" s="2">
        <v>0.34799999999999998</v>
      </c>
      <c r="E7953" s="2">
        <v>28</v>
      </c>
      <c r="F7953" s="2" t="s">
        <v>16</v>
      </c>
    </row>
    <row r="7954" spans="1:6" ht="25.5">
      <c r="A7954" s="2">
        <v>7951</v>
      </c>
      <c r="B7954" s="2" t="s">
        <v>8031</v>
      </c>
      <c r="C7954" s="2" t="str">
        <f>"17507448"</f>
        <v>17507448</v>
      </c>
      <c r="D7954" s="2">
        <v>0.63400000000000001</v>
      </c>
      <c r="E7954" s="2">
        <v>12</v>
      </c>
      <c r="F7954" s="2" t="s">
        <v>16</v>
      </c>
    </row>
    <row r="7955" spans="1:6" ht="25.5">
      <c r="A7955" s="2">
        <v>7952</v>
      </c>
      <c r="B7955" s="2" t="s">
        <v>8032</v>
      </c>
      <c r="C7955" s="2" t="str">
        <f>"14715465"</f>
        <v>14715465</v>
      </c>
      <c r="D7955" s="2">
        <v>0.69699999999999995</v>
      </c>
      <c r="E7955" s="2">
        <v>22</v>
      </c>
      <c r="F7955" s="2" t="s">
        <v>16</v>
      </c>
    </row>
    <row r="7956" spans="1:6" ht="25.5">
      <c r="A7956" s="2">
        <v>7953</v>
      </c>
      <c r="B7956" s="2" t="s">
        <v>8033</v>
      </c>
      <c r="C7956" s="2" t="str">
        <f>"15382982"</f>
        <v>15382982</v>
      </c>
      <c r="D7956" s="2">
        <v>0.42899999999999999</v>
      </c>
      <c r="E7956" s="2">
        <v>32</v>
      </c>
      <c r="F7956" s="2" t="s">
        <v>6</v>
      </c>
    </row>
    <row r="7957" spans="1:6" ht="25.5">
      <c r="A7957" s="2">
        <v>7954</v>
      </c>
      <c r="B7957" s="2" t="s">
        <v>8034</v>
      </c>
      <c r="C7957" s="2" t="str">
        <f>"16406540"</f>
        <v>16406540</v>
      </c>
      <c r="D7957" s="2">
        <v>0.1</v>
      </c>
      <c r="E7957" s="2">
        <v>3</v>
      </c>
      <c r="F7957" s="2" t="s">
        <v>169</v>
      </c>
    </row>
    <row r="7958" spans="1:6" ht="25.5">
      <c r="A7958" s="2">
        <v>7955</v>
      </c>
      <c r="B7958" s="2" t="s">
        <v>8035</v>
      </c>
      <c r="C7958" s="2" t="str">
        <f>"17485908"</f>
        <v>17485908</v>
      </c>
      <c r="D7958" s="2">
        <v>1.544</v>
      </c>
      <c r="E7958" s="2">
        <v>31</v>
      </c>
      <c r="F7958" s="2" t="s">
        <v>16</v>
      </c>
    </row>
    <row r="7959" spans="1:6" ht="25.5">
      <c r="A7959" s="2">
        <v>7956</v>
      </c>
      <c r="B7959" s="2" t="s">
        <v>8036</v>
      </c>
      <c r="C7959" s="2" t="str">
        <f>"14639955"</f>
        <v>14639955</v>
      </c>
      <c r="D7959" s="2">
        <v>0.23599999999999999</v>
      </c>
      <c r="E7959" s="2">
        <v>2</v>
      </c>
      <c r="F7959" s="2" t="s">
        <v>16</v>
      </c>
    </row>
    <row r="7960" spans="1:6" ht="25.5">
      <c r="A7960" s="2">
        <v>7957</v>
      </c>
      <c r="B7960" s="2" t="s">
        <v>8037</v>
      </c>
      <c r="C7960" s="2" t="str">
        <f>"00193062"</f>
        <v>00193062</v>
      </c>
      <c r="D7960" s="2">
        <v>0.10199999999999999</v>
      </c>
      <c r="E7960" s="2">
        <v>3</v>
      </c>
      <c r="F7960" s="2" t="s">
        <v>6</v>
      </c>
    </row>
    <row r="7961" spans="1:6" ht="25.5">
      <c r="A7961" s="2">
        <v>7958</v>
      </c>
      <c r="B7961" s="2" t="s">
        <v>8038</v>
      </c>
      <c r="C7961" s="2" t="str">
        <f>"14757583"</f>
        <v>14757583</v>
      </c>
      <c r="D7961" s="2">
        <v>0.57899999999999996</v>
      </c>
      <c r="E7961" s="2">
        <v>6</v>
      </c>
      <c r="F7961" s="2" t="s">
        <v>16</v>
      </c>
    </row>
    <row r="7962" spans="1:6" ht="25.5">
      <c r="A7962" s="2">
        <v>7959</v>
      </c>
      <c r="B7962" s="2" t="s">
        <v>8039</v>
      </c>
      <c r="C7962" s="2" t="str">
        <f>"19712995"</f>
        <v>19712995</v>
      </c>
      <c r="D7962" s="2">
        <v>0</v>
      </c>
      <c r="E7962" s="2">
        <v>0</v>
      </c>
      <c r="F7962" s="2" t="s">
        <v>190</v>
      </c>
    </row>
    <row r="7963" spans="1:6" ht="25.5">
      <c r="A7963" s="2">
        <v>7960</v>
      </c>
      <c r="B7963" s="2" t="s">
        <v>8040</v>
      </c>
      <c r="C7963" s="2" t="str">
        <f>"00193577"</f>
        <v>00193577</v>
      </c>
      <c r="D7963" s="2">
        <v>0.26100000000000001</v>
      </c>
      <c r="E7963" s="2">
        <v>17</v>
      </c>
      <c r="F7963" s="2" t="s">
        <v>75</v>
      </c>
    </row>
    <row r="7964" spans="1:6" ht="25.5">
      <c r="A7964" s="2">
        <v>7961</v>
      </c>
      <c r="B7964" s="2" t="s">
        <v>8041</v>
      </c>
      <c r="C7964" s="2" t="str">
        <f>"10861653"</f>
        <v>10861653</v>
      </c>
      <c r="D7964" s="2">
        <v>0.28999999999999998</v>
      </c>
      <c r="E7964" s="2">
        <v>9</v>
      </c>
      <c r="F7964" s="2" t="s">
        <v>6</v>
      </c>
    </row>
    <row r="7965" spans="1:6" ht="25.5">
      <c r="A7965" s="2">
        <v>7962</v>
      </c>
      <c r="B7965" s="2" t="s">
        <v>8042</v>
      </c>
      <c r="C7965" s="2" t="str">
        <f>"11321296"</f>
        <v>11321296</v>
      </c>
      <c r="D7965" s="2">
        <v>0.11</v>
      </c>
      <c r="E7965" s="2">
        <v>1</v>
      </c>
      <c r="F7965" s="2" t="s">
        <v>351</v>
      </c>
    </row>
    <row r="7966" spans="1:6" ht="25.5">
      <c r="A7966" s="2">
        <v>7963</v>
      </c>
      <c r="B7966" s="2" t="s">
        <v>8043</v>
      </c>
      <c r="C7966" s="2" t="str">
        <f>"03064220"</f>
        <v>03064220</v>
      </c>
      <c r="D7966" s="2">
        <v>0.10100000000000001</v>
      </c>
      <c r="E7966" s="2">
        <v>4</v>
      </c>
      <c r="F7966" s="2" t="s">
        <v>6</v>
      </c>
    </row>
    <row r="7967" spans="1:6" ht="25.5">
      <c r="A7967" s="2">
        <v>7964</v>
      </c>
      <c r="B7967" s="2" t="s">
        <v>8044</v>
      </c>
      <c r="C7967" s="2" t="str">
        <f>"00196665"</f>
        <v>00196665</v>
      </c>
      <c r="D7967" s="2">
        <v>0.60799999999999998</v>
      </c>
      <c r="E7967" s="2">
        <v>11</v>
      </c>
      <c r="F7967" s="2" t="s">
        <v>6</v>
      </c>
    </row>
    <row r="7968" spans="1:6" ht="25.5">
      <c r="A7968" s="2">
        <v>7965</v>
      </c>
      <c r="B7968" s="2" t="s">
        <v>8045</v>
      </c>
      <c r="C7968" s="2" t="str">
        <f>"00222518"</f>
        <v>00222518</v>
      </c>
      <c r="D7968" s="2">
        <v>1.431</v>
      </c>
      <c r="E7968" s="2">
        <v>36</v>
      </c>
      <c r="F7968" s="2" t="s">
        <v>6</v>
      </c>
    </row>
    <row r="7969" spans="1:6" ht="25.5">
      <c r="A7969" s="2">
        <v>7966</v>
      </c>
      <c r="B7969" s="2" t="s">
        <v>8046</v>
      </c>
      <c r="C7969" s="2" t="str">
        <f>"0019462X"</f>
        <v>0019462X</v>
      </c>
      <c r="D7969" s="2">
        <v>0.14199999999999999</v>
      </c>
      <c r="E7969" s="2">
        <v>26</v>
      </c>
      <c r="F7969" s="2" t="s">
        <v>488</v>
      </c>
    </row>
    <row r="7970" spans="1:6" ht="25.5">
      <c r="A7970" s="2">
        <v>7967</v>
      </c>
      <c r="B7970" s="2" t="s">
        <v>8047</v>
      </c>
      <c r="C7970" s="2" t="str">
        <f>"00194646"</f>
        <v>00194646</v>
      </c>
      <c r="D7970" s="2">
        <v>0.20499999999999999</v>
      </c>
      <c r="E7970" s="2">
        <v>7</v>
      </c>
      <c r="F7970" s="2" t="s">
        <v>16</v>
      </c>
    </row>
    <row r="7971" spans="1:6" ht="25.5">
      <c r="A7971" s="2">
        <v>7968</v>
      </c>
      <c r="B7971" s="2" t="s">
        <v>8048</v>
      </c>
      <c r="C7971" s="2" t="str">
        <f>"00468983"</f>
        <v>00468983</v>
      </c>
      <c r="D7971" s="2">
        <v>0</v>
      </c>
      <c r="E7971" s="2">
        <v>0</v>
      </c>
      <c r="F7971" s="2" t="s">
        <v>488</v>
      </c>
    </row>
    <row r="7972" spans="1:6" ht="25.5">
      <c r="A7972" s="2">
        <v>7969</v>
      </c>
      <c r="B7972" s="2" t="s">
        <v>8049</v>
      </c>
      <c r="C7972" s="2" t="str">
        <f>"17538262"</f>
        <v>17538262</v>
      </c>
      <c r="D7972" s="2">
        <v>0.121</v>
      </c>
      <c r="E7972" s="2">
        <v>1</v>
      </c>
      <c r="F7972" s="2" t="s">
        <v>16</v>
      </c>
    </row>
    <row r="7973" spans="1:6" ht="25.5">
      <c r="A7973" s="2">
        <v>7970</v>
      </c>
      <c r="B7973" s="2" t="s">
        <v>8050</v>
      </c>
      <c r="C7973" s="2" t="str">
        <f>"00194832"</f>
        <v>00194832</v>
      </c>
      <c r="D7973" s="2">
        <v>0.16600000000000001</v>
      </c>
      <c r="E7973" s="2">
        <v>27</v>
      </c>
      <c r="F7973" s="2" t="s">
        <v>488</v>
      </c>
    </row>
    <row r="7974" spans="1:6" ht="25.5">
      <c r="A7974" s="2">
        <v>7971</v>
      </c>
      <c r="B7974" s="2" t="s">
        <v>8051</v>
      </c>
      <c r="C7974" s="2" t="str">
        <f>"09706399"</f>
        <v>09706399</v>
      </c>
      <c r="D7974" s="2">
        <v>0.188</v>
      </c>
      <c r="E7974" s="2">
        <v>4</v>
      </c>
      <c r="F7974" s="2" t="s">
        <v>488</v>
      </c>
    </row>
    <row r="7975" spans="1:6" ht="25.5">
      <c r="A7975" s="2">
        <v>7972</v>
      </c>
      <c r="B7975" s="2" t="s">
        <v>8052</v>
      </c>
      <c r="C7975" s="2" t="str">
        <f>"00195014"</f>
        <v>00195014</v>
      </c>
      <c r="D7975" s="2">
        <v>0.217</v>
      </c>
      <c r="E7975" s="2">
        <v>10</v>
      </c>
      <c r="F7975" s="2" t="s">
        <v>488</v>
      </c>
    </row>
    <row r="7976" spans="1:6" ht="25.5">
      <c r="A7976" s="2">
        <v>7973</v>
      </c>
      <c r="B7976" s="2" t="s">
        <v>8053</v>
      </c>
      <c r="C7976" s="2" t="str">
        <f>"00195022"</f>
        <v>00195022</v>
      </c>
      <c r="D7976" s="2">
        <v>0.27100000000000002</v>
      </c>
      <c r="E7976" s="2">
        <v>14</v>
      </c>
      <c r="F7976" s="2" t="s">
        <v>488</v>
      </c>
    </row>
    <row r="7977" spans="1:6" ht="25.5">
      <c r="A7977" s="2">
        <v>7974</v>
      </c>
      <c r="B7977" s="2" t="s">
        <v>8054</v>
      </c>
      <c r="C7977" s="2" t="str">
        <f>"0537197X"</f>
        <v>0537197X</v>
      </c>
      <c r="D7977" s="2">
        <v>0.313</v>
      </c>
      <c r="E7977" s="2">
        <v>12</v>
      </c>
      <c r="F7977" s="2" t="s">
        <v>488</v>
      </c>
    </row>
    <row r="7978" spans="1:6" ht="25.5">
      <c r="A7978" s="2">
        <v>7975</v>
      </c>
      <c r="B7978" s="2" t="s">
        <v>8055</v>
      </c>
      <c r="C7978" s="2" t="str">
        <f>"09762817"</f>
        <v>09762817</v>
      </c>
      <c r="D7978" s="2">
        <v>0.20300000000000001</v>
      </c>
      <c r="E7978" s="2">
        <v>5</v>
      </c>
      <c r="F7978" s="2" t="s">
        <v>488</v>
      </c>
    </row>
    <row r="7979" spans="1:6" ht="25.5">
      <c r="A7979" s="2">
        <v>7976</v>
      </c>
      <c r="B7979" s="2" t="s">
        <v>8056</v>
      </c>
      <c r="C7979" s="2" t="str">
        <f>"09760555"</f>
        <v>09760555</v>
      </c>
      <c r="D7979" s="2">
        <v>0.16</v>
      </c>
      <c r="E7979" s="2">
        <v>3</v>
      </c>
      <c r="F7979" s="2" t="s">
        <v>488</v>
      </c>
    </row>
    <row r="7980" spans="1:6" ht="25.5">
      <c r="A7980" s="2">
        <v>7977</v>
      </c>
      <c r="B7980" s="2" t="s">
        <v>8057</v>
      </c>
      <c r="C7980" s="2" t="str">
        <f>"03678318"</f>
        <v>03678318</v>
      </c>
      <c r="D7980" s="2">
        <v>0.27200000000000002</v>
      </c>
      <c r="E7980" s="2">
        <v>13</v>
      </c>
      <c r="F7980" s="2" t="s">
        <v>488</v>
      </c>
    </row>
    <row r="7981" spans="1:6" ht="25.5">
      <c r="A7981" s="2">
        <v>7978</v>
      </c>
      <c r="B7981" s="2" t="s">
        <v>8058</v>
      </c>
      <c r="C7981" s="2" t="str">
        <f>"03011208"</f>
        <v>03011208</v>
      </c>
      <c r="D7981" s="2">
        <v>0.40400000000000003</v>
      </c>
      <c r="E7981" s="2">
        <v>23</v>
      </c>
      <c r="F7981" s="2" t="s">
        <v>488</v>
      </c>
    </row>
    <row r="7982" spans="1:6" ht="25.5">
      <c r="A7982" s="2">
        <v>7979</v>
      </c>
      <c r="B7982" s="2" t="s">
        <v>8059</v>
      </c>
      <c r="C7982" s="2" t="str">
        <f>"09725849"</f>
        <v>09725849</v>
      </c>
      <c r="D7982" s="2">
        <v>0.24299999999999999</v>
      </c>
      <c r="E7982" s="2">
        <v>13</v>
      </c>
      <c r="F7982" s="2" t="s">
        <v>488</v>
      </c>
    </row>
    <row r="7983" spans="1:6" ht="25.5">
      <c r="A7983" s="2">
        <v>7980</v>
      </c>
      <c r="B7983" s="2" t="s">
        <v>8060</v>
      </c>
      <c r="C7983" s="2" t="str">
        <f>"0019509X"</f>
        <v>0019509X</v>
      </c>
      <c r="D7983" s="2">
        <v>0.28999999999999998</v>
      </c>
      <c r="E7983" s="2">
        <v>18</v>
      </c>
      <c r="F7983" s="2" t="s">
        <v>488</v>
      </c>
    </row>
    <row r="7984" spans="1:6" ht="25.5">
      <c r="A7984" s="2">
        <v>7981</v>
      </c>
      <c r="B7984" s="2" t="s">
        <v>8061</v>
      </c>
      <c r="C7984" s="2" t="str">
        <f>"0971457X"</f>
        <v>0971457X</v>
      </c>
      <c r="D7984" s="2">
        <v>0.254</v>
      </c>
      <c r="E7984" s="2">
        <v>21</v>
      </c>
      <c r="F7984" s="2" t="s">
        <v>488</v>
      </c>
    </row>
    <row r="7985" spans="1:6" ht="25.5">
      <c r="A7985" s="2">
        <v>7982</v>
      </c>
      <c r="B7985" s="2" t="s">
        <v>8062</v>
      </c>
      <c r="C7985" s="2" t="str">
        <f>"03764710"</f>
        <v>03764710</v>
      </c>
      <c r="D7985" s="2">
        <v>0.27600000000000002</v>
      </c>
      <c r="E7985" s="2">
        <v>28</v>
      </c>
      <c r="F7985" s="2" t="s">
        <v>488</v>
      </c>
    </row>
    <row r="7986" spans="1:6" ht="25.5">
      <c r="A7986" s="2">
        <v>7983</v>
      </c>
      <c r="B7986" s="2" t="s">
        <v>8063</v>
      </c>
      <c r="C7986" s="2" t="str">
        <f>"03764699"</f>
        <v>03764699</v>
      </c>
      <c r="D7986" s="2">
        <v>0.36199999999999999</v>
      </c>
      <c r="E7986" s="2">
        <v>30</v>
      </c>
      <c r="F7986" s="2" t="s">
        <v>488</v>
      </c>
    </row>
    <row r="7987" spans="1:6" ht="25.5">
      <c r="A7987" s="2">
        <v>7984</v>
      </c>
      <c r="B7987" s="2" t="s">
        <v>8064</v>
      </c>
      <c r="C7987" s="2" t="str">
        <f>"03779343"</f>
        <v>03779343</v>
      </c>
      <c r="D7987" s="2">
        <v>0.161</v>
      </c>
      <c r="E7987" s="2">
        <v>16</v>
      </c>
      <c r="F7987" s="2" t="s">
        <v>488</v>
      </c>
    </row>
    <row r="7988" spans="1:6" ht="25.5">
      <c r="A7988" s="2">
        <v>7985</v>
      </c>
      <c r="B7988" s="2" t="s">
        <v>8065</v>
      </c>
      <c r="C7988" s="2" t="str">
        <f>"09701915"</f>
        <v>09701915</v>
      </c>
      <c r="D7988" s="2">
        <v>0.23200000000000001</v>
      </c>
      <c r="E7988" s="2">
        <v>17</v>
      </c>
      <c r="F7988" s="2" t="s">
        <v>488</v>
      </c>
    </row>
    <row r="7989" spans="1:6" ht="25.5">
      <c r="A7989" s="2">
        <v>7986</v>
      </c>
      <c r="B7989" s="2" t="s">
        <v>8066</v>
      </c>
      <c r="C7989" s="2" t="str">
        <f>"22489509"</f>
        <v>22489509</v>
      </c>
      <c r="D7989" s="2">
        <v>0</v>
      </c>
      <c r="E7989" s="2">
        <v>0</v>
      </c>
      <c r="F7989" s="2" t="s">
        <v>488</v>
      </c>
    </row>
    <row r="7990" spans="1:6" ht="25.5">
      <c r="A7990" s="2">
        <v>7987</v>
      </c>
      <c r="B7990" s="2" t="s">
        <v>8067</v>
      </c>
      <c r="C7990" s="2" t="str">
        <f>"19983581"</f>
        <v>19983581</v>
      </c>
      <c r="D7990" s="2">
        <v>0.29399999999999998</v>
      </c>
      <c r="E7990" s="2">
        <v>8</v>
      </c>
      <c r="F7990" s="2" t="s">
        <v>488</v>
      </c>
    </row>
    <row r="7991" spans="1:6" ht="25.5">
      <c r="A7991" s="2">
        <v>7988</v>
      </c>
      <c r="B7991" s="2" t="s">
        <v>8068</v>
      </c>
      <c r="C7991" s="2" t="str">
        <f>"1998359X"</f>
        <v>1998359X</v>
      </c>
      <c r="D7991" s="2">
        <v>0.216</v>
      </c>
      <c r="E7991" s="2">
        <v>9</v>
      </c>
      <c r="F7991" s="2" t="s">
        <v>488</v>
      </c>
    </row>
    <row r="7992" spans="1:6" ht="25.5">
      <c r="A7992" s="2">
        <v>7989</v>
      </c>
      <c r="B7992" s="2" t="s">
        <v>8069</v>
      </c>
      <c r="C7992" s="2" t="str">
        <f>"19983603"</f>
        <v>19983603</v>
      </c>
      <c r="D7992" s="2">
        <v>0.22900000000000001</v>
      </c>
      <c r="E7992" s="2">
        <v>14</v>
      </c>
      <c r="F7992" s="2" t="s">
        <v>488</v>
      </c>
    </row>
    <row r="7993" spans="1:6" ht="25.5">
      <c r="A7993" s="2">
        <v>7990</v>
      </c>
      <c r="B7993" s="2" t="s">
        <v>8070</v>
      </c>
      <c r="C7993" s="2" t="str">
        <f>"19983611"</f>
        <v>19983611</v>
      </c>
      <c r="D7993" s="2">
        <v>0.28100000000000003</v>
      </c>
      <c r="E7993" s="2">
        <v>8</v>
      </c>
      <c r="F7993" s="2" t="s">
        <v>488</v>
      </c>
    </row>
    <row r="7994" spans="1:6" ht="25.5">
      <c r="A7994" s="2">
        <v>7991</v>
      </c>
      <c r="B7994" s="2" t="s">
        <v>8071</v>
      </c>
      <c r="C7994" s="2" t="str">
        <f>"09733922"</f>
        <v>09733922</v>
      </c>
      <c r="D7994" s="2">
        <v>0.38900000000000001</v>
      </c>
      <c r="E7994" s="2">
        <v>19</v>
      </c>
      <c r="F7994" s="2" t="s">
        <v>488</v>
      </c>
    </row>
    <row r="7995" spans="1:6" ht="25.5">
      <c r="A7995" s="2">
        <v>7992</v>
      </c>
      <c r="B7995" s="2" t="s">
        <v>8072</v>
      </c>
      <c r="C7995" s="2" t="str">
        <f>"09714588"</f>
        <v>09714588</v>
      </c>
      <c r="D7995" s="2">
        <v>0.20599999999999999</v>
      </c>
      <c r="E7995" s="2">
        <v>14</v>
      </c>
      <c r="F7995" s="2" t="s">
        <v>488</v>
      </c>
    </row>
    <row r="7996" spans="1:6" ht="25.5">
      <c r="A7996" s="2">
        <v>7993</v>
      </c>
      <c r="B7996" s="2" t="s">
        <v>8073</v>
      </c>
      <c r="C7996" s="2" t="str">
        <f>"02537141"</f>
        <v>02537141</v>
      </c>
      <c r="D7996" s="2">
        <v>0.17</v>
      </c>
      <c r="E7996" s="2">
        <v>11</v>
      </c>
      <c r="F7996" s="2" t="s">
        <v>488</v>
      </c>
    </row>
    <row r="7997" spans="1:6" ht="25.5">
      <c r="A7997" s="2">
        <v>7994</v>
      </c>
      <c r="B7997" s="2" t="s">
        <v>8074</v>
      </c>
      <c r="C7997" s="2" t="str">
        <f>"00195189"</f>
        <v>00195189</v>
      </c>
      <c r="D7997" s="2">
        <v>0.45100000000000001</v>
      </c>
      <c r="E7997" s="2">
        <v>44</v>
      </c>
      <c r="F7997" s="2" t="s">
        <v>488</v>
      </c>
    </row>
    <row r="7998" spans="1:6" ht="25.5">
      <c r="A7998" s="2">
        <v>7995</v>
      </c>
      <c r="B7998" s="2" t="s">
        <v>8075</v>
      </c>
      <c r="C7998" s="2" t="str">
        <f>"09710426"</f>
        <v>09710426</v>
      </c>
      <c r="D7998" s="2">
        <v>0.47499999999999998</v>
      </c>
      <c r="E7998" s="2">
        <v>17</v>
      </c>
      <c r="F7998" s="2" t="s">
        <v>488</v>
      </c>
    </row>
    <row r="7999" spans="1:6" ht="25.5">
      <c r="A7999" s="2">
        <v>7996</v>
      </c>
      <c r="B7999" s="2" t="s">
        <v>8076</v>
      </c>
      <c r="C7999" s="2" t="str">
        <f>"05372003"</f>
        <v>05372003</v>
      </c>
      <c r="D7999" s="2">
        <v>0.246</v>
      </c>
      <c r="E7999" s="2">
        <v>3</v>
      </c>
      <c r="F7999" s="2" t="s">
        <v>488</v>
      </c>
    </row>
    <row r="8000" spans="1:6" ht="25.5">
      <c r="A8000" s="2">
        <v>7997</v>
      </c>
      <c r="B8000" s="2" t="s">
        <v>8077</v>
      </c>
      <c r="C8000" s="2" t="str">
        <f>"09739130"</f>
        <v>09739130</v>
      </c>
      <c r="D8000" s="2">
        <v>0.21199999999999999</v>
      </c>
      <c r="E8000" s="2">
        <v>11</v>
      </c>
      <c r="F8000" s="2" t="s">
        <v>488</v>
      </c>
    </row>
    <row r="8001" spans="1:6" ht="25.5">
      <c r="A8001" s="2">
        <v>7998</v>
      </c>
      <c r="B8001" s="2" t="s">
        <v>8078</v>
      </c>
      <c r="C8001" s="2" t="str">
        <f>"02548860"</f>
        <v>02548860</v>
      </c>
      <c r="D8001" s="2">
        <v>0.252</v>
      </c>
      <c r="E8001" s="2">
        <v>26</v>
      </c>
      <c r="F8001" s="2" t="s">
        <v>488</v>
      </c>
    </row>
    <row r="8002" spans="1:6" ht="25.5">
      <c r="A8002" s="2">
        <v>7999</v>
      </c>
      <c r="B8002" s="2" t="s">
        <v>8079</v>
      </c>
      <c r="C8002" s="2" t="str">
        <f>"09715215"</f>
        <v>09715215</v>
      </c>
      <c r="D8002" s="2">
        <v>0.14599999999999999</v>
      </c>
      <c r="E8002" s="2">
        <v>6</v>
      </c>
      <c r="F8002" s="2" t="s">
        <v>488</v>
      </c>
    </row>
    <row r="8003" spans="1:6" ht="25.5">
      <c r="A8003" s="2">
        <v>8000</v>
      </c>
      <c r="B8003" s="2" t="s">
        <v>8080</v>
      </c>
      <c r="C8003" s="2" t="str">
        <f>"09714502"</f>
        <v>09714502</v>
      </c>
      <c r="D8003" s="2">
        <v>0.11700000000000001</v>
      </c>
      <c r="E8003" s="2">
        <v>4</v>
      </c>
      <c r="F8003" s="2" t="s">
        <v>488</v>
      </c>
    </row>
    <row r="8004" spans="1:6" ht="25.5">
      <c r="A8004" s="2">
        <v>8001</v>
      </c>
      <c r="B8004" s="2" t="s">
        <v>8081</v>
      </c>
      <c r="C8004" s="2" t="str">
        <f>"09711627"</f>
        <v>09711627</v>
      </c>
      <c r="D8004" s="2">
        <v>0.14699999999999999</v>
      </c>
      <c r="E8004" s="2">
        <v>20</v>
      </c>
      <c r="F8004" s="2" t="s">
        <v>488</v>
      </c>
    </row>
    <row r="8005" spans="1:6" ht="25.5">
      <c r="A8005" s="2">
        <v>8002</v>
      </c>
      <c r="B8005" s="2" t="s">
        <v>8082</v>
      </c>
      <c r="C8005" s="2" t="str">
        <f>"00195251"</f>
        <v>00195251</v>
      </c>
      <c r="D8005" s="2">
        <v>0.21099999999999999</v>
      </c>
      <c r="E8005" s="2">
        <v>3</v>
      </c>
      <c r="F8005" s="2" t="s">
        <v>488</v>
      </c>
    </row>
    <row r="8006" spans="1:6" ht="25.5">
      <c r="A8006" s="2">
        <v>8003</v>
      </c>
      <c r="B8006" s="2" t="s">
        <v>8083</v>
      </c>
      <c r="C8006" s="2" t="str">
        <f>"09716866"</f>
        <v>09716866</v>
      </c>
      <c r="D8006" s="2">
        <v>0.187</v>
      </c>
      <c r="E8006" s="2">
        <v>8</v>
      </c>
      <c r="F8006" s="2" t="s">
        <v>488</v>
      </c>
    </row>
    <row r="8007" spans="1:6" ht="25.5">
      <c r="A8007" s="2">
        <v>8004</v>
      </c>
      <c r="B8007" s="2" t="s">
        <v>8084</v>
      </c>
      <c r="C8007" s="2" t="str">
        <f>"02549395"</f>
        <v>02549395</v>
      </c>
      <c r="D8007" s="2">
        <v>0.32200000000000001</v>
      </c>
      <c r="E8007" s="2">
        <v>15</v>
      </c>
      <c r="F8007" s="2" t="s">
        <v>488</v>
      </c>
    </row>
    <row r="8008" spans="1:6" ht="25.5">
      <c r="A8008" s="2">
        <v>8005</v>
      </c>
      <c r="B8008" s="2" t="s">
        <v>8085</v>
      </c>
      <c r="C8008" s="2" t="str">
        <f>"09751033"</f>
        <v>09751033</v>
      </c>
      <c r="D8008" s="2">
        <v>0.29499999999999998</v>
      </c>
      <c r="E8008" s="2">
        <v>17</v>
      </c>
      <c r="F8008" s="2" t="s">
        <v>488</v>
      </c>
    </row>
    <row r="8009" spans="1:6" ht="25.5">
      <c r="A8009" s="2">
        <v>8006</v>
      </c>
      <c r="B8009" s="2" t="s">
        <v>8086</v>
      </c>
      <c r="C8009" s="2" t="str">
        <f>"09752129"</f>
        <v>09752129</v>
      </c>
      <c r="D8009" s="2">
        <v>0.14599999999999999</v>
      </c>
      <c r="E8009" s="2">
        <v>3</v>
      </c>
      <c r="F8009" s="2" t="s">
        <v>488</v>
      </c>
    </row>
    <row r="8010" spans="1:6">
      <c r="A8010" s="2">
        <v>8007</v>
      </c>
      <c r="B8010" s="2" t="s">
        <v>8087</v>
      </c>
      <c r="C8010" s="2" t="str">
        <f>"0"</f>
        <v>0</v>
      </c>
      <c r="D8010" s="2">
        <v>0.13900000000000001</v>
      </c>
      <c r="E8010" s="2">
        <v>7</v>
      </c>
      <c r="F8010" s="2" t="s">
        <v>488</v>
      </c>
    </row>
    <row r="8011" spans="1:6" ht="25.5">
      <c r="A8011" s="2">
        <v>8008</v>
      </c>
      <c r="B8011" s="2" t="s">
        <v>8088</v>
      </c>
      <c r="C8011" s="2" t="str">
        <f>"19983646"</f>
        <v>19983646</v>
      </c>
      <c r="D8011" s="2">
        <v>0.372</v>
      </c>
      <c r="E8011" s="2">
        <v>23</v>
      </c>
      <c r="F8011" s="2" t="s">
        <v>488</v>
      </c>
    </row>
    <row r="8012" spans="1:6" ht="25.5">
      <c r="A8012" s="2">
        <v>8009</v>
      </c>
      <c r="B8012" s="2" t="s">
        <v>8089</v>
      </c>
      <c r="C8012" s="2" t="str">
        <f>"09715916"</f>
        <v>09715916</v>
      </c>
      <c r="D8012" s="2">
        <v>0.51300000000000001</v>
      </c>
      <c r="E8012" s="2">
        <v>45</v>
      </c>
      <c r="F8012" s="2" t="s">
        <v>488</v>
      </c>
    </row>
    <row r="8013" spans="1:6" ht="25.5">
      <c r="A8013" s="2">
        <v>8010</v>
      </c>
      <c r="B8013" s="2" t="s">
        <v>8090</v>
      </c>
      <c r="C8013" s="2" t="str">
        <f>"03679012"</f>
        <v>03679012</v>
      </c>
      <c r="D8013" s="2">
        <v>0.17599999999999999</v>
      </c>
      <c r="E8013" s="2">
        <v>11</v>
      </c>
      <c r="F8013" s="2" t="s">
        <v>488</v>
      </c>
    </row>
    <row r="8014" spans="1:6" ht="25.5">
      <c r="A8014" s="2">
        <v>8011</v>
      </c>
      <c r="B8014" s="2" t="s">
        <v>8091</v>
      </c>
      <c r="C8014" s="2" t="str">
        <f>"19983654"</f>
        <v>19983654</v>
      </c>
      <c r="D8014" s="2">
        <v>0.19900000000000001</v>
      </c>
      <c r="E8014" s="2">
        <v>22</v>
      </c>
      <c r="F8014" s="2" t="s">
        <v>488</v>
      </c>
    </row>
    <row r="8015" spans="1:6" ht="25.5">
      <c r="A8015" s="2">
        <v>8012</v>
      </c>
      <c r="B8015" s="2" t="s">
        <v>8092</v>
      </c>
      <c r="C8015" s="2" t="str">
        <f>"00468991"</f>
        <v>00468991</v>
      </c>
      <c r="D8015" s="2">
        <v>0.20699999999999999</v>
      </c>
      <c r="E8015" s="2">
        <v>17</v>
      </c>
      <c r="F8015" s="2" t="s">
        <v>488</v>
      </c>
    </row>
    <row r="8016" spans="1:6" ht="25.5">
      <c r="A8016" s="2">
        <v>8013</v>
      </c>
      <c r="B8016" s="2" t="s">
        <v>8093</v>
      </c>
      <c r="C8016" s="2" t="str">
        <f>"09760512"</f>
        <v>09760512</v>
      </c>
      <c r="D8016" s="2">
        <v>0.251</v>
      </c>
      <c r="E8016" s="2">
        <v>6</v>
      </c>
      <c r="F8016" s="2" t="s">
        <v>488</v>
      </c>
    </row>
    <row r="8017" spans="1:6" ht="25.5">
      <c r="A8017" s="2">
        <v>8014</v>
      </c>
      <c r="B8017" s="2" t="s">
        <v>8094</v>
      </c>
      <c r="C8017" s="2" t="str">
        <f>"19983662"</f>
        <v>19983662</v>
      </c>
      <c r="D8017" s="2">
        <v>0.26</v>
      </c>
      <c r="E8017" s="2">
        <v>5</v>
      </c>
      <c r="F8017" s="2" t="s">
        <v>488</v>
      </c>
    </row>
    <row r="8018" spans="1:6" ht="25.5">
      <c r="A8018" s="2">
        <v>8015</v>
      </c>
      <c r="B8018" s="2" t="s">
        <v>8095</v>
      </c>
      <c r="C8018" s="2" t="str">
        <f>"09740244"</f>
        <v>09740244</v>
      </c>
      <c r="D8018" s="2">
        <v>0.113</v>
      </c>
      <c r="E8018" s="2">
        <v>2</v>
      </c>
      <c r="F8018" s="2" t="s">
        <v>488</v>
      </c>
    </row>
    <row r="8019" spans="1:6" ht="25.5">
      <c r="A8019" s="2">
        <v>8016</v>
      </c>
      <c r="B8019" s="2" t="s">
        <v>8096</v>
      </c>
      <c r="C8019" s="2" t="str">
        <f>"19983670"</f>
        <v>19983670</v>
      </c>
      <c r="D8019" s="2">
        <v>0.22900000000000001</v>
      </c>
      <c r="E8019" s="2">
        <v>8</v>
      </c>
      <c r="F8019" s="2" t="s">
        <v>488</v>
      </c>
    </row>
    <row r="8020" spans="1:6" ht="25.5">
      <c r="A8020" s="2">
        <v>8017</v>
      </c>
      <c r="B8020" s="2" t="s">
        <v>8097</v>
      </c>
      <c r="C8020" s="2" t="str">
        <f>"19983689"</f>
        <v>19983689</v>
      </c>
      <c r="D8020" s="2">
        <v>0.42199999999999999</v>
      </c>
      <c r="E8020" s="2">
        <v>26</v>
      </c>
      <c r="F8020" s="2" t="s">
        <v>488</v>
      </c>
    </row>
    <row r="8021" spans="1:6" ht="25.5">
      <c r="A8021" s="2">
        <v>8018</v>
      </c>
      <c r="B8021" s="2" t="s">
        <v>8098</v>
      </c>
      <c r="C8021" s="2" t="str">
        <f>"19983727"</f>
        <v>19983727</v>
      </c>
      <c r="D8021" s="2">
        <v>0.35499999999999998</v>
      </c>
      <c r="E8021" s="2">
        <v>8</v>
      </c>
      <c r="F8021" s="2" t="s">
        <v>488</v>
      </c>
    </row>
    <row r="8022" spans="1:6" ht="25.5">
      <c r="A8022" s="2">
        <v>8019</v>
      </c>
      <c r="B8022" s="2" t="s">
        <v>8099</v>
      </c>
      <c r="C8022" s="2" t="str">
        <f>"00195421"</f>
        <v>00195421</v>
      </c>
      <c r="D8022" s="2">
        <v>0.153</v>
      </c>
      <c r="E8022" s="2">
        <v>6</v>
      </c>
      <c r="F8022" s="2" t="s">
        <v>488</v>
      </c>
    </row>
    <row r="8023" spans="1:6" ht="25.5">
      <c r="A8023" s="2">
        <v>8020</v>
      </c>
      <c r="B8023" s="2" t="s">
        <v>8100</v>
      </c>
      <c r="C8023" s="2" t="str">
        <f>"09717749"</f>
        <v>09717749</v>
      </c>
      <c r="D8023" s="2">
        <v>0.158</v>
      </c>
      <c r="E8023" s="2">
        <v>3</v>
      </c>
      <c r="F8023" s="2" t="s">
        <v>488</v>
      </c>
    </row>
    <row r="8024" spans="1:6" ht="25.5">
      <c r="A8024" s="2">
        <v>8021</v>
      </c>
      <c r="B8024" s="2" t="s">
        <v>8101</v>
      </c>
      <c r="C8024" s="2" t="str">
        <f>"19983735"</f>
        <v>19983735</v>
      </c>
      <c r="D8024" s="2">
        <v>0.214</v>
      </c>
      <c r="E8024" s="2">
        <v>7</v>
      </c>
      <c r="F8024" s="2" t="s">
        <v>488</v>
      </c>
    </row>
    <row r="8025" spans="1:6" ht="25.5">
      <c r="A8025" s="2">
        <v>8022</v>
      </c>
      <c r="B8025" s="2" t="s">
        <v>8102</v>
      </c>
      <c r="C8025" s="2" t="str">
        <f>"09745130"</f>
        <v>09745130</v>
      </c>
      <c r="D8025" s="2">
        <v>0.23200000000000001</v>
      </c>
      <c r="E8025" s="2">
        <v>15</v>
      </c>
      <c r="F8025" s="2" t="s">
        <v>488</v>
      </c>
    </row>
    <row r="8026" spans="1:6" ht="25.5">
      <c r="A8026" s="2">
        <v>8023</v>
      </c>
      <c r="B8026" s="2" t="s">
        <v>8103</v>
      </c>
      <c r="C8026" s="2" t="str">
        <f>"00195456"</f>
        <v>00195456</v>
      </c>
      <c r="D8026" s="2">
        <v>0.30599999999999999</v>
      </c>
      <c r="E8026" s="2">
        <v>28</v>
      </c>
      <c r="F8026" s="2" t="s">
        <v>488</v>
      </c>
    </row>
    <row r="8027" spans="1:6" ht="25.5">
      <c r="A8027" s="2">
        <v>8024</v>
      </c>
      <c r="B8027" s="2" t="s">
        <v>8104</v>
      </c>
      <c r="C8027" s="2" t="str">
        <f>"00195464"</f>
        <v>00195464</v>
      </c>
      <c r="D8027" s="2">
        <v>0.246</v>
      </c>
      <c r="E8027" s="2">
        <v>7</v>
      </c>
      <c r="F8027" s="2" t="s">
        <v>488</v>
      </c>
    </row>
    <row r="8028" spans="1:6" ht="25.5">
      <c r="A8028" s="2">
        <v>8025</v>
      </c>
      <c r="B8028" s="2" t="s">
        <v>8105</v>
      </c>
      <c r="C8028" s="2" t="str">
        <f>"19983743"</f>
        <v>19983743</v>
      </c>
      <c r="D8028" s="2">
        <v>0.33300000000000002</v>
      </c>
      <c r="E8028" s="2">
        <v>28</v>
      </c>
      <c r="F8028" s="2" t="s">
        <v>488</v>
      </c>
    </row>
    <row r="8029" spans="1:6" ht="25.5">
      <c r="A8029" s="2">
        <v>8026</v>
      </c>
      <c r="B8029" s="2" t="s">
        <v>8106</v>
      </c>
      <c r="C8029" s="2" t="str">
        <f>"19983751"</f>
        <v>19983751</v>
      </c>
      <c r="D8029" s="2">
        <v>0.27100000000000002</v>
      </c>
      <c r="E8029" s="2">
        <v>34</v>
      </c>
      <c r="F8029" s="2" t="s">
        <v>488</v>
      </c>
    </row>
    <row r="8030" spans="1:6" ht="25.5">
      <c r="A8030" s="2">
        <v>8027</v>
      </c>
      <c r="B8030" s="2" t="s">
        <v>8107</v>
      </c>
      <c r="C8030" s="2" t="str">
        <f>"02529262"</f>
        <v>02529262</v>
      </c>
      <c r="D8030" s="2">
        <v>0.253</v>
      </c>
      <c r="E8030" s="2">
        <v>13</v>
      </c>
      <c r="F8030" s="2" t="s">
        <v>488</v>
      </c>
    </row>
    <row r="8031" spans="1:6" ht="25.5">
      <c r="A8031" s="2">
        <v>8028</v>
      </c>
      <c r="B8031" s="2" t="s">
        <v>8108</v>
      </c>
      <c r="C8031" s="2" t="str">
        <f>"00195499"</f>
        <v>00195499</v>
      </c>
      <c r="D8031" s="2">
        <v>0.255</v>
      </c>
      <c r="E8031" s="2">
        <v>30</v>
      </c>
      <c r="F8031" s="2" t="s">
        <v>488</v>
      </c>
    </row>
    <row r="8032" spans="1:6" ht="25.5">
      <c r="A8032" s="2">
        <v>8029</v>
      </c>
      <c r="B8032" s="2" t="s">
        <v>8109</v>
      </c>
      <c r="C8032" s="2" t="str">
        <f>"1998376X"</f>
        <v>1998376X</v>
      </c>
      <c r="D8032" s="2">
        <v>0.23499999999999999</v>
      </c>
      <c r="E8032" s="2">
        <v>7</v>
      </c>
      <c r="F8032" s="2" t="s">
        <v>488</v>
      </c>
    </row>
    <row r="8033" spans="1:6" ht="25.5">
      <c r="A8033" s="2">
        <v>8030</v>
      </c>
      <c r="B8033" s="2" t="s">
        <v>8110</v>
      </c>
      <c r="C8033" s="2" t="str">
        <f>"09729607"</f>
        <v>09729607</v>
      </c>
      <c r="D8033" s="2">
        <v>0.1</v>
      </c>
      <c r="E8033" s="2">
        <v>5</v>
      </c>
      <c r="F8033" s="2" t="s">
        <v>488</v>
      </c>
    </row>
    <row r="8034" spans="1:6" ht="25.5">
      <c r="A8034" s="2">
        <v>8031</v>
      </c>
      <c r="B8034" s="2" t="s">
        <v>8111</v>
      </c>
      <c r="C8034" s="2" t="str">
        <f>"19983794"</f>
        <v>19983794</v>
      </c>
      <c r="D8034" s="2">
        <v>0.28499999999999998</v>
      </c>
      <c r="E8034" s="2">
        <v>6</v>
      </c>
      <c r="F8034" s="2" t="s">
        <v>488</v>
      </c>
    </row>
    <row r="8035" spans="1:6" ht="25.5">
      <c r="A8035" s="2">
        <v>8032</v>
      </c>
      <c r="B8035" s="2" t="s">
        <v>8112</v>
      </c>
      <c r="C8035" s="2" t="str">
        <f>"09751564"</f>
        <v>09751564</v>
      </c>
      <c r="D8035" s="2">
        <v>0.127</v>
      </c>
      <c r="E8035" s="2">
        <v>2</v>
      </c>
      <c r="F8035" s="2" t="s">
        <v>488</v>
      </c>
    </row>
    <row r="8036" spans="1:6" ht="25.5">
      <c r="A8036" s="2">
        <v>8033</v>
      </c>
      <c r="B8036" s="2" t="s">
        <v>8113</v>
      </c>
      <c r="C8036" s="2" t="str">
        <f>"0019557X"</f>
        <v>0019557X</v>
      </c>
      <c r="D8036" s="2">
        <v>0.19500000000000001</v>
      </c>
      <c r="E8036" s="2">
        <v>12</v>
      </c>
      <c r="F8036" s="2" t="s">
        <v>488</v>
      </c>
    </row>
    <row r="8037" spans="1:6" ht="25.5">
      <c r="A8037" s="2">
        <v>8034</v>
      </c>
      <c r="B8037" s="2" t="s">
        <v>8114</v>
      </c>
      <c r="C8037" s="2" t="str">
        <f>"00195588"</f>
        <v>00195588</v>
      </c>
      <c r="D8037" s="2">
        <v>0.17100000000000001</v>
      </c>
      <c r="E8037" s="2">
        <v>22</v>
      </c>
      <c r="F8037" s="2" t="s">
        <v>488</v>
      </c>
    </row>
    <row r="8038" spans="1:6" ht="25.5">
      <c r="A8038" s="2">
        <v>8035</v>
      </c>
      <c r="B8038" s="2" t="s">
        <v>8115</v>
      </c>
      <c r="C8038" s="2" t="str">
        <f>"00195596"</f>
        <v>00195596</v>
      </c>
      <c r="D8038" s="2">
        <v>0.307</v>
      </c>
      <c r="E8038" s="2">
        <v>20</v>
      </c>
      <c r="F8038" s="2" t="s">
        <v>488</v>
      </c>
    </row>
    <row r="8039" spans="1:6" ht="25.5">
      <c r="A8039" s="2">
        <v>8036</v>
      </c>
      <c r="B8039" s="2" t="s">
        <v>8116</v>
      </c>
      <c r="C8039" s="2" t="str">
        <f>"03678393"</f>
        <v>03678393</v>
      </c>
      <c r="D8039" s="2">
        <v>0.23899999999999999</v>
      </c>
      <c r="E8039" s="2">
        <v>11</v>
      </c>
      <c r="F8039" s="2" t="s">
        <v>488</v>
      </c>
    </row>
    <row r="8040" spans="1:6" ht="25.5">
      <c r="A8040" s="2">
        <v>8037</v>
      </c>
      <c r="B8040" s="2" t="s">
        <v>8117</v>
      </c>
      <c r="C8040" s="2" t="str">
        <f>"19983808"</f>
        <v>19983808</v>
      </c>
      <c r="D8040" s="2">
        <v>0.23499999999999999</v>
      </c>
      <c r="E8040" s="2">
        <v>8</v>
      </c>
      <c r="F8040" s="2" t="s">
        <v>488</v>
      </c>
    </row>
    <row r="8041" spans="1:6" ht="25.5">
      <c r="A8041" s="2">
        <v>8038</v>
      </c>
      <c r="B8041" s="2" t="s">
        <v>8118</v>
      </c>
      <c r="C8041" s="2" t="str">
        <f>"09733698"</f>
        <v>09733698</v>
      </c>
      <c r="D8041" s="2">
        <v>0.122</v>
      </c>
      <c r="E8041" s="2">
        <v>5</v>
      </c>
      <c r="F8041" s="2" t="s">
        <v>543</v>
      </c>
    </row>
    <row r="8042" spans="1:6" ht="25.5">
      <c r="A8042" s="2">
        <v>8039</v>
      </c>
      <c r="B8042" s="2" t="s">
        <v>8119</v>
      </c>
      <c r="C8042" s="2" t="str">
        <f>"09746846"</f>
        <v>09746846</v>
      </c>
      <c r="D8042" s="2">
        <v>0</v>
      </c>
      <c r="E8042" s="2">
        <v>3</v>
      </c>
      <c r="F8042" s="2" t="s">
        <v>488</v>
      </c>
    </row>
    <row r="8043" spans="1:6" ht="25.5">
      <c r="A8043" s="2">
        <v>8040</v>
      </c>
      <c r="B8043" s="2" t="s">
        <v>8120</v>
      </c>
      <c r="C8043" s="2" t="str">
        <f>"19983816"</f>
        <v>19983816</v>
      </c>
      <c r="D8043" s="2">
        <v>0.26600000000000001</v>
      </c>
      <c r="E8043" s="2">
        <v>3</v>
      </c>
      <c r="F8043" s="2" t="s">
        <v>488</v>
      </c>
    </row>
    <row r="8044" spans="1:6" ht="25.5">
      <c r="A8044" s="2">
        <v>8041</v>
      </c>
      <c r="B8044" s="2" t="s">
        <v>8121</v>
      </c>
      <c r="C8044" s="2" t="str">
        <f>"00195634"</f>
        <v>00195634</v>
      </c>
      <c r="D8044" s="2">
        <v>0.11</v>
      </c>
      <c r="E8044" s="2">
        <v>4</v>
      </c>
      <c r="F8044" s="2" t="s">
        <v>488</v>
      </c>
    </row>
    <row r="8045" spans="1:6" ht="25.5">
      <c r="A8045" s="2">
        <v>8042</v>
      </c>
      <c r="B8045" s="2" t="s">
        <v>8122</v>
      </c>
      <c r="C8045" s="2" t="str">
        <f>"00195650"</f>
        <v>00195650</v>
      </c>
      <c r="D8045" s="2">
        <v>0.113</v>
      </c>
      <c r="E8045" s="2">
        <v>7</v>
      </c>
      <c r="F8045" s="2" t="s">
        <v>488</v>
      </c>
    </row>
    <row r="8046" spans="1:6" ht="25.5">
      <c r="A8046" s="2">
        <v>8043</v>
      </c>
      <c r="B8046" s="2" t="s">
        <v>8123</v>
      </c>
      <c r="C8046" s="2" t="str">
        <f>"09766952"</f>
        <v>09766952</v>
      </c>
      <c r="D8046" s="2">
        <v>0.113</v>
      </c>
      <c r="E8046" s="2">
        <v>1</v>
      </c>
      <c r="F8046" s="2" t="s">
        <v>488</v>
      </c>
    </row>
    <row r="8047" spans="1:6" ht="25.5">
      <c r="A8047" s="2">
        <v>8044</v>
      </c>
      <c r="B8047" s="2" t="s">
        <v>8124</v>
      </c>
      <c r="C8047" s="2" t="str">
        <f>"09709134"</f>
        <v>09709134</v>
      </c>
      <c r="D8047" s="2">
        <v>0.112</v>
      </c>
      <c r="E8047" s="2">
        <v>5</v>
      </c>
      <c r="F8047" s="2" t="s">
        <v>488</v>
      </c>
    </row>
    <row r="8048" spans="1:6" ht="25.5">
      <c r="A8048" s="2">
        <v>8045</v>
      </c>
      <c r="B8048" s="2" t="s">
        <v>8125</v>
      </c>
      <c r="C8048" s="2" t="str">
        <f>"09751068"</f>
        <v>09751068</v>
      </c>
      <c r="D8048" s="2">
        <v>0.44</v>
      </c>
      <c r="E8048" s="2">
        <v>9</v>
      </c>
      <c r="F8048" s="2" t="s">
        <v>488</v>
      </c>
    </row>
    <row r="8049" spans="1:6" ht="25.5">
      <c r="A8049" s="2">
        <v>8046</v>
      </c>
      <c r="B8049" s="2" t="s">
        <v>8126</v>
      </c>
      <c r="C8049" s="2" t="str">
        <f>"00195707"</f>
        <v>00195707</v>
      </c>
      <c r="D8049" s="2">
        <v>0.308</v>
      </c>
      <c r="E8049" s="2">
        <v>7</v>
      </c>
      <c r="F8049" s="2" t="s">
        <v>488</v>
      </c>
    </row>
    <row r="8050" spans="1:6" ht="25.5">
      <c r="A8050" s="2">
        <v>8047</v>
      </c>
      <c r="B8050" s="2" t="s">
        <v>8127</v>
      </c>
      <c r="C8050" s="2" t="str">
        <f>"09701591"</f>
        <v>09701591</v>
      </c>
      <c r="D8050" s="2">
        <v>0.254</v>
      </c>
      <c r="E8050" s="2">
        <v>9</v>
      </c>
      <c r="F8050" s="2" t="s">
        <v>488</v>
      </c>
    </row>
    <row r="8051" spans="1:6" ht="25.5">
      <c r="A8051" s="2">
        <v>8048</v>
      </c>
      <c r="B8051" s="2" t="s">
        <v>8128</v>
      </c>
      <c r="C8051" s="2" t="str">
        <f>"09702822"</f>
        <v>09702822</v>
      </c>
      <c r="D8051" s="2">
        <v>0.16900000000000001</v>
      </c>
      <c r="E8051" s="2">
        <v>2</v>
      </c>
      <c r="F8051" s="2" t="s">
        <v>488</v>
      </c>
    </row>
    <row r="8052" spans="1:6" ht="25.5">
      <c r="A8052" s="2">
        <v>8049</v>
      </c>
      <c r="B8052" s="2" t="s">
        <v>8129</v>
      </c>
      <c r="C8052" s="2" t="str">
        <f>"09726292"</f>
        <v>09726292</v>
      </c>
      <c r="D8052" s="2">
        <v>0.245</v>
      </c>
      <c r="E8052" s="2">
        <v>13</v>
      </c>
      <c r="F8052" s="2" t="s">
        <v>488</v>
      </c>
    </row>
    <row r="8053" spans="1:6" ht="25.5">
      <c r="A8053" s="2">
        <v>8050</v>
      </c>
      <c r="B8053" s="2" t="s">
        <v>8130</v>
      </c>
      <c r="C8053" s="2" t="str">
        <f>"09747559"</f>
        <v>09747559</v>
      </c>
      <c r="D8053" s="2">
        <v>0.36699999999999999</v>
      </c>
      <c r="E8053" s="2">
        <v>29</v>
      </c>
      <c r="F8053" s="2" t="s">
        <v>488</v>
      </c>
    </row>
    <row r="8054" spans="1:6" ht="25.5">
      <c r="A8054" s="2">
        <v>8051</v>
      </c>
      <c r="B8054" s="2" t="s">
        <v>8131</v>
      </c>
      <c r="C8054" s="2" t="str">
        <f>"00196479"</f>
        <v>00196479</v>
      </c>
      <c r="D8054" s="2">
        <v>0.22800000000000001</v>
      </c>
      <c r="E8054" s="2">
        <v>11</v>
      </c>
      <c r="F8054" s="2" t="s">
        <v>488</v>
      </c>
    </row>
    <row r="8055" spans="1:6" ht="25.5">
      <c r="A8055" s="2">
        <v>8052</v>
      </c>
      <c r="B8055" s="2" t="s">
        <v>8132</v>
      </c>
      <c r="C8055" s="2" t="str">
        <f>"14736489"</f>
        <v>14736489</v>
      </c>
      <c r="D8055" s="2">
        <v>0.14399999999999999</v>
      </c>
      <c r="E8055" s="2">
        <v>2</v>
      </c>
      <c r="F8055" s="2" t="s">
        <v>16</v>
      </c>
    </row>
    <row r="8056" spans="1:6" ht="25.5">
      <c r="A8056" s="2">
        <v>8053</v>
      </c>
      <c r="B8056" s="2" t="s">
        <v>8133</v>
      </c>
      <c r="C8056" s="2" t="str">
        <f>"1541745X"</f>
        <v>1541745X</v>
      </c>
      <c r="D8056" s="2">
        <v>0.27500000000000002</v>
      </c>
      <c r="E8056" s="2">
        <v>10</v>
      </c>
      <c r="F8056" s="2" t="s">
        <v>6</v>
      </c>
    </row>
    <row r="8057" spans="1:6" ht="25.5">
      <c r="A8057" s="2">
        <v>8054</v>
      </c>
      <c r="B8057" s="2" t="s">
        <v>8134</v>
      </c>
      <c r="C8057" s="2" t="str">
        <f>"00197262"</f>
        <v>00197262</v>
      </c>
      <c r="D8057" s="2">
        <v>0.108</v>
      </c>
      <c r="E8057" s="2">
        <v>4</v>
      </c>
      <c r="F8057" s="2" t="s">
        <v>12</v>
      </c>
    </row>
    <row r="8058" spans="1:6" ht="25.5">
      <c r="A8058" s="2">
        <v>8055</v>
      </c>
      <c r="B8058" s="2" t="s">
        <v>8135</v>
      </c>
      <c r="C8058" s="2" t="str">
        <f>"00197246"</f>
        <v>00197246</v>
      </c>
      <c r="D8058" s="2">
        <v>0.13600000000000001</v>
      </c>
      <c r="E8058" s="2">
        <v>5</v>
      </c>
      <c r="F8058" s="2" t="s">
        <v>75</v>
      </c>
    </row>
    <row r="8059" spans="1:6" ht="25.5">
      <c r="A8059" s="2">
        <v>8056</v>
      </c>
      <c r="B8059" s="2" t="s">
        <v>8136</v>
      </c>
      <c r="C8059" s="2" t="str">
        <f>"14698382"</f>
        <v>14698382</v>
      </c>
      <c r="D8059" s="2">
        <v>0.14399999999999999</v>
      </c>
      <c r="E8059" s="2">
        <v>6</v>
      </c>
      <c r="F8059" s="2" t="s">
        <v>16</v>
      </c>
    </row>
    <row r="8060" spans="1:6" ht="25.5">
      <c r="A8060" s="2">
        <v>8057</v>
      </c>
      <c r="B8060" s="2" t="s">
        <v>8137</v>
      </c>
      <c r="C8060" s="2" t="str">
        <f>"14119420"</f>
        <v>14119420</v>
      </c>
      <c r="D8060" s="2">
        <v>0</v>
      </c>
      <c r="E8060" s="2">
        <v>0</v>
      </c>
      <c r="F8060" s="2" t="s">
        <v>297</v>
      </c>
    </row>
    <row r="8061" spans="1:6" ht="25.5">
      <c r="A8061" s="2">
        <v>8058</v>
      </c>
      <c r="B8061" s="2" t="s">
        <v>8138</v>
      </c>
      <c r="C8061" s="2" t="str">
        <f>"16000668"</f>
        <v>16000668</v>
      </c>
      <c r="D8061" s="2">
        <v>1.105</v>
      </c>
      <c r="E8061" s="2">
        <v>52</v>
      </c>
      <c r="F8061" s="2" t="s">
        <v>163</v>
      </c>
    </row>
    <row r="8062" spans="1:6" ht="25.5">
      <c r="A8062" s="2">
        <v>8059</v>
      </c>
      <c r="B8062" s="2" t="s">
        <v>8139</v>
      </c>
      <c r="C8062" s="2" t="str">
        <f>"1420326X"</f>
        <v>1420326X</v>
      </c>
      <c r="D8062" s="2">
        <v>0.501</v>
      </c>
      <c r="E8062" s="2">
        <v>20</v>
      </c>
      <c r="F8062" s="2" t="s">
        <v>16</v>
      </c>
    </row>
    <row r="8063" spans="1:6" ht="25.5">
      <c r="A8063" s="2">
        <v>8060</v>
      </c>
      <c r="B8063" s="2" t="s">
        <v>8140</v>
      </c>
      <c r="C8063" s="2" t="str">
        <f>"00197858"</f>
        <v>00197858</v>
      </c>
      <c r="D8063" s="2">
        <v>0.184</v>
      </c>
      <c r="E8063" s="2">
        <v>8</v>
      </c>
      <c r="F8063" s="2" t="s">
        <v>16</v>
      </c>
    </row>
    <row r="8064" spans="1:6" ht="25.5">
      <c r="A8064" s="2">
        <v>8061</v>
      </c>
      <c r="B8064" s="2" t="s">
        <v>8141</v>
      </c>
      <c r="C8064" s="2" t="str">
        <f>"14643650"</f>
        <v>14643650</v>
      </c>
      <c r="D8064" s="2">
        <v>1.3660000000000001</v>
      </c>
      <c r="E8064" s="2">
        <v>57</v>
      </c>
      <c r="F8064" s="2" t="s">
        <v>16</v>
      </c>
    </row>
    <row r="8065" spans="1:6" ht="25.5">
      <c r="A8065" s="2">
        <v>8062</v>
      </c>
      <c r="B8065" s="2" t="s">
        <v>8142</v>
      </c>
      <c r="C8065" s="2" t="str">
        <f>"15205045"</f>
        <v>15205045</v>
      </c>
      <c r="D8065" s="2">
        <v>0.93300000000000005</v>
      </c>
      <c r="E8065" s="2">
        <v>121</v>
      </c>
      <c r="F8065" s="2" t="s">
        <v>6</v>
      </c>
    </row>
    <row r="8066" spans="1:6" ht="25.5">
      <c r="A8066" s="2">
        <v>8063</v>
      </c>
      <c r="B8066" s="2" t="s">
        <v>8143</v>
      </c>
      <c r="C8066" s="2" t="str">
        <f>"00197939"</f>
        <v>00197939</v>
      </c>
      <c r="D8066" s="2">
        <v>1.42</v>
      </c>
      <c r="E8066" s="2">
        <v>44</v>
      </c>
      <c r="F8066" s="2" t="s">
        <v>6</v>
      </c>
    </row>
    <row r="8067" spans="1:6" ht="25.5">
      <c r="A8067" s="2">
        <v>8064</v>
      </c>
      <c r="B8067" s="2" t="s">
        <v>8144</v>
      </c>
      <c r="C8067" s="2" t="str">
        <f>"17549434"</f>
        <v>17549434</v>
      </c>
      <c r="D8067" s="2">
        <v>0.26600000000000001</v>
      </c>
      <c r="E8067" s="2">
        <v>10</v>
      </c>
      <c r="F8067" s="2" t="s">
        <v>6</v>
      </c>
    </row>
    <row r="8068" spans="1:6" ht="25.5">
      <c r="A8068" s="2">
        <v>8065</v>
      </c>
      <c r="B8068" s="2" t="s">
        <v>8145</v>
      </c>
      <c r="C8068" s="2" t="str">
        <f>"03090728"</f>
        <v>03090728</v>
      </c>
      <c r="D8068" s="2">
        <v>0.104</v>
      </c>
      <c r="E8068" s="2">
        <v>2</v>
      </c>
      <c r="F8068" s="2" t="s">
        <v>16</v>
      </c>
    </row>
    <row r="8069" spans="1:6" ht="25.5">
      <c r="A8069" s="2">
        <v>8066</v>
      </c>
      <c r="B8069" s="2" t="s">
        <v>8146</v>
      </c>
      <c r="C8069" s="2" t="str">
        <f>"15509087"</f>
        <v>15509087</v>
      </c>
      <c r="D8069" s="2">
        <v>0.34</v>
      </c>
      <c r="E8069" s="2">
        <v>11</v>
      </c>
      <c r="F8069" s="2" t="s">
        <v>6</v>
      </c>
    </row>
    <row r="8070" spans="1:6" ht="25.5">
      <c r="A8070" s="2">
        <v>8067</v>
      </c>
      <c r="B8070" s="2" t="s">
        <v>8147</v>
      </c>
      <c r="C8070" s="2" t="str">
        <f>"11217588"</f>
        <v>11217588</v>
      </c>
      <c r="D8070" s="2">
        <v>0.214</v>
      </c>
      <c r="E8070" s="2">
        <v>11</v>
      </c>
      <c r="F8070" s="2" t="s">
        <v>190</v>
      </c>
    </row>
    <row r="8071" spans="1:6" ht="25.5">
      <c r="A8071" s="2">
        <v>8068</v>
      </c>
      <c r="B8071" s="2" t="s">
        <v>8148</v>
      </c>
      <c r="C8071" s="2" t="str">
        <f>"09266690"</f>
        <v>09266690</v>
      </c>
      <c r="D8071" s="2">
        <v>0.88900000000000001</v>
      </c>
      <c r="E8071" s="2">
        <v>51</v>
      </c>
      <c r="F8071" s="2" t="s">
        <v>75</v>
      </c>
    </row>
    <row r="8072" spans="1:6" ht="25.5">
      <c r="A8072" s="2">
        <v>8069</v>
      </c>
      <c r="B8072" s="2" t="s">
        <v>8149</v>
      </c>
      <c r="C8072" s="2" t="str">
        <f>"00198366"</f>
        <v>00198366</v>
      </c>
      <c r="D8072" s="2">
        <v>0.36499999999999999</v>
      </c>
      <c r="E8072" s="2">
        <v>33</v>
      </c>
      <c r="F8072" s="2" t="s">
        <v>131</v>
      </c>
    </row>
    <row r="8073" spans="1:6" ht="25.5">
      <c r="A8073" s="2">
        <v>8070</v>
      </c>
      <c r="B8073" s="2" t="s">
        <v>8150</v>
      </c>
      <c r="C8073" s="2" t="str">
        <f>"03059332"</f>
        <v>03059332</v>
      </c>
      <c r="D8073" s="2">
        <v>0.35199999999999998</v>
      </c>
      <c r="E8073" s="2">
        <v>8</v>
      </c>
      <c r="F8073" s="2" t="s">
        <v>16</v>
      </c>
    </row>
    <row r="8074" spans="1:6" ht="25.5">
      <c r="A8074" s="2">
        <v>8071</v>
      </c>
      <c r="B8074" s="2" t="s">
        <v>8151</v>
      </c>
      <c r="C8074" s="2" t="str">
        <f>"00368792"</f>
        <v>00368792</v>
      </c>
      <c r="D8074" s="2">
        <v>0.433</v>
      </c>
      <c r="E8074" s="2">
        <v>14</v>
      </c>
      <c r="F8074" s="2" t="s">
        <v>16</v>
      </c>
    </row>
    <row r="8075" spans="1:6" ht="25.5">
      <c r="A8075" s="2">
        <v>8072</v>
      </c>
      <c r="B8075" s="2" t="s">
        <v>8152</v>
      </c>
      <c r="C8075" s="2" t="str">
        <f>"02635577"</f>
        <v>02635577</v>
      </c>
      <c r="D8075" s="2">
        <v>0.97899999999999998</v>
      </c>
      <c r="E8075" s="2">
        <v>49</v>
      </c>
      <c r="F8075" s="2" t="s">
        <v>16</v>
      </c>
    </row>
    <row r="8076" spans="1:6" ht="25.5">
      <c r="A8076" s="2">
        <v>8073</v>
      </c>
      <c r="B8076" s="2" t="s">
        <v>8153</v>
      </c>
      <c r="C8076" s="2" t="str">
        <f>"00198471"</f>
        <v>00198471</v>
      </c>
      <c r="D8076" s="2">
        <v>0.10199999999999999</v>
      </c>
      <c r="E8076" s="2">
        <v>13</v>
      </c>
      <c r="F8076" s="2" t="s">
        <v>6</v>
      </c>
    </row>
    <row r="8077" spans="1:6" ht="25.5">
      <c r="A8077" s="2">
        <v>8074</v>
      </c>
      <c r="B8077" s="2" t="s">
        <v>8154</v>
      </c>
      <c r="C8077" s="2" t="str">
        <f>"00198501"</f>
        <v>00198501</v>
      </c>
      <c r="D8077" s="2">
        <v>1.2090000000000001</v>
      </c>
      <c r="E8077" s="2">
        <v>61</v>
      </c>
      <c r="F8077" s="2" t="s">
        <v>6</v>
      </c>
    </row>
    <row r="8078" spans="1:6" ht="25.5">
      <c r="A8078" s="2">
        <v>8075</v>
      </c>
      <c r="B8078" s="2" t="s">
        <v>8155</v>
      </c>
      <c r="C8078" s="2" t="str">
        <f>"1468232X"</f>
        <v>1468232X</v>
      </c>
      <c r="D8078" s="2">
        <v>0.65200000000000002</v>
      </c>
      <c r="E8078" s="2">
        <v>31</v>
      </c>
      <c r="F8078" s="2" t="s">
        <v>16</v>
      </c>
    </row>
    <row r="8079" spans="1:6" ht="25.5">
      <c r="A8079" s="2">
        <v>8076</v>
      </c>
      <c r="B8079" s="2" t="s">
        <v>8156</v>
      </c>
      <c r="C8079" s="2" t="str">
        <f>"0143991X"</f>
        <v>0143991X</v>
      </c>
      <c r="D8079" s="2">
        <v>0.48299999999999998</v>
      </c>
      <c r="E8079" s="2">
        <v>21</v>
      </c>
      <c r="F8079" s="2" t="s">
        <v>16</v>
      </c>
    </row>
    <row r="8080" spans="1:6" ht="25.5">
      <c r="A8080" s="2">
        <v>8077</v>
      </c>
      <c r="B8080" s="2" t="s">
        <v>8157</v>
      </c>
      <c r="C8080" s="2" t="str">
        <f>"12225347"</f>
        <v>12225347</v>
      </c>
      <c r="D8080" s="2">
        <v>0.26400000000000001</v>
      </c>
      <c r="E8080" s="2">
        <v>3</v>
      </c>
      <c r="F8080" s="2" t="s">
        <v>19</v>
      </c>
    </row>
    <row r="8081" spans="1:6" ht="25.5">
      <c r="A8081" s="2">
        <v>8078</v>
      </c>
      <c r="B8081" s="2" t="s">
        <v>8158</v>
      </c>
      <c r="C8081" s="2" t="str">
        <f>"0019901X"</f>
        <v>0019901X</v>
      </c>
      <c r="D8081" s="2">
        <v>0.158</v>
      </c>
      <c r="E8081" s="2">
        <v>9</v>
      </c>
      <c r="F8081" s="2" t="s">
        <v>190</v>
      </c>
    </row>
    <row r="8082" spans="1:6" ht="25.5">
      <c r="A8082" s="2">
        <v>8079</v>
      </c>
      <c r="B8082" s="2" t="s">
        <v>8159</v>
      </c>
      <c r="C8082" s="2" t="str">
        <f>"18620035"</f>
        <v>18620035</v>
      </c>
      <c r="D8082" s="2">
        <v>0.33600000000000002</v>
      </c>
      <c r="E8082" s="2">
        <v>4</v>
      </c>
      <c r="F8082" s="2" t="s">
        <v>12</v>
      </c>
    </row>
    <row r="8083" spans="1:6" ht="25.5">
      <c r="A8083" s="2">
        <v>8080</v>
      </c>
      <c r="B8083" s="2" t="s">
        <v>8160</v>
      </c>
      <c r="C8083" s="2" t="str">
        <f>"14698390"</f>
        <v>14698390</v>
      </c>
      <c r="D8083" s="2">
        <v>0.65300000000000002</v>
      </c>
      <c r="E8083" s="2">
        <v>30</v>
      </c>
      <c r="F8083" s="2" t="s">
        <v>16</v>
      </c>
    </row>
    <row r="8084" spans="1:6" ht="25.5">
      <c r="A8084" s="2">
        <v>8081</v>
      </c>
      <c r="B8084" s="2" t="s">
        <v>8161</v>
      </c>
      <c r="C8084" s="2" t="str">
        <f>"15784126"</f>
        <v>15784126</v>
      </c>
      <c r="D8084" s="2">
        <v>0.442</v>
      </c>
      <c r="E8084" s="2">
        <v>8</v>
      </c>
      <c r="F8084" s="2" t="s">
        <v>351</v>
      </c>
    </row>
    <row r="8085" spans="1:6" ht="25.5">
      <c r="A8085" s="2">
        <v>8082</v>
      </c>
      <c r="B8085" s="2" t="s">
        <v>8162</v>
      </c>
      <c r="C8085" s="2" t="str">
        <f>"15327078"</f>
        <v>15327078</v>
      </c>
      <c r="D8085" s="2">
        <v>1.333</v>
      </c>
      <c r="E8085" s="2">
        <v>35</v>
      </c>
      <c r="F8085" s="2" t="s">
        <v>16</v>
      </c>
    </row>
    <row r="8086" spans="1:6" ht="25.5">
      <c r="A8086" s="2">
        <v>8083</v>
      </c>
      <c r="B8086" s="2" t="s">
        <v>8163</v>
      </c>
      <c r="C8086" s="2" t="str">
        <f>"15227227"</f>
        <v>15227227</v>
      </c>
      <c r="D8086" s="2">
        <v>0.5</v>
      </c>
      <c r="E8086" s="2">
        <v>27</v>
      </c>
      <c r="F8086" s="2" t="s">
        <v>16</v>
      </c>
    </row>
    <row r="8087" spans="1:6" ht="25.5">
      <c r="A8087" s="2">
        <v>8084</v>
      </c>
      <c r="B8087" s="2" t="s">
        <v>8164</v>
      </c>
      <c r="C8087" s="2" t="str">
        <f>"01636383"</f>
        <v>01636383</v>
      </c>
      <c r="D8087" s="2">
        <v>0.81499999999999995</v>
      </c>
      <c r="E8087" s="2">
        <v>45</v>
      </c>
      <c r="F8087" s="2" t="s">
        <v>16</v>
      </c>
    </row>
    <row r="8088" spans="1:6" ht="25.5">
      <c r="A8088" s="2">
        <v>8085</v>
      </c>
      <c r="B8088" s="2" t="s">
        <v>8165</v>
      </c>
      <c r="C8088" s="2" t="str">
        <f>"10970355"</f>
        <v>10970355</v>
      </c>
      <c r="D8088" s="2">
        <v>0.45500000000000002</v>
      </c>
      <c r="E8088" s="2">
        <v>41</v>
      </c>
      <c r="F8088" s="2" t="s">
        <v>6</v>
      </c>
    </row>
    <row r="8089" spans="1:6" ht="25.5">
      <c r="A8089" s="2">
        <v>8086</v>
      </c>
      <c r="B8089" s="2" t="s">
        <v>8166</v>
      </c>
      <c r="C8089" s="2" t="str">
        <f>"15505081"</f>
        <v>15505081</v>
      </c>
      <c r="D8089" s="2">
        <v>0.73</v>
      </c>
      <c r="E8089" s="2">
        <v>24</v>
      </c>
      <c r="F8089" s="2" t="s">
        <v>6</v>
      </c>
    </row>
    <row r="8090" spans="1:6" ht="25.5">
      <c r="A8090" s="2">
        <v>8087</v>
      </c>
      <c r="B8090" s="2" t="s">
        <v>8167</v>
      </c>
      <c r="C8090" s="2" t="str">
        <f>"14390973"</f>
        <v>14390973</v>
      </c>
      <c r="D8090" s="2">
        <v>0.82499999999999996</v>
      </c>
      <c r="E8090" s="2">
        <v>47</v>
      </c>
      <c r="F8090" s="2" t="s">
        <v>12</v>
      </c>
    </row>
    <row r="8091" spans="1:6" ht="25.5">
      <c r="A8091" s="2">
        <v>8088</v>
      </c>
      <c r="B8091" s="2" t="s">
        <v>8168</v>
      </c>
      <c r="C8091" s="2" t="str">
        <f>"20932340"</f>
        <v>20932340</v>
      </c>
      <c r="D8091" s="2">
        <v>0.13200000000000001</v>
      </c>
      <c r="E8091" s="2">
        <v>2</v>
      </c>
      <c r="F8091" s="2" t="s">
        <v>274</v>
      </c>
    </row>
    <row r="8092" spans="1:6" ht="25.5">
      <c r="A8092" s="2">
        <v>8089</v>
      </c>
      <c r="B8092" s="2" t="s">
        <v>8169</v>
      </c>
      <c r="C8092" s="2" t="str">
        <f>"11786973"</f>
        <v>11786973</v>
      </c>
      <c r="D8092" s="2">
        <v>0.52600000000000002</v>
      </c>
      <c r="E8092" s="2">
        <v>4</v>
      </c>
      <c r="F8092" s="2" t="s">
        <v>503</v>
      </c>
    </row>
    <row r="8093" spans="1:6" ht="25.5">
      <c r="A8093" s="2">
        <v>8090</v>
      </c>
      <c r="B8093" s="2" t="s">
        <v>8170</v>
      </c>
      <c r="C8093" s="2" t="str">
        <f>"10985522"</f>
        <v>10985522</v>
      </c>
      <c r="D8093" s="2">
        <v>1.925</v>
      </c>
      <c r="E8093" s="2">
        <v>153</v>
      </c>
      <c r="F8093" s="2" t="s">
        <v>6</v>
      </c>
    </row>
    <row r="8094" spans="1:6" ht="25.5">
      <c r="A8094" s="2">
        <v>8091</v>
      </c>
      <c r="B8094" s="2" t="s">
        <v>8171</v>
      </c>
      <c r="C8094" s="2" t="str">
        <f>"0899823X"</f>
        <v>0899823X</v>
      </c>
      <c r="D8094" s="2">
        <v>2.0819999999999999</v>
      </c>
      <c r="E8094" s="2">
        <v>87</v>
      </c>
      <c r="F8094" s="2" t="s">
        <v>6</v>
      </c>
    </row>
    <row r="8095" spans="1:6" ht="25.5">
      <c r="A8095" s="2">
        <v>8092</v>
      </c>
      <c r="B8095" s="2" t="s">
        <v>8172</v>
      </c>
      <c r="C8095" s="2" t="str">
        <f>"15671348"</f>
        <v>15671348</v>
      </c>
      <c r="D8095" s="2">
        <v>1.018</v>
      </c>
      <c r="E8095" s="2">
        <v>41</v>
      </c>
      <c r="F8095" s="2" t="s">
        <v>75</v>
      </c>
    </row>
    <row r="8096" spans="1:6" ht="25.5">
      <c r="A8096" s="2">
        <v>8093</v>
      </c>
      <c r="B8096" s="2" t="s">
        <v>8173</v>
      </c>
      <c r="C8096" s="2" t="str">
        <f>"17509378"</f>
        <v>17509378</v>
      </c>
      <c r="D8096" s="2">
        <v>0.69899999999999995</v>
      </c>
      <c r="E8096" s="2">
        <v>14</v>
      </c>
      <c r="F8096" s="2" t="s">
        <v>16</v>
      </c>
    </row>
    <row r="8097" spans="1:6" ht="25.5">
      <c r="A8097" s="2">
        <v>8094</v>
      </c>
      <c r="B8097" s="2" t="s">
        <v>8174</v>
      </c>
      <c r="C8097" s="2" t="str">
        <f>"08915520"</f>
        <v>08915520</v>
      </c>
      <c r="D8097" s="2">
        <v>0.95899999999999996</v>
      </c>
      <c r="E8097" s="2">
        <v>62</v>
      </c>
      <c r="F8097" s="2" t="s">
        <v>16</v>
      </c>
    </row>
    <row r="8098" spans="1:6" ht="25.5">
      <c r="A8098" s="2">
        <v>8095</v>
      </c>
      <c r="B8098" s="2" t="s">
        <v>8175</v>
      </c>
      <c r="C8098" s="2" t="str">
        <f>"10569103"</f>
        <v>10569103</v>
      </c>
      <c r="D8098" s="2">
        <v>0.128</v>
      </c>
      <c r="E8098" s="2">
        <v>17</v>
      </c>
      <c r="F8098" s="2" t="s">
        <v>6</v>
      </c>
    </row>
    <row r="8099" spans="1:6" ht="25.5">
      <c r="A8099" s="2">
        <v>8096</v>
      </c>
      <c r="B8099" s="2" t="s">
        <v>8176</v>
      </c>
      <c r="C8099" s="2" t="str">
        <f>"10980997"</f>
        <v>10980997</v>
      </c>
      <c r="D8099" s="2">
        <v>0.55700000000000005</v>
      </c>
      <c r="E8099" s="2">
        <v>28</v>
      </c>
      <c r="F8099" s="2" t="s">
        <v>6</v>
      </c>
    </row>
    <row r="8100" spans="1:6" ht="25.5">
      <c r="A8100" s="2">
        <v>8097</v>
      </c>
      <c r="B8100" s="2" t="s">
        <v>8177</v>
      </c>
      <c r="C8100" s="2" t="str">
        <f>"18715265"</f>
        <v>18715265</v>
      </c>
      <c r="D8100" s="2">
        <v>0.49399999999999999</v>
      </c>
      <c r="E8100" s="2">
        <v>33</v>
      </c>
      <c r="F8100" s="2" t="s">
        <v>75</v>
      </c>
    </row>
    <row r="8101" spans="1:6" ht="25.5">
      <c r="A8101" s="2">
        <v>8098</v>
      </c>
      <c r="B8101" s="2" t="s">
        <v>8178</v>
      </c>
      <c r="C8101" s="2" t="str">
        <f>"13312820"</f>
        <v>13312820</v>
      </c>
      <c r="D8101" s="2">
        <v>0.1</v>
      </c>
      <c r="E8101" s="2">
        <v>4</v>
      </c>
      <c r="F8101" s="2" t="s">
        <v>149</v>
      </c>
    </row>
    <row r="8102" spans="1:6" ht="25.5">
      <c r="A8102" s="2">
        <v>8099</v>
      </c>
      <c r="B8102" s="2" t="s">
        <v>8179</v>
      </c>
      <c r="C8102" s="2" t="str">
        <f>"11249390"</f>
        <v>11249390</v>
      </c>
      <c r="D8102" s="2">
        <v>0.25</v>
      </c>
      <c r="E8102" s="2">
        <v>9</v>
      </c>
      <c r="F8102" s="2" t="s">
        <v>190</v>
      </c>
    </row>
    <row r="8103" spans="1:6" ht="25.5">
      <c r="A8103" s="2">
        <v>8100</v>
      </c>
      <c r="B8103" s="2" t="s">
        <v>8180</v>
      </c>
      <c r="C8103" s="2" t="str">
        <f>"0754023X"</f>
        <v>0754023X</v>
      </c>
      <c r="D8103" s="2">
        <v>0.1</v>
      </c>
      <c r="E8103" s="2">
        <v>0</v>
      </c>
      <c r="F8103" s="2" t="s">
        <v>66</v>
      </c>
    </row>
    <row r="8104" spans="1:6" ht="25.5">
      <c r="A8104" s="2">
        <v>8101</v>
      </c>
      <c r="B8104" s="2" t="s">
        <v>8181</v>
      </c>
      <c r="C8104" s="2" t="str">
        <f>"02190257"</f>
        <v>02190257</v>
      </c>
      <c r="D8104" s="2">
        <v>0.623</v>
      </c>
      <c r="E8104" s="2">
        <v>16</v>
      </c>
      <c r="F8104" s="2" t="s">
        <v>543</v>
      </c>
    </row>
    <row r="8105" spans="1:6" ht="25.5">
      <c r="A8105" s="2">
        <v>8102</v>
      </c>
      <c r="B8105" s="2" t="s">
        <v>8182</v>
      </c>
      <c r="C8105" s="2" t="str">
        <f>"15732576"</f>
        <v>15732576</v>
      </c>
      <c r="D8105" s="2">
        <v>0.49</v>
      </c>
      <c r="E8105" s="2">
        <v>36</v>
      </c>
      <c r="F8105" s="2" t="s">
        <v>6</v>
      </c>
    </row>
    <row r="8106" spans="1:6" ht="25.5">
      <c r="A8106" s="2">
        <v>8103</v>
      </c>
      <c r="B8106" s="2" t="s">
        <v>8183</v>
      </c>
      <c r="C8106" s="2" t="str">
        <f>"18715281"</f>
        <v>18715281</v>
      </c>
      <c r="D8106" s="2">
        <v>0.82099999999999995</v>
      </c>
      <c r="E8106" s="2">
        <v>40</v>
      </c>
      <c r="F8106" s="2" t="s">
        <v>75</v>
      </c>
    </row>
    <row r="8107" spans="1:6" ht="25.5">
      <c r="A8107" s="2">
        <v>8104</v>
      </c>
      <c r="B8107" s="2" t="s">
        <v>8184</v>
      </c>
      <c r="C8107" s="2" t="str">
        <f>"1420908X"</f>
        <v>1420908X</v>
      </c>
      <c r="D8107" s="2">
        <v>0.67600000000000005</v>
      </c>
      <c r="E8107" s="2">
        <v>59</v>
      </c>
      <c r="F8107" s="2" t="s">
        <v>31</v>
      </c>
    </row>
    <row r="8108" spans="1:6" ht="25.5">
      <c r="A8108" s="2">
        <v>8105</v>
      </c>
      <c r="B8108" s="2" t="s">
        <v>8185</v>
      </c>
      <c r="C8108" s="2" t="str">
        <f>"14667401"</f>
        <v>14667401</v>
      </c>
      <c r="D8108" s="2">
        <v>0.112</v>
      </c>
      <c r="E8108" s="2">
        <v>2</v>
      </c>
      <c r="F8108" s="2" t="s">
        <v>16</v>
      </c>
    </row>
    <row r="8109" spans="1:6" ht="25.5">
      <c r="A8109" s="2">
        <v>8106</v>
      </c>
      <c r="B8109" s="2" t="s">
        <v>8186</v>
      </c>
      <c r="C8109" s="2" t="str">
        <f>"15364844"</f>
        <v>15364844</v>
      </c>
      <c r="D8109" s="2">
        <v>1.798</v>
      </c>
      <c r="E8109" s="2">
        <v>80</v>
      </c>
      <c r="F8109" s="2" t="s">
        <v>6</v>
      </c>
    </row>
    <row r="8110" spans="1:6" ht="25.5">
      <c r="A8110" s="2">
        <v>8107</v>
      </c>
      <c r="B8110" s="2" t="s">
        <v>8187</v>
      </c>
      <c r="C8110" s="2" t="str">
        <f>"15685608"</f>
        <v>15685608</v>
      </c>
      <c r="D8110" s="2">
        <v>0.45800000000000002</v>
      </c>
      <c r="E8110" s="2">
        <v>23</v>
      </c>
      <c r="F8110" s="2" t="s">
        <v>31</v>
      </c>
    </row>
    <row r="8111" spans="1:6" ht="25.5">
      <c r="A8111" s="2">
        <v>8108</v>
      </c>
      <c r="B8111" s="2" t="s">
        <v>8188</v>
      </c>
      <c r="C8111" s="2" t="str">
        <f>"17502659"</f>
        <v>17502659</v>
      </c>
      <c r="D8111" s="2">
        <v>1.4430000000000001</v>
      </c>
      <c r="E8111" s="2">
        <v>21</v>
      </c>
      <c r="F8111" s="2" t="s">
        <v>16</v>
      </c>
    </row>
    <row r="8112" spans="1:6" ht="25.5">
      <c r="A8112" s="2">
        <v>8109</v>
      </c>
      <c r="B8112" s="2" t="s">
        <v>8189</v>
      </c>
      <c r="C8112" s="2" t="str">
        <f>"14659840"</f>
        <v>14659840</v>
      </c>
      <c r="D8112" s="2">
        <v>0.374</v>
      </c>
      <c r="E8112" s="2">
        <v>14</v>
      </c>
      <c r="F8112" s="2" t="s">
        <v>16</v>
      </c>
    </row>
    <row r="8113" spans="1:6" ht="25.5">
      <c r="A8113" s="2">
        <v>8110</v>
      </c>
      <c r="B8113" s="2" t="s">
        <v>8190</v>
      </c>
      <c r="C8113" s="2" t="str">
        <f>"20612125"</f>
        <v>20612125</v>
      </c>
      <c r="D8113" s="2">
        <v>0.10100000000000001</v>
      </c>
      <c r="E8113" s="2">
        <v>1</v>
      </c>
      <c r="F8113" s="2" t="s">
        <v>135</v>
      </c>
    </row>
    <row r="8114" spans="1:6" ht="25.5">
      <c r="A8114" s="2">
        <v>8111</v>
      </c>
      <c r="B8114" s="2" t="s">
        <v>8191</v>
      </c>
      <c r="C8114" s="2" t="str">
        <f>"10219056"</f>
        <v>10219056</v>
      </c>
      <c r="D8114" s="2">
        <v>0.10199999999999999</v>
      </c>
      <c r="E8114" s="2">
        <v>3</v>
      </c>
      <c r="F8114" s="2" t="s">
        <v>31</v>
      </c>
    </row>
    <row r="8115" spans="1:6" ht="25.5">
      <c r="A8115" s="2">
        <v>8112</v>
      </c>
      <c r="B8115" s="2" t="s">
        <v>8192</v>
      </c>
      <c r="C8115" s="2" t="str">
        <f>"03155986"</f>
        <v>03155986</v>
      </c>
      <c r="D8115" s="2">
        <v>0.42399999999999999</v>
      </c>
      <c r="E8115" s="2">
        <v>19</v>
      </c>
      <c r="F8115" s="2" t="s">
        <v>64</v>
      </c>
    </row>
    <row r="8116" spans="1:6" ht="25.5">
      <c r="A8116" s="2">
        <v>8113</v>
      </c>
      <c r="B8116" s="2" t="s">
        <v>8193</v>
      </c>
      <c r="C8116" s="2" t="str">
        <f>"18094783"</f>
        <v>18094783</v>
      </c>
      <c r="D8116" s="2">
        <v>0.14599999999999999</v>
      </c>
      <c r="E8116" s="2">
        <v>1</v>
      </c>
      <c r="F8116" s="2" t="s">
        <v>159</v>
      </c>
    </row>
    <row r="8117" spans="1:6" ht="25.5">
      <c r="A8117" s="2">
        <v>8114</v>
      </c>
      <c r="B8117" s="2" t="s">
        <v>8194</v>
      </c>
      <c r="C8117" s="2" t="str">
        <f>"03529045"</f>
        <v>03529045</v>
      </c>
      <c r="D8117" s="2">
        <v>0.217</v>
      </c>
      <c r="E8117" s="2">
        <v>10</v>
      </c>
      <c r="F8117" s="2" t="s">
        <v>154</v>
      </c>
    </row>
    <row r="8118" spans="1:6" ht="25.5">
      <c r="A8118" s="2">
        <v>8115</v>
      </c>
      <c r="B8118" s="2" t="s">
        <v>8195</v>
      </c>
      <c r="C8118" s="2" t="str">
        <f>"18511740"</f>
        <v>18511740</v>
      </c>
      <c r="D8118" s="2">
        <v>0</v>
      </c>
      <c r="E8118" s="2">
        <v>0</v>
      </c>
      <c r="F8118" s="2" t="s">
        <v>192</v>
      </c>
    </row>
    <row r="8119" spans="1:6" ht="25.5">
      <c r="A8119" s="2">
        <v>8116</v>
      </c>
      <c r="B8119" s="2" t="s">
        <v>8196</v>
      </c>
      <c r="C8119" s="2" t="str">
        <f>"07168756"</f>
        <v>07168756</v>
      </c>
      <c r="D8119" s="2">
        <v>0.19500000000000001</v>
      </c>
      <c r="E8119" s="2">
        <v>6</v>
      </c>
      <c r="F8119" s="2" t="s">
        <v>182</v>
      </c>
    </row>
    <row r="8120" spans="1:6" ht="25.5">
      <c r="A8120" s="2">
        <v>8117</v>
      </c>
      <c r="B8120" s="2" t="s">
        <v>8197</v>
      </c>
      <c r="C8120" s="2" t="str">
        <f>"15878694"</f>
        <v>15878694</v>
      </c>
      <c r="D8120" s="2">
        <v>0.1</v>
      </c>
      <c r="E8120" s="2">
        <v>1</v>
      </c>
      <c r="F8120" s="2" t="s">
        <v>135</v>
      </c>
    </row>
    <row r="8121" spans="1:6" ht="25.5">
      <c r="A8121" s="2">
        <v>8118</v>
      </c>
      <c r="B8121" s="2" t="s">
        <v>8198</v>
      </c>
      <c r="C8121" s="2" t="str">
        <f>"08242577"</f>
        <v>08242577</v>
      </c>
      <c r="D8121" s="2">
        <v>0.33400000000000002</v>
      </c>
      <c r="E8121" s="2">
        <v>3</v>
      </c>
      <c r="F8121" s="2" t="s">
        <v>64</v>
      </c>
    </row>
    <row r="8122" spans="1:6" ht="25.5">
      <c r="A8122" s="2">
        <v>8119</v>
      </c>
      <c r="B8122" s="2" t="s">
        <v>8199</v>
      </c>
      <c r="C8122" s="2" t="str">
        <f>"08684952"</f>
        <v>08684952</v>
      </c>
      <c r="D8122" s="2">
        <v>0.53900000000000003</v>
      </c>
      <c r="E8122" s="2">
        <v>19</v>
      </c>
      <c r="F8122" s="2" t="s">
        <v>75</v>
      </c>
    </row>
    <row r="8123" spans="1:6" ht="25.5">
      <c r="A8123" s="2">
        <v>8120</v>
      </c>
      <c r="B8123" s="2" t="s">
        <v>8199</v>
      </c>
      <c r="C8123" s="2" t="str">
        <f>"03505596"</f>
        <v>03505596</v>
      </c>
      <c r="D8123" s="2">
        <v>0.25700000000000001</v>
      </c>
      <c r="E8123" s="2">
        <v>20</v>
      </c>
      <c r="F8123" s="2" t="s">
        <v>154</v>
      </c>
    </row>
    <row r="8124" spans="1:6" ht="25.5">
      <c r="A8124" s="2">
        <v>8121</v>
      </c>
      <c r="B8124" s="2" t="s">
        <v>8200</v>
      </c>
      <c r="C8124" s="2" t="str">
        <f>"17538157"</f>
        <v>17538157</v>
      </c>
      <c r="D8124" s="2">
        <v>0.43</v>
      </c>
      <c r="E8124" s="2">
        <v>22</v>
      </c>
      <c r="F8124" s="2" t="s">
        <v>16</v>
      </c>
    </row>
    <row r="8125" spans="1:6" ht="25.5">
      <c r="A8125" s="2">
        <v>8122</v>
      </c>
      <c r="B8125" s="2" t="s">
        <v>8201</v>
      </c>
      <c r="C8125" s="2" t="str">
        <f>"16485831"</f>
        <v>16485831</v>
      </c>
      <c r="D8125" s="2">
        <v>0.30599999999999999</v>
      </c>
      <c r="E8125" s="2">
        <v>6</v>
      </c>
      <c r="F8125" s="2" t="s">
        <v>426</v>
      </c>
    </row>
    <row r="8126" spans="1:6" ht="25.5">
      <c r="A8126" s="2">
        <v>8123</v>
      </c>
      <c r="B8126" s="2" t="s">
        <v>8202</v>
      </c>
      <c r="C8126" s="2" t="str">
        <f>"14760320"</f>
        <v>14760320</v>
      </c>
      <c r="D8126" s="2">
        <v>0.60599999999999998</v>
      </c>
      <c r="E8126" s="2">
        <v>20</v>
      </c>
      <c r="F8126" s="2" t="s">
        <v>16</v>
      </c>
    </row>
    <row r="8127" spans="1:6" ht="25.5">
      <c r="A8127" s="2">
        <v>8124</v>
      </c>
      <c r="B8127" s="2" t="s">
        <v>8203</v>
      </c>
      <c r="C8127" s="2" t="str">
        <f>"01706012"</f>
        <v>01706012</v>
      </c>
      <c r="D8127" s="2">
        <v>0.19600000000000001</v>
      </c>
      <c r="E8127" s="2">
        <v>8</v>
      </c>
      <c r="F8127" s="2" t="s">
        <v>12</v>
      </c>
    </row>
    <row r="8128" spans="1:6" ht="25.5">
      <c r="A8128" s="2">
        <v>8125</v>
      </c>
      <c r="B8128" s="2" t="s">
        <v>8204</v>
      </c>
      <c r="C8128" s="2" t="str">
        <f>"13448994"</f>
        <v>13448994</v>
      </c>
      <c r="D8128" s="2">
        <v>0.184</v>
      </c>
      <c r="E8128" s="2">
        <v>5</v>
      </c>
      <c r="F8128" s="2" t="s">
        <v>131</v>
      </c>
    </row>
    <row r="8129" spans="1:6" ht="25.5">
      <c r="A8129" s="2">
        <v>8126</v>
      </c>
      <c r="B8129" s="2" t="s">
        <v>8205</v>
      </c>
      <c r="C8129" s="2" t="str">
        <f>"13600834"</f>
        <v>13600834</v>
      </c>
      <c r="D8129" s="2">
        <v>0.13400000000000001</v>
      </c>
      <c r="E8129" s="2">
        <v>3</v>
      </c>
      <c r="F8129" s="2" t="s">
        <v>16</v>
      </c>
    </row>
    <row r="8130" spans="1:6" ht="25.5">
      <c r="A8130" s="2">
        <v>8127</v>
      </c>
      <c r="B8130" s="2" t="s">
        <v>8206</v>
      </c>
      <c r="C8130" s="2" t="str">
        <f>"10902651"</f>
        <v>10902651</v>
      </c>
      <c r="D8130" s="2">
        <v>1.669</v>
      </c>
      <c r="E8130" s="2">
        <v>47</v>
      </c>
      <c r="F8130" s="2" t="s">
        <v>6</v>
      </c>
    </row>
    <row r="8131" spans="1:6" ht="25.5">
      <c r="A8131" s="2">
        <v>8128</v>
      </c>
      <c r="B8131" s="2" t="s">
        <v>8207</v>
      </c>
      <c r="C8131" s="2" t="str">
        <f>"03787206"</f>
        <v>03787206</v>
      </c>
      <c r="D8131" s="2">
        <v>1.8360000000000001</v>
      </c>
      <c r="E8131" s="2">
        <v>88</v>
      </c>
      <c r="F8131" s="2" t="s">
        <v>75</v>
      </c>
    </row>
    <row r="8132" spans="1:6" ht="25.5">
      <c r="A8132" s="2">
        <v>8129</v>
      </c>
      <c r="B8132" s="2" t="s">
        <v>8208</v>
      </c>
      <c r="C8132" s="2" t="str">
        <f>"14717727"</f>
        <v>14717727</v>
      </c>
      <c r="D8132" s="2">
        <v>1.1419999999999999</v>
      </c>
      <c r="E8132" s="2">
        <v>28</v>
      </c>
      <c r="F8132" s="2" t="s">
        <v>16</v>
      </c>
    </row>
    <row r="8133" spans="1:6" ht="25.5">
      <c r="A8133" s="2">
        <v>8130</v>
      </c>
      <c r="B8133" s="2" t="s">
        <v>8209</v>
      </c>
      <c r="C8133" s="2" t="str">
        <f>"09505849"</f>
        <v>09505849</v>
      </c>
      <c r="D8133" s="2">
        <v>1.952</v>
      </c>
      <c r="E8133" s="2">
        <v>48</v>
      </c>
      <c r="F8133" s="2" t="s">
        <v>75</v>
      </c>
    </row>
    <row r="8134" spans="1:6" ht="25.5">
      <c r="A8134" s="2">
        <v>8131</v>
      </c>
      <c r="B8134" s="2" t="s">
        <v>8210</v>
      </c>
      <c r="C8134" s="2" t="str">
        <f>"15872440"</f>
        <v>15872440</v>
      </c>
      <c r="D8134" s="2">
        <v>0.10100000000000001</v>
      </c>
      <c r="E8134" s="2">
        <v>2</v>
      </c>
      <c r="F8134" s="2" t="s">
        <v>135</v>
      </c>
    </row>
    <row r="8135" spans="1:6" ht="25.5">
      <c r="A8135" s="2">
        <v>8132</v>
      </c>
      <c r="B8135" s="2" t="s">
        <v>8211</v>
      </c>
      <c r="C8135" s="2" t="str">
        <f>"1369118X"</f>
        <v>1369118X</v>
      </c>
      <c r="D8135" s="2">
        <v>0.79900000000000004</v>
      </c>
      <c r="E8135" s="2">
        <v>19</v>
      </c>
      <c r="F8135" s="2" t="s">
        <v>6</v>
      </c>
    </row>
    <row r="8136" spans="1:6" ht="25.5">
      <c r="A8136" s="2">
        <v>8133</v>
      </c>
      <c r="B8136" s="2" t="s">
        <v>8212</v>
      </c>
      <c r="C8136" s="2" t="str">
        <f>"01425471"</f>
        <v>01425471</v>
      </c>
      <c r="D8136" s="2">
        <v>0.106</v>
      </c>
      <c r="E8136" s="2">
        <v>4</v>
      </c>
      <c r="F8136" s="2" t="s">
        <v>75</v>
      </c>
    </row>
    <row r="8137" spans="1:6" ht="25.5">
      <c r="A8137" s="2">
        <v>8134</v>
      </c>
      <c r="B8137" s="2" t="s">
        <v>8213</v>
      </c>
      <c r="C8137" s="2" t="str">
        <f>"17416469"</f>
        <v>17416469</v>
      </c>
      <c r="D8137" s="2">
        <v>0.33600000000000002</v>
      </c>
      <c r="E8137" s="2">
        <v>6</v>
      </c>
      <c r="F8137" s="2" t="s">
        <v>16</v>
      </c>
    </row>
    <row r="8138" spans="1:6" ht="25.5">
      <c r="A8138" s="2">
        <v>8135</v>
      </c>
      <c r="B8138" s="2" t="s">
        <v>8214</v>
      </c>
      <c r="C8138" s="2" t="str">
        <f>"03620972"</f>
        <v>03620972</v>
      </c>
      <c r="D8138" s="2">
        <v>0.34100000000000003</v>
      </c>
      <c r="E8138" s="2">
        <v>11</v>
      </c>
      <c r="F8138" s="2" t="s">
        <v>6</v>
      </c>
    </row>
    <row r="8139" spans="1:6" ht="25.5">
      <c r="A8139" s="2">
        <v>8136</v>
      </c>
      <c r="B8139" s="2" t="s">
        <v>8215</v>
      </c>
      <c r="C8139" s="2" t="str">
        <f>"01676245"</f>
        <v>01676245</v>
      </c>
      <c r="D8139" s="2">
        <v>0.61599999999999999</v>
      </c>
      <c r="E8139" s="2">
        <v>27</v>
      </c>
      <c r="F8139" s="2" t="s">
        <v>75</v>
      </c>
    </row>
    <row r="8140" spans="1:6" ht="25.5">
      <c r="A8140" s="2">
        <v>8137</v>
      </c>
      <c r="B8140" s="2" t="s">
        <v>8216</v>
      </c>
      <c r="C8140" s="2" t="str">
        <f>"15662535"</f>
        <v>15662535</v>
      </c>
      <c r="D8140" s="2">
        <v>1.974</v>
      </c>
      <c r="E8140" s="2">
        <v>42</v>
      </c>
      <c r="F8140" s="2" t="s">
        <v>75</v>
      </c>
    </row>
    <row r="8141" spans="1:6" ht="25.5">
      <c r="A8141" s="2">
        <v>8138</v>
      </c>
      <c r="B8141" s="2" t="s">
        <v>8217</v>
      </c>
      <c r="C8141" s="2" t="str">
        <f>"1630649X"</f>
        <v>1630649X</v>
      </c>
      <c r="D8141" s="2">
        <v>0.10199999999999999</v>
      </c>
      <c r="E8141" s="2">
        <v>0</v>
      </c>
      <c r="F8141" s="2" t="s">
        <v>66</v>
      </c>
    </row>
    <row r="8142" spans="1:6" ht="25.5">
      <c r="A8142" s="2">
        <v>8139</v>
      </c>
      <c r="B8142" s="2" t="s">
        <v>8218</v>
      </c>
      <c r="C8142" s="2" t="str">
        <f>"1080286X"</f>
        <v>1080286X</v>
      </c>
      <c r="D8142" s="2">
        <v>0</v>
      </c>
      <c r="E8142" s="2">
        <v>1</v>
      </c>
      <c r="F8142" s="2" t="s">
        <v>6</v>
      </c>
    </row>
    <row r="8143" spans="1:6" ht="25.5">
      <c r="A8143" s="2">
        <v>8140</v>
      </c>
      <c r="B8143" s="2" t="s">
        <v>8219</v>
      </c>
      <c r="C8143" s="2" t="str">
        <f>"09685227"</f>
        <v>09685227</v>
      </c>
      <c r="D8143" s="2">
        <v>0.39700000000000002</v>
      </c>
      <c r="E8143" s="2">
        <v>25</v>
      </c>
      <c r="F8143" s="2" t="s">
        <v>16</v>
      </c>
    </row>
    <row r="8144" spans="1:6" ht="25.5">
      <c r="A8144" s="2">
        <v>8141</v>
      </c>
      <c r="B8144" s="2" t="s">
        <v>8220</v>
      </c>
      <c r="C8144" s="2" t="str">
        <f>"18735371"</f>
        <v>18735371</v>
      </c>
      <c r="D8144" s="2">
        <v>0.86899999999999999</v>
      </c>
      <c r="E8144" s="2">
        <v>58</v>
      </c>
      <c r="F8144" s="2" t="s">
        <v>16</v>
      </c>
    </row>
    <row r="8145" spans="1:6" ht="25.5">
      <c r="A8145" s="2">
        <v>8142</v>
      </c>
      <c r="B8145" s="2" t="s">
        <v>8221</v>
      </c>
      <c r="C8145" s="2" t="str">
        <f>"00200190"</f>
        <v>00200190</v>
      </c>
      <c r="D8145" s="2">
        <v>0.85599999999999998</v>
      </c>
      <c r="E8145" s="2">
        <v>46</v>
      </c>
      <c r="F8145" s="2" t="s">
        <v>75</v>
      </c>
    </row>
    <row r="8146" spans="1:6" ht="25.5">
      <c r="A8146" s="2">
        <v>8143</v>
      </c>
      <c r="B8146" s="2" t="s">
        <v>8222</v>
      </c>
      <c r="C8146" s="2" t="str">
        <f>"00200204"</f>
        <v>00200204</v>
      </c>
      <c r="D8146" s="2">
        <v>0.21299999999999999</v>
      </c>
      <c r="E8146" s="2">
        <v>5</v>
      </c>
      <c r="F8146" s="2" t="s">
        <v>66</v>
      </c>
    </row>
    <row r="8147" spans="1:6" ht="25.5">
      <c r="A8147" s="2">
        <v>8144</v>
      </c>
      <c r="B8147" s="2" t="s">
        <v>8223</v>
      </c>
      <c r="C8147" s="2" t="str">
        <f>"13681613"</f>
        <v>13681613</v>
      </c>
      <c r="D8147" s="2">
        <v>0.48599999999999999</v>
      </c>
      <c r="E8147" s="2">
        <v>26</v>
      </c>
      <c r="F8147" s="2" t="s">
        <v>16</v>
      </c>
    </row>
    <row r="8148" spans="1:6" ht="25.5">
      <c r="A8148" s="2">
        <v>8145</v>
      </c>
      <c r="B8148" s="2" t="s">
        <v>8224</v>
      </c>
      <c r="C8148" s="2" t="str">
        <f>"15337979"</f>
        <v>15337979</v>
      </c>
      <c r="D8148" s="2">
        <v>0.248</v>
      </c>
      <c r="E8148" s="2">
        <v>19</v>
      </c>
      <c r="F8148" s="2" t="s">
        <v>6</v>
      </c>
    </row>
    <row r="8149" spans="1:6" ht="25.5">
      <c r="A8149" s="2">
        <v>8146</v>
      </c>
      <c r="B8149" s="2" t="s">
        <v>8225</v>
      </c>
      <c r="C8149" s="2" t="str">
        <f>"15737659"</f>
        <v>15737659</v>
      </c>
      <c r="D8149" s="2">
        <v>0.80500000000000005</v>
      </c>
      <c r="E8149" s="2">
        <v>33</v>
      </c>
      <c r="F8149" s="2" t="s">
        <v>75</v>
      </c>
    </row>
    <row r="8150" spans="1:6" ht="25.5">
      <c r="A8150" s="2">
        <v>8147</v>
      </c>
      <c r="B8150" s="2" t="s">
        <v>8226</v>
      </c>
      <c r="C8150" s="2" t="str">
        <f>"00200255"</f>
        <v>00200255</v>
      </c>
      <c r="D8150" s="2">
        <v>2.964</v>
      </c>
      <c r="E8150" s="2">
        <v>79</v>
      </c>
      <c r="F8150" s="2" t="s">
        <v>6</v>
      </c>
    </row>
    <row r="8151" spans="1:6" ht="25.5">
      <c r="A8151" s="2">
        <v>8148</v>
      </c>
      <c r="B8151" s="2" t="s">
        <v>8227</v>
      </c>
      <c r="C8151" s="2" t="str">
        <f>"17355206"</f>
        <v>17355206</v>
      </c>
      <c r="D8151" s="2">
        <v>0.105</v>
      </c>
      <c r="E8151" s="2">
        <v>1</v>
      </c>
      <c r="F8151" s="2" t="s">
        <v>299</v>
      </c>
    </row>
    <row r="8152" spans="1:6" ht="25.5">
      <c r="A8152" s="2">
        <v>8149</v>
      </c>
      <c r="B8152" s="2" t="s">
        <v>8228</v>
      </c>
      <c r="C8152" s="2" t="str">
        <f>"19393555"</f>
        <v>19393555</v>
      </c>
      <c r="D8152" s="2">
        <v>0.218</v>
      </c>
      <c r="E8152" s="2">
        <v>3</v>
      </c>
      <c r="F8152" s="2" t="s">
        <v>16</v>
      </c>
    </row>
    <row r="8153" spans="1:6" ht="25.5">
      <c r="A8153" s="2">
        <v>8150</v>
      </c>
      <c r="B8153" s="2" t="s">
        <v>8229</v>
      </c>
      <c r="C8153" s="2" t="str">
        <f>"13634127"</f>
        <v>13634127</v>
      </c>
      <c r="D8153" s="2">
        <v>0.186</v>
      </c>
      <c r="E8153" s="2">
        <v>12</v>
      </c>
      <c r="F8153" s="2" t="s">
        <v>16</v>
      </c>
    </row>
    <row r="8154" spans="1:6" ht="25.5">
      <c r="A8154" s="2">
        <v>8151</v>
      </c>
      <c r="B8154" s="2" t="s">
        <v>8230</v>
      </c>
      <c r="C8154" s="2" t="str">
        <f>"01675265"</f>
        <v>01675265</v>
      </c>
      <c r="D8154" s="2">
        <v>0.221</v>
      </c>
      <c r="E8154" s="2">
        <v>10</v>
      </c>
      <c r="F8154" s="2" t="s">
        <v>75</v>
      </c>
    </row>
    <row r="8155" spans="1:6" ht="25.5">
      <c r="A8155" s="2">
        <v>8152</v>
      </c>
      <c r="B8155" s="2" t="s">
        <v>8231</v>
      </c>
      <c r="C8155" s="2" t="str">
        <f>"10876537"</f>
        <v>10876537</v>
      </c>
      <c r="D8155" s="2">
        <v>0.83499999999999996</v>
      </c>
      <c r="E8155" s="2">
        <v>41</v>
      </c>
      <c r="F8155" s="2" t="s">
        <v>16</v>
      </c>
    </row>
    <row r="8156" spans="1:6" ht="25.5">
      <c r="A8156" s="2">
        <v>8153</v>
      </c>
      <c r="B8156" s="2" t="s">
        <v>8232</v>
      </c>
      <c r="C8156" s="2" t="str">
        <f>"20782489"</f>
        <v>20782489</v>
      </c>
      <c r="D8156" s="2">
        <v>0</v>
      </c>
      <c r="E8156" s="2">
        <v>2</v>
      </c>
      <c r="F8156" s="2" t="s">
        <v>31</v>
      </c>
    </row>
    <row r="8157" spans="1:6" ht="25.5">
      <c r="A8157" s="2">
        <v>8154</v>
      </c>
      <c r="B8157" s="2" t="s">
        <v>8233</v>
      </c>
      <c r="C8157" s="2" t="str">
        <f>"03064379"</f>
        <v>03064379</v>
      </c>
      <c r="D8157" s="2">
        <v>2.2719999999999998</v>
      </c>
      <c r="E8157" s="2">
        <v>49</v>
      </c>
      <c r="F8157" s="2" t="s">
        <v>16</v>
      </c>
    </row>
    <row r="8158" spans="1:6" ht="25.5">
      <c r="A8158" s="2">
        <v>8155</v>
      </c>
      <c r="B8158" s="2" t="s">
        <v>8234</v>
      </c>
      <c r="C8158" s="2" t="str">
        <f>"16179846"</f>
        <v>16179846</v>
      </c>
      <c r="D8158" s="2">
        <v>0.51400000000000001</v>
      </c>
      <c r="E8158" s="2">
        <v>13</v>
      </c>
      <c r="F8158" s="2" t="s">
        <v>12</v>
      </c>
    </row>
    <row r="8159" spans="1:6" ht="25.5">
      <c r="A8159" s="2">
        <v>8156</v>
      </c>
      <c r="B8159" s="2" t="s">
        <v>8235</v>
      </c>
      <c r="C8159" s="2" t="str">
        <f>"15729419"</f>
        <v>15729419</v>
      </c>
      <c r="D8159" s="2">
        <v>0.49299999999999999</v>
      </c>
      <c r="E8159" s="2">
        <v>30</v>
      </c>
      <c r="F8159" s="2" t="s">
        <v>75</v>
      </c>
    </row>
    <row r="8160" spans="1:6" ht="25.5">
      <c r="A8160" s="2">
        <v>8157</v>
      </c>
      <c r="B8160" s="2" t="s">
        <v>8236</v>
      </c>
      <c r="C8160" s="2" t="str">
        <f>"13652575"</f>
        <v>13652575</v>
      </c>
      <c r="D8160" s="2">
        <v>1.579</v>
      </c>
      <c r="E8160" s="2">
        <v>46</v>
      </c>
      <c r="F8160" s="2" t="s">
        <v>16</v>
      </c>
    </row>
    <row r="8161" spans="1:6" ht="25.5">
      <c r="A8161" s="2">
        <v>8158</v>
      </c>
      <c r="B8161" s="2" t="s">
        <v>8237</v>
      </c>
      <c r="C8161" s="2" t="str">
        <f>"10580530"</f>
        <v>10580530</v>
      </c>
      <c r="D8161" s="2">
        <v>0.311</v>
      </c>
      <c r="E8161" s="2">
        <v>29</v>
      </c>
      <c r="F8161" s="2" t="s">
        <v>16</v>
      </c>
    </row>
    <row r="8162" spans="1:6" ht="25.5">
      <c r="A8162" s="2">
        <v>8159</v>
      </c>
      <c r="B8162" s="2" t="s">
        <v>8238</v>
      </c>
      <c r="C8162" s="2" t="str">
        <f>"15265536"</f>
        <v>15265536</v>
      </c>
      <c r="D8162" s="2">
        <v>3.5339999999999998</v>
      </c>
      <c r="E8162" s="2">
        <v>90</v>
      </c>
      <c r="F8162" s="2" t="s">
        <v>6</v>
      </c>
    </row>
    <row r="8163" spans="1:6" ht="25.5">
      <c r="A8163" s="2">
        <v>8160</v>
      </c>
      <c r="B8163" s="2" t="s">
        <v>8239</v>
      </c>
      <c r="C8163" s="2" t="str">
        <f>"1392124X"</f>
        <v>1392124X</v>
      </c>
      <c r="D8163" s="2">
        <v>0.32800000000000001</v>
      </c>
      <c r="E8163" s="2">
        <v>5</v>
      </c>
      <c r="F8163" s="2" t="s">
        <v>426</v>
      </c>
    </row>
    <row r="8164" spans="1:6" ht="25.5">
      <c r="A8164" s="2">
        <v>8161</v>
      </c>
      <c r="B8164" s="2" t="s">
        <v>8240</v>
      </c>
      <c r="C8164" s="2" t="str">
        <f>"07309295"</f>
        <v>07309295</v>
      </c>
      <c r="D8164" s="2">
        <v>0.77200000000000002</v>
      </c>
      <c r="E8164" s="2">
        <v>18</v>
      </c>
      <c r="F8164" s="2" t="s">
        <v>6</v>
      </c>
    </row>
    <row r="8165" spans="1:6" ht="25.5">
      <c r="A8165" s="2">
        <v>8162</v>
      </c>
      <c r="B8165" s="2" t="s">
        <v>8241</v>
      </c>
      <c r="C8165" s="2" t="str">
        <f>"15737667"</f>
        <v>15737667</v>
      </c>
      <c r="D8165" s="2">
        <v>0.20799999999999999</v>
      </c>
      <c r="E8165" s="2">
        <v>16</v>
      </c>
      <c r="F8165" s="2" t="s">
        <v>75</v>
      </c>
    </row>
    <row r="8166" spans="1:6" ht="25.5">
      <c r="A8166" s="2">
        <v>8163</v>
      </c>
      <c r="B8166" s="2" t="s">
        <v>8242</v>
      </c>
      <c r="C8166" s="2" t="str">
        <f>"09593845"</f>
        <v>09593845</v>
      </c>
      <c r="D8166" s="2">
        <v>0.56499999999999995</v>
      </c>
      <c r="E8166" s="2">
        <v>18</v>
      </c>
      <c r="F8166" s="2" t="s">
        <v>16</v>
      </c>
    </row>
    <row r="8167" spans="1:6" ht="25.5">
      <c r="A8167" s="2">
        <v>8164</v>
      </c>
      <c r="B8167" s="2" t="s">
        <v>8243</v>
      </c>
      <c r="C8167" s="2" t="str">
        <f>"02681102"</f>
        <v>02681102</v>
      </c>
      <c r="D8167" s="2">
        <v>0.32300000000000001</v>
      </c>
      <c r="E8167" s="2">
        <v>10</v>
      </c>
      <c r="F8167" s="2" t="s">
        <v>16</v>
      </c>
    </row>
    <row r="8168" spans="1:6" ht="25.5">
      <c r="A8168" s="2">
        <v>8165</v>
      </c>
      <c r="B8168" s="2" t="s">
        <v>8244</v>
      </c>
      <c r="C8168" s="2" t="str">
        <f>"18125646"</f>
        <v>18125646</v>
      </c>
      <c r="D8168" s="2">
        <v>0.40200000000000002</v>
      </c>
      <c r="E8168" s="2">
        <v>13</v>
      </c>
      <c r="F8168" s="2" t="s">
        <v>43</v>
      </c>
    </row>
    <row r="8169" spans="1:6" ht="25.5">
      <c r="A8169" s="2">
        <v>8166</v>
      </c>
      <c r="B8169" s="2" t="s">
        <v>8245</v>
      </c>
      <c r="C8169" s="2" t="str">
        <f>"14738724"</f>
        <v>14738724</v>
      </c>
      <c r="D8169" s="2">
        <v>0.60599999999999998</v>
      </c>
      <c r="E8169" s="2">
        <v>15</v>
      </c>
      <c r="F8169" s="2" t="s">
        <v>16</v>
      </c>
    </row>
    <row r="8170" spans="1:6" ht="25.5">
      <c r="A8170" s="2">
        <v>8167</v>
      </c>
      <c r="B8170" s="2" t="s">
        <v>8246</v>
      </c>
      <c r="C8170" s="2" t="str">
        <f>"14344653"</f>
        <v>14344653</v>
      </c>
      <c r="D8170" s="2">
        <v>0.105</v>
      </c>
      <c r="E8170" s="2">
        <v>6</v>
      </c>
      <c r="F8170" s="2" t="s">
        <v>12</v>
      </c>
    </row>
    <row r="8171" spans="1:6" ht="25.5">
      <c r="A8171" s="2">
        <v>8168</v>
      </c>
      <c r="B8171" s="2" t="s">
        <v>8247</v>
      </c>
      <c r="C8171" s="2" t="str">
        <f>"13300067"</f>
        <v>13300067</v>
      </c>
      <c r="D8171" s="2">
        <v>0.158</v>
      </c>
      <c r="E8171" s="2">
        <v>2</v>
      </c>
      <c r="F8171" s="2" t="s">
        <v>149</v>
      </c>
    </row>
    <row r="8172" spans="1:6" ht="25.5">
      <c r="A8172" s="2">
        <v>8169</v>
      </c>
      <c r="B8172" s="2" t="s">
        <v>8248</v>
      </c>
      <c r="C8172" s="2" t="str">
        <f>"13169688"</f>
        <v>13169688</v>
      </c>
      <c r="D8172" s="2">
        <v>0.122</v>
      </c>
      <c r="E8172" s="2">
        <v>3</v>
      </c>
      <c r="F8172" s="2" t="s">
        <v>40</v>
      </c>
    </row>
    <row r="8173" spans="1:6" ht="25.5">
      <c r="A8173" s="2">
        <v>8170</v>
      </c>
      <c r="B8173" s="2" t="s">
        <v>8249</v>
      </c>
      <c r="C8173" s="2" t="str">
        <f>"19883234"</f>
        <v>19883234</v>
      </c>
      <c r="D8173" s="2">
        <v>0.24399999999999999</v>
      </c>
      <c r="E8173" s="2">
        <v>4</v>
      </c>
      <c r="F8173" s="2" t="s">
        <v>351</v>
      </c>
    </row>
    <row r="8174" spans="1:6" ht="25.5">
      <c r="A8174" s="2">
        <v>8171</v>
      </c>
      <c r="B8174" s="2" t="s">
        <v>8250</v>
      </c>
      <c r="C8174" s="2" t="str">
        <f>"15479684"</f>
        <v>15479684</v>
      </c>
      <c r="D8174" s="2">
        <v>0.192</v>
      </c>
      <c r="E8174" s="2">
        <v>13</v>
      </c>
      <c r="F8174" s="2" t="s">
        <v>6</v>
      </c>
    </row>
    <row r="8175" spans="1:6" ht="25.5">
      <c r="A8175" s="2">
        <v>8172</v>
      </c>
      <c r="B8175" s="2" t="s">
        <v>8251</v>
      </c>
      <c r="C8175" s="2" t="str">
        <f>"15265528"</f>
        <v>15265528</v>
      </c>
      <c r="D8175" s="2">
        <v>2.137</v>
      </c>
      <c r="E8175" s="2">
        <v>44</v>
      </c>
      <c r="F8175" s="2" t="s">
        <v>6</v>
      </c>
    </row>
    <row r="8176" spans="1:6" ht="25.5">
      <c r="A8176" s="2">
        <v>8173</v>
      </c>
      <c r="B8176" s="2" t="s">
        <v>8252</v>
      </c>
      <c r="C8176" s="2" t="str">
        <f>"17544548"</f>
        <v>17544548</v>
      </c>
      <c r="D8176" s="2">
        <v>0.109</v>
      </c>
      <c r="E8176" s="2">
        <v>3</v>
      </c>
      <c r="F8176" s="2" t="s">
        <v>75</v>
      </c>
    </row>
    <row r="8177" spans="1:6" ht="25.5">
      <c r="A8177" s="2">
        <v>8174</v>
      </c>
      <c r="B8177" s="2" t="s">
        <v>8253</v>
      </c>
      <c r="C8177" s="2" t="str">
        <f>"10112499"</f>
        <v>10112499</v>
      </c>
      <c r="D8177" s="2">
        <v>0.44</v>
      </c>
      <c r="E8177" s="2">
        <v>19</v>
      </c>
      <c r="F8177" s="2" t="s">
        <v>12</v>
      </c>
    </row>
    <row r="8178" spans="1:6" ht="25.5">
      <c r="A8178" s="2">
        <v>8175</v>
      </c>
      <c r="B8178" s="2" t="s">
        <v>8254</v>
      </c>
      <c r="C8178" s="2" t="str">
        <f>"13504495"</f>
        <v>13504495</v>
      </c>
      <c r="D8178" s="2">
        <v>0.56200000000000006</v>
      </c>
      <c r="E8178" s="2">
        <v>32</v>
      </c>
      <c r="F8178" s="2" t="s">
        <v>75</v>
      </c>
    </row>
    <row r="8179" spans="1:6" ht="25.5">
      <c r="A8179" s="2">
        <v>8176</v>
      </c>
      <c r="B8179" s="2" t="s">
        <v>8255</v>
      </c>
      <c r="C8179" s="2" t="str">
        <f>"00200956"</f>
        <v>00200956</v>
      </c>
      <c r="D8179" s="2">
        <v>0.16200000000000001</v>
      </c>
      <c r="E8179" s="2">
        <v>4</v>
      </c>
      <c r="F8179" s="2" t="s">
        <v>190</v>
      </c>
    </row>
    <row r="8180" spans="1:6" ht="25.5">
      <c r="A8180" s="2">
        <v>8177</v>
      </c>
      <c r="B8180" s="2" t="s">
        <v>8256</v>
      </c>
      <c r="C8180" s="2" t="str">
        <f>"03931420"</f>
        <v>03931420</v>
      </c>
      <c r="D8180" s="2">
        <v>0.20300000000000001</v>
      </c>
      <c r="E8180" s="2">
        <v>2</v>
      </c>
      <c r="F8180" s="2" t="s">
        <v>190</v>
      </c>
    </row>
    <row r="8181" spans="1:6" ht="25.5">
      <c r="A8181" s="2">
        <v>8178</v>
      </c>
      <c r="B8181" s="2" t="s">
        <v>8257</v>
      </c>
      <c r="C8181" s="2" t="str">
        <f>"07183305"</f>
        <v>07183305</v>
      </c>
      <c r="D8181" s="2">
        <v>0.152</v>
      </c>
      <c r="E8181" s="2">
        <v>4</v>
      </c>
      <c r="F8181" s="2" t="s">
        <v>182</v>
      </c>
    </row>
    <row r="8182" spans="1:6" ht="25.5">
      <c r="A8182" s="2">
        <v>8179</v>
      </c>
      <c r="B8182" s="2" t="s">
        <v>8258</v>
      </c>
      <c r="C8182" s="2" t="str">
        <f>"01232126"</f>
        <v>01232126</v>
      </c>
      <c r="D8182" s="2">
        <v>0.112</v>
      </c>
      <c r="E8182" s="2">
        <v>1</v>
      </c>
      <c r="F8182" s="2" t="s">
        <v>184</v>
      </c>
    </row>
    <row r="8183" spans="1:6" ht="25.5">
      <c r="A8183" s="2">
        <v>8180</v>
      </c>
      <c r="B8183" s="2" t="s">
        <v>8259</v>
      </c>
      <c r="C8183" s="2" t="str">
        <f>"16331311"</f>
        <v>16331311</v>
      </c>
      <c r="D8183" s="2">
        <v>0</v>
      </c>
      <c r="E8183" s="2">
        <v>0</v>
      </c>
      <c r="F8183" s="2" t="s">
        <v>16</v>
      </c>
    </row>
    <row r="8184" spans="1:6" ht="25.5">
      <c r="A8184" s="2">
        <v>8181</v>
      </c>
      <c r="B8184" s="2" t="s">
        <v>8260</v>
      </c>
      <c r="C8184" s="2" t="str">
        <f>"10917691"</f>
        <v>10917691</v>
      </c>
      <c r="D8184" s="2">
        <v>0.79200000000000004</v>
      </c>
      <c r="E8184" s="2">
        <v>53</v>
      </c>
      <c r="F8184" s="2" t="s">
        <v>16</v>
      </c>
    </row>
    <row r="8185" spans="1:6" ht="25.5">
      <c r="A8185" s="2">
        <v>8182</v>
      </c>
      <c r="B8185" s="2" t="s">
        <v>8261</v>
      </c>
      <c r="C8185" s="2" t="str">
        <f>"15723461"</f>
        <v>15723461</v>
      </c>
      <c r="D8185" s="2">
        <v>0.83399999999999996</v>
      </c>
      <c r="E8185" s="2">
        <v>64</v>
      </c>
      <c r="F8185" s="2" t="s">
        <v>16</v>
      </c>
    </row>
    <row r="8186" spans="1:6" ht="25.5">
      <c r="A8186" s="2">
        <v>8183</v>
      </c>
      <c r="B8186" s="2" t="s">
        <v>8262</v>
      </c>
      <c r="C8186" s="2" t="str">
        <f>"14755785"</f>
        <v>14755785</v>
      </c>
      <c r="D8186" s="2">
        <v>0.77300000000000002</v>
      </c>
      <c r="E8186" s="2">
        <v>45</v>
      </c>
      <c r="F8186" s="2" t="s">
        <v>16</v>
      </c>
    </row>
    <row r="8187" spans="1:6" ht="25.5">
      <c r="A8187" s="2">
        <v>8184</v>
      </c>
      <c r="B8187" s="2" t="s">
        <v>8263</v>
      </c>
      <c r="C8187" s="2" t="str">
        <f>"19950837"</f>
        <v>19950837</v>
      </c>
      <c r="D8187" s="2">
        <v>0.25800000000000001</v>
      </c>
      <c r="E8187" s="2">
        <v>4</v>
      </c>
      <c r="F8187" s="2" t="s">
        <v>129</v>
      </c>
    </row>
    <row r="8188" spans="1:6" ht="25.5">
      <c r="A8188" s="2">
        <v>8185</v>
      </c>
      <c r="B8188" s="2" t="s">
        <v>8264</v>
      </c>
      <c r="C8188" s="2" t="str">
        <f>"20684215"</f>
        <v>20684215</v>
      </c>
      <c r="D8188" s="2">
        <v>0</v>
      </c>
      <c r="E8188" s="2">
        <v>1</v>
      </c>
      <c r="F8188" s="2" t="s">
        <v>19</v>
      </c>
    </row>
    <row r="8189" spans="1:6" ht="25.5">
      <c r="A8189" s="2">
        <v>8186</v>
      </c>
      <c r="B8189" s="2" t="s">
        <v>8265</v>
      </c>
      <c r="C8189" s="2" t="str">
        <f>"02139626"</f>
        <v>02139626</v>
      </c>
      <c r="D8189" s="2">
        <v>0.111</v>
      </c>
      <c r="E8189" s="2">
        <v>6</v>
      </c>
      <c r="F8189" s="2" t="s">
        <v>351</v>
      </c>
    </row>
    <row r="8190" spans="1:6" ht="25.5">
      <c r="A8190" s="2">
        <v>8187</v>
      </c>
      <c r="B8190" s="2" t="s">
        <v>8266</v>
      </c>
      <c r="C8190" s="2" t="str">
        <f>"17534267"</f>
        <v>17534267</v>
      </c>
      <c r="D8190" s="2">
        <v>0.89600000000000002</v>
      </c>
      <c r="E8190" s="2">
        <v>44</v>
      </c>
      <c r="F8190" s="2" t="s">
        <v>16</v>
      </c>
    </row>
    <row r="8191" spans="1:6" ht="25.5">
      <c r="A8191" s="2">
        <v>8188</v>
      </c>
      <c r="B8191" s="2" t="s">
        <v>8267</v>
      </c>
      <c r="C8191" s="2" t="str">
        <f>"14648172"</f>
        <v>14648172</v>
      </c>
      <c r="D8191" s="2">
        <v>0.107</v>
      </c>
      <c r="E8191" s="2">
        <v>7</v>
      </c>
      <c r="F8191" s="2" t="s">
        <v>75</v>
      </c>
    </row>
    <row r="8192" spans="1:6" ht="25.5">
      <c r="A8192" s="2">
        <v>8189</v>
      </c>
      <c r="B8192" s="2" t="s">
        <v>8268</v>
      </c>
      <c r="C8192" s="2" t="str">
        <f>"01215051"</f>
        <v>01215051</v>
      </c>
      <c r="D8192" s="2">
        <v>0.16</v>
      </c>
      <c r="E8192" s="2">
        <v>2</v>
      </c>
      <c r="F8192" s="2" t="s">
        <v>184</v>
      </c>
    </row>
    <row r="8193" spans="1:6" ht="25.5">
      <c r="A8193" s="2">
        <v>8190</v>
      </c>
      <c r="B8193" s="2" t="s">
        <v>8269</v>
      </c>
      <c r="C8193" s="2" t="str">
        <f>"14698412"</f>
        <v>14698412</v>
      </c>
      <c r="D8193" s="2">
        <v>0.17</v>
      </c>
      <c r="E8193" s="2">
        <v>14</v>
      </c>
      <c r="F8193" s="2" t="s">
        <v>16</v>
      </c>
    </row>
    <row r="8194" spans="1:6" ht="25.5">
      <c r="A8194" s="2">
        <v>8191</v>
      </c>
      <c r="B8194" s="2" t="s">
        <v>8270</v>
      </c>
      <c r="C8194" s="2" t="str">
        <f>"17501237"</f>
        <v>17501237</v>
      </c>
      <c r="D8194" s="2">
        <v>0.41</v>
      </c>
      <c r="E8194" s="2">
        <v>4</v>
      </c>
      <c r="F8194" s="2" t="s">
        <v>16</v>
      </c>
    </row>
    <row r="8195" spans="1:6" ht="25.5">
      <c r="A8195" s="2">
        <v>8192</v>
      </c>
      <c r="B8195" s="2" t="s">
        <v>8271</v>
      </c>
      <c r="C8195" s="2" t="str">
        <f>"17153816"</f>
        <v>17153816</v>
      </c>
      <c r="D8195" s="2">
        <v>0.16</v>
      </c>
      <c r="E8195" s="2">
        <v>4</v>
      </c>
      <c r="F8195" s="2" t="s">
        <v>64</v>
      </c>
    </row>
    <row r="8196" spans="1:6" ht="25.5">
      <c r="A8196" s="2">
        <v>8193</v>
      </c>
      <c r="B8196" s="2" t="s">
        <v>8272</v>
      </c>
      <c r="C8196" s="2" t="str">
        <f>"14479338"</f>
        <v>14479338</v>
      </c>
      <c r="D8196" s="2">
        <v>0.26400000000000001</v>
      </c>
      <c r="E8196" s="2">
        <v>6</v>
      </c>
      <c r="F8196" s="2" t="s">
        <v>127</v>
      </c>
    </row>
    <row r="8197" spans="1:6" ht="25.5">
      <c r="A8197" s="2">
        <v>8194</v>
      </c>
      <c r="B8197" s="2" t="s">
        <v>8273</v>
      </c>
      <c r="C8197" s="2" t="str">
        <f>"15372618"</f>
        <v>15372618</v>
      </c>
      <c r="D8197" s="2">
        <v>0.54500000000000004</v>
      </c>
      <c r="E8197" s="2">
        <v>3</v>
      </c>
      <c r="F8197" s="2" t="s">
        <v>6</v>
      </c>
    </row>
    <row r="8198" spans="1:6" ht="25.5">
      <c r="A8198" s="2">
        <v>8195</v>
      </c>
      <c r="B8198" s="2" t="s">
        <v>8274</v>
      </c>
      <c r="C8198" s="2" t="str">
        <f>"00954519"</f>
        <v>00954519</v>
      </c>
      <c r="D8198" s="2">
        <v>0.19700000000000001</v>
      </c>
      <c r="E8198" s="2">
        <v>3</v>
      </c>
      <c r="F8198" s="2" t="s">
        <v>16</v>
      </c>
    </row>
    <row r="8199" spans="1:6" ht="25.5">
      <c r="A8199" s="2">
        <v>8196</v>
      </c>
      <c r="B8199" s="2" t="s">
        <v>8275</v>
      </c>
      <c r="C8199" s="2" t="str">
        <f>"21588341"</f>
        <v>21588341</v>
      </c>
      <c r="D8199" s="2">
        <v>0.35199999999999998</v>
      </c>
      <c r="E8199" s="2">
        <v>9</v>
      </c>
      <c r="F8199" s="2" t="s">
        <v>6</v>
      </c>
    </row>
    <row r="8200" spans="1:6" ht="25.5">
      <c r="A8200" s="2">
        <v>8197</v>
      </c>
      <c r="B8200" s="2" t="s">
        <v>8276</v>
      </c>
      <c r="C8200" s="2" t="str">
        <f>"14703300"</f>
        <v>14703300</v>
      </c>
      <c r="D8200" s="2">
        <v>0.95299999999999996</v>
      </c>
      <c r="E8200" s="2">
        <v>23</v>
      </c>
      <c r="F8200" s="2" t="s">
        <v>6</v>
      </c>
    </row>
    <row r="8201" spans="1:6" ht="25.5">
      <c r="A8201" s="2">
        <v>8198</v>
      </c>
      <c r="B8201" s="2" t="s">
        <v>8277</v>
      </c>
      <c r="C8201" s="2" t="str">
        <f>"16145054"</f>
        <v>16145054</v>
      </c>
      <c r="D8201" s="2">
        <v>0.317</v>
      </c>
      <c r="E8201" s="2">
        <v>13</v>
      </c>
      <c r="F8201" s="2" t="s">
        <v>16</v>
      </c>
    </row>
    <row r="8202" spans="1:6" ht="25.5">
      <c r="A8202" s="2">
        <v>8199</v>
      </c>
      <c r="B8202" s="2" t="s">
        <v>8278</v>
      </c>
      <c r="C8202" s="2" t="str">
        <f>"15590879"</f>
        <v>15590879</v>
      </c>
      <c r="D8202" s="2">
        <v>0.35299999999999998</v>
      </c>
      <c r="E8202" s="2">
        <v>8</v>
      </c>
      <c r="F8202" s="2" t="s">
        <v>6</v>
      </c>
    </row>
    <row r="8203" spans="1:6" ht="25.5">
      <c r="A8203" s="2">
        <v>8200</v>
      </c>
      <c r="B8203" s="2" t="s">
        <v>8279</v>
      </c>
      <c r="C8203" s="2" t="str">
        <f>"14668564"</f>
        <v>14668564</v>
      </c>
      <c r="D8203" s="2">
        <v>1.5189999999999999</v>
      </c>
      <c r="E8203" s="2">
        <v>48</v>
      </c>
      <c r="F8203" s="2" t="s">
        <v>75</v>
      </c>
    </row>
    <row r="8204" spans="1:6" ht="25.5">
      <c r="A8204" s="2">
        <v>8201</v>
      </c>
      <c r="B8204" s="2" t="s">
        <v>8280</v>
      </c>
      <c r="C8204" s="2" t="str">
        <f>"15731758"</f>
        <v>15731758</v>
      </c>
      <c r="D8204" s="2">
        <v>0.42799999999999999</v>
      </c>
      <c r="E8204" s="2">
        <v>16</v>
      </c>
      <c r="F8204" s="2" t="s">
        <v>75</v>
      </c>
    </row>
    <row r="8205" spans="1:6" ht="25.5">
      <c r="A8205" s="2">
        <v>8202</v>
      </c>
      <c r="B8205" s="2" t="s">
        <v>8281</v>
      </c>
      <c r="C8205" s="2" t="str">
        <f>"18733255"</f>
        <v>18733255</v>
      </c>
      <c r="D8205" s="2">
        <v>0.53500000000000003</v>
      </c>
      <c r="E8205" s="2">
        <v>69</v>
      </c>
      <c r="F8205" s="2" t="s">
        <v>75</v>
      </c>
    </row>
    <row r="8206" spans="1:6" ht="25.5">
      <c r="A8206" s="2">
        <v>8203</v>
      </c>
      <c r="B8206" s="2" t="s">
        <v>8282</v>
      </c>
      <c r="C8206" s="2" t="str">
        <f>"1520510X"</f>
        <v>1520510X</v>
      </c>
      <c r="D8206" s="2">
        <v>1.778</v>
      </c>
      <c r="E8206" s="2">
        <v>149</v>
      </c>
      <c r="F8206" s="2" t="s">
        <v>6</v>
      </c>
    </row>
    <row r="8207" spans="1:6" ht="25.5">
      <c r="A8207" s="2">
        <v>8204</v>
      </c>
      <c r="B8207" s="2" t="s">
        <v>8283</v>
      </c>
      <c r="C8207" s="2" t="str">
        <f>"13877003"</f>
        <v>13877003</v>
      </c>
      <c r="D8207" s="2">
        <v>0.57499999999999996</v>
      </c>
      <c r="E8207" s="2">
        <v>48</v>
      </c>
      <c r="F8207" s="2" t="s">
        <v>75</v>
      </c>
    </row>
    <row r="8208" spans="1:6" ht="25.5">
      <c r="A8208" s="2">
        <v>8205</v>
      </c>
      <c r="B8208" s="2" t="s">
        <v>8284</v>
      </c>
      <c r="C8208" s="2" t="str">
        <f>"16083172"</f>
        <v>16083172</v>
      </c>
      <c r="D8208" s="2">
        <v>0.255</v>
      </c>
      <c r="E8208" s="2">
        <v>20</v>
      </c>
      <c r="F8208" s="2" t="s">
        <v>129</v>
      </c>
    </row>
    <row r="8209" spans="1:6" ht="25.5">
      <c r="A8209" s="2">
        <v>8206</v>
      </c>
      <c r="B8209" s="2" t="s">
        <v>8285</v>
      </c>
      <c r="C8209" s="2" t="str">
        <f>"2075115X"</f>
        <v>2075115X</v>
      </c>
      <c r="D8209" s="2">
        <v>0.13600000000000001</v>
      </c>
      <c r="E8209" s="2">
        <v>2</v>
      </c>
      <c r="F8209" s="2" t="s">
        <v>12</v>
      </c>
    </row>
    <row r="8210" spans="1:6" ht="25.5">
      <c r="A8210" s="2">
        <v>8207</v>
      </c>
      <c r="B8210" s="2" t="s">
        <v>8286</v>
      </c>
      <c r="C8210" s="2" t="str">
        <f>"0263841X"</f>
        <v>0263841X</v>
      </c>
      <c r="D8210" s="2">
        <v>0.24299999999999999</v>
      </c>
      <c r="E8210" s="2">
        <v>15</v>
      </c>
      <c r="F8210" s="2" t="s">
        <v>16</v>
      </c>
    </row>
    <row r="8211" spans="1:6" ht="25.5">
      <c r="A8211" s="2">
        <v>8208</v>
      </c>
      <c r="B8211" s="2" t="s">
        <v>8287</v>
      </c>
      <c r="C8211" s="2" t="str">
        <f>"00469580"</f>
        <v>00469580</v>
      </c>
      <c r="D8211" s="2">
        <v>0.90600000000000003</v>
      </c>
      <c r="E8211" s="2">
        <v>31</v>
      </c>
      <c r="F8211" s="2" t="s">
        <v>6</v>
      </c>
    </row>
    <row r="8212" spans="1:6" ht="25.5">
      <c r="A8212" s="2">
        <v>8209</v>
      </c>
      <c r="B8212" s="2" t="s">
        <v>8288</v>
      </c>
      <c r="C8212" s="2" t="str">
        <f>"15023923"</f>
        <v>15023923</v>
      </c>
      <c r="D8212" s="2">
        <v>0.39300000000000002</v>
      </c>
      <c r="E8212" s="2">
        <v>6</v>
      </c>
      <c r="F8212" s="2" t="s">
        <v>16</v>
      </c>
    </row>
    <row r="8213" spans="1:6" ht="25.5">
      <c r="A8213" s="2">
        <v>8210</v>
      </c>
      <c r="B8213" s="2" t="s">
        <v>8289</v>
      </c>
      <c r="C8213" s="2" t="str">
        <f>"09651748"</f>
        <v>09651748</v>
      </c>
      <c r="D8213" s="2">
        <v>1.333</v>
      </c>
      <c r="E8213" s="2">
        <v>69</v>
      </c>
      <c r="F8213" s="2" t="s">
        <v>16</v>
      </c>
    </row>
    <row r="8214" spans="1:6" ht="25.5">
      <c r="A8214" s="2">
        <v>8211</v>
      </c>
      <c r="B8214" s="2" t="s">
        <v>8290</v>
      </c>
      <c r="C8214" s="2" t="str">
        <f>"17524598"</f>
        <v>17524598</v>
      </c>
      <c r="D8214" s="2">
        <v>0.86799999999999999</v>
      </c>
      <c r="E8214" s="2">
        <v>9</v>
      </c>
      <c r="F8214" s="2" t="s">
        <v>6</v>
      </c>
    </row>
    <row r="8215" spans="1:6" ht="25.5">
      <c r="A8215" s="2">
        <v>8212</v>
      </c>
      <c r="B8215" s="2" t="s">
        <v>8291</v>
      </c>
      <c r="C8215" s="2" t="str">
        <f>"14209098"</f>
        <v>14209098</v>
      </c>
      <c r="D8215" s="2">
        <v>0.68700000000000006</v>
      </c>
      <c r="E8215" s="2">
        <v>37</v>
      </c>
      <c r="F8215" s="2" t="s">
        <v>31</v>
      </c>
    </row>
    <row r="8216" spans="1:6" ht="25.5">
      <c r="A8216" s="2">
        <v>8213</v>
      </c>
      <c r="B8216" s="2" t="s">
        <v>8292</v>
      </c>
      <c r="C8216" s="2" t="str">
        <f>"13652583"</f>
        <v>13652583</v>
      </c>
      <c r="D8216" s="2">
        <v>1.139</v>
      </c>
      <c r="E8216" s="2">
        <v>60</v>
      </c>
      <c r="F8216" s="2" t="s">
        <v>16</v>
      </c>
    </row>
    <row r="8217" spans="1:6" ht="25.5">
      <c r="A8217" s="2">
        <v>8214</v>
      </c>
      <c r="B8217" s="2" t="s">
        <v>8293</v>
      </c>
      <c r="C8217" s="2" t="str">
        <f>"17447917"</f>
        <v>17447917</v>
      </c>
      <c r="D8217" s="2">
        <v>0.57799999999999996</v>
      </c>
      <c r="E8217" s="2">
        <v>15</v>
      </c>
      <c r="F8217" s="2" t="s">
        <v>16</v>
      </c>
    </row>
    <row r="8218" spans="1:6" ht="25.5">
      <c r="A8218" s="2">
        <v>8215</v>
      </c>
      <c r="B8218" s="2" t="s">
        <v>8294</v>
      </c>
      <c r="C8218" s="2" t="str">
        <f>"1399560X"</f>
        <v>1399560X</v>
      </c>
      <c r="D8218" s="2">
        <v>0.31900000000000001</v>
      </c>
      <c r="E8218" s="2">
        <v>17</v>
      </c>
      <c r="F8218" s="2" t="s">
        <v>75</v>
      </c>
    </row>
    <row r="8219" spans="1:6" ht="25.5">
      <c r="A8219" s="2">
        <v>8216</v>
      </c>
      <c r="B8219" s="2" t="s">
        <v>8295</v>
      </c>
      <c r="C8219" s="2" t="str">
        <f>"1060135X"</f>
        <v>1060135X</v>
      </c>
      <c r="D8219" s="2">
        <v>0.126</v>
      </c>
      <c r="E8219" s="2">
        <v>6</v>
      </c>
      <c r="F8219" s="2" t="s">
        <v>6</v>
      </c>
    </row>
    <row r="8220" spans="1:6" ht="25.5">
      <c r="A8220" s="2">
        <v>8217</v>
      </c>
      <c r="B8220" s="2" t="s">
        <v>8296</v>
      </c>
      <c r="C8220" s="2" t="str">
        <f>"13542575"</f>
        <v>13542575</v>
      </c>
      <c r="D8220" s="2">
        <v>0.34100000000000003</v>
      </c>
      <c r="E8220" s="2">
        <v>21</v>
      </c>
      <c r="F8220" s="2" t="s">
        <v>16</v>
      </c>
    </row>
    <row r="8221" spans="1:6" ht="25.5">
      <c r="A8221" s="2">
        <v>8218</v>
      </c>
      <c r="B8221" s="2" t="s">
        <v>8297</v>
      </c>
      <c r="C8221" s="2" t="str">
        <f>"2157037X"</f>
        <v>2157037X</v>
      </c>
      <c r="D8221" s="2">
        <v>0.122</v>
      </c>
      <c r="E8221" s="2">
        <v>2</v>
      </c>
      <c r="F8221" s="2" t="s">
        <v>6</v>
      </c>
    </row>
    <row r="8222" spans="1:6" ht="25.5">
      <c r="A8222" s="2">
        <v>8219</v>
      </c>
      <c r="B8222" s="2" t="s">
        <v>8298</v>
      </c>
      <c r="C8222" s="2" t="str">
        <f>"1302177X"</f>
        <v>1302177X</v>
      </c>
      <c r="D8222" s="2">
        <v>0.66200000000000003</v>
      </c>
      <c r="E8222" s="2">
        <v>6</v>
      </c>
      <c r="F8222" s="2" t="s">
        <v>345</v>
      </c>
    </row>
    <row r="8223" spans="1:6" ht="25.5">
      <c r="A8223" s="2">
        <v>8220</v>
      </c>
      <c r="B8223" s="2" t="s">
        <v>8299</v>
      </c>
      <c r="C8223" s="2" t="str">
        <f>"14343207"</f>
        <v>14343207</v>
      </c>
      <c r="D8223" s="2">
        <v>0.19900000000000001</v>
      </c>
      <c r="E8223" s="2">
        <v>35</v>
      </c>
      <c r="F8223" s="2" t="s">
        <v>75</v>
      </c>
    </row>
    <row r="8224" spans="1:6" ht="25.5">
      <c r="A8224" s="2">
        <v>8221</v>
      </c>
      <c r="B8224" s="2" t="s">
        <v>8300</v>
      </c>
      <c r="C8224" s="2" t="str">
        <f>"14761548"</f>
        <v>14761548</v>
      </c>
      <c r="D8224" s="2">
        <v>0.14000000000000001</v>
      </c>
      <c r="E8224" s="2">
        <v>4</v>
      </c>
      <c r="F8224" s="2" t="s">
        <v>16</v>
      </c>
    </row>
    <row r="8225" spans="1:6" ht="25.5">
      <c r="A8225" s="2">
        <v>8222</v>
      </c>
      <c r="B8225" s="2" t="s">
        <v>8301</v>
      </c>
      <c r="C8225" s="2" t="str">
        <f>"00204277"</f>
        <v>00204277</v>
      </c>
      <c r="D8225" s="2">
        <v>1.524</v>
      </c>
      <c r="E8225" s="2">
        <v>36</v>
      </c>
      <c r="F8225" s="2" t="s">
        <v>75</v>
      </c>
    </row>
    <row r="8226" spans="1:6" ht="25.5">
      <c r="A8226" s="2">
        <v>8223</v>
      </c>
      <c r="B8226" s="2" t="s">
        <v>8302</v>
      </c>
      <c r="C8226" s="2" t="str">
        <f>"16314670"</f>
        <v>16314670</v>
      </c>
      <c r="D8226" s="2">
        <v>0.10199999999999999</v>
      </c>
      <c r="E8226" s="2">
        <v>0</v>
      </c>
      <c r="F8226" s="2" t="s">
        <v>16</v>
      </c>
    </row>
    <row r="8227" spans="1:6" ht="25.5">
      <c r="A8227" s="2">
        <v>8224</v>
      </c>
      <c r="B8227" s="2" t="s">
        <v>8303</v>
      </c>
      <c r="C8227" s="2" t="str">
        <f>"15256030"</f>
        <v>15256030</v>
      </c>
      <c r="D8227" s="2">
        <v>0.16</v>
      </c>
      <c r="E8227" s="2">
        <v>17</v>
      </c>
      <c r="F8227" s="2" t="s">
        <v>16</v>
      </c>
    </row>
    <row r="8228" spans="1:6" ht="25.5">
      <c r="A8228" s="2">
        <v>8225</v>
      </c>
      <c r="B8228" s="2" t="s">
        <v>8304</v>
      </c>
      <c r="C8228" s="2" t="str">
        <f>"16083180"</f>
        <v>16083180</v>
      </c>
      <c r="D8228" s="2">
        <v>0.32800000000000001</v>
      </c>
      <c r="E8228" s="2">
        <v>15</v>
      </c>
      <c r="F8228" s="2" t="s">
        <v>129</v>
      </c>
    </row>
    <row r="8229" spans="1:6" ht="25.5">
      <c r="A8229" s="2">
        <v>8226</v>
      </c>
      <c r="B8229" s="2" t="s">
        <v>8305</v>
      </c>
      <c r="C8229" s="2" t="str">
        <f>"00204536"</f>
        <v>00204536</v>
      </c>
      <c r="D8229" s="2">
        <v>0.1</v>
      </c>
      <c r="E8229" s="2">
        <v>1</v>
      </c>
      <c r="F8229" s="2" t="s">
        <v>351</v>
      </c>
    </row>
    <row r="8230" spans="1:6" ht="25.5">
      <c r="A8230" s="2">
        <v>8227</v>
      </c>
      <c r="B8230" s="2" t="s">
        <v>8306</v>
      </c>
      <c r="C8230" s="2" t="str">
        <f>"01676687"</f>
        <v>01676687</v>
      </c>
      <c r="D8230" s="2">
        <v>1.0880000000000001</v>
      </c>
      <c r="E8230" s="2">
        <v>41</v>
      </c>
      <c r="F8230" s="2" t="s">
        <v>75</v>
      </c>
    </row>
    <row r="8231" spans="1:6" ht="25.5">
      <c r="A8231" s="2">
        <v>8228</v>
      </c>
      <c r="B8231" s="2" t="s">
        <v>8307</v>
      </c>
      <c r="C8231" s="2" t="str">
        <f>"16979818"</f>
        <v>16979818</v>
      </c>
      <c r="D8231" s="2">
        <v>0.26800000000000002</v>
      </c>
      <c r="E8231" s="2">
        <v>3</v>
      </c>
      <c r="F8231" s="2" t="s">
        <v>351</v>
      </c>
    </row>
    <row r="8232" spans="1:6" ht="25.5">
      <c r="A8232" s="2">
        <v>8229</v>
      </c>
      <c r="B8232" s="2" t="s">
        <v>8308</v>
      </c>
      <c r="C8232" s="2" t="str">
        <f>"14208989"</f>
        <v>14208989</v>
      </c>
      <c r="D8232" s="2">
        <v>1.069</v>
      </c>
      <c r="E8232" s="2">
        <v>27</v>
      </c>
      <c r="F8232" s="2" t="s">
        <v>31</v>
      </c>
    </row>
    <row r="8233" spans="1:6" ht="25.5">
      <c r="A8233" s="2">
        <v>8230</v>
      </c>
      <c r="B8233" s="2" t="s">
        <v>8309</v>
      </c>
      <c r="C8233" s="2" t="str">
        <f>"14768291"</f>
        <v>14768291</v>
      </c>
      <c r="D8233" s="2">
        <v>0.61599999999999999</v>
      </c>
      <c r="E8233" s="2">
        <v>21</v>
      </c>
      <c r="F8233" s="2" t="s">
        <v>16</v>
      </c>
    </row>
    <row r="8234" spans="1:6" ht="25.5">
      <c r="A8234" s="2">
        <v>8231</v>
      </c>
      <c r="B8234" s="2" t="s">
        <v>8310</v>
      </c>
      <c r="C8234" s="2" t="str">
        <f>"11787104"</f>
        <v>11787104</v>
      </c>
      <c r="D8234" s="2">
        <v>0.152</v>
      </c>
      <c r="E8234" s="2">
        <v>3</v>
      </c>
      <c r="F8234" s="2" t="s">
        <v>6</v>
      </c>
    </row>
    <row r="8235" spans="1:6" ht="25.5">
      <c r="A8235" s="2">
        <v>8232</v>
      </c>
      <c r="B8235" s="2" t="s">
        <v>8311</v>
      </c>
      <c r="C8235" s="2" t="str">
        <f>"10692509"</f>
        <v>10692509</v>
      </c>
      <c r="D8235" s="2">
        <v>0.92200000000000004</v>
      </c>
      <c r="E8235" s="2">
        <v>22</v>
      </c>
      <c r="F8235" s="2" t="s">
        <v>75</v>
      </c>
    </row>
    <row r="8236" spans="1:6" ht="25.5">
      <c r="A8236" s="2">
        <v>8233</v>
      </c>
      <c r="B8236" s="2" t="s">
        <v>8312</v>
      </c>
      <c r="C8236" s="2" t="str">
        <f>"15513793"</f>
        <v>15513793</v>
      </c>
      <c r="D8236" s="2">
        <v>1.0109999999999999</v>
      </c>
      <c r="E8236" s="2">
        <v>24</v>
      </c>
      <c r="F8236" s="2" t="s">
        <v>6</v>
      </c>
    </row>
    <row r="8237" spans="1:6" ht="25.5">
      <c r="A8237" s="2">
        <v>8234</v>
      </c>
      <c r="B8237" s="2" t="s">
        <v>8313</v>
      </c>
      <c r="C8237" s="2" t="str">
        <f>"10584587"</f>
        <v>10584587</v>
      </c>
      <c r="D8237" s="2">
        <v>0.26900000000000002</v>
      </c>
      <c r="E8237" s="2">
        <v>31</v>
      </c>
      <c r="F8237" s="2" t="s">
        <v>16</v>
      </c>
    </row>
    <row r="8238" spans="1:6" ht="25.5">
      <c r="A8238" s="2">
        <v>8235</v>
      </c>
      <c r="B8238" s="2" t="s">
        <v>8314</v>
      </c>
      <c r="C8238" s="2" t="str">
        <f>"19329423"</f>
        <v>19329423</v>
      </c>
      <c r="D8238" s="2">
        <v>0.10199999999999999</v>
      </c>
      <c r="E8238" s="2">
        <v>3</v>
      </c>
      <c r="F8238" s="2" t="s">
        <v>6</v>
      </c>
    </row>
    <row r="8239" spans="1:6" ht="25.5">
      <c r="A8239" s="2">
        <v>8236</v>
      </c>
      <c r="B8239" s="2" t="s">
        <v>8315</v>
      </c>
      <c r="C8239" s="2" t="str">
        <f>"01679260"</f>
        <v>01679260</v>
      </c>
      <c r="D8239" s="2">
        <v>0.33100000000000002</v>
      </c>
      <c r="E8239" s="2">
        <v>22</v>
      </c>
      <c r="F8239" s="2" t="s">
        <v>75</v>
      </c>
    </row>
    <row r="8240" spans="1:6" ht="25.5">
      <c r="A8240" s="2">
        <v>8237</v>
      </c>
      <c r="B8240" s="2" t="s">
        <v>8316</v>
      </c>
      <c r="C8240" s="2" t="str">
        <f>"15407063"</f>
        <v>15407063</v>
      </c>
      <c r="D8240" s="2">
        <v>1.2250000000000001</v>
      </c>
      <c r="E8240" s="2">
        <v>71</v>
      </c>
      <c r="F8240" s="2" t="s">
        <v>16</v>
      </c>
    </row>
    <row r="8241" spans="1:6" ht="25.5">
      <c r="A8241" s="2">
        <v>8238</v>
      </c>
      <c r="B8241" s="2" t="s">
        <v>8317</v>
      </c>
      <c r="C8241" s="2" t="str">
        <f>"17579708"</f>
        <v>17579708</v>
      </c>
      <c r="D8241" s="2">
        <v>1.4139999999999999</v>
      </c>
      <c r="E8241" s="2">
        <v>21</v>
      </c>
      <c r="F8241" s="2" t="s">
        <v>16</v>
      </c>
    </row>
    <row r="8242" spans="1:6" ht="25.5">
      <c r="A8242" s="2">
        <v>8239</v>
      </c>
      <c r="B8242" s="2" t="s">
        <v>8318</v>
      </c>
      <c r="C8242" s="2" t="str">
        <f>"1552695X"</f>
        <v>1552695X</v>
      </c>
      <c r="D8242" s="2">
        <v>0.58399999999999996</v>
      </c>
      <c r="E8242" s="2">
        <v>35</v>
      </c>
      <c r="F8242" s="2" t="s">
        <v>6</v>
      </c>
    </row>
    <row r="8243" spans="1:6" ht="25.5">
      <c r="A8243" s="2">
        <v>8240</v>
      </c>
      <c r="B8243" s="2" t="s">
        <v>8319</v>
      </c>
      <c r="C8243" s="2" t="str">
        <f>"11773936"</f>
        <v>11773936</v>
      </c>
      <c r="D8243" s="2">
        <v>0.107</v>
      </c>
      <c r="E8243" s="2">
        <v>3</v>
      </c>
      <c r="F8243" s="2" t="s">
        <v>503</v>
      </c>
    </row>
    <row r="8244" spans="1:6" ht="25.5">
      <c r="A8244" s="2">
        <v>8241</v>
      </c>
      <c r="B8244" s="2" t="s">
        <v>8320</v>
      </c>
      <c r="C8244" s="2" t="str">
        <f>"19324502"</f>
        <v>19324502</v>
      </c>
      <c r="D8244" s="2">
        <v>0.47199999999999998</v>
      </c>
      <c r="E8244" s="2">
        <v>9</v>
      </c>
      <c r="F8244" s="2" t="s">
        <v>6</v>
      </c>
    </row>
    <row r="8245" spans="1:6" ht="25.5">
      <c r="A8245" s="2">
        <v>8242</v>
      </c>
      <c r="B8245" s="2" t="s">
        <v>8321</v>
      </c>
      <c r="C8245" s="2" t="str">
        <f>"17494877"</f>
        <v>17494877</v>
      </c>
      <c r="D8245" s="2">
        <v>0.61599999999999999</v>
      </c>
      <c r="E8245" s="2">
        <v>8</v>
      </c>
      <c r="F8245" s="2" t="s">
        <v>16</v>
      </c>
    </row>
    <row r="8246" spans="1:6" ht="25.5">
      <c r="A8246" s="2">
        <v>8243</v>
      </c>
      <c r="B8246" s="2" t="s">
        <v>8322</v>
      </c>
      <c r="C8246" s="2" t="str">
        <f>"02750473"</f>
        <v>02750473</v>
      </c>
      <c r="D8246" s="2">
        <v>0.1</v>
      </c>
      <c r="E8246" s="2">
        <v>16</v>
      </c>
      <c r="F8246" s="2" t="s">
        <v>6</v>
      </c>
    </row>
    <row r="8247" spans="1:6" ht="25.5">
      <c r="A8247" s="2">
        <v>8244</v>
      </c>
      <c r="B8247" s="2" t="s">
        <v>8323</v>
      </c>
      <c r="C8247" s="2" t="str">
        <f>"11373601"</f>
        <v>11373601</v>
      </c>
      <c r="D8247" s="2">
        <v>0.14099999999999999</v>
      </c>
      <c r="E8247" s="2">
        <v>6</v>
      </c>
      <c r="F8247" s="2" t="s">
        <v>351</v>
      </c>
    </row>
    <row r="8248" spans="1:6" ht="25.5">
      <c r="A8248" s="2">
        <v>8245</v>
      </c>
      <c r="B8248" s="2" t="s">
        <v>8324</v>
      </c>
      <c r="C8248" s="2" t="str">
        <f>"19349556"</f>
        <v>19349556</v>
      </c>
      <c r="D8248" s="2">
        <v>0.46400000000000002</v>
      </c>
      <c r="E8248" s="2">
        <v>38</v>
      </c>
      <c r="F8248" s="2" t="s">
        <v>6</v>
      </c>
    </row>
    <row r="8249" spans="1:6" ht="25.5">
      <c r="A8249" s="2">
        <v>8246</v>
      </c>
      <c r="B8249" s="2" t="s">
        <v>8325</v>
      </c>
      <c r="C8249" s="2" t="str">
        <f>"01284878"</f>
        <v>01284878</v>
      </c>
      <c r="D8249" s="2">
        <v>0.112</v>
      </c>
      <c r="E8249" s="2">
        <v>1</v>
      </c>
      <c r="F8249" s="2" t="s">
        <v>37</v>
      </c>
    </row>
    <row r="8250" spans="1:6" ht="25.5">
      <c r="A8250" s="2">
        <v>8247</v>
      </c>
      <c r="B8250" s="2" t="s">
        <v>8326</v>
      </c>
      <c r="C8250" s="2" t="str">
        <f>"17496985"</f>
        <v>17496985</v>
      </c>
      <c r="D8250" s="2">
        <v>0.154</v>
      </c>
      <c r="E8250" s="2">
        <v>2</v>
      </c>
      <c r="F8250" s="2" t="s">
        <v>16</v>
      </c>
    </row>
    <row r="8251" spans="1:6" ht="25.5">
      <c r="A8251" s="2">
        <v>8248</v>
      </c>
      <c r="B8251" s="2" t="s">
        <v>8327</v>
      </c>
      <c r="C8251" s="2" t="str">
        <f>"01602896"</f>
        <v>01602896</v>
      </c>
      <c r="D8251" s="2">
        <v>2.0230000000000001</v>
      </c>
      <c r="E8251" s="2">
        <v>49</v>
      </c>
      <c r="F8251" s="2" t="s">
        <v>16</v>
      </c>
    </row>
    <row r="8252" spans="1:6" ht="25.5">
      <c r="A8252" s="2">
        <v>8249</v>
      </c>
      <c r="B8252" s="2" t="s">
        <v>8328</v>
      </c>
      <c r="C8252" s="2" t="str">
        <f>"02684527"</f>
        <v>02684527</v>
      </c>
      <c r="D8252" s="2">
        <v>0.23499999999999999</v>
      </c>
      <c r="E8252" s="2">
        <v>2</v>
      </c>
      <c r="F8252" s="2" t="s">
        <v>16</v>
      </c>
    </row>
    <row r="8253" spans="1:6" ht="25.5">
      <c r="A8253" s="2">
        <v>8250</v>
      </c>
      <c r="B8253" s="2" t="s">
        <v>8329</v>
      </c>
      <c r="C8253" s="2" t="str">
        <f>"10798587"</f>
        <v>10798587</v>
      </c>
      <c r="D8253" s="2">
        <v>0.17599999999999999</v>
      </c>
      <c r="E8253" s="2">
        <v>12</v>
      </c>
      <c r="F8253" s="2" t="s">
        <v>6</v>
      </c>
    </row>
    <row r="8254" spans="1:6" ht="25.5">
      <c r="A8254" s="2">
        <v>8251</v>
      </c>
      <c r="B8254" s="2" t="s">
        <v>8330</v>
      </c>
      <c r="C8254" s="2" t="str">
        <f>"1088467X"</f>
        <v>1088467X</v>
      </c>
      <c r="D8254" s="2">
        <v>0.67200000000000004</v>
      </c>
      <c r="E8254" s="2">
        <v>11</v>
      </c>
      <c r="F8254" s="2" t="s">
        <v>75</v>
      </c>
    </row>
    <row r="8255" spans="1:6" ht="25.5">
      <c r="A8255" s="2">
        <v>8252</v>
      </c>
      <c r="B8255" s="2" t="s">
        <v>8331</v>
      </c>
      <c r="C8255" s="2" t="str">
        <f>"18612776"</f>
        <v>18612776</v>
      </c>
      <c r="D8255" s="2">
        <v>0.71199999999999997</v>
      </c>
      <c r="E8255" s="2">
        <v>9</v>
      </c>
      <c r="F8255" s="2" t="s">
        <v>12</v>
      </c>
    </row>
    <row r="8256" spans="1:6" ht="25.5">
      <c r="A8256" s="2">
        <v>8253</v>
      </c>
      <c r="B8256" s="2" t="s">
        <v>8332</v>
      </c>
      <c r="C8256" s="2" t="str">
        <f>"09643397"</f>
        <v>09643397</v>
      </c>
      <c r="D8256" s="2">
        <v>0.52700000000000002</v>
      </c>
      <c r="E8256" s="2">
        <v>29</v>
      </c>
      <c r="F8256" s="2" t="s">
        <v>6</v>
      </c>
    </row>
    <row r="8257" spans="1:6" ht="25.5">
      <c r="A8257" s="2">
        <v>8254</v>
      </c>
      <c r="B8257" s="2" t="s">
        <v>8333</v>
      </c>
      <c r="C8257" s="2" t="str">
        <f>"14321238"</f>
        <v>14321238</v>
      </c>
      <c r="D8257" s="2">
        <v>2.4649999999999999</v>
      </c>
      <c r="E8257" s="2">
        <v>120</v>
      </c>
      <c r="F8257" s="2" t="s">
        <v>12</v>
      </c>
    </row>
    <row r="8258" spans="1:6" ht="25.5">
      <c r="A8258" s="2">
        <v>8255</v>
      </c>
      <c r="B8258" s="2" t="s">
        <v>8334</v>
      </c>
      <c r="C8258" s="2" t="str">
        <f>"01753851"</f>
        <v>01753851</v>
      </c>
      <c r="D8258" s="2">
        <v>0.12</v>
      </c>
      <c r="E8258" s="2">
        <v>11</v>
      </c>
      <c r="F8258" s="2" t="s">
        <v>12</v>
      </c>
    </row>
    <row r="8259" spans="1:6" ht="25.5">
      <c r="A8259" s="2">
        <v>8256</v>
      </c>
      <c r="B8259" s="2" t="s">
        <v>8335</v>
      </c>
      <c r="C8259" s="2" t="str">
        <f>"09475362"</f>
        <v>09475362</v>
      </c>
      <c r="D8259" s="2">
        <v>0.114</v>
      </c>
      <c r="E8259" s="2">
        <v>4</v>
      </c>
      <c r="F8259" s="2" t="s">
        <v>12</v>
      </c>
    </row>
    <row r="8260" spans="1:6" ht="25.5">
      <c r="A8260" s="2">
        <v>8257</v>
      </c>
      <c r="B8260" s="2" t="s">
        <v>8336</v>
      </c>
      <c r="C8260" s="2" t="str">
        <f>"09535438"</f>
        <v>09535438</v>
      </c>
      <c r="D8260" s="2">
        <v>1.0620000000000001</v>
      </c>
      <c r="E8260" s="2">
        <v>41</v>
      </c>
      <c r="F8260" s="2" t="s">
        <v>75</v>
      </c>
    </row>
    <row r="8261" spans="1:6" ht="25.5">
      <c r="A8261" s="2">
        <v>8258</v>
      </c>
      <c r="B8261" s="2" t="s">
        <v>8337</v>
      </c>
      <c r="C8261" s="2" t="str">
        <f>"18606253"</f>
        <v>18606253</v>
      </c>
      <c r="D8261" s="2">
        <v>0.10100000000000001</v>
      </c>
      <c r="E8261" s="2">
        <v>0</v>
      </c>
      <c r="F8261" s="2" t="s">
        <v>12</v>
      </c>
    </row>
    <row r="8262" spans="1:6" ht="25.5">
      <c r="A8262" s="2">
        <v>8259</v>
      </c>
      <c r="B8262" s="2" t="s">
        <v>8338</v>
      </c>
      <c r="C8262" s="2" t="str">
        <f>"15720381"</f>
        <v>15720381</v>
      </c>
      <c r="D8262" s="2">
        <v>0.54</v>
      </c>
      <c r="E8262" s="2">
        <v>12</v>
      </c>
      <c r="F8262" s="2" t="s">
        <v>75</v>
      </c>
    </row>
    <row r="8263" spans="1:6" ht="25.5">
      <c r="A8263" s="2">
        <v>8260</v>
      </c>
      <c r="B8263" s="2" t="s">
        <v>8339</v>
      </c>
      <c r="C8263" s="2" t="str">
        <f>"15699293"</f>
        <v>15699293</v>
      </c>
      <c r="D8263" s="2">
        <v>0.55900000000000005</v>
      </c>
      <c r="E8263" s="2">
        <v>22</v>
      </c>
      <c r="F8263" s="2" t="s">
        <v>16</v>
      </c>
    </row>
    <row r="8264" spans="1:6" ht="25.5">
      <c r="A8264" s="2">
        <v>8261</v>
      </c>
      <c r="B8264" s="2" t="s">
        <v>8340</v>
      </c>
      <c r="C8264" s="2" t="str">
        <f>"10494820"</f>
        <v>10494820</v>
      </c>
      <c r="D8264" s="2">
        <v>1.387</v>
      </c>
      <c r="E8264" s="2">
        <v>16</v>
      </c>
      <c r="F8264" s="2" t="s">
        <v>16</v>
      </c>
    </row>
    <row r="8265" spans="1:6" ht="25.5">
      <c r="A8265" s="2">
        <v>8262</v>
      </c>
      <c r="B8265" s="2" t="s">
        <v>8341</v>
      </c>
      <c r="C8265" s="2" t="str">
        <f>"14698447"</f>
        <v>14698447</v>
      </c>
      <c r="D8265" s="2">
        <v>0.16400000000000001</v>
      </c>
      <c r="E8265" s="2">
        <v>7</v>
      </c>
      <c r="F8265" s="2" t="s">
        <v>16</v>
      </c>
    </row>
    <row r="8266" spans="1:6" ht="25.5">
      <c r="A8266" s="2">
        <v>8263</v>
      </c>
      <c r="B8266" s="2" t="s">
        <v>8342</v>
      </c>
      <c r="C8266" s="2" t="str">
        <f>"02423960"</f>
        <v>02423960</v>
      </c>
      <c r="D8266" s="2">
        <v>0.1</v>
      </c>
      <c r="E8266" s="2">
        <v>1</v>
      </c>
      <c r="F8266" s="2" t="s">
        <v>190</v>
      </c>
    </row>
    <row r="8267" spans="1:6" ht="25.5">
      <c r="A8267" s="2">
        <v>8264</v>
      </c>
      <c r="B8267" s="2" t="s">
        <v>8343</v>
      </c>
      <c r="C8267" s="2" t="str">
        <f>"00205214"</f>
        <v>00205214</v>
      </c>
      <c r="D8267" s="2">
        <v>0.13</v>
      </c>
      <c r="E8267" s="2">
        <v>11</v>
      </c>
      <c r="F8267" s="2" t="s">
        <v>12</v>
      </c>
    </row>
    <row r="8268" spans="1:6" ht="25.5">
      <c r="A8268" s="2">
        <v>8265</v>
      </c>
      <c r="B8268" s="2" t="s">
        <v>8344</v>
      </c>
      <c r="C8268" s="2" t="str">
        <f>"08264805"</f>
        <v>08264805</v>
      </c>
      <c r="D8268" s="2">
        <v>0.129</v>
      </c>
      <c r="E8268" s="2">
        <v>8</v>
      </c>
      <c r="F8268" s="2" t="s">
        <v>75</v>
      </c>
    </row>
    <row r="8269" spans="1:6" ht="25.5">
      <c r="A8269" s="2">
        <v>8266</v>
      </c>
      <c r="B8269" s="2" t="s">
        <v>8345</v>
      </c>
      <c r="C8269" s="2" t="str">
        <f>"03781844"</f>
        <v>03781844</v>
      </c>
      <c r="D8269" s="2">
        <v>0.17100000000000001</v>
      </c>
      <c r="E8269" s="2">
        <v>19</v>
      </c>
      <c r="F8269" s="2" t="s">
        <v>40</v>
      </c>
    </row>
    <row r="8270" spans="1:6" ht="25.5">
      <c r="A8270" s="2">
        <v>8267</v>
      </c>
      <c r="B8270" s="2" t="s">
        <v>8346</v>
      </c>
      <c r="C8270" s="2" t="str">
        <f>"14698439"</f>
        <v>14698439</v>
      </c>
      <c r="D8270" s="2">
        <v>0.156</v>
      </c>
      <c r="E8270" s="2">
        <v>3</v>
      </c>
      <c r="F8270" s="2" t="s">
        <v>16</v>
      </c>
    </row>
    <row r="8271" spans="1:6" ht="25.5">
      <c r="A8271" s="2">
        <v>8268</v>
      </c>
      <c r="B8271" s="2" t="s">
        <v>8347</v>
      </c>
      <c r="C8271" s="2" t="str">
        <f>"1613365X"</f>
        <v>1613365X</v>
      </c>
      <c r="D8271" s="2">
        <v>0.85299999999999998</v>
      </c>
      <c r="E8271" s="2">
        <v>13</v>
      </c>
      <c r="F8271" s="2" t="s">
        <v>12</v>
      </c>
    </row>
    <row r="8272" spans="1:6" ht="25.5">
      <c r="A8272" s="2">
        <v>8269</v>
      </c>
      <c r="B8272" s="2" t="s">
        <v>8348</v>
      </c>
      <c r="C8272" s="2" t="str">
        <f>"03258203"</f>
        <v>03258203</v>
      </c>
      <c r="D8272" s="2">
        <v>0.13200000000000001</v>
      </c>
      <c r="E8272" s="2">
        <v>2</v>
      </c>
      <c r="F8272" s="2" t="s">
        <v>192</v>
      </c>
    </row>
    <row r="8273" spans="1:6" ht="25.5">
      <c r="A8273" s="2">
        <v>8270</v>
      </c>
      <c r="B8273" s="2" t="s">
        <v>8349</v>
      </c>
      <c r="C8273" s="2" t="str">
        <f>"16877098"</f>
        <v>16877098</v>
      </c>
      <c r="D8273" s="2">
        <v>0.52700000000000002</v>
      </c>
      <c r="E8273" s="2">
        <v>8</v>
      </c>
      <c r="F8273" s="2" t="s">
        <v>523</v>
      </c>
    </row>
    <row r="8274" spans="1:6" ht="25.5">
      <c r="A8274" s="2">
        <v>8271</v>
      </c>
      <c r="B8274" s="2" t="s">
        <v>8350</v>
      </c>
      <c r="C8274" s="2" t="str">
        <f>"03080188"</f>
        <v>03080188</v>
      </c>
      <c r="D8274" s="2">
        <v>0.14499999999999999</v>
      </c>
      <c r="E8274" s="2">
        <v>12</v>
      </c>
      <c r="F8274" s="2" t="s">
        <v>16</v>
      </c>
    </row>
    <row r="8275" spans="1:6" ht="25.5">
      <c r="A8275" s="2">
        <v>8272</v>
      </c>
      <c r="B8275" s="2" t="s">
        <v>8351</v>
      </c>
      <c r="C8275" s="2" t="str">
        <f>"19132751"</f>
        <v>19132751</v>
      </c>
      <c r="D8275" s="2">
        <v>0.247</v>
      </c>
      <c r="E8275" s="2">
        <v>6</v>
      </c>
      <c r="F8275" s="2" t="s">
        <v>12</v>
      </c>
    </row>
    <row r="8276" spans="1:6" ht="25.5">
      <c r="A8276" s="2">
        <v>8273</v>
      </c>
      <c r="B8276" s="2" t="s">
        <v>8352</v>
      </c>
      <c r="C8276" s="2" t="str">
        <f>"00205346"</f>
        <v>00205346</v>
      </c>
      <c r="D8276" s="2">
        <v>0.20399999999999999</v>
      </c>
      <c r="E8276" s="2">
        <v>8</v>
      </c>
      <c r="F8276" s="2" t="s">
        <v>12</v>
      </c>
    </row>
    <row r="8277" spans="1:6" ht="25.5">
      <c r="A8277" s="2">
        <v>8274</v>
      </c>
      <c r="B8277" s="2" t="s">
        <v>8353</v>
      </c>
      <c r="C8277" s="2" t="str">
        <f>"14143283"</f>
        <v>14143283</v>
      </c>
      <c r="D8277" s="2">
        <v>0.40400000000000003</v>
      </c>
      <c r="E8277" s="2">
        <v>7</v>
      </c>
      <c r="F8277" s="2" t="s">
        <v>159</v>
      </c>
    </row>
    <row r="8278" spans="1:6" ht="25.5">
      <c r="A8278" s="2">
        <v>8275</v>
      </c>
      <c r="B8278" s="2" t="s">
        <v>8354</v>
      </c>
      <c r="C8278" s="2" t="str">
        <f>"20428898"</f>
        <v>20428898</v>
      </c>
      <c r="D8278" s="2">
        <v>0.52900000000000003</v>
      </c>
      <c r="E8278" s="2">
        <v>7</v>
      </c>
      <c r="F8278" s="2" t="s">
        <v>16</v>
      </c>
    </row>
    <row r="8279" spans="1:6" ht="25.5">
      <c r="A8279" s="2">
        <v>8276</v>
      </c>
      <c r="B8279" s="2" t="s">
        <v>8355</v>
      </c>
      <c r="C8279" s="2" t="str">
        <f>"1526551X"</f>
        <v>1526551X</v>
      </c>
      <c r="D8279" s="2">
        <v>1.1870000000000001</v>
      </c>
      <c r="E8279" s="2">
        <v>35</v>
      </c>
      <c r="F8279" s="2" t="s">
        <v>6</v>
      </c>
    </row>
    <row r="8280" spans="1:6" ht="25.5">
      <c r="A8280" s="2">
        <v>8277</v>
      </c>
      <c r="B8280" s="2" t="s">
        <v>8356</v>
      </c>
      <c r="C8280" s="2" t="str">
        <f>"14639971"</f>
        <v>14639971</v>
      </c>
      <c r="D8280" s="2">
        <v>1.2110000000000001</v>
      </c>
      <c r="E8280" s="2">
        <v>15</v>
      </c>
      <c r="F8280" s="2" t="s">
        <v>31</v>
      </c>
    </row>
    <row r="8281" spans="1:6" ht="25.5">
      <c r="A8281" s="2">
        <v>8278</v>
      </c>
      <c r="B8281" s="2" t="s">
        <v>8357</v>
      </c>
      <c r="C8281" s="2" t="str">
        <f>"15734285"</f>
        <v>15734285</v>
      </c>
      <c r="D8281" s="2">
        <v>0.10299999999999999</v>
      </c>
      <c r="E8281" s="2">
        <v>4</v>
      </c>
      <c r="F8281" s="2" t="s">
        <v>75</v>
      </c>
    </row>
    <row r="8282" spans="1:6" ht="25.5">
      <c r="A8282" s="2">
        <v>8279</v>
      </c>
      <c r="B8282" s="2" t="s">
        <v>8358</v>
      </c>
      <c r="C8282" s="2" t="str">
        <f>"02641615"</f>
        <v>02641615</v>
      </c>
      <c r="D8282" s="2">
        <v>0.41099999999999998</v>
      </c>
      <c r="E8282" s="2">
        <v>9</v>
      </c>
      <c r="F8282" s="2" t="s">
        <v>16</v>
      </c>
    </row>
    <row r="8283" spans="1:6" ht="25.5">
      <c r="A8283" s="2">
        <v>8280</v>
      </c>
      <c r="B8283" s="2" t="s">
        <v>8359</v>
      </c>
      <c r="C8283" s="2" t="str">
        <f>"09669795"</f>
        <v>09669795</v>
      </c>
      <c r="D8283" s="2">
        <v>1.194</v>
      </c>
      <c r="E8283" s="2">
        <v>65</v>
      </c>
      <c r="F8283" s="2" t="s">
        <v>16</v>
      </c>
    </row>
    <row r="8284" spans="1:6" ht="25.5">
      <c r="A8284" s="2">
        <v>8281</v>
      </c>
      <c r="B8284" s="2" t="s">
        <v>8360</v>
      </c>
      <c r="C8284" s="2" t="str">
        <f>"18280447"</f>
        <v>18280447</v>
      </c>
      <c r="D8284" s="2">
        <v>0.56100000000000005</v>
      </c>
      <c r="E8284" s="2">
        <v>18</v>
      </c>
      <c r="F8284" s="2" t="s">
        <v>190</v>
      </c>
    </row>
    <row r="8285" spans="1:6" ht="25.5">
      <c r="A8285" s="2">
        <v>8282</v>
      </c>
      <c r="B8285" s="2" t="s">
        <v>8361</v>
      </c>
      <c r="C8285" s="2" t="str">
        <f>"09182918"</f>
        <v>09182918</v>
      </c>
      <c r="D8285" s="2">
        <v>0.34</v>
      </c>
      <c r="E8285" s="2">
        <v>44</v>
      </c>
      <c r="F8285" s="2" t="s">
        <v>131</v>
      </c>
    </row>
    <row r="8286" spans="1:6" ht="25.5">
      <c r="A8286" s="2">
        <v>8283</v>
      </c>
      <c r="B8286" s="2" t="s">
        <v>8362</v>
      </c>
      <c r="C8286" s="2" t="str">
        <f>"14455994"</f>
        <v>14455994</v>
      </c>
      <c r="D8286" s="2">
        <v>0.48499999999999999</v>
      </c>
      <c r="E8286" s="2">
        <v>42</v>
      </c>
      <c r="F8286" s="2" t="s">
        <v>16</v>
      </c>
    </row>
    <row r="8287" spans="1:6" ht="25.5">
      <c r="A8287" s="2">
        <v>8284</v>
      </c>
      <c r="B8287" s="2" t="s">
        <v>8363</v>
      </c>
      <c r="C8287" s="2" t="str">
        <f>"0020577X"</f>
        <v>0020577X</v>
      </c>
      <c r="D8287" s="2">
        <v>0.128</v>
      </c>
      <c r="E8287" s="2">
        <v>4</v>
      </c>
      <c r="F8287" s="2" t="s">
        <v>2637</v>
      </c>
    </row>
    <row r="8288" spans="1:6" ht="25.5">
      <c r="A8288" s="2">
        <v>8285</v>
      </c>
      <c r="B8288" s="2" t="s">
        <v>8364</v>
      </c>
      <c r="C8288" s="2" t="str">
        <f>"10830898"</f>
        <v>10830898</v>
      </c>
      <c r="D8288" s="2">
        <v>0.11899999999999999</v>
      </c>
      <c r="E8288" s="2">
        <v>10</v>
      </c>
      <c r="F8288" s="2" t="s">
        <v>75</v>
      </c>
    </row>
    <row r="8289" spans="1:6" ht="25.5">
      <c r="A8289" s="2">
        <v>8286</v>
      </c>
      <c r="B8289" s="2" t="s">
        <v>8365</v>
      </c>
      <c r="C8289" s="2" t="str">
        <f>"14682346"</f>
        <v>14682346</v>
      </c>
      <c r="D8289" s="2">
        <v>1.0620000000000001</v>
      </c>
      <c r="E8289" s="2">
        <v>30</v>
      </c>
      <c r="F8289" s="2" t="s">
        <v>16</v>
      </c>
    </row>
    <row r="8290" spans="1:6" ht="25.5">
      <c r="A8290" s="2">
        <v>8287</v>
      </c>
      <c r="B8290" s="2" t="s">
        <v>8366</v>
      </c>
      <c r="C8290" s="2" t="str">
        <f>"08582114"</f>
        <v>08582114</v>
      </c>
      <c r="D8290" s="2">
        <v>0.14799999999999999</v>
      </c>
      <c r="E8290" s="2">
        <v>8</v>
      </c>
      <c r="F8290" s="2" t="s">
        <v>1966</v>
      </c>
    </row>
    <row r="8291" spans="1:6" ht="25.5">
      <c r="A8291" s="2">
        <v>8288</v>
      </c>
      <c r="B8291" s="2" t="s">
        <v>8367</v>
      </c>
      <c r="C8291" s="2" t="str">
        <f>"02368722"</f>
        <v>02368722</v>
      </c>
      <c r="D8291" s="2">
        <v>0.41899999999999998</v>
      </c>
      <c r="E8291" s="2">
        <v>14</v>
      </c>
      <c r="F8291" s="2" t="s">
        <v>169</v>
      </c>
    </row>
    <row r="8292" spans="1:6" ht="25.5">
      <c r="A8292" s="2">
        <v>8289</v>
      </c>
      <c r="B8292" s="2" t="s">
        <v>8368</v>
      </c>
      <c r="C8292" s="2" t="str">
        <f>"00205893"</f>
        <v>00205893</v>
      </c>
      <c r="D8292" s="2">
        <v>0.748</v>
      </c>
      <c r="E8292" s="2">
        <v>10</v>
      </c>
      <c r="F8292" s="2" t="s">
        <v>16</v>
      </c>
    </row>
    <row r="8293" spans="1:6" ht="25.5">
      <c r="A8293" s="2">
        <v>8290</v>
      </c>
      <c r="B8293" s="2" t="s">
        <v>8369</v>
      </c>
      <c r="C8293" s="2" t="str">
        <f>"15371913"</f>
        <v>15371913</v>
      </c>
      <c r="D8293" s="2">
        <v>0.30599999999999999</v>
      </c>
      <c r="E8293" s="2">
        <v>20</v>
      </c>
      <c r="F8293" s="2" t="s">
        <v>6</v>
      </c>
    </row>
    <row r="8294" spans="1:6" ht="25.5">
      <c r="A8294" s="2">
        <v>8291</v>
      </c>
      <c r="B8294" s="2" t="s">
        <v>8370</v>
      </c>
      <c r="C8294" s="2" t="str">
        <f>"03929590"</f>
        <v>03929590</v>
      </c>
      <c r="D8294" s="2">
        <v>0.41699999999999998</v>
      </c>
      <c r="E8294" s="2">
        <v>36</v>
      </c>
      <c r="F8294" s="2" t="s">
        <v>190</v>
      </c>
    </row>
    <row r="8295" spans="1:6" ht="25.5">
      <c r="A8295" s="2">
        <v>8292</v>
      </c>
      <c r="B8295" s="2" t="s">
        <v>8371</v>
      </c>
      <c r="C8295" s="2" t="str">
        <f>"15738582"</f>
        <v>15738582</v>
      </c>
      <c r="D8295" s="2">
        <v>0.22</v>
      </c>
      <c r="E8295" s="2">
        <v>30</v>
      </c>
      <c r="F8295" s="2" t="s">
        <v>6</v>
      </c>
    </row>
    <row r="8296" spans="1:6" ht="25.5">
      <c r="A8296" s="2">
        <v>8293</v>
      </c>
      <c r="B8296" s="2" t="s">
        <v>8372</v>
      </c>
      <c r="C8296" s="2" t="str">
        <f>"16833198"</f>
        <v>16833198</v>
      </c>
      <c r="D8296" s="2">
        <v>0.29099999999999998</v>
      </c>
      <c r="E8296" s="2">
        <v>6</v>
      </c>
      <c r="F8296" s="2" t="s">
        <v>557</v>
      </c>
    </row>
    <row r="8297" spans="1:6" ht="25.5">
      <c r="A8297" s="2">
        <v>8294</v>
      </c>
      <c r="B8297" s="2" t="s">
        <v>8373</v>
      </c>
      <c r="C8297" s="2" t="str">
        <f>"14230097"</f>
        <v>14230097</v>
      </c>
      <c r="D8297" s="2">
        <v>0.71299999999999997</v>
      </c>
      <c r="E8297" s="2">
        <v>75</v>
      </c>
      <c r="F8297" s="2" t="s">
        <v>31</v>
      </c>
    </row>
    <row r="8298" spans="1:6" ht="25.5">
      <c r="A8298" s="2">
        <v>8295</v>
      </c>
      <c r="B8298" s="2" t="s">
        <v>8374</v>
      </c>
      <c r="C8298" s="2" t="str">
        <f>"17557682"</f>
        <v>17557682</v>
      </c>
      <c r="D8298" s="2">
        <v>0.441</v>
      </c>
      <c r="E8298" s="2">
        <v>9</v>
      </c>
      <c r="F8298" s="2" t="s">
        <v>16</v>
      </c>
    </row>
    <row r="8299" spans="1:6" ht="25.5">
      <c r="A8299" s="2">
        <v>8296</v>
      </c>
      <c r="B8299" s="2" t="s">
        <v>8375</v>
      </c>
      <c r="C8299" s="2" t="str">
        <f>"14321246"</f>
        <v>14321246</v>
      </c>
      <c r="D8299" s="2">
        <v>0.73299999999999998</v>
      </c>
      <c r="E8299" s="2">
        <v>57</v>
      </c>
      <c r="F8299" s="2" t="s">
        <v>12</v>
      </c>
    </row>
    <row r="8300" spans="1:6" ht="25.5">
      <c r="A8300" s="2">
        <v>8297</v>
      </c>
      <c r="B8300" s="2" t="s">
        <v>8376</v>
      </c>
      <c r="C8300" s="2" t="str">
        <f>"18099777"</f>
        <v>18099777</v>
      </c>
      <c r="D8300" s="2">
        <v>0.115</v>
      </c>
      <c r="E8300" s="2">
        <v>1</v>
      </c>
      <c r="F8300" s="2" t="s">
        <v>159</v>
      </c>
    </row>
    <row r="8301" spans="1:6" ht="25.5">
      <c r="A8301" s="2">
        <v>8298</v>
      </c>
      <c r="B8301" s="2" t="s">
        <v>8377</v>
      </c>
      <c r="C8301" s="2" t="str">
        <f>"09648305"</f>
        <v>09648305</v>
      </c>
      <c r="D8301" s="2">
        <v>0.873</v>
      </c>
      <c r="E8301" s="2">
        <v>51</v>
      </c>
      <c r="F8301" s="2" t="s">
        <v>16</v>
      </c>
    </row>
    <row r="8302" spans="1:6" ht="25.5">
      <c r="A8302" s="2">
        <v>8299</v>
      </c>
      <c r="B8302" s="2" t="s">
        <v>8378</v>
      </c>
      <c r="C8302" s="2" t="str">
        <f>"16776119"</f>
        <v>16776119</v>
      </c>
      <c r="D8302" s="2">
        <v>0.40799999999999997</v>
      </c>
      <c r="E8302" s="2">
        <v>18</v>
      </c>
      <c r="F8302" s="2" t="s">
        <v>159</v>
      </c>
    </row>
    <row r="8303" spans="1:6" ht="25.5">
      <c r="A8303" s="2">
        <v>8300</v>
      </c>
      <c r="B8303" s="2" t="s">
        <v>8379</v>
      </c>
      <c r="C8303" s="2" t="str">
        <f>"17464358"</f>
        <v>17464358</v>
      </c>
      <c r="D8303" s="2">
        <v>0.46700000000000003</v>
      </c>
      <c r="E8303" s="2">
        <v>13</v>
      </c>
      <c r="F8303" s="2" t="s">
        <v>16</v>
      </c>
    </row>
    <row r="8304" spans="1:6" ht="25.5">
      <c r="A8304" s="2">
        <v>8301</v>
      </c>
      <c r="B8304" s="2" t="s">
        <v>8380</v>
      </c>
      <c r="C8304" s="2" t="str">
        <f>"02726122"</f>
        <v>02726122</v>
      </c>
      <c r="D8304" s="2">
        <v>0.29699999999999999</v>
      </c>
      <c r="E8304" s="2">
        <v>2</v>
      </c>
      <c r="F8304" s="2" t="s">
        <v>6</v>
      </c>
    </row>
    <row r="8305" spans="1:6" ht="25.5">
      <c r="A8305" s="2">
        <v>8302</v>
      </c>
      <c r="B8305" s="2" t="s">
        <v>8381</v>
      </c>
      <c r="C8305" s="2" t="str">
        <f>"19935250"</f>
        <v>19935250</v>
      </c>
      <c r="D8305" s="2">
        <v>0.40500000000000003</v>
      </c>
      <c r="E8305" s="2">
        <v>5</v>
      </c>
      <c r="F8305" s="2" t="s">
        <v>43</v>
      </c>
    </row>
    <row r="8306" spans="1:6" ht="25.5">
      <c r="A8306" s="2">
        <v>8303</v>
      </c>
      <c r="B8306" s="2" t="s">
        <v>8382</v>
      </c>
      <c r="C8306" s="2" t="str">
        <f>"09695931"</f>
        <v>09695931</v>
      </c>
      <c r="D8306" s="2">
        <v>0.97099999999999997</v>
      </c>
      <c r="E8306" s="2">
        <v>41</v>
      </c>
      <c r="F8306" s="2" t="s">
        <v>16</v>
      </c>
    </row>
    <row r="8307" spans="1:6" ht="25.5">
      <c r="A8307" s="2">
        <v>8304</v>
      </c>
      <c r="B8307" s="2" t="s">
        <v>8383</v>
      </c>
      <c r="C8307" s="2" t="str">
        <f>"22519149"</f>
        <v>22519149</v>
      </c>
      <c r="D8307" s="2">
        <v>0.106</v>
      </c>
      <c r="E8307" s="2">
        <v>0</v>
      </c>
      <c r="F8307" s="2" t="s">
        <v>299</v>
      </c>
    </row>
    <row r="8308" spans="1:6" ht="25.5">
      <c r="A8308" s="2">
        <v>8305</v>
      </c>
      <c r="B8308" s="2" t="s">
        <v>8384</v>
      </c>
      <c r="C8308" s="2" t="str">
        <f>"02681315"</f>
        <v>02681315</v>
      </c>
      <c r="D8308" s="2">
        <v>1.028</v>
      </c>
      <c r="E8308" s="2">
        <v>69</v>
      </c>
      <c r="F8308" s="2" t="s">
        <v>6</v>
      </c>
    </row>
    <row r="8309" spans="1:6" ht="25.5">
      <c r="A8309" s="2">
        <v>8306</v>
      </c>
      <c r="B8309" s="2" t="s">
        <v>8385</v>
      </c>
      <c r="C8309" s="2" t="str">
        <f>"15544567"</f>
        <v>15544567</v>
      </c>
      <c r="D8309" s="2">
        <v>0.104</v>
      </c>
      <c r="E8309" s="2">
        <v>3</v>
      </c>
      <c r="F8309" s="2" t="s">
        <v>6</v>
      </c>
    </row>
    <row r="8310" spans="1:6" ht="25.5">
      <c r="A8310" s="2">
        <v>8307</v>
      </c>
      <c r="B8310" s="2" t="s">
        <v>8386</v>
      </c>
      <c r="C8310" s="2" t="str">
        <f>"18645747"</f>
        <v>18645747</v>
      </c>
      <c r="D8310" s="2">
        <v>0.10199999999999999</v>
      </c>
      <c r="E8310" s="2">
        <v>1</v>
      </c>
      <c r="F8310" s="2" t="s">
        <v>12</v>
      </c>
    </row>
    <row r="8311" spans="1:6" ht="25.5">
      <c r="A8311" s="2">
        <v>8308</v>
      </c>
      <c r="B8311" s="2" t="s">
        <v>8387</v>
      </c>
      <c r="C8311" s="2" t="str">
        <f>"17480493"</f>
        <v>17480493</v>
      </c>
      <c r="D8311" s="2">
        <v>0.749</v>
      </c>
      <c r="E8311" s="2">
        <v>11</v>
      </c>
      <c r="F8311" s="2" t="s">
        <v>16</v>
      </c>
    </row>
    <row r="8312" spans="1:6" ht="25.5">
      <c r="A8312" s="2">
        <v>8309</v>
      </c>
      <c r="B8312" s="2" t="s">
        <v>8388</v>
      </c>
      <c r="C8312" s="2" t="str">
        <f>"07351933"</f>
        <v>07351933</v>
      </c>
      <c r="D8312" s="2">
        <v>1.4610000000000001</v>
      </c>
      <c r="E8312" s="2">
        <v>41</v>
      </c>
      <c r="F8312" s="2" t="s">
        <v>16</v>
      </c>
    </row>
    <row r="8313" spans="1:6" ht="25.5">
      <c r="A8313" s="2">
        <v>8310</v>
      </c>
      <c r="B8313" s="2" t="s">
        <v>8389</v>
      </c>
      <c r="C8313" s="2" t="str">
        <f>"18719740"</f>
        <v>18719740</v>
      </c>
      <c r="D8313" s="2">
        <v>0.16600000000000001</v>
      </c>
      <c r="E8313" s="2">
        <v>3</v>
      </c>
      <c r="F8313" s="2" t="s">
        <v>75</v>
      </c>
    </row>
    <row r="8314" spans="1:6" ht="25.5">
      <c r="A8314" s="2">
        <v>8311</v>
      </c>
      <c r="B8314" s="2" t="s">
        <v>8390</v>
      </c>
      <c r="C8314" s="2" t="str">
        <f>"10636862"</f>
        <v>10636862</v>
      </c>
      <c r="D8314" s="2">
        <v>0.36499999999999999</v>
      </c>
      <c r="E8314" s="2">
        <v>15</v>
      </c>
      <c r="F8314" s="2" t="s">
        <v>6</v>
      </c>
    </row>
    <row r="8315" spans="1:6" ht="25.5">
      <c r="A8315" s="2">
        <v>8312</v>
      </c>
      <c r="B8315" s="2" t="s">
        <v>8391</v>
      </c>
      <c r="C8315" s="2" t="str">
        <f>"0"</f>
        <v>0</v>
      </c>
      <c r="D8315" s="2">
        <v>2.6080000000000001</v>
      </c>
      <c r="E8315" s="2">
        <v>36</v>
      </c>
      <c r="F8315" s="2" t="s">
        <v>6</v>
      </c>
    </row>
    <row r="8316" spans="1:6" ht="25.5">
      <c r="A8316" s="2">
        <v>8313</v>
      </c>
      <c r="B8316" s="2" t="s">
        <v>8392</v>
      </c>
      <c r="C8316" s="2" t="str">
        <f>"0"</f>
        <v>0</v>
      </c>
      <c r="D8316" s="2">
        <v>0.127</v>
      </c>
      <c r="E8316" s="2">
        <v>13</v>
      </c>
      <c r="F8316" s="2" t="s">
        <v>6</v>
      </c>
    </row>
    <row r="8317" spans="1:6" ht="25.5">
      <c r="A8317" s="2">
        <v>8314</v>
      </c>
      <c r="B8317" s="2" t="s">
        <v>8393</v>
      </c>
      <c r="C8317" s="2" t="str">
        <f>"0"</f>
        <v>0</v>
      </c>
      <c r="D8317" s="2">
        <v>0.152</v>
      </c>
      <c r="E8317" s="2">
        <v>15</v>
      </c>
      <c r="F8317" s="2" t="s">
        <v>6</v>
      </c>
    </row>
    <row r="8318" spans="1:6">
      <c r="A8318" s="2">
        <v>8315</v>
      </c>
      <c r="B8318" s="2" t="s">
        <v>8394</v>
      </c>
      <c r="C8318" s="2" t="str">
        <f>"0"</f>
        <v>0</v>
      </c>
      <c r="D8318" s="2">
        <v>0.14399999999999999</v>
      </c>
      <c r="E8318" s="2">
        <v>11</v>
      </c>
      <c r="F8318" s="2" t="s">
        <v>6</v>
      </c>
    </row>
    <row r="8319" spans="1:6" ht="25.5">
      <c r="A8319" s="2">
        <v>8316</v>
      </c>
      <c r="B8319" s="2" t="s">
        <v>8395</v>
      </c>
      <c r="C8319" s="2" t="str">
        <f>"0"</f>
        <v>0</v>
      </c>
      <c r="D8319" s="2">
        <v>0.10100000000000001</v>
      </c>
      <c r="E8319" s="2">
        <v>3</v>
      </c>
      <c r="F8319" s="2" t="s">
        <v>6</v>
      </c>
    </row>
    <row r="8320" spans="1:6" ht="25.5">
      <c r="A8320" s="2">
        <v>8317</v>
      </c>
      <c r="B8320" s="2" t="s">
        <v>8396</v>
      </c>
      <c r="C8320" s="2" t="str">
        <f>"21621233"</f>
        <v>21621233</v>
      </c>
      <c r="D8320" s="2">
        <v>0</v>
      </c>
      <c r="E8320" s="2">
        <v>0</v>
      </c>
      <c r="F8320" s="2" t="s">
        <v>6</v>
      </c>
    </row>
    <row r="8321" spans="1:6" ht="25.5">
      <c r="A8321" s="2">
        <v>8318</v>
      </c>
      <c r="B8321" s="2" t="s">
        <v>8397</v>
      </c>
      <c r="C8321" s="2" t="str">
        <f>"0"</f>
        <v>0</v>
      </c>
      <c r="D8321" s="2">
        <v>0.55800000000000005</v>
      </c>
      <c r="E8321" s="2">
        <v>48</v>
      </c>
      <c r="F8321" s="2" t="s">
        <v>6</v>
      </c>
    </row>
    <row r="8322" spans="1:6">
      <c r="A8322" s="2">
        <v>8319</v>
      </c>
      <c r="B8322" s="2" t="s">
        <v>8398</v>
      </c>
      <c r="C8322" s="2" t="str">
        <f>"0"</f>
        <v>0</v>
      </c>
      <c r="D8322" s="2">
        <v>0.60099999999999998</v>
      </c>
      <c r="E8322" s="2">
        <v>32</v>
      </c>
      <c r="F8322" s="2" t="s">
        <v>6</v>
      </c>
    </row>
    <row r="8323" spans="1:6" ht="25.5">
      <c r="A8323" s="2">
        <v>8320</v>
      </c>
      <c r="B8323" s="2" t="s">
        <v>8399</v>
      </c>
      <c r="C8323" s="2" t="str">
        <f>"10575677"</f>
        <v>10575677</v>
      </c>
      <c r="D8323" s="2">
        <v>0.28199999999999997</v>
      </c>
      <c r="E8323" s="2">
        <v>8</v>
      </c>
      <c r="F8323" s="2" t="s">
        <v>6</v>
      </c>
    </row>
    <row r="8324" spans="1:6" ht="25.5">
      <c r="A8324" s="2">
        <v>8321</v>
      </c>
      <c r="B8324" s="2" t="s">
        <v>8400</v>
      </c>
      <c r="C8324" s="2" t="str">
        <f>"1567536X"</f>
        <v>1567536X</v>
      </c>
      <c r="D8324" s="2">
        <v>0.32</v>
      </c>
      <c r="E8324" s="2">
        <v>6</v>
      </c>
      <c r="F8324" s="2" t="s">
        <v>75</v>
      </c>
    </row>
    <row r="8325" spans="1:6" ht="25.5">
      <c r="A8325" s="2">
        <v>8322</v>
      </c>
      <c r="B8325" s="2" t="s">
        <v>8401</v>
      </c>
      <c r="C8325" s="2" t="str">
        <f>"09586946"</f>
        <v>09586946</v>
      </c>
      <c r="D8325" s="2">
        <v>1.123</v>
      </c>
      <c r="E8325" s="2">
        <v>76</v>
      </c>
      <c r="F8325" s="2" t="s">
        <v>75</v>
      </c>
    </row>
    <row r="8326" spans="1:6" ht="25.5">
      <c r="A8326" s="2">
        <v>8323</v>
      </c>
      <c r="B8326" s="2" t="s">
        <v>8402</v>
      </c>
      <c r="C8326" s="2" t="str">
        <f>"00206539"</f>
        <v>00206539</v>
      </c>
      <c r="D8326" s="2">
        <v>0.42399999999999999</v>
      </c>
      <c r="E8326" s="2">
        <v>36</v>
      </c>
      <c r="F8326" s="2" t="s">
        <v>6</v>
      </c>
    </row>
    <row r="8327" spans="1:6" ht="25.5">
      <c r="A8327" s="2">
        <v>8324</v>
      </c>
      <c r="B8327" s="2" t="s">
        <v>8403</v>
      </c>
      <c r="C8327" s="2" t="str">
        <f>"14746743"</f>
        <v>14746743</v>
      </c>
      <c r="D8327" s="2">
        <v>0.41499999999999998</v>
      </c>
      <c r="E8327" s="2">
        <v>13</v>
      </c>
      <c r="F8327" s="2" t="s">
        <v>16</v>
      </c>
    </row>
    <row r="8328" spans="1:6" ht="25.5">
      <c r="A8328" s="2">
        <v>8325</v>
      </c>
      <c r="B8328" s="2" t="s">
        <v>8404</v>
      </c>
      <c r="C8328" s="2" t="str">
        <f>"21504806"</f>
        <v>21504806</v>
      </c>
      <c r="D8328" s="2">
        <v>0.10199999999999999</v>
      </c>
      <c r="E8328" s="2">
        <v>1</v>
      </c>
      <c r="F8328" s="2" t="s">
        <v>6</v>
      </c>
    </row>
    <row r="8329" spans="1:6" ht="25.5">
      <c r="A8329" s="2">
        <v>8326</v>
      </c>
      <c r="B8329" s="2" t="s">
        <v>8405</v>
      </c>
      <c r="C8329" s="2" t="str">
        <f>"10168737"</f>
        <v>10168737</v>
      </c>
      <c r="D8329" s="2">
        <v>0.23899999999999999</v>
      </c>
      <c r="E8329" s="2">
        <v>4</v>
      </c>
      <c r="F8329" s="2" t="s">
        <v>16</v>
      </c>
    </row>
    <row r="8330" spans="1:6" ht="25.5">
      <c r="A8330" s="2">
        <v>8327</v>
      </c>
      <c r="B8330" s="2" t="s">
        <v>8406</v>
      </c>
      <c r="C8330" s="2" t="str">
        <f>"14682354"</f>
        <v>14682354</v>
      </c>
      <c r="D8330" s="2">
        <v>3.5409999999999999</v>
      </c>
      <c r="E8330" s="2">
        <v>52</v>
      </c>
      <c r="F8330" s="2" t="s">
        <v>16</v>
      </c>
    </row>
    <row r="8331" spans="1:6" ht="25.5">
      <c r="A8331" s="2">
        <v>8328</v>
      </c>
      <c r="B8331" s="2" t="s">
        <v>8407</v>
      </c>
      <c r="C8331" s="2" t="str">
        <f>"16124812"</f>
        <v>16124812</v>
      </c>
      <c r="D8331" s="2">
        <v>0.27300000000000002</v>
      </c>
      <c r="E8331" s="2">
        <v>9</v>
      </c>
      <c r="F8331" s="2" t="s">
        <v>12</v>
      </c>
    </row>
    <row r="8332" spans="1:6" ht="25.5">
      <c r="A8332" s="2">
        <v>8329</v>
      </c>
      <c r="B8332" s="2" t="s">
        <v>8408</v>
      </c>
      <c r="C8332" s="2" t="str">
        <f>"19139020"</f>
        <v>19139020</v>
      </c>
      <c r="D8332" s="2">
        <v>0</v>
      </c>
      <c r="E8332" s="2">
        <v>1</v>
      </c>
      <c r="F8332" s="2" t="s">
        <v>64</v>
      </c>
    </row>
    <row r="8333" spans="1:6" ht="25.5">
      <c r="A8333" s="2">
        <v>8330</v>
      </c>
      <c r="B8333" s="2" t="s">
        <v>8409</v>
      </c>
      <c r="C8333" s="2" t="str">
        <f>"13079298"</f>
        <v>13079298</v>
      </c>
      <c r="D8333" s="2">
        <v>0.16900000000000001</v>
      </c>
      <c r="E8333" s="2">
        <v>3</v>
      </c>
      <c r="F8333" s="2" t="s">
        <v>345</v>
      </c>
    </row>
    <row r="8334" spans="1:6" ht="25.5">
      <c r="A8334" s="2">
        <v>8331</v>
      </c>
      <c r="B8334" s="2" t="s">
        <v>8410</v>
      </c>
      <c r="C8334" s="2" t="str">
        <f>"13063030"</f>
        <v>13063030</v>
      </c>
      <c r="D8334" s="2">
        <v>0.16900000000000001</v>
      </c>
      <c r="E8334" s="2">
        <v>2</v>
      </c>
      <c r="F8334" s="2" t="s">
        <v>345</v>
      </c>
    </row>
    <row r="8335" spans="1:6" ht="25.5">
      <c r="A8335" s="2">
        <v>8332</v>
      </c>
      <c r="B8335" s="2" t="s">
        <v>8411</v>
      </c>
      <c r="C8335" s="2" t="str">
        <f>"1755599X"</f>
        <v>1755599X</v>
      </c>
      <c r="D8335" s="2">
        <v>0.41299999999999998</v>
      </c>
      <c r="E8335" s="2">
        <v>21</v>
      </c>
      <c r="F8335" s="2" t="s">
        <v>75</v>
      </c>
    </row>
    <row r="8336" spans="1:6" ht="25.5">
      <c r="A8336" s="2">
        <v>8333</v>
      </c>
      <c r="B8336" s="2" t="s">
        <v>8412</v>
      </c>
      <c r="C8336" s="2" t="str">
        <f>"13652591"</f>
        <v>13652591</v>
      </c>
      <c r="D8336" s="2">
        <v>1.0009999999999999</v>
      </c>
      <c r="E8336" s="2">
        <v>66</v>
      </c>
      <c r="F8336" s="2" t="s">
        <v>16</v>
      </c>
    </row>
    <row r="8337" spans="1:6" ht="25.5">
      <c r="A8337" s="2">
        <v>8334</v>
      </c>
      <c r="B8337" s="2" t="s">
        <v>8413</v>
      </c>
      <c r="C8337" s="2" t="str">
        <f>"1513718X"</f>
        <v>1513718X</v>
      </c>
      <c r="D8337" s="2">
        <v>0.13</v>
      </c>
      <c r="E8337" s="2">
        <v>5</v>
      </c>
      <c r="F8337" s="2" t="s">
        <v>1966</v>
      </c>
    </row>
    <row r="8338" spans="1:6" ht="25.5">
      <c r="A8338" s="2">
        <v>8335</v>
      </c>
      <c r="B8338" s="2" t="s">
        <v>8414</v>
      </c>
      <c r="C8338" s="2" t="str">
        <f>"15547191"</f>
        <v>15547191</v>
      </c>
      <c r="D8338" s="2">
        <v>1.0780000000000001</v>
      </c>
      <c r="E8338" s="2">
        <v>15</v>
      </c>
      <c r="F8338" s="2" t="s">
        <v>6</v>
      </c>
    </row>
    <row r="8339" spans="1:6" ht="25.5">
      <c r="A8339" s="2">
        <v>8336</v>
      </c>
      <c r="B8339" s="2" t="s">
        <v>8415</v>
      </c>
      <c r="C8339" s="2" t="str">
        <f>"15731553"</f>
        <v>15731553</v>
      </c>
      <c r="D8339" s="2">
        <v>1.3480000000000001</v>
      </c>
      <c r="E8339" s="2">
        <v>15</v>
      </c>
      <c r="F8339" s="2" t="s">
        <v>75</v>
      </c>
    </row>
    <row r="8340" spans="1:6" ht="25.5">
      <c r="A8340" s="2">
        <v>8337</v>
      </c>
      <c r="B8340" s="2" t="s">
        <v>8416</v>
      </c>
      <c r="C8340" s="2" t="str">
        <f>"1430175X"</f>
        <v>1430175X</v>
      </c>
      <c r="D8340" s="2">
        <v>0.14799999999999999</v>
      </c>
      <c r="E8340" s="2">
        <v>4</v>
      </c>
      <c r="F8340" s="2" t="s">
        <v>12</v>
      </c>
    </row>
    <row r="8341" spans="1:6" ht="25.5">
      <c r="A8341" s="2">
        <v>8338</v>
      </c>
      <c r="B8341" s="2" t="s">
        <v>8417</v>
      </c>
      <c r="C8341" s="2" t="str">
        <f>"09452419"</f>
        <v>09452419</v>
      </c>
      <c r="D8341" s="2">
        <v>0.108</v>
      </c>
      <c r="E8341" s="2">
        <v>5</v>
      </c>
      <c r="F8341" s="2" t="s">
        <v>12</v>
      </c>
    </row>
    <row r="8342" spans="1:6" ht="25.5">
      <c r="A8342" s="2">
        <v>8339</v>
      </c>
      <c r="B8342" s="2" t="s">
        <v>8418</v>
      </c>
      <c r="C8342" s="2" t="str">
        <f>"03404528"</f>
        <v>03404528</v>
      </c>
      <c r="D8342" s="2">
        <v>0.1</v>
      </c>
      <c r="E8342" s="2">
        <v>4</v>
      </c>
      <c r="F8342" s="2" t="s">
        <v>12</v>
      </c>
    </row>
    <row r="8343" spans="1:6" ht="25.5">
      <c r="A8343" s="2">
        <v>8340</v>
      </c>
      <c r="B8343" s="2" t="s">
        <v>8419</v>
      </c>
      <c r="C8343" s="2" t="str">
        <f>"14616742"</f>
        <v>14616742</v>
      </c>
      <c r="D8343" s="2">
        <v>0.52900000000000003</v>
      </c>
      <c r="E8343" s="2">
        <v>19</v>
      </c>
      <c r="F8343" s="2" t="s">
        <v>16</v>
      </c>
    </row>
    <row r="8344" spans="1:6" ht="25.5">
      <c r="A8344" s="2">
        <v>8341</v>
      </c>
      <c r="B8344" s="2" t="s">
        <v>8420</v>
      </c>
      <c r="C8344" s="2" t="str">
        <f>"14682362"</f>
        <v>14682362</v>
      </c>
      <c r="D8344" s="2">
        <v>0.44900000000000001</v>
      </c>
      <c r="E8344" s="2">
        <v>20</v>
      </c>
      <c r="F8344" s="2" t="s">
        <v>16</v>
      </c>
    </row>
    <row r="8345" spans="1:6" ht="25.5">
      <c r="A8345" s="2">
        <v>8342</v>
      </c>
      <c r="B8345" s="2" t="s">
        <v>8421</v>
      </c>
      <c r="C8345" s="2" t="str">
        <f>"15592448"</f>
        <v>15592448</v>
      </c>
      <c r="D8345" s="2">
        <v>0.30299999999999999</v>
      </c>
      <c r="E8345" s="2">
        <v>18</v>
      </c>
      <c r="F8345" s="2" t="s">
        <v>6</v>
      </c>
    </row>
    <row r="8346" spans="1:6" ht="25.5">
      <c r="A8346" s="2">
        <v>8343</v>
      </c>
      <c r="B8346" s="2" t="s">
        <v>8422</v>
      </c>
      <c r="C8346" s="2" t="str">
        <f>"19854668"</f>
        <v>19854668</v>
      </c>
      <c r="D8346" s="2">
        <v>0.34200000000000003</v>
      </c>
      <c r="E8346" s="2">
        <v>10</v>
      </c>
      <c r="F8346" s="2" t="s">
        <v>37</v>
      </c>
    </row>
    <row r="8347" spans="1:6" ht="25.5">
      <c r="A8347" s="2">
        <v>8344</v>
      </c>
      <c r="B8347" s="2" t="s">
        <v>8423</v>
      </c>
      <c r="C8347" s="2" t="str">
        <f>"14655489"</f>
        <v>14655489</v>
      </c>
      <c r="D8347" s="2">
        <v>0.53500000000000003</v>
      </c>
      <c r="E8347" s="2">
        <v>22</v>
      </c>
      <c r="F8347" s="2" t="s">
        <v>16</v>
      </c>
    </row>
    <row r="8348" spans="1:6" ht="25.5">
      <c r="A8348" s="2">
        <v>8345</v>
      </c>
      <c r="B8348" s="2" t="s">
        <v>8424</v>
      </c>
      <c r="C8348" s="2" t="str">
        <f>"20426984"</f>
        <v>20426984</v>
      </c>
      <c r="D8348" s="2">
        <v>0.49299999999999999</v>
      </c>
      <c r="E8348" s="2">
        <v>5</v>
      </c>
      <c r="F8348" s="2" t="s">
        <v>6</v>
      </c>
    </row>
    <row r="8349" spans="1:6" ht="25.5">
      <c r="A8349" s="2">
        <v>8346</v>
      </c>
      <c r="B8349" s="2" t="s">
        <v>8425</v>
      </c>
      <c r="C8349" s="2" t="str">
        <f>"16512324"</f>
        <v>16512324</v>
      </c>
      <c r="D8349" s="2">
        <v>0.3</v>
      </c>
      <c r="E8349" s="2">
        <v>8</v>
      </c>
      <c r="F8349" s="2" t="s">
        <v>16</v>
      </c>
    </row>
    <row r="8350" spans="1:6" ht="25.5">
      <c r="A8350" s="2">
        <v>8347</v>
      </c>
      <c r="B8350" s="2" t="s">
        <v>8426</v>
      </c>
      <c r="C8350" s="2" t="str">
        <f>"14459795"</f>
        <v>14459795</v>
      </c>
      <c r="D8350" s="2">
        <v>0.29599999999999999</v>
      </c>
      <c r="E8350" s="2">
        <v>4</v>
      </c>
      <c r="F8350" s="2" t="s">
        <v>16</v>
      </c>
    </row>
    <row r="8351" spans="1:6" ht="25.5">
      <c r="A8351" s="2">
        <v>8348</v>
      </c>
      <c r="B8351" s="2" t="s">
        <v>8427</v>
      </c>
      <c r="C8351" s="2" t="str">
        <f>"02191989"</f>
        <v>02191989</v>
      </c>
      <c r="D8351" s="2">
        <v>0.23899999999999999</v>
      </c>
      <c r="E8351" s="2">
        <v>11</v>
      </c>
      <c r="F8351" s="2" t="s">
        <v>543</v>
      </c>
    </row>
    <row r="8352" spans="1:6" ht="25.5">
      <c r="A8352" s="2">
        <v>8349</v>
      </c>
      <c r="B8352" s="2" t="s">
        <v>8428</v>
      </c>
      <c r="C8352" s="2" t="str">
        <f>"00206814"</f>
        <v>00206814</v>
      </c>
      <c r="D8352" s="2">
        <v>1.1870000000000001</v>
      </c>
      <c r="E8352" s="2">
        <v>52</v>
      </c>
      <c r="F8352" s="2" t="s">
        <v>6</v>
      </c>
    </row>
    <row r="8353" spans="1:6" ht="25.5">
      <c r="A8353" s="2">
        <v>8350</v>
      </c>
      <c r="B8353" s="2" t="s">
        <v>8429</v>
      </c>
      <c r="C8353" s="2" t="str">
        <f>"00746142"</f>
        <v>00746142</v>
      </c>
      <c r="D8353" s="2">
        <v>0.1</v>
      </c>
      <c r="E8353" s="2">
        <v>10</v>
      </c>
      <c r="F8353" s="2" t="s">
        <v>6</v>
      </c>
    </row>
    <row r="8354" spans="1:6">
      <c r="A8354" s="2">
        <v>8351</v>
      </c>
      <c r="B8354" s="2" t="s">
        <v>8430</v>
      </c>
      <c r="C8354" s="2" t="str">
        <f>"0"</f>
        <v>0</v>
      </c>
      <c r="D8354" s="2">
        <v>0.23599999999999999</v>
      </c>
      <c r="E8354" s="2">
        <v>28</v>
      </c>
      <c r="F8354" s="2" t="s">
        <v>6</v>
      </c>
    </row>
    <row r="8355" spans="1:6" ht="25.5">
      <c r="A8355" s="2">
        <v>8352</v>
      </c>
      <c r="B8355" s="2" t="s">
        <v>8431</v>
      </c>
      <c r="C8355" s="2" t="str">
        <f>"18763413"</f>
        <v>18763413</v>
      </c>
      <c r="D8355" s="2">
        <v>0.436</v>
      </c>
      <c r="E8355" s="2">
        <v>6</v>
      </c>
      <c r="F8355" s="2" t="s">
        <v>16</v>
      </c>
    </row>
    <row r="8356" spans="1:6" ht="25.5">
      <c r="A8356" s="2">
        <v>8353</v>
      </c>
      <c r="B8356" s="2" t="s">
        <v>8432</v>
      </c>
      <c r="C8356" s="2" t="str">
        <f>"13493299"</f>
        <v>13493299</v>
      </c>
      <c r="D8356" s="2">
        <v>0.46899999999999997</v>
      </c>
      <c r="E8356" s="2">
        <v>27</v>
      </c>
      <c r="F8356" s="2" t="s">
        <v>131</v>
      </c>
    </row>
    <row r="8357" spans="1:6" ht="25.5">
      <c r="A8357" s="2">
        <v>8354</v>
      </c>
      <c r="B8357" s="2" t="s">
        <v>8433</v>
      </c>
      <c r="C8357" s="2" t="str">
        <f>"17495156"</f>
        <v>17495156</v>
      </c>
      <c r="D8357" s="2">
        <v>0.20799999999999999</v>
      </c>
      <c r="E8357" s="2">
        <v>3</v>
      </c>
      <c r="F8357" s="2" t="s">
        <v>16</v>
      </c>
    </row>
    <row r="8358" spans="1:6" ht="25.5">
      <c r="A8358" s="2">
        <v>8355</v>
      </c>
      <c r="B8358" s="2" t="s">
        <v>8434</v>
      </c>
      <c r="C8358" s="2" t="str">
        <f>"07075332"</f>
        <v>07075332</v>
      </c>
      <c r="D8358" s="2">
        <v>0.10199999999999999</v>
      </c>
      <c r="E8358" s="2">
        <v>5</v>
      </c>
      <c r="F8358" s="2" t="s">
        <v>16</v>
      </c>
    </row>
    <row r="8359" spans="1:6" ht="25.5">
      <c r="A8359" s="2">
        <v>8356</v>
      </c>
      <c r="B8359" s="2" t="s">
        <v>8435</v>
      </c>
      <c r="C8359" s="2" t="str">
        <f>"14602377"</f>
        <v>14602377</v>
      </c>
      <c r="D8359" s="2">
        <v>1.605</v>
      </c>
      <c r="E8359" s="2">
        <v>96</v>
      </c>
      <c r="F8359" s="2" t="s">
        <v>16</v>
      </c>
    </row>
    <row r="8360" spans="1:6" ht="25.5">
      <c r="A8360" s="2">
        <v>8357</v>
      </c>
      <c r="B8360" s="2" t="s">
        <v>8436</v>
      </c>
      <c r="C8360" s="2" t="str">
        <f>"15675769"</f>
        <v>15675769</v>
      </c>
      <c r="D8360" s="2">
        <v>0.747</v>
      </c>
      <c r="E8360" s="2">
        <v>63</v>
      </c>
      <c r="F8360" s="2" t="s">
        <v>75</v>
      </c>
    </row>
    <row r="8361" spans="1:6" ht="25.5">
      <c r="A8361" s="2">
        <v>8358</v>
      </c>
      <c r="B8361" s="2" t="s">
        <v>8437</v>
      </c>
      <c r="C8361" s="2" t="str">
        <f>"10959297"</f>
        <v>10959297</v>
      </c>
      <c r="D8361" s="2">
        <v>0.374</v>
      </c>
      <c r="E8361" s="2">
        <v>12</v>
      </c>
      <c r="F8361" s="2" t="s">
        <v>6</v>
      </c>
    </row>
    <row r="8362" spans="1:6" ht="25.5">
      <c r="A8362" s="2">
        <v>8359</v>
      </c>
      <c r="B8362" s="2" t="s">
        <v>8438</v>
      </c>
      <c r="C8362" s="2" t="str">
        <f>"11800518"</f>
        <v>11800518</v>
      </c>
      <c r="D8362" s="2">
        <v>0.104</v>
      </c>
      <c r="E8362" s="2">
        <v>1</v>
      </c>
      <c r="F8362" s="2" t="s">
        <v>16</v>
      </c>
    </row>
    <row r="8363" spans="1:6" ht="25.5">
      <c r="A8363" s="2">
        <v>8360</v>
      </c>
      <c r="B8363" s="2" t="s">
        <v>8439</v>
      </c>
      <c r="C8363" s="2" t="str">
        <f>"15477444"</f>
        <v>15477444</v>
      </c>
      <c r="D8363" s="2">
        <v>0.78800000000000003</v>
      </c>
      <c r="E8363" s="2">
        <v>19</v>
      </c>
      <c r="F8363" s="2" t="s">
        <v>16</v>
      </c>
    </row>
    <row r="8364" spans="1:6" ht="25.5">
      <c r="A8364" s="2">
        <v>8361</v>
      </c>
      <c r="B8364" s="2" t="s">
        <v>8440</v>
      </c>
      <c r="C8364" s="2" t="str">
        <f>"00207020"</f>
        <v>00207020</v>
      </c>
      <c r="D8364" s="2">
        <v>0.11</v>
      </c>
      <c r="E8364" s="2">
        <v>9</v>
      </c>
      <c r="F8364" s="2" t="s">
        <v>64</v>
      </c>
    </row>
    <row r="8365" spans="1:6" ht="25.5">
      <c r="A8365" s="2">
        <v>8362</v>
      </c>
      <c r="B8365" s="2" t="s">
        <v>8441</v>
      </c>
      <c r="C8365" s="2" t="str">
        <f>"15731782"</f>
        <v>15731782</v>
      </c>
      <c r="D8365" s="2">
        <v>0.38</v>
      </c>
      <c r="E8365" s="2">
        <v>11</v>
      </c>
      <c r="F8365" s="2" t="s">
        <v>75</v>
      </c>
    </row>
    <row r="8366" spans="1:6" ht="25.5">
      <c r="A8366" s="2">
        <v>8363</v>
      </c>
      <c r="B8366" s="2" t="s">
        <v>8442</v>
      </c>
      <c r="C8366" s="2" t="str">
        <f>"13301365"</f>
        <v>13301365</v>
      </c>
      <c r="D8366" s="2">
        <v>0.10100000000000001</v>
      </c>
      <c r="E8366" s="2">
        <v>5</v>
      </c>
      <c r="F8366" s="2" t="s">
        <v>149</v>
      </c>
    </row>
    <row r="8367" spans="1:6" ht="25.5">
      <c r="A8367" s="2">
        <v>8364</v>
      </c>
      <c r="B8367" s="2" t="s">
        <v>8443</v>
      </c>
      <c r="C8367" s="2" t="str">
        <f>"14759276"</f>
        <v>14759276</v>
      </c>
      <c r="D8367" s="2">
        <v>0.81599999999999995</v>
      </c>
      <c r="E8367" s="2">
        <v>19</v>
      </c>
      <c r="F8367" s="2" t="s">
        <v>16</v>
      </c>
    </row>
    <row r="8368" spans="1:6" ht="25.5">
      <c r="A8368" s="2">
        <v>8365</v>
      </c>
      <c r="B8368" s="2" t="s">
        <v>8444</v>
      </c>
      <c r="C8368" s="2" t="str">
        <f>"01466518"</f>
        <v>01466518</v>
      </c>
      <c r="D8368" s="2">
        <v>0.106</v>
      </c>
      <c r="E8368" s="2">
        <v>5</v>
      </c>
      <c r="F8368" s="2" t="s">
        <v>6</v>
      </c>
    </row>
    <row r="8369" spans="1:6" ht="25.5">
      <c r="A8369" s="2">
        <v>8366</v>
      </c>
      <c r="B8369" s="2" t="s">
        <v>8445</v>
      </c>
      <c r="C8369" s="2" t="str">
        <f>"18654584"</f>
        <v>18654584</v>
      </c>
      <c r="D8369" s="2">
        <v>0.48699999999999999</v>
      </c>
      <c r="E8369" s="2">
        <v>8</v>
      </c>
      <c r="F8369" s="2" t="s">
        <v>12</v>
      </c>
    </row>
    <row r="8370" spans="1:6" ht="25.5">
      <c r="A8370" s="2">
        <v>8367</v>
      </c>
      <c r="B8370" s="2" t="s">
        <v>8446</v>
      </c>
      <c r="C8370" s="2" t="str">
        <f>"15431649"</f>
        <v>15431649</v>
      </c>
      <c r="D8370" s="2">
        <v>0.55300000000000005</v>
      </c>
      <c r="E8370" s="2">
        <v>12</v>
      </c>
      <c r="F8370" s="2" t="s">
        <v>6</v>
      </c>
    </row>
    <row r="8371" spans="1:6" ht="25.5">
      <c r="A8371" s="2">
        <v>8368</v>
      </c>
      <c r="B8371" s="2" t="s">
        <v>8447</v>
      </c>
      <c r="C8371" s="2" t="str">
        <f>"03639061"</f>
        <v>03639061</v>
      </c>
      <c r="D8371" s="2">
        <v>0.96599999999999997</v>
      </c>
      <c r="E8371" s="2">
        <v>42</v>
      </c>
      <c r="F8371" s="2" t="s">
        <v>16</v>
      </c>
    </row>
    <row r="8372" spans="1:6" ht="25.5">
      <c r="A8372" s="2">
        <v>8369</v>
      </c>
      <c r="B8372" s="2" t="s">
        <v>8448</v>
      </c>
      <c r="C8372" s="2" t="str">
        <f>"20407939"</f>
        <v>20407939</v>
      </c>
      <c r="D8372" s="2">
        <v>0.78700000000000003</v>
      </c>
      <c r="E8372" s="2">
        <v>30</v>
      </c>
      <c r="F8372" s="2" t="s">
        <v>6</v>
      </c>
    </row>
    <row r="8373" spans="1:6" ht="25.5">
      <c r="A8373" s="2">
        <v>8370</v>
      </c>
      <c r="B8373" s="2" t="s">
        <v>8449</v>
      </c>
      <c r="C8373" s="2" t="str">
        <f>"10970207"</f>
        <v>10970207</v>
      </c>
      <c r="D8373" s="2">
        <v>2.3650000000000002</v>
      </c>
      <c r="E8373" s="2">
        <v>93</v>
      </c>
      <c r="F8373" s="2" t="s">
        <v>16</v>
      </c>
    </row>
    <row r="8374" spans="1:6" ht="25.5">
      <c r="A8374" s="2">
        <v>8371</v>
      </c>
      <c r="B8374" s="2" t="s">
        <v>8450</v>
      </c>
      <c r="C8374" s="2" t="str">
        <f>"10970363"</f>
        <v>10970363</v>
      </c>
      <c r="D8374" s="2">
        <v>0.82199999999999995</v>
      </c>
      <c r="E8374" s="2">
        <v>63</v>
      </c>
      <c r="F8374" s="2" t="s">
        <v>16</v>
      </c>
    </row>
    <row r="8375" spans="1:6" ht="25.5">
      <c r="A8375" s="2">
        <v>8372</v>
      </c>
      <c r="B8375" s="2" t="s">
        <v>8451</v>
      </c>
      <c r="C8375" s="2" t="str">
        <f>"00207519"</f>
        <v>00207519</v>
      </c>
      <c r="D8375" s="2">
        <v>1.278</v>
      </c>
      <c r="E8375" s="2">
        <v>92</v>
      </c>
      <c r="F8375" s="2" t="s">
        <v>16</v>
      </c>
    </row>
    <row r="8376" spans="1:6" ht="25.5">
      <c r="A8376" s="2">
        <v>8373</v>
      </c>
      <c r="B8376" s="2" t="s">
        <v>8452</v>
      </c>
      <c r="C8376" s="2" t="str">
        <f>"22113207"</f>
        <v>22113207</v>
      </c>
      <c r="D8376" s="2">
        <v>0.56799999999999995</v>
      </c>
      <c r="E8376" s="2">
        <v>3</v>
      </c>
      <c r="F8376" s="2" t="s">
        <v>75</v>
      </c>
    </row>
    <row r="8377" spans="1:6" ht="25.5">
      <c r="A8377" s="2">
        <v>8374</v>
      </c>
      <c r="B8377" s="2" t="s">
        <v>8453</v>
      </c>
      <c r="C8377" s="2" t="str">
        <f>"22132244"</f>
        <v>22132244</v>
      </c>
      <c r="D8377" s="2">
        <v>0</v>
      </c>
      <c r="E8377" s="2">
        <v>0</v>
      </c>
      <c r="F8377" s="2" t="s">
        <v>75</v>
      </c>
    </row>
    <row r="8378" spans="1:6" ht="25.5">
      <c r="A8378" s="2">
        <v>8375</v>
      </c>
      <c r="B8378" s="2" t="s">
        <v>8454</v>
      </c>
      <c r="C8378" s="2" t="str">
        <f>"00207047"</f>
        <v>00207047</v>
      </c>
      <c r="D8378" s="2">
        <v>0.14299999999999999</v>
      </c>
      <c r="E8378" s="2">
        <v>5</v>
      </c>
      <c r="F8378" s="2" t="s">
        <v>75</v>
      </c>
    </row>
    <row r="8379" spans="1:6" ht="25.5">
      <c r="A8379" s="2">
        <v>8376</v>
      </c>
      <c r="B8379" s="2" t="s">
        <v>8455</v>
      </c>
      <c r="C8379" s="2" t="str">
        <f>"14643677"</f>
        <v>14643677</v>
      </c>
      <c r="D8379" s="2">
        <v>0.91200000000000003</v>
      </c>
      <c r="E8379" s="2">
        <v>51</v>
      </c>
      <c r="F8379" s="2" t="s">
        <v>16</v>
      </c>
    </row>
    <row r="8380" spans="1:6" ht="25.5">
      <c r="A8380" s="2">
        <v>8377</v>
      </c>
      <c r="B8380" s="2" t="s">
        <v>8456</v>
      </c>
      <c r="C8380" s="2" t="str">
        <f>"15733246"</f>
        <v>15733246</v>
      </c>
      <c r="D8380" s="2">
        <v>0.30599999999999999</v>
      </c>
      <c r="E8380" s="2">
        <v>12</v>
      </c>
      <c r="F8380" s="2" t="s">
        <v>6</v>
      </c>
    </row>
    <row r="8381" spans="1:6" ht="25.5">
      <c r="A8381" s="2">
        <v>8378</v>
      </c>
      <c r="B8381" s="2" t="s">
        <v>8457</v>
      </c>
      <c r="C8381" s="2" t="str">
        <f>"17581214"</f>
        <v>17581214</v>
      </c>
      <c r="D8381" s="2">
        <v>0</v>
      </c>
      <c r="E8381" s="2">
        <v>1</v>
      </c>
      <c r="F8381" s="2" t="s">
        <v>16</v>
      </c>
    </row>
    <row r="8382" spans="1:6" ht="25.5">
      <c r="A8382" s="2">
        <v>8379</v>
      </c>
      <c r="B8382" s="2" t="s">
        <v>8458</v>
      </c>
      <c r="C8382" s="2" t="str">
        <f>"10508619"</f>
        <v>10508619</v>
      </c>
      <c r="D8382" s="2">
        <v>0.48199999999999998</v>
      </c>
      <c r="E8382" s="2">
        <v>10</v>
      </c>
      <c r="F8382" s="2" t="s">
        <v>16</v>
      </c>
    </row>
    <row r="8383" spans="1:6" ht="25.5">
      <c r="A8383" s="2">
        <v>8380</v>
      </c>
      <c r="B8383" s="2" t="s">
        <v>8459</v>
      </c>
      <c r="C8383" s="2" t="str">
        <f>"09528059"</f>
        <v>09528059</v>
      </c>
      <c r="D8383" s="2">
        <v>0.17</v>
      </c>
      <c r="E8383" s="2">
        <v>6</v>
      </c>
      <c r="F8383" s="2" t="s">
        <v>75</v>
      </c>
    </row>
    <row r="8384" spans="1:6" ht="25.5">
      <c r="A8384" s="2">
        <v>8381</v>
      </c>
      <c r="B8384" s="2" t="s">
        <v>8460</v>
      </c>
      <c r="C8384" s="2" t="str">
        <f>"03009831"</f>
        <v>03009831</v>
      </c>
      <c r="D8384" s="2">
        <v>0.45100000000000001</v>
      </c>
      <c r="E8384" s="2">
        <v>39</v>
      </c>
      <c r="F8384" s="2" t="s">
        <v>31</v>
      </c>
    </row>
    <row r="8385" spans="1:6" ht="25.5">
      <c r="A8385" s="2">
        <v>8382</v>
      </c>
      <c r="B8385" s="2" t="s">
        <v>8461</v>
      </c>
      <c r="C8385" s="2" t="str">
        <f>"1752265X"</f>
        <v>1752265X</v>
      </c>
      <c r="D8385" s="2">
        <v>0.27100000000000002</v>
      </c>
      <c r="E8385" s="2">
        <v>5</v>
      </c>
      <c r="F8385" s="2" t="s">
        <v>16</v>
      </c>
    </row>
    <row r="8386" spans="1:6" ht="25.5">
      <c r="A8386" s="2">
        <v>8383</v>
      </c>
      <c r="B8386" s="2" t="s">
        <v>8462</v>
      </c>
      <c r="C8386" s="2" t="str">
        <f>"01647954"</f>
        <v>01647954</v>
      </c>
      <c r="D8386" s="2">
        <v>0.373</v>
      </c>
      <c r="E8386" s="2">
        <v>13</v>
      </c>
      <c r="F8386" s="2" t="s">
        <v>16</v>
      </c>
    </row>
    <row r="8387" spans="1:6" ht="25.5">
      <c r="A8387" s="2">
        <v>8384</v>
      </c>
      <c r="B8387" s="2" t="s">
        <v>8463</v>
      </c>
      <c r="C8387" s="2" t="str">
        <f>"10944060"</f>
        <v>10944060</v>
      </c>
      <c r="D8387" s="2">
        <v>0.42299999999999999</v>
      </c>
      <c r="E8387" s="2">
        <v>24</v>
      </c>
      <c r="F8387" s="2" t="s">
        <v>75</v>
      </c>
    </row>
    <row r="8388" spans="1:6" ht="25.5">
      <c r="A8388" s="2">
        <v>8385</v>
      </c>
      <c r="B8388" s="2" t="s">
        <v>8464</v>
      </c>
      <c r="C8388" s="2" t="str">
        <f>"18347649"</f>
        <v>18347649</v>
      </c>
      <c r="D8388" s="2">
        <v>0.125</v>
      </c>
      <c r="E8388" s="2">
        <v>1</v>
      </c>
      <c r="F8388" s="2" t="s">
        <v>16</v>
      </c>
    </row>
    <row r="8389" spans="1:6" ht="25.5">
      <c r="A8389" s="2">
        <v>8386</v>
      </c>
      <c r="B8389" s="2" t="s">
        <v>8465</v>
      </c>
      <c r="C8389" s="2" t="str">
        <f>"17408016"</f>
        <v>17408016</v>
      </c>
      <c r="D8389" s="2">
        <v>0.13900000000000001</v>
      </c>
      <c r="E8389" s="2">
        <v>6</v>
      </c>
      <c r="F8389" s="2" t="s">
        <v>16</v>
      </c>
    </row>
    <row r="8390" spans="1:6" ht="25.5">
      <c r="A8390" s="2">
        <v>8387</v>
      </c>
      <c r="B8390" s="2" t="s">
        <v>8466</v>
      </c>
      <c r="C8390" s="2" t="str">
        <f>"14670895"</f>
        <v>14670895</v>
      </c>
      <c r="D8390" s="2">
        <v>0.58499999999999996</v>
      </c>
      <c r="E8390" s="2">
        <v>27</v>
      </c>
      <c r="F8390" s="2" t="s">
        <v>6</v>
      </c>
    </row>
    <row r="8391" spans="1:6" ht="25.5">
      <c r="A8391" s="2">
        <v>8388</v>
      </c>
      <c r="B8391" s="2" t="s">
        <v>8467</v>
      </c>
      <c r="C8391" s="2" t="str">
        <f>"10275851"</f>
        <v>10275851</v>
      </c>
      <c r="D8391" s="2">
        <v>0.372</v>
      </c>
      <c r="E8391" s="2">
        <v>8</v>
      </c>
      <c r="F8391" s="2" t="s">
        <v>6</v>
      </c>
    </row>
    <row r="8392" spans="1:6" ht="25.5">
      <c r="A8392" s="2">
        <v>8389</v>
      </c>
      <c r="B8392" s="2" t="s">
        <v>8468</v>
      </c>
      <c r="C8392" s="2" t="str">
        <f>"18619916"</f>
        <v>18619916</v>
      </c>
      <c r="D8392" s="2">
        <v>0.217</v>
      </c>
      <c r="E8392" s="2">
        <v>3</v>
      </c>
      <c r="F8392" s="2" t="s">
        <v>12</v>
      </c>
    </row>
    <row r="8393" spans="1:6" ht="25.5">
      <c r="A8393" s="2">
        <v>8390</v>
      </c>
      <c r="B8393" s="2" t="s">
        <v>8469</v>
      </c>
      <c r="C8393" s="2" t="str">
        <f>"10991115"</f>
        <v>10991115</v>
      </c>
      <c r="D8393" s="2">
        <v>1.0629999999999999</v>
      </c>
      <c r="E8393" s="2">
        <v>37</v>
      </c>
      <c r="F8393" s="2" t="s">
        <v>16</v>
      </c>
    </row>
    <row r="8394" spans="1:6" ht="25.5">
      <c r="A8394" s="2">
        <v>8391</v>
      </c>
      <c r="B8394" s="2" t="s">
        <v>8470</v>
      </c>
      <c r="C8394" s="2" t="str">
        <f>"01437496"</f>
        <v>01437496</v>
      </c>
      <c r="D8394" s="2">
        <v>0.93200000000000005</v>
      </c>
      <c r="E8394" s="2">
        <v>43</v>
      </c>
      <c r="F8394" s="2" t="s">
        <v>16</v>
      </c>
    </row>
    <row r="8395" spans="1:6" ht="25.5">
      <c r="A8395" s="2">
        <v>8392</v>
      </c>
      <c r="B8395" s="2" t="s">
        <v>8471</v>
      </c>
      <c r="C8395" s="2" t="str">
        <f>"17438233"</f>
        <v>17438233</v>
      </c>
      <c r="D8395" s="2">
        <v>0.33400000000000002</v>
      </c>
      <c r="E8395" s="2">
        <v>7</v>
      </c>
      <c r="F8395" s="2" t="s">
        <v>16</v>
      </c>
    </row>
    <row r="8396" spans="1:6" ht="25.5">
      <c r="A8396" s="2">
        <v>8393</v>
      </c>
      <c r="B8396" s="2" t="s">
        <v>8472</v>
      </c>
      <c r="C8396" s="2" t="str">
        <f>"02673843"</f>
        <v>02673843</v>
      </c>
      <c r="D8396" s="2">
        <v>0.155</v>
      </c>
      <c r="E8396" s="2">
        <v>5</v>
      </c>
      <c r="F8396" s="2" t="s">
        <v>16</v>
      </c>
    </row>
    <row r="8397" spans="1:6" ht="25.5">
      <c r="A8397" s="2">
        <v>8394</v>
      </c>
      <c r="B8397" s="2" t="s">
        <v>8473</v>
      </c>
      <c r="C8397" s="2" t="str">
        <f>"03340139"</f>
        <v>03340139</v>
      </c>
      <c r="D8397" s="2">
        <v>0.27600000000000002</v>
      </c>
      <c r="E8397" s="2">
        <v>18</v>
      </c>
      <c r="F8397" s="2" t="s">
        <v>12</v>
      </c>
    </row>
    <row r="8398" spans="1:6" ht="25.5">
      <c r="A8398" s="2">
        <v>8395</v>
      </c>
      <c r="B8398" s="2" t="s">
        <v>8474</v>
      </c>
      <c r="C8398" s="2" t="str">
        <f>"17550394"</f>
        <v>17550394</v>
      </c>
      <c r="D8398" s="2">
        <v>0.16600000000000001</v>
      </c>
      <c r="E8398" s="2">
        <v>3</v>
      </c>
      <c r="F8398" s="2" t="s">
        <v>16</v>
      </c>
    </row>
    <row r="8399" spans="1:6" ht="25.5">
      <c r="A8399" s="2">
        <v>8396</v>
      </c>
      <c r="B8399" s="2" t="s">
        <v>8475</v>
      </c>
      <c r="C8399" s="2" t="str">
        <f>"14333015"</f>
        <v>14333015</v>
      </c>
      <c r="D8399" s="2">
        <v>1.0149999999999999</v>
      </c>
      <c r="E8399" s="2">
        <v>50</v>
      </c>
      <c r="F8399" s="2" t="s">
        <v>16</v>
      </c>
    </row>
    <row r="8400" spans="1:6" ht="25.5">
      <c r="A8400" s="2">
        <v>8397</v>
      </c>
      <c r="B8400" s="2" t="s">
        <v>8476</v>
      </c>
      <c r="C8400" s="2" t="str">
        <f>"17568420"</f>
        <v>17568420</v>
      </c>
      <c r="D8400" s="2">
        <v>0.27900000000000003</v>
      </c>
      <c r="E8400" s="2">
        <v>2</v>
      </c>
      <c r="F8400" s="2" t="s">
        <v>31</v>
      </c>
    </row>
    <row r="8401" spans="1:6" ht="25.5">
      <c r="A8401" s="2">
        <v>8398</v>
      </c>
      <c r="B8401" s="2" t="s">
        <v>8477</v>
      </c>
      <c r="C8401" s="2" t="str">
        <f>"17298806"</f>
        <v>17298806</v>
      </c>
      <c r="D8401" s="2">
        <v>0.32500000000000001</v>
      </c>
      <c r="E8401" s="2">
        <v>19</v>
      </c>
      <c r="F8401" s="2" t="s">
        <v>288</v>
      </c>
    </row>
    <row r="8402" spans="1:6" ht="25.5">
      <c r="A8402" s="2">
        <v>8399</v>
      </c>
      <c r="B8402" s="2" t="s">
        <v>8478</v>
      </c>
      <c r="C8402" s="2" t="str">
        <f>"20058039"</f>
        <v>20058039</v>
      </c>
      <c r="D8402" s="2">
        <v>0.65100000000000002</v>
      </c>
      <c r="E8402" s="2">
        <v>16</v>
      </c>
      <c r="F8402" s="2" t="s">
        <v>274</v>
      </c>
    </row>
    <row r="8403" spans="1:6" ht="25.5">
      <c r="A8403" s="2">
        <v>8400</v>
      </c>
      <c r="B8403" s="2" t="s">
        <v>8479</v>
      </c>
      <c r="C8403" s="2" t="str">
        <f>"1478856X"</f>
        <v>1478856X</v>
      </c>
      <c r="D8403" s="2">
        <v>0.19500000000000001</v>
      </c>
      <c r="E8403" s="2">
        <v>3</v>
      </c>
      <c r="F8403" s="2" t="s">
        <v>16</v>
      </c>
    </row>
    <row r="8404" spans="1:6" ht="25.5">
      <c r="A8404" s="2">
        <v>8401</v>
      </c>
      <c r="B8404" s="2" t="s">
        <v>8480</v>
      </c>
      <c r="C8404" s="2" t="str">
        <f>"20748523"</f>
        <v>20748523</v>
      </c>
      <c r="D8404" s="2">
        <v>0.33100000000000002</v>
      </c>
      <c r="E8404" s="2">
        <v>5</v>
      </c>
      <c r="F8404" s="2" t="s">
        <v>557</v>
      </c>
    </row>
    <row r="8405" spans="1:6" ht="25.5">
      <c r="A8405" s="2">
        <v>8402</v>
      </c>
      <c r="B8405" s="2" t="s">
        <v>8481</v>
      </c>
      <c r="C8405" s="2" t="str">
        <f>"02650487"</f>
        <v>02650487</v>
      </c>
      <c r="D8405" s="2">
        <v>0.90100000000000002</v>
      </c>
      <c r="E8405" s="2">
        <v>17</v>
      </c>
      <c r="F8405" s="2" t="s">
        <v>16</v>
      </c>
    </row>
    <row r="8406" spans="1:6" ht="25.5">
      <c r="A8406" s="2">
        <v>8403</v>
      </c>
      <c r="B8406" s="2" t="s">
        <v>8482</v>
      </c>
      <c r="C8406" s="2" t="str">
        <f>"2093274X"</f>
        <v>2093274X</v>
      </c>
      <c r="D8406" s="2">
        <v>0.16200000000000001</v>
      </c>
      <c r="E8406" s="2">
        <v>2</v>
      </c>
      <c r="F8406" s="2" t="s">
        <v>274</v>
      </c>
    </row>
    <row r="8407" spans="1:6" ht="25.5">
      <c r="A8407" s="2">
        <v>8404</v>
      </c>
      <c r="B8407" s="2" t="s">
        <v>8483</v>
      </c>
      <c r="C8407" s="2" t="str">
        <f>"16875974"</f>
        <v>16875974</v>
      </c>
      <c r="D8407" s="2">
        <v>0.115</v>
      </c>
      <c r="E8407" s="2">
        <v>1</v>
      </c>
      <c r="F8407" s="2" t="s">
        <v>6</v>
      </c>
    </row>
    <row r="8408" spans="1:6" ht="25.5">
      <c r="A8408" s="2">
        <v>8405</v>
      </c>
      <c r="B8408" s="2" t="s">
        <v>8484</v>
      </c>
      <c r="C8408" s="2" t="str">
        <f>"17572266"</f>
        <v>17572266</v>
      </c>
      <c r="D8408" s="2">
        <v>0.114</v>
      </c>
      <c r="E8408" s="2">
        <v>2</v>
      </c>
      <c r="F8408" s="2" t="s">
        <v>16</v>
      </c>
    </row>
    <row r="8409" spans="1:6" ht="25.5">
      <c r="A8409" s="2">
        <v>8406</v>
      </c>
      <c r="B8409" s="2" t="s">
        <v>8485</v>
      </c>
      <c r="C8409" s="2" t="str">
        <f>"03617882"</f>
        <v>03617882</v>
      </c>
      <c r="D8409" s="2">
        <v>0.22</v>
      </c>
      <c r="E8409" s="2">
        <v>7</v>
      </c>
      <c r="F8409" s="2" t="s">
        <v>6</v>
      </c>
    </row>
    <row r="8410" spans="1:6" ht="25.5">
      <c r="A8410" s="2">
        <v>8407</v>
      </c>
      <c r="B8410" s="2" t="s">
        <v>8486</v>
      </c>
      <c r="C8410" s="2" t="str">
        <f>"16528670"</f>
        <v>16528670</v>
      </c>
      <c r="D8410" s="2">
        <v>0.28799999999999998</v>
      </c>
      <c r="E8410" s="2">
        <v>3</v>
      </c>
      <c r="F8410" s="2" t="s">
        <v>151</v>
      </c>
    </row>
    <row r="8411" spans="1:6" ht="25.5">
      <c r="A8411" s="2">
        <v>8408</v>
      </c>
      <c r="B8411" s="2" t="s">
        <v>8487</v>
      </c>
      <c r="C8411" s="2" t="str">
        <f>"17461383"</f>
        <v>17461383</v>
      </c>
      <c r="D8411" s="2">
        <v>0.20799999999999999</v>
      </c>
      <c r="E8411" s="2">
        <v>7</v>
      </c>
      <c r="F8411" s="2" t="s">
        <v>16</v>
      </c>
    </row>
    <row r="8412" spans="1:6" ht="25.5">
      <c r="A8412" s="2">
        <v>8409</v>
      </c>
      <c r="B8412" s="2" t="s">
        <v>8488</v>
      </c>
      <c r="C8412" s="2" t="str">
        <f>"15413535"</f>
        <v>15413535</v>
      </c>
      <c r="D8412" s="2">
        <v>0.308</v>
      </c>
      <c r="E8412" s="2">
        <v>33</v>
      </c>
      <c r="F8412" s="2" t="s">
        <v>6</v>
      </c>
    </row>
    <row r="8413" spans="1:6" ht="25.5">
      <c r="A8413" s="2">
        <v>8410</v>
      </c>
      <c r="B8413" s="2" t="s">
        <v>8489</v>
      </c>
      <c r="C8413" s="2" t="str">
        <f>"19346352"</f>
        <v>19346352</v>
      </c>
      <c r="D8413" s="2">
        <v>0.38400000000000001</v>
      </c>
      <c r="E8413" s="2">
        <v>7</v>
      </c>
      <c r="F8413" s="2" t="s">
        <v>46</v>
      </c>
    </row>
    <row r="8414" spans="1:6" ht="25.5">
      <c r="A8414" s="2">
        <v>8411</v>
      </c>
      <c r="B8414" s="2" t="s">
        <v>8490</v>
      </c>
      <c r="C8414" s="2" t="str">
        <f>"09763392"</f>
        <v>09763392</v>
      </c>
      <c r="D8414" s="2">
        <v>0.224</v>
      </c>
      <c r="E8414" s="2">
        <v>2</v>
      </c>
      <c r="F8414" s="2" t="s">
        <v>488</v>
      </c>
    </row>
    <row r="8415" spans="1:6" ht="25.5">
      <c r="A8415" s="2">
        <v>8412</v>
      </c>
      <c r="B8415" s="2" t="s">
        <v>8491</v>
      </c>
      <c r="C8415" s="2" t="str">
        <f>"18164897"</f>
        <v>18164897</v>
      </c>
      <c r="D8415" s="2">
        <v>0.49</v>
      </c>
      <c r="E8415" s="2">
        <v>7</v>
      </c>
      <c r="F8415" s="2" t="s">
        <v>6</v>
      </c>
    </row>
    <row r="8416" spans="1:6" ht="25.5">
      <c r="A8416" s="2">
        <v>8413</v>
      </c>
      <c r="B8416" s="2" t="s">
        <v>8492</v>
      </c>
      <c r="C8416" s="2" t="str">
        <f>"14624605"</f>
        <v>14624605</v>
      </c>
      <c r="D8416" s="2">
        <v>0.36699999999999999</v>
      </c>
      <c r="E8416" s="2">
        <v>12</v>
      </c>
      <c r="F8416" s="2" t="s">
        <v>16</v>
      </c>
    </row>
    <row r="8417" spans="1:6" ht="25.5">
      <c r="A8417" s="2">
        <v>8414</v>
      </c>
      <c r="B8417" s="2" t="s">
        <v>8493</v>
      </c>
      <c r="C8417" s="2" t="str">
        <f>"1747762X"</f>
        <v>1747762X</v>
      </c>
      <c r="D8417" s="2">
        <v>0.81799999999999995</v>
      </c>
      <c r="E8417" s="2">
        <v>10</v>
      </c>
      <c r="F8417" s="2" t="s">
        <v>16</v>
      </c>
    </row>
    <row r="8418" spans="1:6" ht="25.5">
      <c r="A8418" s="2">
        <v>8415</v>
      </c>
      <c r="B8418" s="2" t="s">
        <v>8494</v>
      </c>
      <c r="C8418" s="2" t="str">
        <f>"18149596"</f>
        <v>18149596</v>
      </c>
      <c r="D8418" s="2">
        <v>0.4</v>
      </c>
      <c r="E8418" s="2">
        <v>12</v>
      </c>
      <c r="F8418" s="2" t="s">
        <v>43</v>
      </c>
    </row>
    <row r="8419" spans="1:6" ht="25.5">
      <c r="A8419" s="2">
        <v>8416</v>
      </c>
      <c r="B8419" s="2" t="s">
        <v>8495</v>
      </c>
      <c r="C8419" s="2" t="str">
        <f>"02181967"</f>
        <v>02181967</v>
      </c>
      <c r="D8419" s="2">
        <v>0.66900000000000004</v>
      </c>
      <c r="E8419" s="2">
        <v>20</v>
      </c>
      <c r="F8419" s="2" t="s">
        <v>543</v>
      </c>
    </row>
    <row r="8420" spans="1:6" ht="25.5">
      <c r="A8420" s="2">
        <v>8417</v>
      </c>
      <c r="B8420" s="2" t="s">
        <v>8496</v>
      </c>
      <c r="C8420" s="2" t="str">
        <f>"17418011"</f>
        <v>17418011</v>
      </c>
      <c r="D8420" s="2">
        <v>0</v>
      </c>
      <c r="E8420" s="2">
        <v>0</v>
      </c>
      <c r="F8420" s="2" t="s">
        <v>31</v>
      </c>
    </row>
    <row r="8421" spans="1:6" ht="25.5">
      <c r="A8421" s="2">
        <v>8418</v>
      </c>
      <c r="B8421" s="2" t="s">
        <v>8497</v>
      </c>
      <c r="C8421" s="2" t="str">
        <f>"19416245"</f>
        <v>19416245</v>
      </c>
      <c r="D8421" s="2">
        <v>0.185</v>
      </c>
      <c r="E8421" s="2">
        <v>4</v>
      </c>
      <c r="F8421" s="2" t="s">
        <v>6</v>
      </c>
    </row>
    <row r="8422" spans="1:6" ht="25.5">
      <c r="A8422" s="2">
        <v>8419</v>
      </c>
      <c r="B8422" s="2" t="s">
        <v>8498</v>
      </c>
      <c r="C8422" s="2" t="str">
        <f>"01430750"</f>
        <v>01430750</v>
      </c>
      <c r="D8422" s="2">
        <v>0.24</v>
      </c>
      <c r="E8422" s="2">
        <v>13</v>
      </c>
      <c r="F8422" s="2" t="s">
        <v>16</v>
      </c>
    </row>
    <row r="8423" spans="1:6" ht="25.5">
      <c r="A8423" s="2">
        <v>8420</v>
      </c>
      <c r="B8423" s="2" t="s">
        <v>8499</v>
      </c>
      <c r="C8423" s="2" t="str">
        <f>"00207071"</f>
        <v>00207071</v>
      </c>
      <c r="D8423" s="2">
        <v>0.156</v>
      </c>
      <c r="E8423" s="2">
        <v>8</v>
      </c>
      <c r="F8423" s="2" t="s">
        <v>6</v>
      </c>
    </row>
    <row r="8424" spans="1:6" ht="25.5">
      <c r="A8424" s="2">
        <v>8421</v>
      </c>
      <c r="B8424" s="2" t="s">
        <v>8500</v>
      </c>
      <c r="C8424" s="2" t="str">
        <f>"13652605"</f>
        <v>13652605</v>
      </c>
      <c r="D8424" s="2">
        <v>0.86499999999999999</v>
      </c>
      <c r="E8424" s="2">
        <v>58</v>
      </c>
      <c r="F8424" s="2" t="s">
        <v>16</v>
      </c>
    </row>
    <row r="8425" spans="1:6" ht="25.5">
      <c r="A8425" s="2">
        <v>8422</v>
      </c>
      <c r="B8425" s="2" t="s">
        <v>8501</v>
      </c>
      <c r="C8425" s="2" t="str">
        <f>"16155939"</f>
        <v>16155939</v>
      </c>
      <c r="D8425" s="2">
        <v>0.15</v>
      </c>
      <c r="E8425" s="2">
        <v>13</v>
      </c>
      <c r="F8425" s="2" t="s">
        <v>12</v>
      </c>
    </row>
    <row r="8426" spans="1:6" ht="25.5">
      <c r="A8426" s="2">
        <v>8423</v>
      </c>
      <c r="B8426" s="2" t="s">
        <v>8502</v>
      </c>
      <c r="C8426" s="2" t="str">
        <f>"16875877"</f>
        <v>16875877</v>
      </c>
      <c r="D8426" s="2">
        <v>0.312</v>
      </c>
      <c r="E8426" s="2">
        <v>4</v>
      </c>
      <c r="F8426" s="2" t="s">
        <v>523</v>
      </c>
    </row>
    <row r="8427" spans="1:6" ht="25.5">
      <c r="A8427" s="2">
        <v>8424</v>
      </c>
      <c r="B8427" s="2" t="s">
        <v>8503</v>
      </c>
      <c r="C8427" s="2" t="str">
        <f>"18727913"</f>
        <v>18727913</v>
      </c>
      <c r="D8427" s="2">
        <v>1.3740000000000001</v>
      </c>
      <c r="E8427" s="2">
        <v>71</v>
      </c>
      <c r="F8427" s="2" t="s">
        <v>75</v>
      </c>
    </row>
    <row r="8428" spans="1:6" ht="25.5">
      <c r="A8428" s="2">
        <v>8425</v>
      </c>
      <c r="B8428" s="2" t="s">
        <v>8504</v>
      </c>
      <c r="C8428" s="2" t="str">
        <f>"09727302"</f>
        <v>09727302</v>
      </c>
      <c r="D8428" s="2">
        <v>0.111</v>
      </c>
      <c r="E8428" s="2">
        <v>2</v>
      </c>
      <c r="F8428" s="2" t="s">
        <v>488</v>
      </c>
    </row>
    <row r="8429" spans="1:6" ht="25.5">
      <c r="A8429" s="2">
        <v>8426</v>
      </c>
      <c r="B8429" s="2" t="s">
        <v>8505</v>
      </c>
      <c r="C8429" s="2" t="str">
        <f>"1546542X"</f>
        <v>1546542X</v>
      </c>
      <c r="D8429" s="2">
        <v>0.53500000000000003</v>
      </c>
      <c r="E8429" s="2">
        <v>30</v>
      </c>
      <c r="F8429" s="2" t="s">
        <v>16</v>
      </c>
    </row>
    <row r="8430" spans="1:6" ht="25.5">
      <c r="A8430" s="2">
        <v>8427</v>
      </c>
      <c r="B8430" s="2" t="s">
        <v>8506</v>
      </c>
      <c r="C8430" s="2" t="str">
        <f>"17530571"</f>
        <v>17530571</v>
      </c>
      <c r="D8430" s="2">
        <v>0.375</v>
      </c>
      <c r="E8430" s="2">
        <v>6</v>
      </c>
      <c r="F8430" s="2" t="s">
        <v>31</v>
      </c>
    </row>
    <row r="8431" spans="1:6" ht="25.5">
      <c r="A8431" s="2">
        <v>8428</v>
      </c>
      <c r="B8431" s="2" t="s">
        <v>8507</v>
      </c>
      <c r="C8431" s="2" t="str">
        <f>"17558085"</f>
        <v>17558085</v>
      </c>
      <c r="D8431" s="2">
        <v>0.309</v>
      </c>
      <c r="E8431" s="2">
        <v>4</v>
      </c>
      <c r="F8431" s="2" t="s">
        <v>16</v>
      </c>
    </row>
    <row r="8432" spans="1:6" ht="25.5">
      <c r="A8432" s="2">
        <v>8429</v>
      </c>
      <c r="B8432" s="2" t="s">
        <v>8508</v>
      </c>
      <c r="C8432" s="2" t="str">
        <f>"15698432"</f>
        <v>15698432</v>
      </c>
      <c r="D8432" s="2">
        <v>0.96899999999999997</v>
      </c>
      <c r="E8432" s="2">
        <v>32</v>
      </c>
      <c r="F8432" s="2" t="s">
        <v>75</v>
      </c>
    </row>
    <row r="8433" spans="1:6" ht="25.5">
      <c r="A8433" s="2">
        <v>8430</v>
      </c>
      <c r="B8433" s="2" t="s">
        <v>8509</v>
      </c>
      <c r="C8433" s="2" t="str">
        <f>"13835416"</f>
        <v>13835416</v>
      </c>
      <c r="D8433" s="2">
        <v>0.255</v>
      </c>
      <c r="E8433" s="2">
        <v>16</v>
      </c>
      <c r="F8433" s="2" t="s">
        <v>75</v>
      </c>
    </row>
    <row r="8434" spans="1:6" ht="25.5">
      <c r="A8434" s="2">
        <v>8431</v>
      </c>
      <c r="B8434" s="2" t="s">
        <v>8510</v>
      </c>
      <c r="C8434" s="2" t="str">
        <f>"09734562"</f>
        <v>09734562</v>
      </c>
      <c r="D8434" s="2">
        <v>0.113</v>
      </c>
      <c r="E8434" s="2">
        <v>2</v>
      </c>
      <c r="F8434" s="2" t="s">
        <v>488</v>
      </c>
    </row>
    <row r="8435" spans="1:6" ht="25.5">
      <c r="A8435" s="2">
        <v>8432</v>
      </c>
      <c r="B8435" s="2" t="s">
        <v>8511</v>
      </c>
      <c r="C8435" s="2" t="str">
        <f>"09740260"</f>
        <v>09740260</v>
      </c>
      <c r="D8435" s="2">
        <v>0.104</v>
      </c>
      <c r="E8435" s="2">
        <v>2</v>
      </c>
      <c r="F8435" s="2" t="s">
        <v>488</v>
      </c>
    </row>
    <row r="8436" spans="1:6" ht="25.5">
      <c r="A8436" s="2">
        <v>8433</v>
      </c>
      <c r="B8436" s="2" t="s">
        <v>8512</v>
      </c>
      <c r="C8436" s="2" t="str">
        <f>"08026106"</f>
        <v>08026106</v>
      </c>
      <c r="D8436" s="2">
        <v>0.42799999999999999</v>
      </c>
      <c r="E8436" s="2">
        <v>12</v>
      </c>
      <c r="F8436" s="2" t="s">
        <v>16</v>
      </c>
    </row>
    <row r="8437" spans="1:6" ht="25.5">
      <c r="A8437" s="2">
        <v>8434</v>
      </c>
      <c r="B8437" s="2" t="s">
        <v>8513</v>
      </c>
      <c r="C8437" s="2" t="str">
        <f>"17558921"</f>
        <v>17558921</v>
      </c>
      <c r="D8437" s="2">
        <v>0.28699999999999998</v>
      </c>
      <c r="E8437" s="2">
        <v>6</v>
      </c>
      <c r="F8437" s="2" t="s">
        <v>31</v>
      </c>
    </row>
    <row r="8438" spans="1:6" ht="25.5">
      <c r="A8438" s="2">
        <v>8435</v>
      </c>
      <c r="B8438" s="2" t="s">
        <v>8514</v>
      </c>
      <c r="C8438" s="2" t="str">
        <f>"1641876X"</f>
        <v>1641876X</v>
      </c>
      <c r="D8438" s="2">
        <v>0.57399999999999995</v>
      </c>
      <c r="E8438" s="2">
        <v>17</v>
      </c>
      <c r="F8438" s="2" t="s">
        <v>169</v>
      </c>
    </row>
    <row r="8439" spans="1:6" ht="25.5">
      <c r="A8439" s="2">
        <v>8436</v>
      </c>
      <c r="B8439" s="2" t="s">
        <v>8515</v>
      </c>
      <c r="C8439" s="2" t="str">
        <f>"09731377"</f>
        <v>09731377</v>
      </c>
      <c r="D8439" s="2">
        <v>0.11600000000000001</v>
      </c>
      <c r="E8439" s="2">
        <v>3</v>
      </c>
      <c r="F8439" s="2" t="s">
        <v>488</v>
      </c>
    </row>
    <row r="8440" spans="1:6" ht="25.5">
      <c r="A8440" s="2">
        <v>8437</v>
      </c>
      <c r="B8440" s="2" t="s">
        <v>8516</v>
      </c>
      <c r="C8440" s="2" t="str">
        <f>"1758826X"</f>
        <v>1758826X</v>
      </c>
      <c r="D8440" s="2">
        <v>0.93300000000000005</v>
      </c>
      <c r="E8440" s="2">
        <v>10</v>
      </c>
      <c r="F8440" s="2" t="s">
        <v>6</v>
      </c>
    </row>
    <row r="8441" spans="1:6" ht="25.5">
      <c r="A8441" s="2">
        <v>8438</v>
      </c>
      <c r="B8441" s="2" t="s">
        <v>8517</v>
      </c>
      <c r="C8441" s="2" t="str">
        <f>"09757058"</f>
        <v>09757058</v>
      </c>
      <c r="D8441" s="2">
        <v>0.18099999999999999</v>
      </c>
      <c r="E8441" s="2">
        <v>2</v>
      </c>
      <c r="F8441" s="2" t="s">
        <v>488</v>
      </c>
    </row>
    <row r="8442" spans="1:6" ht="25.5">
      <c r="A8442" s="2">
        <v>8439</v>
      </c>
      <c r="B8442" s="2" t="s">
        <v>8518</v>
      </c>
      <c r="C8442" s="2" t="str">
        <f>"17423341"</f>
        <v>17423341</v>
      </c>
      <c r="D8442" s="2">
        <v>0.113</v>
      </c>
      <c r="E8442" s="2">
        <v>8</v>
      </c>
      <c r="F8442" s="2" t="s">
        <v>16</v>
      </c>
    </row>
    <row r="8443" spans="1:6" ht="25.5">
      <c r="A8443" s="2">
        <v>8440</v>
      </c>
      <c r="B8443" s="2" t="s">
        <v>8519</v>
      </c>
      <c r="C8443" s="2" t="str">
        <f>"19406223"</f>
        <v>19406223</v>
      </c>
      <c r="D8443" s="2">
        <v>0.32300000000000001</v>
      </c>
      <c r="E8443" s="2">
        <v>9</v>
      </c>
      <c r="F8443" s="2" t="s">
        <v>6</v>
      </c>
    </row>
    <row r="8444" spans="1:6" ht="25.5">
      <c r="A8444" s="2">
        <v>8441</v>
      </c>
      <c r="B8444" s="2" t="s">
        <v>8520</v>
      </c>
      <c r="C8444" s="2" t="str">
        <f>"15422666"</f>
        <v>15422666</v>
      </c>
      <c r="D8444" s="2">
        <v>0.13300000000000001</v>
      </c>
      <c r="E8444" s="2">
        <v>3</v>
      </c>
      <c r="F8444" s="2" t="s">
        <v>6</v>
      </c>
    </row>
    <row r="8445" spans="1:6" ht="25.5">
      <c r="A8445" s="2">
        <v>8442</v>
      </c>
      <c r="B8445" s="2" t="s">
        <v>8521</v>
      </c>
      <c r="C8445" s="2" t="str">
        <f>"17510597"</f>
        <v>17510597</v>
      </c>
      <c r="D8445" s="2">
        <v>0.108</v>
      </c>
      <c r="E8445" s="2">
        <v>3</v>
      </c>
      <c r="F8445" s="2" t="s">
        <v>16</v>
      </c>
    </row>
    <row r="8446" spans="1:6" ht="25.5">
      <c r="A8446" s="2">
        <v>8443</v>
      </c>
      <c r="B8446" s="2" t="s">
        <v>8522</v>
      </c>
      <c r="C8446" s="2" t="str">
        <f>"13019724"</f>
        <v>13019724</v>
      </c>
      <c r="D8446" s="2">
        <v>0.30099999999999999</v>
      </c>
      <c r="E8446" s="2">
        <v>15</v>
      </c>
      <c r="F8446" s="2" t="s">
        <v>6</v>
      </c>
    </row>
    <row r="8447" spans="1:6" ht="25.5">
      <c r="A8447" s="2">
        <v>8444</v>
      </c>
      <c r="B8447" s="2" t="s">
        <v>8523</v>
      </c>
      <c r="C8447" s="2" t="str">
        <f>"18734731"</f>
        <v>18734731</v>
      </c>
      <c r="D8447" s="2">
        <v>2.351</v>
      </c>
      <c r="E8447" s="2">
        <v>50</v>
      </c>
      <c r="F8447" s="2" t="s">
        <v>6</v>
      </c>
    </row>
    <row r="8448" spans="1:6" ht="25.5">
      <c r="A8448" s="2">
        <v>8445</v>
      </c>
      <c r="B8448" s="2" t="s">
        <v>8524</v>
      </c>
      <c r="C8448" s="2" t="str">
        <f>"14780771"</f>
        <v>14780771</v>
      </c>
      <c r="D8448" s="2">
        <v>0.17299999999999999</v>
      </c>
      <c r="E8448" s="2">
        <v>2</v>
      </c>
      <c r="F8448" s="2" t="s">
        <v>16</v>
      </c>
    </row>
    <row r="8449" spans="1:6" ht="25.5">
      <c r="A8449" s="2">
        <v>8446</v>
      </c>
      <c r="B8449" s="2" t="s">
        <v>8525</v>
      </c>
      <c r="C8449" s="2" t="str">
        <f>"15583058"</f>
        <v>15583058</v>
      </c>
      <c r="D8449" s="2">
        <v>0.247</v>
      </c>
      <c r="E8449" s="2">
        <v>3</v>
      </c>
      <c r="F8449" s="2" t="s">
        <v>16</v>
      </c>
    </row>
    <row r="8450" spans="1:6" ht="25.5">
      <c r="A8450" s="2">
        <v>8447</v>
      </c>
      <c r="B8450" s="2" t="s">
        <v>8526</v>
      </c>
      <c r="C8450" s="2" t="str">
        <f>"14768062"</f>
        <v>14768062</v>
      </c>
      <c r="D8450" s="2">
        <v>0.13800000000000001</v>
      </c>
      <c r="E8450" s="2">
        <v>8</v>
      </c>
      <c r="F8450" s="2" t="s">
        <v>16</v>
      </c>
    </row>
    <row r="8451" spans="1:6" ht="25.5">
      <c r="A8451" s="2">
        <v>8448</v>
      </c>
      <c r="B8451" s="2" t="s">
        <v>8527</v>
      </c>
      <c r="C8451" s="2" t="str">
        <f>"09740635"</f>
        <v>09740635</v>
      </c>
      <c r="D8451" s="2">
        <v>0.439</v>
      </c>
      <c r="E8451" s="2">
        <v>6</v>
      </c>
      <c r="F8451" s="2" t="s">
        <v>488</v>
      </c>
    </row>
    <row r="8452" spans="1:6" ht="25.5">
      <c r="A8452" s="2">
        <v>8449</v>
      </c>
      <c r="B8452" s="2" t="s">
        <v>8528</v>
      </c>
      <c r="C8452" s="2" t="str">
        <f>"15604306"</f>
        <v>15604306</v>
      </c>
      <c r="D8452" s="2">
        <v>0.46400000000000002</v>
      </c>
      <c r="E8452" s="2">
        <v>7</v>
      </c>
      <c r="F8452" s="2" t="s">
        <v>75</v>
      </c>
    </row>
    <row r="8453" spans="1:6" ht="25.5">
      <c r="A8453" s="2">
        <v>8450</v>
      </c>
      <c r="B8453" s="2" t="s">
        <v>8529</v>
      </c>
      <c r="C8453" s="2" t="str">
        <f>"03913988"</f>
        <v>03913988</v>
      </c>
      <c r="D8453" s="2">
        <v>0.46200000000000002</v>
      </c>
      <c r="E8453" s="2">
        <v>38</v>
      </c>
      <c r="F8453" s="2" t="s">
        <v>190</v>
      </c>
    </row>
    <row r="8454" spans="1:6" ht="25.5">
      <c r="A8454" s="2">
        <v>8451</v>
      </c>
      <c r="B8454" s="2" t="s">
        <v>8530</v>
      </c>
      <c r="C8454" s="2" t="str">
        <f>"17548853"</f>
        <v>17548853</v>
      </c>
      <c r="D8454" s="2">
        <v>0.16400000000000001</v>
      </c>
      <c r="E8454" s="2">
        <v>6</v>
      </c>
      <c r="F8454" s="2" t="s">
        <v>31</v>
      </c>
    </row>
    <row r="8455" spans="1:6" ht="25.5">
      <c r="A8455" s="2">
        <v>8452</v>
      </c>
      <c r="B8455" s="2" t="s">
        <v>8531</v>
      </c>
      <c r="C8455" s="2" t="str">
        <f>"14808986"</f>
        <v>14808986</v>
      </c>
      <c r="D8455" s="2">
        <v>0.13900000000000001</v>
      </c>
      <c r="E8455" s="2">
        <v>1</v>
      </c>
      <c r="F8455" s="2" t="s">
        <v>64</v>
      </c>
    </row>
    <row r="8456" spans="1:6" ht="25.5">
      <c r="A8456" s="2">
        <v>8453</v>
      </c>
      <c r="B8456" s="2" t="s">
        <v>8532</v>
      </c>
      <c r="C8456" s="2" t="str">
        <f>"17454832"</f>
        <v>17454832</v>
      </c>
      <c r="D8456" s="2">
        <v>0.20300000000000001</v>
      </c>
      <c r="E8456" s="2">
        <v>2</v>
      </c>
      <c r="F8456" s="2" t="s">
        <v>16</v>
      </c>
    </row>
    <row r="8457" spans="1:6" ht="25.5">
      <c r="A8457" s="2">
        <v>8454</v>
      </c>
      <c r="B8457" s="2" t="s">
        <v>8533</v>
      </c>
      <c r="C8457" s="2" t="str">
        <f>"18236243"</f>
        <v>18236243</v>
      </c>
      <c r="D8457" s="2">
        <v>0.10199999999999999</v>
      </c>
      <c r="E8457" s="2">
        <v>1</v>
      </c>
      <c r="F8457" s="2" t="s">
        <v>37</v>
      </c>
    </row>
    <row r="8458" spans="1:6" ht="25.5">
      <c r="A8458" s="2">
        <v>8455</v>
      </c>
      <c r="B8458" s="2" t="s">
        <v>8534</v>
      </c>
      <c r="C8458" s="2" t="str">
        <f>"14735504"</f>
        <v>14735504</v>
      </c>
      <c r="D8458" s="2">
        <v>0.41499999999999998</v>
      </c>
      <c r="E8458" s="2">
        <v>13</v>
      </c>
      <c r="F8458" s="2" t="s">
        <v>16</v>
      </c>
    </row>
    <row r="8459" spans="1:6" ht="25.5">
      <c r="A8459" s="2">
        <v>8456</v>
      </c>
      <c r="B8459" s="2" t="s">
        <v>8535</v>
      </c>
      <c r="C8459" s="2" t="str">
        <f>"21577285"</f>
        <v>21577285</v>
      </c>
      <c r="D8459" s="2">
        <v>0.126</v>
      </c>
      <c r="E8459" s="2">
        <v>8</v>
      </c>
      <c r="F8459" s="2" t="s">
        <v>6</v>
      </c>
    </row>
    <row r="8460" spans="1:6" ht="25.5">
      <c r="A8460" s="2">
        <v>8457</v>
      </c>
      <c r="B8460" s="2" t="s">
        <v>8536</v>
      </c>
      <c r="C8460" s="2" t="str">
        <f>"17088186"</f>
        <v>17088186</v>
      </c>
      <c r="D8460" s="2">
        <v>1.117</v>
      </c>
      <c r="E8460" s="2">
        <v>38</v>
      </c>
      <c r="F8460" s="2" t="s">
        <v>16</v>
      </c>
    </row>
    <row r="8461" spans="1:6" ht="25.5">
      <c r="A8461" s="2">
        <v>8458</v>
      </c>
      <c r="B8461" s="2" t="s">
        <v>8537</v>
      </c>
      <c r="C8461" s="2" t="str">
        <f>"10991123"</f>
        <v>10991123</v>
      </c>
      <c r="D8461" s="2">
        <v>0.17499999999999999</v>
      </c>
      <c r="E8461" s="2">
        <v>2</v>
      </c>
      <c r="F8461" s="2" t="s">
        <v>16</v>
      </c>
    </row>
    <row r="8462" spans="1:6" ht="25.5">
      <c r="A8462" s="2">
        <v>8459</v>
      </c>
      <c r="B8462" s="2" t="s">
        <v>8538</v>
      </c>
      <c r="C8462" s="2" t="str">
        <f>"14768186"</f>
        <v>14768186</v>
      </c>
      <c r="D8462" s="2">
        <v>0.68400000000000005</v>
      </c>
      <c r="E8462" s="2">
        <v>15</v>
      </c>
      <c r="F8462" s="2" t="s">
        <v>46</v>
      </c>
    </row>
    <row r="8463" spans="1:6" ht="25.5">
      <c r="A8463" s="2">
        <v>8460</v>
      </c>
      <c r="B8463" s="2" t="s">
        <v>8539</v>
      </c>
      <c r="C8463" s="2" t="str">
        <f>"17407524"</f>
        <v>17407524</v>
      </c>
      <c r="D8463" s="2">
        <v>0.188</v>
      </c>
      <c r="E8463" s="2">
        <v>4</v>
      </c>
      <c r="F8463" s="2" t="s">
        <v>16</v>
      </c>
    </row>
    <row r="8464" spans="1:6" ht="25.5">
      <c r="A8464" s="2">
        <v>8461</v>
      </c>
      <c r="B8464" s="2" t="s">
        <v>8540</v>
      </c>
      <c r="C8464" s="2" t="str">
        <f>"18838022"</f>
        <v>18838022</v>
      </c>
      <c r="D8464" s="2">
        <v>0.36899999999999999</v>
      </c>
      <c r="E8464" s="2">
        <v>3</v>
      </c>
      <c r="F8464" s="2" t="s">
        <v>131</v>
      </c>
    </row>
    <row r="8465" spans="1:6" ht="25.5">
      <c r="A8465" s="2">
        <v>8462</v>
      </c>
      <c r="B8465" s="2" t="s">
        <v>8541</v>
      </c>
      <c r="C8465" s="2" t="str">
        <f>"12299138"</f>
        <v>12299138</v>
      </c>
      <c r="D8465" s="2">
        <v>0.64500000000000002</v>
      </c>
      <c r="E8465" s="2">
        <v>17</v>
      </c>
      <c r="F8465" s="2" t="s">
        <v>274</v>
      </c>
    </row>
    <row r="8466" spans="1:6" ht="25.5">
      <c r="A8466" s="2">
        <v>8463</v>
      </c>
      <c r="B8466" s="2" t="s">
        <v>8542</v>
      </c>
      <c r="C8466" s="2" t="str">
        <f>"14709511"</f>
        <v>14709511</v>
      </c>
      <c r="D8466" s="2">
        <v>0.32200000000000001</v>
      </c>
      <c r="E8466" s="2">
        <v>8</v>
      </c>
      <c r="F8466" s="2" t="s">
        <v>16</v>
      </c>
    </row>
    <row r="8467" spans="1:6" ht="25.5">
      <c r="A8467" s="2">
        <v>8464</v>
      </c>
      <c r="B8467" s="2" t="s">
        <v>8543</v>
      </c>
      <c r="C8467" s="2" t="str">
        <f>"17548640"</f>
        <v>17548640</v>
      </c>
      <c r="D8467" s="2">
        <v>0.11</v>
      </c>
      <c r="E8467" s="2">
        <v>6</v>
      </c>
      <c r="F8467" s="2" t="s">
        <v>16</v>
      </c>
    </row>
    <row r="8468" spans="1:6" ht="25.5">
      <c r="A8468" s="2">
        <v>8465</v>
      </c>
      <c r="B8468" s="2" t="s">
        <v>8544</v>
      </c>
      <c r="C8468" s="2" t="str">
        <f>"15327108"</f>
        <v>15327108</v>
      </c>
      <c r="D8468" s="2">
        <v>0.26400000000000001</v>
      </c>
      <c r="E8468" s="2">
        <v>24</v>
      </c>
      <c r="F8468" s="2" t="s">
        <v>16</v>
      </c>
    </row>
    <row r="8469" spans="1:6" ht="25.5">
      <c r="A8469" s="2">
        <v>8466</v>
      </c>
      <c r="B8469" s="2" t="s">
        <v>8545</v>
      </c>
      <c r="C8469" s="2" t="str">
        <f>"0974925X"</f>
        <v>0974925X</v>
      </c>
      <c r="D8469" s="2">
        <v>0.11799999999999999</v>
      </c>
      <c r="E8469" s="2">
        <v>1</v>
      </c>
      <c r="F8469" s="2" t="s">
        <v>488</v>
      </c>
    </row>
    <row r="8470" spans="1:6" ht="25.5">
      <c r="A8470" s="2">
        <v>8467</v>
      </c>
      <c r="B8470" s="2" t="s">
        <v>8546</v>
      </c>
      <c r="C8470" s="2" t="str">
        <f>"17553849"</f>
        <v>17553849</v>
      </c>
      <c r="D8470" s="2">
        <v>0.13700000000000001</v>
      </c>
      <c r="E8470" s="2">
        <v>3</v>
      </c>
      <c r="F8470" s="2" t="s">
        <v>31</v>
      </c>
    </row>
    <row r="8471" spans="1:6" ht="25.5">
      <c r="A8471" s="2">
        <v>8468</v>
      </c>
      <c r="B8471" s="2" t="s">
        <v>8547</v>
      </c>
      <c r="C8471" s="2" t="str">
        <f>"02652323"</f>
        <v>02652323</v>
      </c>
      <c r="D8471" s="2">
        <v>0.71599999999999997</v>
      </c>
      <c r="E8471" s="2">
        <v>21</v>
      </c>
      <c r="F8471" s="2" t="s">
        <v>16</v>
      </c>
    </row>
    <row r="8472" spans="1:6" ht="25.5">
      <c r="A8472" s="2">
        <v>8469</v>
      </c>
      <c r="B8472" s="2" t="s">
        <v>8548</v>
      </c>
      <c r="C8472" s="2" t="str">
        <f>"14640651"</f>
        <v>14640651</v>
      </c>
      <c r="D8472" s="2">
        <v>0.91</v>
      </c>
      <c r="E8472" s="2">
        <v>43</v>
      </c>
      <c r="F8472" s="2" t="s">
        <v>16</v>
      </c>
    </row>
    <row r="8473" spans="1:6" ht="25.5">
      <c r="A8473" s="2">
        <v>8470</v>
      </c>
      <c r="B8473" s="2" t="s">
        <v>8549</v>
      </c>
      <c r="C8473" s="2" t="str">
        <f>"15327558"</f>
        <v>15327558</v>
      </c>
      <c r="D8473" s="2">
        <v>0.88</v>
      </c>
      <c r="E8473" s="2">
        <v>35</v>
      </c>
      <c r="F8473" s="2" t="s">
        <v>6</v>
      </c>
    </row>
    <row r="8474" spans="1:6" ht="25.5">
      <c r="A8474" s="2">
        <v>8471</v>
      </c>
      <c r="B8474" s="2" t="s">
        <v>8550</v>
      </c>
      <c r="C8474" s="2" t="str">
        <f>"14795868"</f>
        <v>14795868</v>
      </c>
      <c r="D8474" s="2">
        <v>1.7629999999999999</v>
      </c>
      <c r="E8474" s="2">
        <v>41</v>
      </c>
      <c r="F8474" s="2" t="s">
        <v>16</v>
      </c>
    </row>
    <row r="8475" spans="1:6" ht="25.5">
      <c r="A8475" s="2">
        <v>8472</v>
      </c>
      <c r="B8475" s="2" t="s">
        <v>8551</v>
      </c>
      <c r="C8475" s="2" t="str">
        <f>"02181274"</f>
        <v>02181274</v>
      </c>
      <c r="D8475" s="2">
        <v>0.54</v>
      </c>
      <c r="E8475" s="2">
        <v>63</v>
      </c>
      <c r="F8475" s="2" t="s">
        <v>543</v>
      </c>
    </row>
    <row r="8476" spans="1:6" ht="25.5">
      <c r="A8476" s="2">
        <v>8473</v>
      </c>
      <c r="B8476" s="2" t="s">
        <v>8552</v>
      </c>
      <c r="C8476" s="2" t="str">
        <f>"13670050"</f>
        <v>13670050</v>
      </c>
      <c r="D8476" s="2">
        <v>0.45300000000000001</v>
      </c>
      <c r="E8476" s="2">
        <v>12</v>
      </c>
      <c r="F8476" s="2" t="s">
        <v>16</v>
      </c>
    </row>
    <row r="8477" spans="1:6" ht="25.5">
      <c r="A8477" s="2">
        <v>8474</v>
      </c>
      <c r="B8477" s="2" t="s">
        <v>8553</v>
      </c>
      <c r="C8477" s="2" t="str">
        <f>"13670069"</f>
        <v>13670069</v>
      </c>
      <c r="D8477" s="2">
        <v>0.47499999999999998</v>
      </c>
      <c r="E8477" s="2">
        <v>13</v>
      </c>
      <c r="F8477" s="2" t="s">
        <v>16</v>
      </c>
    </row>
    <row r="8478" spans="1:6" ht="25.5">
      <c r="A8478" s="2">
        <v>8475</v>
      </c>
      <c r="B8478" s="2" t="s">
        <v>8554</v>
      </c>
      <c r="C8478" s="2" t="str">
        <f>"13572725"</f>
        <v>13572725</v>
      </c>
      <c r="D8478" s="2">
        <v>2.0259999999999998</v>
      </c>
      <c r="E8478" s="2">
        <v>118</v>
      </c>
      <c r="F8478" s="2" t="s">
        <v>16</v>
      </c>
    </row>
    <row r="8479" spans="1:6" ht="25.5">
      <c r="A8479" s="2">
        <v>8476</v>
      </c>
      <c r="B8479" s="2" t="s">
        <v>8555</v>
      </c>
      <c r="C8479" s="2" t="str">
        <f>"21513740"</f>
        <v>21513740</v>
      </c>
      <c r="D8479" s="2">
        <v>0.193</v>
      </c>
      <c r="E8479" s="2">
        <v>7</v>
      </c>
      <c r="F8479" s="2" t="s">
        <v>16</v>
      </c>
    </row>
    <row r="8480" spans="1:6" ht="25.5">
      <c r="A8480" s="2">
        <v>8477</v>
      </c>
      <c r="B8480" s="2" t="s">
        <v>8556</v>
      </c>
      <c r="C8480" s="2" t="str">
        <f>"17445493"</f>
        <v>17445493</v>
      </c>
      <c r="D8480" s="2">
        <v>0.189</v>
      </c>
      <c r="E8480" s="2">
        <v>10</v>
      </c>
      <c r="F8480" s="2" t="s">
        <v>16</v>
      </c>
    </row>
    <row r="8481" spans="1:6" ht="25.5">
      <c r="A8481" s="2">
        <v>8478</v>
      </c>
      <c r="B8481" s="2" t="s">
        <v>8557</v>
      </c>
      <c r="C8481" s="2" t="str">
        <f>"17580374"</f>
        <v>17580374</v>
      </c>
      <c r="D8481" s="2">
        <v>1.171</v>
      </c>
      <c r="E8481" s="2">
        <v>16</v>
      </c>
      <c r="F8481" s="2" t="s">
        <v>31</v>
      </c>
    </row>
    <row r="8482" spans="1:6" ht="25.5">
      <c r="A8482" s="2">
        <v>8479</v>
      </c>
      <c r="B8482" s="2" t="s">
        <v>8558</v>
      </c>
      <c r="C8482" s="2" t="str">
        <f>"1819155X"</f>
        <v>1819155X</v>
      </c>
      <c r="D8482" s="2">
        <v>0.27400000000000002</v>
      </c>
      <c r="E8482" s="2">
        <v>5</v>
      </c>
      <c r="F8482" s="2" t="s">
        <v>43</v>
      </c>
    </row>
    <row r="8483" spans="1:6" ht="25.5">
      <c r="A8483" s="2">
        <v>8480</v>
      </c>
      <c r="B8483" s="2" t="s">
        <v>8559</v>
      </c>
      <c r="C8483" s="2" t="str">
        <f>"01418130"</f>
        <v>01418130</v>
      </c>
      <c r="D8483" s="2">
        <v>0.69899999999999995</v>
      </c>
      <c r="E8483" s="2">
        <v>58</v>
      </c>
      <c r="F8483" s="2" t="s">
        <v>75</v>
      </c>
    </row>
    <row r="8484" spans="1:6" ht="25.5">
      <c r="A8484" s="2">
        <v>8481</v>
      </c>
      <c r="B8484" s="2" t="s">
        <v>8560</v>
      </c>
      <c r="C8484" s="2" t="str">
        <f>"03936155"</f>
        <v>03936155</v>
      </c>
      <c r="D8484" s="2">
        <v>0.6</v>
      </c>
      <c r="E8484" s="2">
        <v>28</v>
      </c>
      <c r="F8484" s="2" t="s">
        <v>190</v>
      </c>
    </row>
    <row r="8485" spans="1:6" ht="25.5">
      <c r="A8485" s="2">
        <v>8482</v>
      </c>
      <c r="B8485" s="2" t="s">
        <v>8561</v>
      </c>
      <c r="C8485" s="2" t="str">
        <f>"14492288"</f>
        <v>14492288</v>
      </c>
      <c r="D8485" s="2">
        <v>1.016</v>
      </c>
      <c r="E8485" s="2">
        <v>28</v>
      </c>
      <c r="F8485" s="2" t="s">
        <v>64</v>
      </c>
    </row>
    <row r="8486" spans="1:6" ht="25.5">
      <c r="A8486" s="2">
        <v>8483</v>
      </c>
      <c r="B8486" s="2" t="s">
        <v>8562</v>
      </c>
      <c r="C8486" s="2" t="str">
        <f>"16878795"</f>
        <v>16878795</v>
      </c>
      <c r="D8486" s="2">
        <v>0.20599999999999999</v>
      </c>
      <c r="E8486" s="2">
        <v>3</v>
      </c>
      <c r="F8486" s="2" t="s">
        <v>6</v>
      </c>
    </row>
    <row r="8487" spans="1:6" ht="25.5">
      <c r="A8487" s="2">
        <v>8484</v>
      </c>
      <c r="B8487" s="2" t="s">
        <v>8563</v>
      </c>
      <c r="C8487" s="2" t="str">
        <f>"17937159"</f>
        <v>17937159</v>
      </c>
      <c r="D8487" s="2">
        <v>0.20100000000000001</v>
      </c>
      <c r="E8487" s="2">
        <v>9</v>
      </c>
      <c r="F8487" s="2" t="s">
        <v>543</v>
      </c>
    </row>
    <row r="8488" spans="1:6" ht="25.5">
      <c r="A8488" s="2">
        <v>8485</v>
      </c>
      <c r="B8488" s="2" t="s">
        <v>8564</v>
      </c>
      <c r="C8488" s="2" t="str">
        <f>"17526426"</f>
        <v>17526426</v>
      </c>
      <c r="D8488" s="2">
        <v>0.26500000000000001</v>
      </c>
      <c r="E8488" s="2">
        <v>6</v>
      </c>
      <c r="F8488" s="2" t="s">
        <v>16</v>
      </c>
    </row>
    <row r="8489" spans="1:6" ht="25.5">
      <c r="A8489" s="2">
        <v>8486</v>
      </c>
      <c r="B8489" s="2" t="s">
        <v>8565</v>
      </c>
      <c r="C8489" s="2" t="str">
        <f>"16874196"</f>
        <v>16874196</v>
      </c>
      <c r="D8489" s="2">
        <v>0.32100000000000001</v>
      </c>
      <c r="E8489" s="2">
        <v>16</v>
      </c>
      <c r="F8489" s="2" t="s">
        <v>6</v>
      </c>
    </row>
    <row r="8490" spans="1:6" ht="25.5">
      <c r="A8490" s="2">
        <v>8487</v>
      </c>
      <c r="B8490" s="2" t="s">
        <v>8566</v>
      </c>
      <c r="C8490" s="2" t="str">
        <f>"15552810"</f>
        <v>15552810</v>
      </c>
      <c r="D8490" s="2">
        <v>0.192</v>
      </c>
      <c r="E8490" s="2">
        <v>7</v>
      </c>
      <c r="F8490" s="2" t="s">
        <v>6</v>
      </c>
    </row>
    <row r="8491" spans="1:6" ht="25.5">
      <c r="A8491" s="2">
        <v>8488</v>
      </c>
      <c r="B8491" s="2" t="s">
        <v>8567</v>
      </c>
      <c r="C8491" s="2" t="str">
        <f>"14321254"</f>
        <v>14321254</v>
      </c>
      <c r="D8491" s="2">
        <v>0.79</v>
      </c>
      <c r="E8491" s="2">
        <v>46</v>
      </c>
      <c r="F8491" s="2" t="s">
        <v>6</v>
      </c>
    </row>
    <row r="8492" spans="1:6" ht="25.5">
      <c r="A8492" s="2">
        <v>8489</v>
      </c>
      <c r="B8492" s="2" t="s">
        <v>8568</v>
      </c>
      <c r="C8492" s="2" t="str">
        <f>"1755831X"</f>
        <v>1755831X</v>
      </c>
      <c r="D8492" s="2">
        <v>0.32700000000000001</v>
      </c>
      <c r="E8492" s="2">
        <v>5</v>
      </c>
      <c r="F8492" s="2" t="s">
        <v>16</v>
      </c>
    </row>
    <row r="8493" spans="1:6" ht="25.5">
      <c r="A8493" s="2">
        <v>8490</v>
      </c>
      <c r="B8493" s="2" t="s">
        <v>8569</v>
      </c>
      <c r="C8493" s="2" t="str">
        <f>"22337849"</f>
        <v>22337849</v>
      </c>
      <c r="D8493" s="2">
        <v>0.13100000000000001</v>
      </c>
      <c r="E8493" s="2">
        <v>3</v>
      </c>
      <c r="F8493" s="2" t="s">
        <v>274</v>
      </c>
    </row>
    <row r="8494" spans="1:6" ht="25.5">
      <c r="A8494" s="2">
        <v>8491</v>
      </c>
      <c r="B8494" s="2" t="s">
        <v>8570</v>
      </c>
      <c r="C8494" s="2" t="str">
        <f>"15574679"</f>
        <v>15574679</v>
      </c>
      <c r="D8494" s="2">
        <v>1.2450000000000001</v>
      </c>
      <c r="E8494" s="2">
        <v>12</v>
      </c>
      <c r="F8494" s="2" t="s">
        <v>6</v>
      </c>
    </row>
    <row r="8495" spans="1:6" ht="25.5">
      <c r="A8495" s="2">
        <v>8492</v>
      </c>
      <c r="B8495" s="2" t="s">
        <v>8571</v>
      </c>
      <c r="C8495" s="2" t="str">
        <f>"17415020"</f>
        <v>17415020</v>
      </c>
      <c r="D8495" s="2">
        <v>0.157</v>
      </c>
      <c r="E8495" s="2">
        <v>12</v>
      </c>
      <c r="F8495" s="2" t="s">
        <v>16</v>
      </c>
    </row>
    <row r="8496" spans="1:6" ht="25.5">
      <c r="A8496" s="2">
        <v>8493</v>
      </c>
      <c r="B8496" s="2" t="s">
        <v>8572</v>
      </c>
      <c r="C8496" s="2" t="str">
        <f>"18119719"</f>
        <v>18119719</v>
      </c>
      <c r="D8496" s="2">
        <v>0.38600000000000001</v>
      </c>
      <c r="E8496" s="2">
        <v>8</v>
      </c>
      <c r="F8496" s="2" t="s">
        <v>43</v>
      </c>
    </row>
    <row r="8497" spans="1:6" ht="25.5">
      <c r="A8497" s="2">
        <v>8494</v>
      </c>
      <c r="B8497" s="2" t="s">
        <v>8573</v>
      </c>
      <c r="C8497" s="2" t="str">
        <f>"15116670"</f>
        <v>15116670</v>
      </c>
      <c r="D8497" s="2">
        <v>0.11600000000000001</v>
      </c>
      <c r="E8497" s="2">
        <v>2</v>
      </c>
      <c r="F8497" s="2" t="s">
        <v>37</v>
      </c>
    </row>
    <row r="8498" spans="1:6" ht="25.5">
      <c r="A8498" s="2">
        <v>8495</v>
      </c>
      <c r="B8498" s="2" t="s">
        <v>8574</v>
      </c>
      <c r="C8498" s="2" t="str">
        <f>"1548064X"</f>
        <v>1548064X</v>
      </c>
      <c r="D8498" s="2">
        <v>0.11600000000000001</v>
      </c>
      <c r="E8498" s="2">
        <v>4</v>
      </c>
      <c r="F8498" s="2" t="s">
        <v>6</v>
      </c>
    </row>
    <row r="8499" spans="1:6" ht="25.5">
      <c r="A8499" s="2">
        <v>8496</v>
      </c>
      <c r="B8499" s="2" t="s">
        <v>8575</v>
      </c>
      <c r="C8499" s="2" t="str">
        <f>"17560055"</f>
        <v>17560055</v>
      </c>
      <c r="D8499" s="2">
        <v>0.25800000000000001</v>
      </c>
      <c r="E8499" s="2">
        <v>5</v>
      </c>
      <c r="F8499" s="2" t="s">
        <v>16</v>
      </c>
    </row>
    <row r="8500" spans="1:6" ht="25.5">
      <c r="A8500" s="2">
        <v>8497</v>
      </c>
      <c r="B8500" s="2" t="s">
        <v>8576</v>
      </c>
      <c r="C8500" s="2" t="str">
        <f>"1741802X"</f>
        <v>1741802X</v>
      </c>
      <c r="D8500" s="2">
        <v>0.155</v>
      </c>
      <c r="E8500" s="2">
        <v>5</v>
      </c>
      <c r="F8500" s="2" t="s">
        <v>16</v>
      </c>
    </row>
    <row r="8501" spans="1:6" ht="25.5">
      <c r="A8501" s="2">
        <v>8498</v>
      </c>
      <c r="B8501" s="2" t="s">
        <v>8577</v>
      </c>
      <c r="C8501" s="2" t="str">
        <f>"17460980"</f>
        <v>17460980</v>
      </c>
      <c r="D8501" s="2">
        <v>0.30599999999999999</v>
      </c>
      <c r="E8501" s="2">
        <v>12</v>
      </c>
      <c r="F8501" s="2" t="s">
        <v>16</v>
      </c>
    </row>
    <row r="8502" spans="1:6" ht="25.5">
      <c r="A8502" s="2">
        <v>8499</v>
      </c>
      <c r="B8502" s="2" t="s">
        <v>8578</v>
      </c>
      <c r="C8502" s="2" t="str">
        <f>"17510252"</f>
        <v>17510252</v>
      </c>
      <c r="D8502" s="2">
        <v>0.21</v>
      </c>
      <c r="E8502" s="2">
        <v>6</v>
      </c>
      <c r="F8502" s="2" t="s">
        <v>16</v>
      </c>
    </row>
    <row r="8503" spans="1:6" ht="25.5">
      <c r="A8503" s="2">
        <v>8500</v>
      </c>
      <c r="B8503" s="2" t="s">
        <v>8579</v>
      </c>
      <c r="C8503" s="2" t="str">
        <f>"17438195"</f>
        <v>17438195</v>
      </c>
      <c r="D8503" s="2">
        <v>0.20499999999999999</v>
      </c>
      <c r="E8503" s="2">
        <v>10</v>
      </c>
      <c r="F8503" s="2" t="s">
        <v>16</v>
      </c>
    </row>
    <row r="8504" spans="1:6" ht="25.5">
      <c r="A8504" s="2">
        <v>8501</v>
      </c>
      <c r="B8504" s="2" t="s">
        <v>8580</v>
      </c>
      <c r="C8504" s="2" t="str">
        <f>"17415039"</f>
        <v>17415039</v>
      </c>
      <c r="D8504" s="2">
        <v>0.125</v>
      </c>
      <c r="E8504" s="2">
        <v>6</v>
      </c>
      <c r="F8504" s="2" t="s">
        <v>16</v>
      </c>
    </row>
    <row r="8505" spans="1:6" ht="25.5">
      <c r="A8505" s="2">
        <v>8502</v>
      </c>
      <c r="B8505" s="2" t="s">
        <v>8581</v>
      </c>
      <c r="C8505" s="2" t="str">
        <f>"17418771"</f>
        <v>17418771</v>
      </c>
      <c r="D8505" s="2">
        <v>0.49099999999999999</v>
      </c>
      <c r="E8505" s="2">
        <v>12</v>
      </c>
      <c r="F8505" s="2" t="s">
        <v>16</v>
      </c>
    </row>
    <row r="8506" spans="1:6" ht="25.5">
      <c r="A8506" s="2">
        <v>8503</v>
      </c>
      <c r="B8506" s="2" t="s">
        <v>8582</v>
      </c>
      <c r="C8506" s="2" t="str">
        <f>"17530296"</f>
        <v>17530296</v>
      </c>
      <c r="D8506" s="2">
        <v>0.20699999999999999</v>
      </c>
      <c r="E8506" s="2">
        <v>3</v>
      </c>
      <c r="F8506" s="2" t="s">
        <v>16</v>
      </c>
    </row>
    <row r="8507" spans="1:6" ht="25.5">
      <c r="A8507" s="2">
        <v>8504</v>
      </c>
      <c r="B8507" s="2" t="s">
        <v>8583</v>
      </c>
      <c r="C8507" s="2" t="str">
        <f>"10970215"</f>
        <v>10970215</v>
      </c>
      <c r="D8507" s="2">
        <v>2.3090000000000002</v>
      </c>
      <c r="E8507" s="2">
        <v>151</v>
      </c>
      <c r="F8507" s="2" t="s">
        <v>6</v>
      </c>
    </row>
    <row r="8508" spans="1:6" ht="25.5">
      <c r="A8508" s="2">
        <v>8505</v>
      </c>
      <c r="B8508" s="2" t="s">
        <v>8584</v>
      </c>
      <c r="C8508" s="2" t="str">
        <f>"18119735"</f>
        <v>18119735</v>
      </c>
      <c r="D8508" s="2">
        <v>0.34499999999999997</v>
      </c>
      <c r="E8508" s="2">
        <v>9</v>
      </c>
      <c r="F8508" s="2" t="s">
        <v>43</v>
      </c>
    </row>
    <row r="8509" spans="1:6" ht="25.5">
      <c r="A8509" s="2">
        <v>8506</v>
      </c>
      <c r="B8509" s="2" t="s">
        <v>8585</v>
      </c>
      <c r="C8509" s="2" t="str">
        <f>"15541134"</f>
        <v>15541134</v>
      </c>
      <c r="D8509" s="2">
        <v>0.109</v>
      </c>
      <c r="E8509" s="2">
        <v>3</v>
      </c>
      <c r="F8509" s="2" t="s">
        <v>6</v>
      </c>
    </row>
    <row r="8510" spans="1:6" ht="25.5">
      <c r="A8510" s="2">
        <v>8507</v>
      </c>
      <c r="B8510" s="2" t="s">
        <v>8586</v>
      </c>
      <c r="C8510" s="2" t="str">
        <f>"01675273"</f>
        <v>01675273</v>
      </c>
      <c r="D8510" s="2">
        <v>0.78800000000000003</v>
      </c>
      <c r="E8510" s="2">
        <v>71</v>
      </c>
      <c r="F8510" s="2" t="s">
        <v>732</v>
      </c>
    </row>
    <row r="8511" spans="1:6" ht="25.5">
      <c r="A8511" s="2">
        <v>8508</v>
      </c>
      <c r="B8511" s="2" t="s">
        <v>8587</v>
      </c>
      <c r="C8511" s="2" t="str">
        <f>"15730743"</f>
        <v>15730743</v>
      </c>
      <c r="D8511" s="2">
        <v>1.01</v>
      </c>
      <c r="E8511" s="2">
        <v>36</v>
      </c>
      <c r="F8511" s="2" t="s">
        <v>75</v>
      </c>
    </row>
    <row r="8512" spans="1:6" ht="25.5">
      <c r="A8512" s="2">
        <v>8509</v>
      </c>
      <c r="B8512" s="2" t="s">
        <v>8588</v>
      </c>
      <c r="C8512" s="2" t="str">
        <f>"20404034"</f>
        <v>20404034</v>
      </c>
      <c r="D8512" s="2">
        <v>0.23100000000000001</v>
      </c>
      <c r="E8512" s="2">
        <v>11</v>
      </c>
      <c r="F8512" s="2" t="s">
        <v>16</v>
      </c>
    </row>
    <row r="8513" spans="1:6" ht="25.5">
      <c r="A8513" s="2">
        <v>8510</v>
      </c>
      <c r="B8513" s="2" t="s">
        <v>8589</v>
      </c>
      <c r="C8513" s="2" t="str">
        <f>"13640461"</f>
        <v>13640461</v>
      </c>
      <c r="D8513" s="2">
        <v>0.34200000000000003</v>
      </c>
      <c r="E8513" s="2">
        <v>19</v>
      </c>
      <c r="F8513" s="2" t="s">
        <v>16</v>
      </c>
    </row>
    <row r="8514" spans="1:6" ht="25.5">
      <c r="A8514" s="2">
        <v>8511</v>
      </c>
      <c r="B8514" s="2" t="s">
        <v>8590</v>
      </c>
      <c r="C8514" s="2" t="str">
        <f>"18154654"</f>
        <v>18154654</v>
      </c>
      <c r="D8514" s="2">
        <v>0.94799999999999995</v>
      </c>
      <c r="E8514" s="2">
        <v>6</v>
      </c>
      <c r="F8514" s="2" t="s">
        <v>12</v>
      </c>
    </row>
    <row r="8515" spans="1:6" ht="25.5">
      <c r="A8515" s="2">
        <v>8512</v>
      </c>
      <c r="B8515" s="2" t="s">
        <v>8591</v>
      </c>
      <c r="C8515" s="2" t="str">
        <f>"16878078"</f>
        <v>16878078</v>
      </c>
      <c r="D8515" s="2">
        <v>0.20799999999999999</v>
      </c>
      <c r="E8515" s="2">
        <v>5</v>
      </c>
      <c r="F8515" s="2" t="s">
        <v>6</v>
      </c>
    </row>
    <row r="8516" spans="1:6" ht="25.5">
      <c r="A8516" s="2">
        <v>8513</v>
      </c>
      <c r="B8516" s="2" t="s">
        <v>8592</v>
      </c>
      <c r="C8516" s="2" t="str">
        <f>"10974601"</f>
        <v>10974601</v>
      </c>
      <c r="D8516" s="2">
        <v>0.33100000000000002</v>
      </c>
      <c r="E8516" s="2">
        <v>46</v>
      </c>
      <c r="F8516" s="2" t="s">
        <v>6</v>
      </c>
    </row>
    <row r="8517" spans="1:6" ht="25.5">
      <c r="A8517" s="2">
        <v>8514</v>
      </c>
      <c r="B8517" s="2" t="s">
        <v>8593</v>
      </c>
      <c r="C8517" s="2" t="str">
        <f>"15426580"</f>
        <v>15426580</v>
      </c>
      <c r="D8517" s="2">
        <v>0.33100000000000002</v>
      </c>
      <c r="E8517" s="2">
        <v>14</v>
      </c>
      <c r="F8517" s="2" t="s">
        <v>6</v>
      </c>
    </row>
    <row r="8518" spans="1:6" ht="25.5">
      <c r="A8518" s="2">
        <v>8515</v>
      </c>
      <c r="B8518" s="2" t="s">
        <v>8594</v>
      </c>
      <c r="C8518" s="2" t="str">
        <f>"0972768X"</f>
        <v>0972768X</v>
      </c>
      <c r="D8518" s="2">
        <v>0.11899999999999999</v>
      </c>
      <c r="E8518" s="2">
        <v>2</v>
      </c>
      <c r="F8518" s="2" t="s">
        <v>488</v>
      </c>
    </row>
    <row r="8519" spans="1:6" ht="25.5">
      <c r="A8519" s="2">
        <v>8516</v>
      </c>
      <c r="B8519" s="2" t="s">
        <v>8595</v>
      </c>
      <c r="C8519" s="2" t="str">
        <f>"09744290"</f>
        <v>09744290</v>
      </c>
      <c r="D8519" s="2">
        <v>0.29299999999999998</v>
      </c>
      <c r="E8519" s="2">
        <v>9</v>
      </c>
      <c r="F8519" s="2" t="s">
        <v>488</v>
      </c>
    </row>
    <row r="8520" spans="1:6" ht="25.5">
      <c r="A8520" s="2">
        <v>8517</v>
      </c>
      <c r="B8520" s="2" t="s">
        <v>8596</v>
      </c>
      <c r="C8520" s="2" t="str">
        <f>"15718182"</f>
        <v>15718182</v>
      </c>
      <c r="D8520" s="2">
        <v>0.28999999999999998</v>
      </c>
      <c r="E8520" s="2">
        <v>15</v>
      </c>
      <c r="F8520" s="2" t="s">
        <v>75</v>
      </c>
    </row>
    <row r="8521" spans="1:6" ht="25.5">
      <c r="A8521" s="2">
        <v>8518</v>
      </c>
      <c r="B8521" s="2" t="s">
        <v>8597</v>
      </c>
      <c r="C8521" s="2" t="str">
        <f>"1364436X"</f>
        <v>1364436X</v>
      </c>
      <c r="D8521" s="2">
        <v>0.20300000000000001</v>
      </c>
      <c r="E8521" s="2">
        <v>10</v>
      </c>
      <c r="F8521" s="2" t="s">
        <v>16</v>
      </c>
    </row>
    <row r="8522" spans="1:6" ht="25.5">
      <c r="A8522" s="2">
        <v>8519</v>
      </c>
      <c r="B8522" s="2" t="s">
        <v>8598</v>
      </c>
      <c r="C8522" s="2" t="str">
        <f>"19984464"</f>
        <v>19984464</v>
      </c>
      <c r="D8522" s="2">
        <v>0.20100000000000001</v>
      </c>
      <c r="E8522" s="2">
        <v>2</v>
      </c>
      <c r="F8522" s="2" t="s">
        <v>6</v>
      </c>
    </row>
    <row r="8523" spans="1:6" ht="25.5">
      <c r="A8523" s="2">
        <v>8520</v>
      </c>
      <c r="B8523" s="2" t="s">
        <v>8599</v>
      </c>
      <c r="C8523" s="2" t="str">
        <f>"1097007X"</f>
        <v>1097007X</v>
      </c>
      <c r="D8523" s="2">
        <v>0.46200000000000002</v>
      </c>
      <c r="E8523" s="2">
        <v>34</v>
      </c>
      <c r="F8523" s="2" t="s">
        <v>16</v>
      </c>
    </row>
    <row r="8524" spans="1:6" ht="25.5">
      <c r="A8524" s="2">
        <v>8521</v>
      </c>
      <c r="B8524" s="2" t="s">
        <v>8600</v>
      </c>
      <c r="C8524" s="2" t="str">
        <f>"12399736"</f>
        <v>12399736</v>
      </c>
      <c r="D8524" s="2">
        <v>0.42</v>
      </c>
      <c r="E8524" s="2">
        <v>22</v>
      </c>
      <c r="F8524" s="2" t="s">
        <v>6</v>
      </c>
    </row>
    <row r="8525" spans="1:6" ht="25.5">
      <c r="A8525" s="2">
        <v>8522</v>
      </c>
      <c r="B8525" s="2" t="s">
        <v>8601</v>
      </c>
      <c r="C8525" s="2" t="str">
        <f>"17350522"</f>
        <v>17350522</v>
      </c>
      <c r="D8525" s="2">
        <v>0.30199999999999999</v>
      </c>
      <c r="E8525" s="2">
        <v>5</v>
      </c>
      <c r="F8525" s="2" t="s">
        <v>299</v>
      </c>
    </row>
    <row r="8526" spans="1:6" ht="25.5">
      <c r="A8526" s="2">
        <v>8523</v>
      </c>
      <c r="B8526" s="2" t="s">
        <v>8602</v>
      </c>
      <c r="C8526" s="2" t="str">
        <f>"10970088"</f>
        <v>10970088</v>
      </c>
      <c r="D8526" s="2">
        <v>1.639</v>
      </c>
      <c r="E8526" s="2">
        <v>85</v>
      </c>
      <c r="F8526" s="2" t="s">
        <v>16</v>
      </c>
    </row>
    <row r="8527" spans="1:6" ht="25.5">
      <c r="A8527" s="2">
        <v>8524</v>
      </c>
      <c r="B8527" s="2" t="s">
        <v>8603</v>
      </c>
      <c r="C8527" s="2" t="str">
        <f>"00207144"</f>
        <v>00207144</v>
      </c>
      <c r="D8527" s="2">
        <v>0.59199999999999997</v>
      </c>
      <c r="E8527" s="2">
        <v>30</v>
      </c>
      <c r="F8527" s="2" t="s">
        <v>16</v>
      </c>
    </row>
    <row r="8528" spans="1:6" ht="25.5">
      <c r="A8528" s="2">
        <v>8525</v>
      </c>
      <c r="B8528" s="2" t="s">
        <v>8604</v>
      </c>
      <c r="C8528" s="2" t="str">
        <f>"19405901"</f>
        <v>19405901</v>
      </c>
      <c r="D8528" s="2">
        <v>0.63500000000000001</v>
      </c>
      <c r="E8528" s="2">
        <v>10</v>
      </c>
      <c r="F8528" s="2" t="s">
        <v>6</v>
      </c>
    </row>
    <row r="8529" spans="1:6" ht="25.5">
      <c r="A8529" s="2">
        <v>8526</v>
      </c>
      <c r="B8529" s="2" t="s">
        <v>8605</v>
      </c>
      <c r="C8529" s="2" t="str">
        <f>"19362625"</f>
        <v>19362625</v>
      </c>
      <c r="D8529" s="2">
        <v>0.80600000000000005</v>
      </c>
      <c r="E8529" s="2">
        <v>16</v>
      </c>
      <c r="F8529" s="2" t="s">
        <v>6</v>
      </c>
    </row>
    <row r="8530" spans="1:6" ht="25.5">
      <c r="A8530" s="2">
        <v>8527</v>
      </c>
      <c r="B8530" s="2" t="s">
        <v>8606</v>
      </c>
      <c r="C8530" s="2" t="str">
        <f>"16972600"</f>
        <v>16972600</v>
      </c>
      <c r="D8530" s="2">
        <v>0.91200000000000003</v>
      </c>
      <c r="E8530" s="2">
        <v>16</v>
      </c>
      <c r="F8530" s="2" t="s">
        <v>351</v>
      </c>
    </row>
    <row r="8531" spans="1:6" ht="25.5">
      <c r="A8531" s="2">
        <v>8528</v>
      </c>
      <c r="B8531" s="2" t="s">
        <v>8607</v>
      </c>
      <c r="C8531" s="2" t="str">
        <f>"19395833"</f>
        <v>19395833</v>
      </c>
      <c r="D8531" s="2">
        <v>0.10100000000000001</v>
      </c>
      <c r="E8531" s="2">
        <v>2</v>
      </c>
      <c r="F8531" s="2" t="s">
        <v>6</v>
      </c>
    </row>
    <row r="8532" spans="1:6" ht="25.5">
      <c r="A8532" s="2">
        <v>8529</v>
      </c>
      <c r="B8532" s="2" t="s">
        <v>8608</v>
      </c>
      <c r="C8532" s="2" t="str">
        <f>"17572088"</f>
        <v>17572088</v>
      </c>
      <c r="D8532" s="2">
        <v>0.13800000000000001</v>
      </c>
      <c r="E8532" s="2">
        <v>7</v>
      </c>
      <c r="F8532" s="2" t="s">
        <v>16</v>
      </c>
    </row>
    <row r="8533" spans="1:6" ht="25.5">
      <c r="A8533" s="2">
        <v>8530</v>
      </c>
      <c r="B8533" s="2" t="s">
        <v>8609</v>
      </c>
      <c r="C8533" s="2" t="str">
        <f>"14377772"</f>
        <v>14377772</v>
      </c>
      <c r="D8533" s="2">
        <v>0.57799999999999996</v>
      </c>
      <c r="E8533" s="2">
        <v>35</v>
      </c>
      <c r="F8533" s="2" t="s">
        <v>131</v>
      </c>
    </row>
    <row r="8534" spans="1:6" ht="25.5">
      <c r="A8534" s="2">
        <v>8531</v>
      </c>
      <c r="B8534" s="2" t="s">
        <v>8610</v>
      </c>
      <c r="C8534" s="2" t="str">
        <f>"09461965"</f>
        <v>09461965</v>
      </c>
      <c r="D8534" s="2">
        <v>0.35199999999999998</v>
      </c>
      <c r="E8534" s="2">
        <v>49</v>
      </c>
      <c r="F8534" s="2" t="s">
        <v>12</v>
      </c>
    </row>
    <row r="8535" spans="1:6" ht="25.5">
      <c r="A8535" s="2">
        <v>8532</v>
      </c>
      <c r="B8535" s="2" t="s">
        <v>8611</v>
      </c>
      <c r="C8535" s="2" t="str">
        <f>"22107711"</f>
        <v>22107711</v>
      </c>
      <c r="D8535" s="2">
        <v>0.378</v>
      </c>
      <c r="E8535" s="2">
        <v>34</v>
      </c>
      <c r="F8535" s="2" t="s">
        <v>75</v>
      </c>
    </row>
    <row r="8536" spans="1:6" ht="25.5">
      <c r="A8536" s="2">
        <v>8533</v>
      </c>
      <c r="B8536" s="2" t="s">
        <v>8612</v>
      </c>
      <c r="C8536" s="2" t="str">
        <f>"17421241"</f>
        <v>17421241</v>
      </c>
      <c r="D8536" s="2">
        <v>0.67500000000000004</v>
      </c>
      <c r="E8536" s="2">
        <v>57</v>
      </c>
      <c r="F8536" s="2" t="s">
        <v>16</v>
      </c>
    </row>
    <row r="8537" spans="1:6" ht="25.5">
      <c r="A8537" s="2">
        <v>8534</v>
      </c>
      <c r="B8537" s="2" t="s">
        <v>8613</v>
      </c>
      <c r="C8537" s="2" t="str">
        <f>"1368504X"</f>
        <v>1368504X</v>
      </c>
      <c r="D8537" s="2">
        <v>0.26200000000000001</v>
      </c>
      <c r="E8537" s="2">
        <v>26</v>
      </c>
      <c r="F8537" s="2" t="s">
        <v>16</v>
      </c>
    </row>
    <row r="8538" spans="1:6" ht="25.5">
      <c r="A8538" s="2">
        <v>8535</v>
      </c>
      <c r="B8538" s="2" t="s">
        <v>8614</v>
      </c>
      <c r="C8538" s="2" t="str">
        <f>"17584280"</f>
        <v>17584280</v>
      </c>
      <c r="D8538" s="2">
        <v>0.23</v>
      </c>
      <c r="E8538" s="2">
        <v>6</v>
      </c>
      <c r="F8538" s="2" t="s">
        <v>16</v>
      </c>
    </row>
    <row r="8539" spans="1:6" ht="25.5">
      <c r="A8539" s="2">
        <v>8536</v>
      </c>
      <c r="B8539" s="2" t="s">
        <v>8615</v>
      </c>
      <c r="C8539" s="2" t="str">
        <f>"1753044X"</f>
        <v>1753044X</v>
      </c>
      <c r="D8539" s="2">
        <v>0</v>
      </c>
      <c r="E8539" s="2">
        <v>0</v>
      </c>
      <c r="F8539" s="2" t="s">
        <v>16</v>
      </c>
    </row>
    <row r="8540" spans="1:6" ht="25.5">
      <c r="A8540" s="2">
        <v>8537</v>
      </c>
      <c r="B8540" s="2" t="s">
        <v>8616</v>
      </c>
      <c r="C8540" s="2" t="str">
        <f>"09556222"</f>
        <v>09556222</v>
      </c>
      <c r="D8540" s="2">
        <v>0.154</v>
      </c>
      <c r="E8540" s="2">
        <v>18</v>
      </c>
      <c r="F8540" s="2" t="s">
        <v>16</v>
      </c>
    </row>
    <row r="8541" spans="1:6" ht="25.5">
      <c r="A8541" s="2">
        <v>8538</v>
      </c>
      <c r="B8541" s="2" t="s">
        <v>8617</v>
      </c>
      <c r="C8541" s="2" t="str">
        <f>"01665162"</f>
        <v>01665162</v>
      </c>
      <c r="D8541" s="2">
        <v>0.85299999999999998</v>
      </c>
      <c r="E8541" s="2">
        <v>54</v>
      </c>
      <c r="F8541" s="2" t="s">
        <v>75</v>
      </c>
    </row>
    <row r="8542" spans="1:6" ht="25.5">
      <c r="A8542" s="2">
        <v>8539</v>
      </c>
      <c r="B8542" s="2" t="s">
        <v>8618</v>
      </c>
      <c r="C8542" s="2" t="str">
        <f>"19392699"</f>
        <v>19392699</v>
      </c>
      <c r="D8542" s="2">
        <v>0.27400000000000002</v>
      </c>
      <c r="E8542" s="2">
        <v>11</v>
      </c>
      <c r="F8542" s="2" t="s">
        <v>16</v>
      </c>
    </row>
    <row r="8543" spans="1:6" ht="25.5">
      <c r="A8543" s="2">
        <v>8540</v>
      </c>
      <c r="B8543" s="2" t="s">
        <v>8619</v>
      </c>
      <c r="C8543" s="2" t="str">
        <f>"15573966"</f>
        <v>15573966</v>
      </c>
      <c r="D8543" s="2">
        <v>0.214</v>
      </c>
      <c r="E8543" s="2">
        <v>6</v>
      </c>
      <c r="F8543" s="2" t="s">
        <v>6</v>
      </c>
    </row>
    <row r="8544" spans="1:6" ht="25.5">
      <c r="A8544" s="2">
        <v>8541</v>
      </c>
      <c r="B8544" s="2" t="s">
        <v>8620</v>
      </c>
      <c r="C8544" s="2" t="str">
        <f>"19371217"</f>
        <v>19371217</v>
      </c>
      <c r="D8544" s="2">
        <v>0.65100000000000002</v>
      </c>
      <c r="E8544" s="2">
        <v>5</v>
      </c>
      <c r="F8544" s="2" t="s">
        <v>6</v>
      </c>
    </row>
    <row r="8545" spans="1:6" ht="25.5">
      <c r="A8545" s="2">
        <v>8542</v>
      </c>
      <c r="B8545" s="2" t="s">
        <v>8621</v>
      </c>
      <c r="C8545" s="2" t="str">
        <f>"18404529"</f>
        <v>18404529</v>
      </c>
      <c r="D8545" s="2">
        <v>0.16</v>
      </c>
      <c r="E8545" s="2">
        <v>5</v>
      </c>
      <c r="F8545" s="2" t="s">
        <v>271</v>
      </c>
    </row>
    <row r="8546" spans="1:6" ht="25.5">
      <c r="A8546" s="2">
        <v>8543</v>
      </c>
      <c r="B8546" s="2" t="s">
        <v>8622</v>
      </c>
      <c r="C8546" s="2" t="str">
        <f>"14321262"</f>
        <v>14321262</v>
      </c>
      <c r="D8546" s="2">
        <v>0.96899999999999997</v>
      </c>
      <c r="E8546" s="2">
        <v>54</v>
      </c>
      <c r="F8546" s="2" t="s">
        <v>12</v>
      </c>
    </row>
    <row r="8547" spans="1:6" ht="25.5">
      <c r="A8547" s="2">
        <v>8544</v>
      </c>
      <c r="B8547" s="2" t="s">
        <v>8623</v>
      </c>
      <c r="C8547" s="2" t="str">
        <f>"13637681"</f>
        <v>13637681</v>
      </c>
      <c r="D8547" s="2">
        <v>0.10100000000000001</v>
      </c>
      <c r="E8547" s="2">
        <v>5</v>
      </c>
      <c r="F8547" s="2" t="s">
        <v>16</v>
      </c>
    </row>
    <row r="8548" spans="1:6" ht="25.5">
      <c r="A8548" s="2">
        <v>8545</v>
      </c>
      <c r="B8548" s="2" t="s">
        <v>8624</v>
      </c>
      <c r="C8548" s="2" t="str">
        <f>"19328036"</f>
        <v>19328036</v>
      </c>
      <c r="D8548" s="2">
        <v>0.22500000000000001</v>
      </c>
      <c r="E8548" s="2">
        <v>3</v>
      </c>
      <c r="F8548" s="2" t="s">
        <v>6</v>
      </c>
    </row>
    <row r="8549" spans="1:6" ht="25.5">
      <c r="A8549" s="2">
        <v>8546</v>
      </c>
      <c r="B8549" s="2" t="s">
        <v>8625</v>
      </c>
      <c r="C8549" s="2" t="str">
        <f>"17543924"</f>
        <v>17543924</v>
      </c>
      <c r="D8549" s="2">
        <v>0.157</v>
      </c>
      <c r="E8549" s="2">
        <v>2</v>
      </c>
      <c r="F8549" s="2" t="s">
        <v>31</v>
      </c>
    </row>
    <row r="8550" spans="1:6" ht="25.5">
      <c r="A8550" s="2">
        <v>8547</v>
      </c>
      <c r="B8550" s="2" t="s">
        <v>8626</v>
      </c>
      <c r="C8550" s="2" t="str">
        <f>"20760930"</f>
        <v>20760930</v>
      </c>
      <c r="D8550" s="2">
        <v>0.156</v>
      </c>
      <c r="E8550" s="2">
        <v>5</v>
      </c>
      <c r="F8550" s="2" t="s">
        <v>43</v>
      </c>
    </row>
    <row r="8551" spans="1:6" ht="25.5">
      <c r="A8551" s="2">
        <v>8548</v>
      </c>
      <c r="B8551" s="2" t="s">
        <v>8627</v>
      </c>
      <c r="C8551" s="2" t="str">
        <f>"10991131"</f>
        <v>10991131</v>
      </c>
      <c r="D8551" s="2">
        <v>0.53800000000000003</v>
      </c>
      <c r="E8551" s="2">
        <v>17</v>
      </c>
      <c r="F8551" s="2" t="s">
        <v>16</v>
      </c>
    </row>
    <row r="8552" spans="1:6" ht="25.5">
      <c r="A8552" s="2">
        <v>8549</v>
      </c>
      <c r="B8552" s="2" t="s">
        <v>8628</v>
      </c>
      <c r="C8552" s="2" t="str">
        <f>"17526302"</f>
        <v>17526302</v>
      </c>
      <c r="D8552" s="2">
        <v>0</v>
      </c>
      <c r="E8552" s="2">
        <v>0</v>
      </c>
      <c r="F8552" s="2" t="s">
        <v>16</v>
      </c>
    </row>
    <row r="8553" spans="1:6" ht="25.5">
      <c r="A8553" s="2">
        <v>8550</v>
      </c>
      <c r="B8553" s="2" t="s">
        <v>8629</v>
      </c>
      <c r="C8553" s="2" t="str">
        <f>"00207152"</f>
        <v>00207152</v>
      </c>
      <c r="D8553" s="2">
        <v>0.60399999999999998</v>
      </c>
      <c r="E8553" s="2">
        <v>16</v>
      </c>
      <c r="F8553" s="2" t="s">
        <v>16</v>
      </c>
    </row>
    <row r="8554" spans="1:6" ht="25.5">
      <c r="A8554" s="2">
        <v>8551</v>
      </c>
      <c r="B8554" s="2" t="s">
        <v>8630</v>
      </c>
      <c r="C8554" s="2" t="str">
        <f>"20703910"</f>
        <v>20703910</v>
      </c>
      <c r="D8554" s="2">
        <v>0.16300000000000001</v>
      </c>
      <c r="E8554" s="2">
        <v>5</v>
      </c>
      <c r="F8554" s="2" t="s">
        <v>66</v>
      </c>
    </row>
    <row r="8555" spans="1:6" ht="25.5">
      <c r="A8555" s="2">
        <v>8552</v>
      </c>
      <c r="B8555" s="2" t="s">
        <v>8631</v>
      </c>
      <c r="C8555" s="2" t="str">
        <f>"17560764"</f>
        <v>17560764</v>
      </c>
      <c r="D8555" s="2">
        <v>0.14399999999999999</v>
      </c>
      <c r="E8555" s="2">
        <v>4</v>
      </c>
      <c r="F8555" s="2" t="s">
        <v>16</v>
      </c>
    </row>
    <row r="8556" spans="1:6" ht="25.5">
      <c r="A8556" s="2">
        <v>8553</v>
      </c>
      <c r="B8556" s="2" t="s">
        <v>8632</v>
      </c>
      <c r="C8556" s="2" t="str">
        <f>"10618562"</f>
        <v>10618562</v>
      </c>
      <c r="D8556" s="2">
        <v>0.54700000000000004</v>
      </c>
      <c r="E8556" s="2">
        <v>23</v>
      </c>
      <c r="F8556" s="2" t="s">
        <v>16</v>
      </c>
    </row>
    <row r="8557" spans="1:6" ht="25.5">
      <c r="A8557" s="2">
        <v>8554</v>
      </c>
      <c r="B8557" s="2" t="s">
        <v>8633</v>
      </c>
      <c r="C8557" s="2" t="str">
        <f>"02181959"</f>
        <v>02181959</v>
      </c>
      <c r="D8557" s="2">
        <v>0.52200000000000002</v>
      </c>
      <c r="E8557" s="2">
        <v>25</v>
      </c>
      <c r="F8557" s="2" t="s">
        <v>543</v>
      </c>
    </row>
    <row r="8558" spans="1:6" ht="25.5">
      <c r="A8558" s="2">
        <v>8555</v>
      </c>
      <c r="B8558" s="2" t="s">
        <v>8634</v>
      </c>
      <c r="C8558" s="2" t="str">
        <f>"14690268"</f>
        <v>14690268</v>
      </c>
      <c r="D8558" s="2">
        <v>0.32800000000000001</v>
      </c>
      <c r="E8558" s="2">
        <v>5</v>
      </c>
      <c r="F8558" s="2" t="s">
        <v>6</v>
      </c>
    </row>
    <row r="8559" spans="1:6" ht="25.5">
      <c r="A8559" s="2">
        <v>8556</v>
      </c>
      <c r="B8559" s="2" t="s">
        <v>8635</v>
      </c>
      <c r="C8559" s="2" t="str">
        <f>"18756891"</f>
        <v>18756891</v>
      </c>
      <c r="D8559" s="2">
        <v>0.621</v>
      </c>
      <c r="E8559" s="2">
        <v>14</v>
      </c>
      <c r="F8559" s="2" t="s">
        <v>75</v>
      </c>
    </row>
    <row r="8560" spans="1:6" ht="25.5">
      <c r="A8560" s="2">
        <v>8557</v>
      </c>
      <c r="B8560" s="2" t="s">
        <v>8636</v>
      </c>
      <c r="C8560" s="2" t="str">
        <f>"17533473"</f>
        <v>17533473</v>
      </c>
      <c r="D8560" s="2">
        <v>0.14799999999999999</v>
      </c>
      <c r="E8560" s="2">
        <v>3</v>
      </c>
      <c r="F8560" s="2" t="s">
        <v>16</v>
      </c>
    </row>
    <row r="8561" spans="1:6" ht="25.5">
      <c r="A8561" s="2">
        <v>8558</v>
      </c>
      <c r="B8561" s="2" t="s">
        <v>8637</v>
      </c>
      <c r="C8561" s="2" t="str">
        <f>"02198762"</f>
        <v>02198762</v>
      </c>
      <c r="D8561" s="2">
        <v>0.40200000000000002</v>
      </c>
      <c r="E8561" s="2">
        <v>11</v>
      </c>
      <c r="F8561" s="2" t="s">
        <v>543</v>
      </c>
    </row>
    <row r="8562" spans="1:6" ht="25.5">
      <c r="A8562" s="2">
        <v>8559</v>
      </c>
      <c r="B8562" s="2" t="s">
        <v>8638</v>
      </c>
      <c r="C8562" s="2" t="str">
        <f>"15502295"</f>
        <v>15502295</v>
      </c>
      <c r="D8562" s="2">
        <v>0.29499999999999998</v>
      </c>
      <c r="E8562" s="2">
        <v>8</v>
      </c>
      <c r="F8562" s="2" t="s">
        <v>16</v>
      </c>
    </row>
    <row r="8563" spans="1:6" ht="25.5">
      <c r="A8563" s="2">
        <v>8560</v>
      </c>
      <c r="B8563" s="2" t="s">
        <v>8639</v>
      </c>
      <c r="C8563" s="2" t="str">
        <f>"17427193"</f>
        <v>17427193</v>
      </c>
      <c r="D8563" s="2">
        <v>0.29199999999999998</v>
      </c>
      <c r="E8563" s="2">
        <v>8</v>
      </c>
      <c r="F8563" s="2" t="s">
        <v>16</v>
      </c>
    </row>
    <row r="8564" spans="1:6" ht="25.5">
      <c r="A8564" s="2">
        <v>8561</v>
      </c>
      <c r="B8564" s="2" t="s">
        <v>8640</v>
      </c>
      <c r="C8564" s="2" t="str">
        <f>"17572665"</f>
        <v>17572665</v>
      </c>
      <c r="D8564" s="2">
        <v>0.10100000000000001</v>
      </c>
      <c r="E8564" s="2">
        <v>1</v>
      </c>
      <c r="F8564" s="2" t="s">
        <v>31</v>
      </c>
    </row>
    <row r="8565" spans="1:6" ht="25.5">
      <c r="A8565" s="2">
        <v>8562</v>
      </c>
      <c r="B8565" s="2" t="s">
        <v>8641</v>
      </c>
      <c r="C8565" s="2" t="str">
        <f>"09528091"</f>
        <v>09528091</v>
      </c>
      <c r="D8565" s="2">
        <v>0.29299999999999998</v>
      </c>
      <c r="E8565" s="2">
        <v>15</v>
      </c>
      <c r="F8565" s="2" t="s">
        <v>16</v>
      </c>
    </row>
    <row r="8566" spans="1:6" ht="25.5">
      <c r="A8566" s="2">
        <v>8563</v>
      </c>
      <c r="B8566" s="2" t="s">
        <v>8642</v>
      </c>
      <c r="C8566" s="2" t="str">
        <f>"16877055"</f>
        <v>16877055</v>
      </c>
      <c r="D8566" s="2">
        <v>0.26</v>
      </c>
      <c r="E8566" s="2">
        <v>8</v>
      </c>
      <c r="F8566" s="2" t="s">
        <v>6</v>
      </c>
    </row>
    <row r="8567" spans="1:6" ht="25.5">
      <c r="A8567" s="2">
        <v>8564</v>
      </c>
      <c r="B8567" s="2" t="s">
        <v>8643</v>
      </c>
      <c r="C8567" s="2" t="str">
        <f>"13623052"</f>
        <v>13623052</v>
      </c>
      <c r="D8567" s="2">
        <v>0.82499999999999996</v>
      </c>
      <c r="E8567" s="2">
        <v>29</v>
      </c>
      <c r="F8567" s="2" t="s">
        <v>16</v>
      </c>
    </row>
    <row r="8568" spans="1:6" ht="25.5">
      <c r="A8568" s="2">
        <v>8565</v>
      </c>
      <c r="B8568" s="2" t="s">
        <v>8644</v>
      </c>
      <c r="C8568" s="2" t="str">
        <f>"14634201"</f>
        <v>14634201</v>
      </c>
      <c r="D8568" s="2">
        <v>0.27100000000000002</v>
      </c>
      <c r="E8568" s="2">
        <v>16</v>
      </c>
      <c r="F8568" s="2" t="s">
        <v>12</v>
      </c>
    </row>
    <row r="8569" spans="1:6" ht="25.5">
      <c r="A8569" s="2">
        <v>8566</v>
      </c>
      <c r="B8569" s="2" t="s">
        <v>8645</v>
      </c>
      <c r="C8569" s="2" t="str">
        <f>"00207160"</f>
        <v>00207160</v>
      </c>
      <c r="D8569" s="2">
        <v>0.41699999999999998</v>
      </c>
      <c r="E8569" s="2">
        <v>24</v>
      </c>
      <c r="F8569" s="2" t="s">
        <v>16</v>
      </c>
    </row>
    <row r="8570" spans="1:6" ht="25.5">
      <c r="A8570" s="2">
        <v>8567</v>
      </c>
      <c r="B8570" s="2" t="s">
        <v>8646</v>
      </c>
      <c r="C8570" s="2" t="str">
        <f>"1206212X"</f>
        <v>1206212X</v>
      </c>
      <c r="D8570" s="2">
        <v>0.17699999999999999</v>
      </c>
      <c r="E8570" s="2">
        <v>8</v>
      </c>
      <c r="F8570" s="2" t="s">
        <v>64</v>
      </c>
    </row>
    <row r="8571" spans="1:6" ht="25.5">
      <c r="A8571" s="2">
        <v>8568</v>
      </c>
      <c r="B8571" s="2" t="s">
        <v>8647</v>
      </c>
      <c r="C8571" s="2" t="str">
        <f>"10765204"</f>
        <v>10765204</v>
      </c>
      <c r="D8571" s="2">
        <v>0.13500000000000001</v>
      </c>
      <c r="E8571" s="2">
        <v>2</v>
      </c>
      <c r="F8571" s="2" t="s">
        <v>6</v>
      </c>
    </row>
    <row r="8572" spans="1:6" ht="25.5">
      <c r="A8572" s="2">
        <v>8569</v>
      </c>
      <c r="B8572" s="2" t="s">
        <v>8648</v>
      </c>
      <c r="C8572" s="2" t="str">
        <f>"09729038"</f>
        <v>09729038</v>
      </c>
      <c r="D8572" s="2">
        <v>0.25800000000000001</v>
      </c>
      <c r="E8572" s="2">
        <v>5</v>
      </c>
      <c r="F8572" s="2" t="s">
        <v>488</v>
      </c>
    </row>
    <row r="8573" spans="1:6" ht="25.5">
      <c r="A8573" s="2">
        <v>8570</v>
      </c>
      <c r="B8573" s="2" t="s">
        <v>8649</v>
      </c>
      <c r="C8573" s="2" t="str">
        <f>"16844769"</f>
        <v>16844769</v>
      </c>
      <c r="D8573" s="2">
        <v>0</v>
      </c>
      <c r="E8573" s="2">
        <v>1</v>
      </c>
      <c r="F8573" s="2" t="s">
        <v>288</v>
      </c>
    </row>
    <row r="8574" spans="1:6" ht="25.5">
      <c r="A8574" s="2">
        <v>8571</v>
      </c>
      <c r="B8574" s="2" t="s">
        <v>8650</v>
      </c>
      <c r="C8574" s="2" t="str">
        <f>"18419836"</f>
        <v>18419836</v>
      </c>
      <c r="D8574" s="2">
        <v>0.29699999999999999</v>
      </c>
      <c r="E8574" s="2">
        <v>10</v>
      </c>
      <c r="F8574" s="2" t="s">
        <v>19</v>
      </c>
    </row>
    <row r="8575" spans="1:6" ht="25.5">
      <c r="A8575" s="2">
        <v>8572</v>
      </c>
      <c r="B8575" s="2" t="s">
        <v>8651</v>
      </c>
      <c r="C8575" s="2" t="str">
        <f>"15561615"</f>
        <v>15561615</v>
      </c>
      <c r="D8575" s="2">
        <v>1.837</v>
      </c>
      <c r="E8575" s="2">
        <v>25</v>
      </c>
      <c r="F8575" s="2" t="s">
        <v>6</v>
      </c>
    </row>
    <row r="8576" spans="1:6" ht="25.5">
      <c r="A8576" s="2">
        <v>8573</v>
      </c>
      <c r="B8576" s="2" t="s">
        <v>8652</v>
      </c>
      <c r="C8576" s="2" t="str">
        <f>"15731405"</f>
        <v>15731405</v>
      </c>
      <c r="D8576" s="2">
        <v>6.1669999999999998</v>
      </c>
      <c r="E8576" s="2">
        <v>121</v>
      </c>
      <c r="F8576" s="2" t="s">
        <v>75</v>
      </c>
    </row>
    <row r="8577" spans="1:6" ht="25.5">
      <c r="A8577" s="2">
        <v>8574</v>
      </c>
      <c r="B8577" s="2" t="s">
        <v>8653</v>
      </c>
      <c r="C8577" s="2" t="str">
        <f>"17525063"</f>
        <v>17525063</v>
      </c>
      <c r="D8577" s="2">
        <v>0.186</v>
      </c>
      <c r="E8577" s="2">
        <v>3</v>
      </c>
      <c r="F8577" s="2" t="s">
        <v>16</v>
      </c>
    </row>
    <row r="8578" spans="1:6" ht="25.5">
      <c r="A8578" s="2">
        <v>8575</v>
      </c>
      <c r="B8578" s="2" t="s">
        <v>8654</v>
      </c>
      <c r="C8578" s="2" t="str">
        <f>"18641385"</f>
        <v>18641385</v>
      </c>
      <c r="D8578" s="2">
        <v>0.10100000000000001</v>
      </c>
      <c r="E8578" s="2">
        <v>1</v>
      </c>
      <c r="F8578" s="2" t="s">
        <v>12</v>
      </c>
    </row>
    <row r="8579" spans="1:6" ht="25.5">
      <c r="A8579" s="2">
        <v>8576</v>
      </c>
      <c r="B8579" s="2" t="s">
        <v>8655</v>
      </c>
      <c r="C8579" s="2" t="str">
        <f>"10444068"</f>
        <v>10444068</v>
      </c>
      <c r="D8579" s="2">
        <v>0.45900000000000002</v>
      </c>
      <c r="E8579" s="2">
        <v>28</v>
      </c>
      <c r="F8579" s="2" t="s">
        <v>16</v>
      </c>
    </row>
    <row r="8580" spans="1:6" ht="25.5">
      <c r="A8580" s="2">
        <v>8577</v>
      </c>
      <c r="B8580" s="2" t="s">
        <v>8656</v>
      </c>
      <c r="C8580" s="2" t="str">
        <f>"20678223"</f>
        <v>20678223</v>
      </c>
      <c r="D8580" s="2">
        <v>0.24299999999999999</v>
      </c>
      <c r="E8580" s="2">
        <v>4</v>
      </c>
      <c r="F8580" s="2" t="s">
        <v>19</v>
      </c>
    </row>
    <row r="8581" spans="1:6" ht="25.5">
      <c r="A8581" s="2">
        <v>8578</v>
      </c>
      <c r="B8581" s="2" t="s">
        <v>8657</v>
      </c>
      <c r="C8581" s="2" t="str">
        <f>"14742659"</f>
        <v>14742659</v>
      </c>
      <c r="D8581" s="2">
        <v>0.54200000000000004</v>
      </c>
      <c r="E8581" s="2">
        <v>9</v>
      </c>
      <c r="F8581" s="2" t="s">
        <v>16</v>
      </c>
    </row>
    <row r="8582" spans="1:6" ht="25.5">
      <c r="A8582" s="2">
        <v>8579</v>
      </c>
      <c r="B8582" s="2" t="s">
        <v>8658</v>
      </c>
      <c r="C8582" s="2" t="str">
        <f>"15503984"</f>
        <v>15503984</v>
      </c>
      <c r="D8582" s="2">
        <v>0.14599999999999999</v>
      </c>
      <c r="E8582" s="2">
        <v>6</v>
      </c>
      <c r="F8582" s="2" t="s">
        <v>6</v>
      </c>
    </row>
    <row r="8583" spans="1:6" ht="25.5">
      <c r="A8583" s="2">
        <v>8580</v>
      </c>
      <c r="B8583" s="2" t="s">
        <v>8659</v>
      </c>
      <c r="C8583" s="2" t="str">
        <f>"15623599"</f>
        <v>15623599</v>
      </c>
      <c r="D8583" s="2">
        <v>0.114</v>
      </c>
      <c r="E8583" s="2">
        <v>1</v>
      </c>
      <c r="F8583" s="2" t="s">
        <v>46</v>
      </c>
    </row>
    <row r="8584" spans="1:6" ht="25.5">
      <c r="A8584" s="2">
        <v>8581</v>
      </c>
      <c r="B8584" s="2" t="s">
        <v>8660</v>
      </c>
      <c r="C8584" s="2" t="str">
        <f>"14706423"</f>
        <v>14706423</v>
      </c>
      <c r="D8584" s="2">
        <v>0.23599999999999999</v>
      </c>
      <c r="E8584" s="2">
        <v>4</v>
      </c>
      <c r="F8584" s="2" t="s">
        <v>16</v>
      </c>
    </row>
    <row r="8585" spans="1:6" ht="25.5">
      <c r="A8585" s="2">
        <v>8582</v>
      </c>
      <c r="B8585" s="2" t="s">
        <v>8661</v>
      </c>
      <c r="C8585" s="2" t="str">
        <f>"09596119"</f>
        <v>09596119</v>
      </c>
      <c r="D8585" s="2">
        <v>0.79500000000000004</v>
      </c>
      <c r="E8585" s="2">
        <v>19</v>
      </c>
      <c r="F8585" s="2" t="s">
        <v>16</v>
      </c>
    </row>
    <row r="8586" spans="1:6" ht="25.5">
      <c r="A8586" s="2">
        <v>8583</v>
      </c>
      <c r="B8586" s="2" t="s">
        <v>8662</v>
      </c>
      <c r="C8586" s="2" t="str">
        <f>"17415055"</f>
        <v>17415055</v>
      </c>
      <c r="D8586" s="2">
        <v>0.19600000000000001</v>
      </c>
      <c r="E8586" s="2">
        <v>11</v>
      </c>
      <c r="F8586" s="2" t="s">
        <v>16</v>
      </c>
    </row>
    <row r="8587" spans="1:6" ht="25.5">
      <c r="A8587" s="2">
        <v>8584</v>
      </c>
      <c r="B8587" s="2" t="s">
        <v>8663</v>
      </c>
      <c r="C8587" s="2" t="str">
        <f>"00207179"</f>
        <v>00207179</v>
      </c>
      <c r="D8587" s="2">
        <v>1.855</v>
      </c>
      <c r="E8587" s="2">
        <v>66</v>
      </c>
      <c r="F8587" s="2" t="s">
        <v>16</v>
      </c>
    </row>
    <row r="8588" spans="1:6" ht="25.5">
      <c r="A8588" s="2">
        <v>8585</v>
      </c>
      <c r="B8588" s="2" t="s">
        <v>8664</v>
      </c>
      <c r="C8588" s="2" t="str">
        <f>"20054297"</f>
        <v>20054297</v>
      </c>
      <c r="D8588" s="2">
        <v>0.22700000000000001</v>
      </c>
      <c r="E8588" s="2">
        <v>4</v>
      </c>
      <c r="F8588" s="2" t="s">
        <v>274</v>
      </c>
    </row>
    <row r="8589" spans="1:6" ht="25.5">
      <c r="A8589" s="2">
        <v>8586</v>
      </c>
      <c r="B8589" s="2" t="s">
        <v>8665</v>
      </c>
      <c r="C8589" s="2" t="str">
        <f>"15986446"</f>
        <v>15986446</v>
      </c>
      <c r="D8589" s="2">
        <v>0.623</v>
      </c>
      <c r="E8589" s="2">
        <v>21</v>
      </c>
      <c r="F8589" s="2" t="s">
        <v>274</v>
      </c>
    </row>
    <row r="8590" spans="1:6" ht="25.5">
      <c r="A8590" s="2">
        <v>8587</v>
      </c>
      <c r="B8590" s="2" t="s">
        <v>8666</v>
      </c>
      <c r="C8590" s="2" t="str">
        <f>"02188430"</f>
        <v>02188430</v>
      </c>
      <c r="D8590" s="2">
        <v>1.278</v>
      </c>
      <c r="E8590" s="2">
        <v>31</v>
      </c>
      <c r="F8590" s="2" t="s">
        <v>543</v>
      </c>
    </row>
    <row r="8591" spans="1:6" ht="25.5">
      <c r="A8591" s="2">
        <v>8588</v>
      </c>
      <c r="B8591" s="2" t="s">
        <v>8667</v>
      </c>
      <c r="C8591" s="2" t="str">
        <f>"11782005"</f>
        <v>11782005</v>
      </c>
      <c r="D8591" s="2">
        <v>0.85199999999999998</v>
      </c>
      <c r="E8591" s="2">
        <v>21</v>
      </c>
      <c r="F8591" s="2" t="s">
        <v>503</v>
      </c>
    </row>
    <row r="8592" spans="1:6" ht="25.5">
      <c r="A8592" s="2">
        <v>8589</v>
      </c>
      <c r="B8592" s="2" t="s">
        <v>8668</v>
      </c>
      <c r="C8592" s="2" t="str">
        <f>"15699811"</f>
        <v>15699811</v>
      </c>
      <c r="D8592" s="2">
        <v>0.66400000000000003</v>
      </c>
      <c r="E8592" s="2">
        <v>14</v>
      </c>
      <c r="F8592" s="2" t="s">
        <v>75</v>
      </c>
    </row>
    <row r="8593" spans="1:6" ht="25.5">
      <c r="A8593" s="2">
        <v>8590</v>
      </c>
      <c r="B8593" s="2" t="s">
        <v>8669</v>
      </c>
      <c r="C8593" s="2" t="str">
        <f>"16879333"</f>
        <v>16879333</v>
      </c>
      <c r="D8593" s="2">
        <v>0.126</v>
      </c>
      <c r="E8593" s="2">
        <v>2</v>
      </c>
      <c r="F8593" s="2" t="s">
        <v>6</v>
      </c>
    </row>
    <row r="8594" spans="1:6" ht="25.5">
      <c r="A8594" s="2">
        <v>8591</v>
      </c>
      <c r="B8594" s="2" t="s">
        <v>8670</v>
      </c>
      <c r="C8594" s="2" t="str">
        <f>"14682494"</f>
        <v>14682494</v>
      </c>
      <c r="D8594" s="2">
        <v>0.31900000000000001</v>
      </c>
      <c r="E8594" s="2">
        <v>27</v>
      </c>
      <c r="F8594" s="2" t="s">
        <v>16</v>
      </c>
    </row>
    <row r="8595" spans="1:6" ht="25.5">
      <c r="A8595" s="2">
        <v>8592</v>
      </c>
      <c r="B8595" s="2" t="s">
        <v>8671</v>
      </c>
      <c r="C8595" s="2" t="str">
        <f>"15738965"</f>
        <v>15738965</v>
      </c>
      <c r="D8595" s="2">
        <v>0.40200000000000002</v>
      </c>
      <c r="E8595" s="2">
        <v>19</v>
      </c>
      <c r="F8595" s="2" t="s">
        <v>16</v>
      </c>
    </row>
    <row r="8596" spans="1:6" ht="25.5">
      <c r="A8596" s="2">
        <v>8593</v>
      </c>
      <c r="B8596" s="2" t="s">
        <v>8672</v>
      </c>
      <c r="C8596" s="2" t="str">
        <f>"18745482"</f>
        <v>18745482</v>
      </c>
      <c r="D8596" s="2">
        <v>0.64600000000000002</v>
      </c>
      <c r="E8596" s="2">
        <v>8</v>
      </c>
      <c r="F8596" s="2" t="s">
        <v>75</v>
      </c>
    </row>
    <row r="8597" spans="1:6" ht="25.5">
      <c r="A8597" s="2">
        <v>8594</v>
      </c>
      <c r="B8597" s="2" t="s">
        <v>8673</v>
      </c>
      <c r="C8597" s="2" t="str">
        <f>"17418038"</f>
        <v>17418038</v>
      </c>
      <c r="D8597" s="2">
        <v>0.22700000000000001</v>
      </c>
      <c r="E8597" s="2">
        <v>11</v>
      </c>
      <c r="F8597" s="2" t="s">
        <v>16</v>
      </c>
    </row>
    <row r="8598" spans="1:6" ht="25.5">
      <c r="A8598" s="2">
        <v>8595</v>
      </c>
      <c r="B8598" s="2" t="s">
        <v>8674</v>
      </c>
      <c r="C8598" s="2" t="str">
        <f>"17412838"</f>
        <v>17412838</v>
      </c>
      <c r="D8598" s="2">
        <v>0.752</v>
      </c>
      <c r="E8598" s="2">
        <v>20</v>
      </c>
      <c r="F8598" s="2" t="s">
        <v>16</v>
      </c>
    </row>
    <row r="8599" spans="1:6" ht="25.5">
      <c r="A8599" s="2">
        <v>8596</v>
      </c>
      <c r="B8599" s="2" t="s">
        <v>8675</v>
      </c>
      <c r="C8599" s="2" t="str">
        <f>"14772833"</f>
        <v>14772833</v>
      </c>
      <c r="D8599" s="2">
        <v>0.373</v>
      </c>
      <c r="E8599" s="2">
        <v>4</v>
      </c>
      <c r="F8599" s="2" t="s">
        <v>16</v>
      </c>
    </row>
    <row r="8600" spans="1:6" ht="25.5">
      <c r="A8600" s="2">
        <v>8597</v>
      </c>
      <c r="B8600" s="2" t="s">
        <v>8676</v>
      </c>
      <c r="C8600" s="2" t="str">
        <f>"13678779"</f>
        <v>13678779</v>
      </c>
      <c r="D8600" s="2">
        <v>0.48299999999999998</v>
      </c>
      <c r="E8600" s="2">
        <v>11</v>
      </c>
      <c r="F8600" s="2" t="s">
        <v>16</v>
      </c>
    </row>
    <row r="8601" spans="1:6" ht="25.5">
      <c r="A8601" s="2">
        <v>8598</v>
      </c>
      <c r="B8601" s="2" t="s">
        <v>8677</v>
      </c>
      <c r="C8601" s="2" t="str">
        <f>"17542871"</f>
        <v>17542871</v>
      </c>
      <c r="D8601" s="2">
        <v>0.2</v>
      </c>
      <c r="E8601" s="2">
        <v>2</v>
      </c>
      <c r="F8601" s="2" t="s">
        <v>6</v>
      </c>
    </row>
    <row r="8602" spans="1:6" ht="25.5">
      <c r="A8602" s="2">
        <v>8599</v>
      </c>
      <c r="B8602" s="2" t="s">
        <v>8678</v>
      </c>
      <c r="C8602" s="2" t="str">
        <f>"17506182"</f>
        <v>17506182</v>
      </c>
      <c r="D8602" s="2">
        <v>0</v>
      </c>
      <c r="E8602" s="2">
        <v>0</v>
      </c>
      <c r="F8602" s="2" t="s">
        <v>16</v>
      </c>
    </row>
    <row r="8603" spans="1:6" ht="25.5">
      <c r="A8603" s="2">
        <v>8600</v>
      </c>
      <c r="B8603" s="2" t="s">
        <v>8679</v>
      </c>
      <c r="C8603" s="2" t="str">
        <f>"09742891"</f>
        <v>09742891</v>
      </c>
      <c r="D8603" s="2">
        <v>0</v>
      </c>
      <c r="E8603" s="2">
        <v>1</v>
      </c>
      <c r="F8603" s="2" t="s">
        <v>488</v>
      </c>
    </row>
    <row r="8604" spans="1:6" ht="25.5">
      <c r="A8604" s="2">
        <v>8601</v>
      </c>
      <c r="B8604" s="2" t="s">
        <v>8680</v>
      </c>
      <c r="C8604" s="2" t="str">
        <f>"18119751"</f>
        <v>18119751</v>
      </c>
      <c r="D8604" s="2">
        <v>0.435</v>
      </c>
      <c r="E8604" s="2">
        <v>6</v>
      </c>
      <c r="F8604" s="2" t="s">
        <v>43</v>
      </c>
    </row>
    <row r="8605" spans="1:6" ht="25.5">
      <c r="A8605" s="2">
        <v>8602</v>
      </c>
      <c r="B8605" s="2" t="s">
        <v>8681</v>
      </c>
      <c r="C8605" s="2" t="str">
        <f>"14710307"</f>
        <v>14710307</v>
      </c>
      <c r="D8605" s="2">
        <v>0.501</v>
      </c>
      <c r="E8605" s="2">
        <v>26</v>
      </c>
      <c r="F8605" s="2" t="s">
        <v>16</v>
      </c>
    </row>
    <row r="8606" spans="1:6" ht="25.5">
      <c r="A8606" s="2">
        <v>8603</v>
      </c>
      <c r="B8606" s="2" t="s">
        <v>8682</v>
      </c>
      <c r="C8606" s="2" t="str">
        <f>"15307921"</f>
        <v>15307921</v>
      </c>
      <c r="D8606" s="2">
        <v>0.89100000000000001</v>
      </c>
      <c r="E8606" s="2">
        <v>22</v>
      </c>
      <c r="F8606" s="2" t="s">
        <v>16</v>
      </c>
    </row>
    <row r="8607" spans="1:6" ht="25.5">
      <c r="A8607" s="2">
        <v>8604</v>
      </c>
      <c r="B8607" s="2" t="s">
        <v>8683</v>
      </c>
      <c r="C8607" s="2" t="str">
        <f>"17558069"</f>
        <v>17558069</v>
      </c>
      <c r="D8607" s="2">
        <v>0.157</v>
      </c>
      <c r="E8607" s="2">
        <v>2</v>
      </c>
      <c r="F8607" s="2" t="s">
        <v>31</v>
      </c>
    </row>
    <row r="8608" spans="1:6" ht="25.5">
      <c r="A8608" s="2">
        <v>8605</v>
      </c>
      <c r="B8608" s="2" t="s">
        <v>8684</v>
      </c>
      <c r="C8608" s="2" t="str">
        <f>"17485681"</f>
        <v>17485681</v>
      </c>
      <c r="D8608" s="2">
        <v>0.26500000000000001</v>
      </c>
      <c r="E8608" s="2">
        <v>9</v>
      </c>
      <c r="F8608" s="2" t="s">
        <v>16</v>
      </c>
    </row>
    <row r="8609" spans="1:6" ht="25.5">
      <c r="A8609" s="2">
        <v>8606</v>
      </c>
      <c r="B8609" s="2" t="s">
        <v>8685</v>
      </c>
      <c r="C8609" s="2" t="str">
        <f>"17591171"</f>
        <v>17591171</v>
      </c>
      <c r="D8609" s="2">
        <v>0.29899999999999999</v>
      </c>
      <c r="E8609" s="2">
        <v>6</v>
      </c>
      <c r="F8609" s="2" t="s">
        <v>31</v>
      </c>
    </row>
    <row r="8610" spans="1:6" ht="25.5">
      <c r="A8610" s="2">
        <v>8607</v>
      </c>
      <c r="B8610" s="2" t="s">
        <v>8686</v>
      </c>
      <c r="C8610" s="2" t="str">
        <f>"15483932"</f>
        <v>15483932</v>
      </c>
      <c r="D8610" s="2">
        <v>0.98099999999999998</v>
      </c>
      <c r="E8610" s="2">
        <v>8</v>
      </c>
      <c r="F8610" s="2" t="s">
        <v>6</v>
      </c>
    </row>
    <row r="8611" spans="1:6" ht="25.5">
      <c r="A8611" s="2">
        <v>8608</v>
      </c>
      <c r="B8611" s="2" t="s">
        <v>8687</v>
      </c>
      <c r="C8611" s="2" t="str">
        <f>"1941630X"</f>
        <v>1941630X</v>
      </c>
      <c r="D8611" s="2">
        <v>0</v>
      </c>
      <c r="E8611" s="2">
        <v>0</v>
      </c>
      <c r="F8611" s="2" t="s">
        <v>6</v>
      </c>
    </row>
    <row r="8612" spans="1:6" ht="25.5">
      <c r="A8612" s="2">
        <v>8609</v>
      </c>
      <c r="B8612" s="2" t="s">
        <v>8688</v>
      </c>
      <c r="C8612" s="2" t="str">
        <f>"16015037"</f>
        <v>16015037</v>
      </c>
      <c r="D8612" s="2">
        <v>0.307</v>
      </c>
      <c r="E8612" s="2">
        <v>15</v>
      </c>
      <c r="F8612" s="2" t="s">
        <v>16</v>
      </c>
    </row>
    <row r="8613" spans="1:6" ht="25.5">
      <c r="A8613" s="2">
        <v>8610</v>
      </c>
      <c r="B8613" s="2" t="s">
        <v>8689</v>
      </c>
      <c r="C8613" s="2" t="str">
        <f>"16878736"</f>
        <v>16878736</v>
      </c>
      <c r="D8613" s="2">
        <v>0.124</v>
      </c>
      <c r="E8613" s="2">
        <v>3</v>
      </c>
      <c r="F8613" s="2" t="s">
        <v>6</v>
      </c>
    </row>
    <row r="8614" spans="1:6" ht="25.5">
      <c r="A8614" s="2">
        <v>8611</v>
      </c>
      <c r="B8614" s="2" t="s">
        <v>8690</v>
      </c>
      <c r="C8614" s="2" t="str">
        <f>"13654362"</f>
        <v>13654362</v>
      </c>
      <c r="D8614" s="2">
        <v>0.57399999999999995</v>
      </c>
      <c r="E8614" s="2">
        <v>57</v>
      </c>
      <c r="F8614" s="2" t="s">
        <v>16</v>
      </c>
    </row>
    <row r="8615" spans="1:6" ht="25.5">
      <c r="A8615" s="2">
        <v>8612</v>
      </c>
      <c r="B8615" s="2" t="s">
        <v>8691</v>
      </c>
      <c r="C8615" s="2" t="str">
        <f>"19913761"</f>
        <v>19913761</v>
      </c>
      <c r="D8615" s="2">
        <v>0.30499999999999999</v>
      </c>
      <c r="E8615" s="2">
        <v>3</v>
      </c>
      <c r="F8615" s="2" t="s">
        <v>165</v>
      </c>
    </row>
    <row r="8616" spans="1:6" ht="25.5">
      <c r="A8616" s="2">
        <v>8613</v>
      </c>
      <c r="B8616" s="2" t="s">
        <v>8692</v>
      </c>
      <c r="C8616" s="2" t="str">
        <f>"17557437"</f>
        <v>17557437</v>
      </c>
      <c r="D8616" s="2">
        <v>0.21</v>
      </c>
      <c r="E8616" s="2">
        <v>6</v>
      </c>
      <c r="F8616" s="2" t="s">
        <v>16</v>
      </c>
    </row>
    <row r="8617" spans="1:6" ht="25.5">
      <c r="A8617" s="2">
        <v>8614</v>
      </c>
      <c r="B8617" s="2" t="s">
        <v>8693</v>
      </c>
      <c r="C8617" s="2" t="str">
        <f>"16307267"</f>
        <v>16307267</v>
      </c>
      <c r="D8617" s="2">
        <v>0.159</v>
      </c>
      <c r="E8617" s="2">
        <v>3</v>
      </c>
      <c r="F8617" s="2" t="s">
        <v>66</v>
      </c>
    </row>
    <row r="8618" spans="1:6" ht="25.5">
      <c r="A8618" s="2">
        <v>8615</v>
      </c>
      <c r="B8618" s="2" t="s">
        <v>8694</v>
      </c>
      <c r="C8618" s="2" t="str">
        <f>"02146282"</f>
        <v>02146282</v>
      </c>
      <c r="D8618" s="2">
        <v>1.226</v>
      </c>
      <c r="E8618" s="2">
        <v>65</v>
      </c>
      <c r="F8618" s="2" t="s">
        <v>351</v>
      </c>
    </row>
    <row r="8619" spans="1:6" ht="25.5">
      <c r="A8619" s="2">
        <v>8616</v>
      </c>
      <c r="B8619" s="2" t="s">
        <v>8695</v>
      </c>
      <c r="C8619" s="2" t="str">
        <f>"07365748"</f>
        <v>07365748</v>
      </c>
      <c r="D8619" s="2">
        <v>0.97399999999999998</v>
      </c>
      <c r="E8619" s="2">
        <v>60</v>
      </c>
      <c r="F8619" s="2" t="s">
        <v>16</v>
      </c>
    </row>
    <row r="8620" spans="1:6" ht="25.5">
      <c r="A8620" s="2">
        <v>8617</v>
      </c>
      <c r="B8620" s="2" t="s">
        <v>8696</v>
      </c>
      <c r="C8620" s="2" t="str">
        <f>"16067754"</f>
        <v>16067754</v>
      </c>
      <c r="D8620" s="2">
        <v>0.14099999999999999</v>
      </c>
      <c r="E8620" s="2">
        <v>8</v>
      </c>
      <c r="F8620" s="2" t="s">
        <v>1467</v>
      </c>
    </row>
    <row r="8621" spans="1:6" ht="25.5">
      <c r="A8621" s="2">
        <v>8618</v>
      </c>
      <c r="B8621" s="2" t="s">
        <v>8697</v>
      </c>
      <c r="C8621" s="2" t="str">
        <f>"09733930"</f>
        <v>09733930</v>
      </c>
      <c r="D8621" s="2">
        <v>0.22700000000000001</v>
      </c>
      <c r="E8621" s="2">
        <v>8</v>
      </c>
      <c r="F8621" s="2" t="s">
        <v>488</v>
      </c>
    </row>
    <row r="8622" spans="1:6" ht="25.5">
      <c r="A8622" s="2">
        <v>8619</v>
      </c>
      <c r="B8622" s="2" t="s">
        <v>8698</v>
      </c>
      <c r="C8622" s="2" t="str">
        <f>"18775934"</f>
        <v>18775934</v>
      </c>
      <c r="D8622" s="2">
        <v>0.17399999999999999</v>
      </c>
      <c r="E8622" s="2">
        <v>4</v>
      </c>
      <c r="F8622" s="2" t="s">
        <v>75</v>
      </c>
    </row>
    <row r="8623" spans="1:6" ht="25.5">
      <c r="A8623" s="2">
        <v>8620</v>
      </c>
      <c r="B8623" s="2" t="s">
        <v>8699</v>
      </c>
      <c r="C8623" s="2" t="str">
        <f>"19759339"</f>
        <v>19759339</v>
      </c>
      <c r="D8623" s="2">
        <v>0.59399999999999997</v>
      </c>
      <c r="E8623" s="2">
        <v>19</v>
      </c>
      <c r="F8623" s="2" t="s">
        <v>274</v>
      </c>
    </row>
    <row r="8624" spans="1:6" ht="25.5">
      <c r="A8624" s="2">
        <v>8621</v>
      </c>
      <c r="B8624" s="2" t="s">
        <v>8700</v>
      </c>
      <c r="C8624" s="2" t="str">
        <f>"19416229"</f>
        <v>19416229</v>
      </c>
      <c r="D8624" s="2">
        <v>0.14299999999999999</v>
      </c>
      <c r="E8624" s="2">
        <v>4</v>
      </c>
      <c r="F8624" s="2" t="s">
        <v>6</v>
      </c>
    </row>
    <row r="8625" spans="1:6" ht="25.5">
      <c r="A8625" s="2">
        <v>8622</v>
      </c>
      <c r="B8625" s="2" t="s">
        <v>8701</v>
      </c>
      <c r="C8625" s="2" t="str">
        <f>"17538955"</f>
        <v>17538955</v>
      </c>
      <c r="D8625" s="2">
        <v>0.53200000000000003</v>
      </c>
      <c r="E8625" s="2">
        <v>6</v>
      </c>
      <c r="F8625" s="2" t="s">
        <v>16</v>
      </c>
    </row>
    <row r="8626" spans="1:6" ht="25.5">
      <c r="A8626" s="2">
        <v>8623</v>
      </c>
      <c r="B8626" s="2" t="s">
        <v>8702</v>
      </c>
      <c r="C8626" s="2" t="str">
        <f>"16877586"</f>
        <v>16877586</v>
      </c>
      <c r="D8626" s="2">
        <v>0.255</v>
      </c>
      <c r="E8626" s="2">
        <v>6</v>
      </c>
      <c r="F8626" s="2" t="s">
        <v>6</v>
      </c>
    </row>
    <row r="8627" spans="1:6" ht="25.5">
      <c r="A8627" s="2">
        <v>8624</v>
      </c>
      <c r="B8627" s="2" t="s">
        <v>8703</v>
      </c>
      <c r="C8627" s="2" t="str">
        <f>"1465346X"</f>
        <v>1465346X</v>
      </c>
      <c r="D8627" s="2">
        <v>0.30199999999999999</v>
      </c>
      <c r="E8627" s="2">
        <v>14</v>
      </c>
      <c r="F8627" s="2" t="s">
        <v>16</v>
      </c>
    </row>
    <row r="8628" spans="1:6" ht="25.5">
      <c r="A8628" s="2">
        <v>8625</v>
      </c>
      <c r="B8628" s="2" t="s">
        <v>8704</v>
      </c>
      <c r="C8628" s="2" t="str">
        <f>"17595908"</f>
        <v>17595908</v>
      </c>
      <c r="D8628" s="2">
        <v>0.33700000000000002</v>
      </c>
      <c r="E8628" s="2">
        <v>4</v>
      </c>
      <c r="F8628" s="2" t="s">
        <v>16</v>
      </c>
    </row>
    <row r="8629" spans="1:6" ht="25.5">
      <c r="A8629" s="2">
        <v>8626</v>
      </c>
      <c r="B8629" s="2" t="s">
        <v>8705</v>
      </c>
      <c r="C8629" s="2" t="str">
        <f>"22124209"</f>
        <v>22124209</v>
      </c>
      <c r="D8629" s="2">
        <v>0</v>
      </c>
      <c r="E8629" s="2">
        <v>1</v>
      </c>
      <c r="F8629" s="2" t="s">
        <v>16</v>
      </c>
    </row>
    <row r="8630" spans="1:6" ht="25.5">
      <c r="A8630" s="2">
        <v>8627</v>
      </c>
      <c r="B8630" s="2" t="s">
        <v>8706</v>
      </c>
      <c r="C8630" s="2" t="str">
        <f>"17466539"</f>
        <v>17466539</v>
      </c>
      <c r="D8630" s="2">
        <v>0.24099999999999999</v>
      </c>
      <c r="E8630" s="2">
        <v>5</v>
      </c>
      <c r="F8630" s="2" t="s">
        <v>16</v>
      </c>
    </row>
    <row r="8631" spans="1:6" ht="25.5">
      <c r="A8631" s="2">
        <v>8628</v>
      </c>
      <c r="B8631" s="2" t="s">
        <v>8707</v>
      </c>
      <c r="C8631" s="2" t="str">
        <f>"13582291"</f>
        <v>13582291</v>
      </c>
      <c r="D8631" s="2">
        <v>0.111</v>
      </c>
      <c r="E8631" s="2">
        <v>3</v>
      </c>
      <c r="F8631" s="2" t="s">
        <v>16</v>
      </c>
    </row>
    <row r="8632" spans="1:6" ht="25.5">
      <c r="A8632" s="2">
        <v>8629</v>
      </c>
      <c r="B8632" s="2" t="s">
        <v>8708</v>
      </c>
      <c r="C8632" s="2" t="str">
        <f>"15393100"</f>
        <v>15393100</v>
      </c>
      <c r="D8632" s="2">
        <v>0.186</v>
      </c>
      <c r="E8632" s="2">
        <v>7</v>
      </c>
      <c r="F8632" s="2" t="s">
        <v>6</v>
      </c>
    </row>
    <row r="8633" spans="1:6" ht="25.5">
      <c r="A8633" s="2">
        <v>8630</v>
      </c>
      <c r="B8633" s="2" t="s">
        <v>8709</v>
      </c>
      <c r="C8633" s="2" t="str">
        <f>"15501477"</f>
        <v>15501477</v>
      </c>
      <c r="D8633" s="2">
        <v>0.221</v>
      </c>
      <c r="E8633" s="2">
        <v>9</v>
      </c>
      <c r="F8633" s="2" t="s">
        <v>6</v>
      </c>
    </row>
    <row r="8634" spans="1:6" ht="25.5">
      <c r="A8634" s="2">
        <v>8631</v>
      </c>
      <c r="B8634" s="2" t="s">
        <v>8710</v>
      </c>
      <c r="C8634" s="2" t="str">
        <f>"14479532"</f>
        <v>14479532</v>
      </c>
      <c r="D8634" s="2">
        <v>0</v>
      </c>
      <c r="E8634" s="2">
        <v>1</v>
      </c>
      <c r="F8634" s="2" t="s">
        <v>6</v>
      </c>
    </row>
    <row r="8635" spans="1:6" ht="25.5">
      <c r="A8635" s="2">
        <v>8632</v>
      </c>
      <c r="B8635" s="2" t="s">
        <v>8711</v>
      </c>
      <c r="C8635" s="2" t="str">
        <f>"15568881"</f>
        <v>15568881</v>
      </c>
      <c r="D8635" s="2">
        <v>0.20100000000000001</v>
      </c>
      <c r="E8635" s="2">
        <v>3</v>
      </c>
      <c r="F8635" s="2" t="s">
        <v>6</v>
      </c>
    </row>
    <row r="8636" spans="1:6" ht="25.5">
      <c r="A8636" s="2">
        <v>8633</v>
      </c>
      <c r="B8636" s="2" t="s">
        <v>8712</v>
      </c>
      <c r="C8636" s="2" t="str">
        <f>"18667953"</f>
        <v>18667953</v>
      </c>
      <c r="D8636" s="2">
        <v>0.16600000000000001</v>
      </c>
      <c r="E8636" s="2">
        <v>2</v>
      </c>
      <c r="F8636" s="2" t="s">
        <v>12</v>
      </c>
    </row>
    <row r="8637" spans="1:6" ht="25.5">
      <c r="A8637" s="2">
        <v>8634</v>
      </c>
      <c r="B8637" s="2" t="s">
        <v>8713</v>
      </c>
      <c r="C8637" s="2" t="str">
        <f>"09750215"</f>
        <v>09750215</v>
      </c>
      <c r="D8637" s="2">
        <v>0.17699999999999999</v>
      </c>
      <c r="E8637" s="2">
        <v>4</v>
      </c>
      <c r="F8637" s="2" t="s">
        <v>488</v>
      </c>
    </row>
    <row r="8638" spans="1:6" ht="25.5">
      <c r="A8638" s="2">
        <v>8635</v>
      </c>
      <c r="B8638" s="2" t="s">
        <v>8713</v>
      </c>
      <c r="C8638" s="2" t="str">
        <f>"09754415"</f>
        <v>09754415</v>
      </c>
      <c r="D8638" s="2">
        <v>0.112</v>
      </c>
      <c r="E8638" s="2">
        <v>1</v>
      </c>
      <c r="F8638" s="2" t="s">
        <v>488</v>
      </c>
    </row>
    <row r="8639" spans="1:6" ht="25.5">
      <c r="A8639" s="2">
        <v>8636</v>
      </c>
      <c r="B8639" s="2" t="s">
        <v>8714</v>
      </c>
      <c r="C8639" s="2" t="str">
        <f>"09759344"</f>
        <v>09759344</v>
      </c>
      <c r="D8639" s="2">
        <v>0.183</v>
      </c>
      <c r="E8639" s="2">
        <v>4</v>
      </c>
      <c r="F8639" s="2" t="s">
        <v>488</v>
      </c>
    </row>
    <row r="8640" spans="1:6" ht="25.5">
      <c r="A8640" s="2">
        <v>8637</v>
      </c>
      <c r="B8640" s="2" t="s">
        <v>8715</v>
      </c>
      <c r="C8640" s="2" t="str">
        <f>"09553959"</f>
        <v>09553959</v>
      </c>
      <c r="D8640" s="2">
        <v>0.89200000000000002</v>
      </c>
      <c r="E8640" s="2">
        <v>35</v>
      </c>
      <c r="F8640" s="2" t="s">
        <v>75</v>
      </c>
    </row>
    <row r="8641" spans="1:6" ht="25.5">
      <c r="A8641" s="2">
        <v>8638</v>
      </c>
      <c r="B8641" s="2" t="s">
        <v>8716</v>
      </c>
      <c r="C8641" s="2" t="str">
        <f>"17523591"</f>
        <v>17523591</v>
      </c>
      <c r="D8641" s="2">
        <v>0.59299999999999997</v>
      </c>
      <c r="E8641" s="2">
        <v>6</v>
      </c>
      <c r="F8641" s="2" t="s">
        <v>16</v>
      </c>
    </row>
    <row r="8642" spans="1:6" ht="25.5">
      <c r="A8642" s="2">
        <v>8639</v>
      </c>
      <c r="B8642" s="2" t="s">
        <v>8717</v>
      </c>
      <c r="C8642" s="2" t="str">
        <f>"00207187"</f>
        <v>00207187</v>
      </c>
      <c r="D8642" s="2">
        <v>0.19900000000000001</v>
      </c>
      <c r="E8642" s="2">
        <v>6</v>
      </c>
      <c r="F8642" s="2" t="s">
        <v>75</v>
      </c>
    </row>
    <row r="8643" spans="1:6" ht="25.5">
      <c r="A8643" s="2">
        <v>8640</v>
      </c>
      <c r="B8643" s="2" t="s">
        <v>8718</v>
      </c>
      <c r="C8643" s="2" t="str">
        <f>"13085581"</f>
        <v>13085581</v>
      </c>
      <c r="D8643" s="2">
        <v>0.112</v>
      </c>
      <c r="E8643" s="2">
        <v>2</v>
      </c>
      <c r="F8643" s="2" t="s">
        <v>345</v>
      </c>
    </row>
    <row r="8644" spans="1:6" ht="25.5">
      <c r="A8644" s="2">
        <v>8641</v>
      </c>
      <c r="B8644" s="2" t="s">
        <v>8719</v>
      </c>
      <c r="C8644" s="2" t="str">
        <f>"09669760"</f>
        <v>09669760</v>
      </c>
      <c r="D8644" s="2">
        <v>0.27900000000000003</v>
      </c>
      <c r="E8644" s="2">
        <v>3</v>
      </c>
      <c r="F8644" s="2" t="s">
        <v>16</v>
      </c>
    </row>
    <row r="8645" spans="1:6" ht="25.5">
      <c r="A8645" s="2">
        <v>8642</v>
      </c>
      <c r="B8645" s="2" t="s">
        <v>8720</v>
      </c>
      <c r="C8645" s="2" t="str">
        <f>"14373262"</f>
        <v>14373262</v>
      </c>
      <c r="D8645" s="2">
        <v>1.3009999999999999</v>
      </c>
      <c r="E8645" s="2">
        <v>66</v>
      </c>
      <c r="F8645" s="2" t="s">
        <v>12</v>
      </c>
    </row>
    <row r="8646" spans="1:6" ht="25.5">
      <c r="A8646" s="2">
        <v>8643</v>
      </c>
      <c r="B8646" s="2" t="s">
        <v>8721</v>
      </c>
      <c r="C8646" s="2" t="str">
        <f>"09745904"</f>
        <v>09745904</v>
      </c>
      <c r="D8646" s="2">
        <v>0.14899999999999999</v>
      </c>
      <c r="E8646" s="2">
        <v>2</v>
      </c>
      <c r="F8646" s="2" t="s">
        <v>488</v>
      </c>
    </row>
    <row r="8647" spans="1:6" ht="25.5">
      <c r="A8647" s="2">
        <v>8644</v>
      </c>
      <c r="B8647" s="2" t="s">
        <v>8722</v>
      </c>
      <c r="C8647" s="2" t="str">
        <f>"1098108X"</f>
        <v>1098108X</v>
      </c>
      <c r="D8647" s="2">
        <v>1.4650000000000001</v>
      </c>
      <c r="E8647" s="2">
        <v>86</v>
      </c>
      <c r="F8647" s="2" t="s">
        <v>6</v>
      </c>
    </row>
    <row r="8648" spans="1:6" ht="25.5">
      <c r="A8648" s="2">
        <v>8645</v>
      </c>
      <c r="B8648" s="2" t="s">
        <v>8723</v>
      </c>
      <c r="C8648" s="2" t="str">
        <f>"1548114X"</f>
        <v>1548114X</v>
      </c>
      <c r="D8648" s="2">
        <v>0.186</v>
      </c>
      <c r="E8648" s="2">
        <v>7</v>
      </c>
      <c r="F8648" s="2" t="s">
        <v>6</v>
      </c>
    </row>
    <row r="8649" spans="1:6" ht="25.5">
      <c r="A8649" s="2">
        <v>8646</v>
      </c>
      <c r="B8649" s="2" t="s">
        <v>8724</v>
      </c>
      <c r="C8649" s="2" t="str">
        <f>"15483681"</f>
        <v>15483681</v>
      </c>
      <c r="D8649" s="2">
        <v>0.33300000000000002</v>
      </c>
      <c r="E8649" s="2">
        <v>5</v>
      </c>
      <c r="F8649" s="2" t="s">
        <v>6</v>
      </c>
    </row>
    <row r="8650" spans="1:6" ht="25.5">
      <c r="A8650" s="2">
        <v>8647</v>
      </c>
      <c r="B8650" s="2" t="s">
        <v>8725</v>
      </c>
      <c r="C8650" s="2" t="str">
        <f>"16879716"</f>
        <v>16879716</v>
      </c>
      <c r="D8650" s="2">
        <v>0.26200000000000001</v>
      </c>
      <c r="E8650" s="2">
        <v>3</v>
      </c>
      <c r="F8650" s="2" t="s">
        <v>6</v>
      </c>
    </row>
    <row r="8651" spans="1:6" ht="25.5">
      <c r="A8651" s="2">
        <v>8648</v>
      </c>
      <c r="B8651" s="2" t="s">
        <v>8726</v>
      </c>
      <c r="C8651" s="2" t="str">
        <f>"09737308"</f>
        <v>09737308</v>
      </c>
      <c r="D8651" s="2">
        <v>0.104</v>
      </c>
      <c r="E8651" s="2">
        <v>2</v>
      </c>
      <c r="F8651" s="2" t="s">
        <v>488</v>
      </c>
    </row>
    <row r="8652" spans="1:6" ht="25.5">
      <c r="A8652" s="2">
        <v>8649</v>
      </c>
      <c r="B8652" s="2" t="s">
        <v>8727</v>
      </c>
      <c r="C8652" s="2" t="str">
        <f>"17520460"</f>
        <v>17520460</v>
      </c>
      <c r="D8652" s="2">
        <v>0.122</v>
      </c>
      <c r="E8652" s="2">
        <v>1</v>
      </c>
      <c r="F8652" s="2" t="s">
        <v>31</v>
      </c>
    </row>
    <row r="8653" spans="1:6" ht="25.5">
      <c r="A8653" s="2">
        <v>8650</v>
      </c>
      <c r="B8653" s="2" t="s">
        <v>8728</v>
      </c>
      <c r="C8653" s="2" t="str">
        <f>"09729380"</f>
        <v>09729380</v>
      </c>
      <c r="D8653" s="2">
        <v>0.1</v>
      </c>
      <c r="E8653" s="2">
        <v>1</v>
      </c>
      <c r="F8653" s="2" t="s">
        <v>488</v>
      </c>
    </row>
    <row r="8654" spans="1:6" ht="25.5">
      <c r="A8654" s="2">
        <v>8651</v>
      </c>
      <c r="B8654" s="2" t="s">
        <v>8729</v>
      </c>
      <c r="C8654" s="2" t="str">
        <f>"1823836X"</f>
        <v>1823836X</v>
      </c>
      <c r="D8654" s="2">
        <v>0.14899999999999999</v>
      </c>
      <c r="E8654" s="2">
        <v>5</v>
      </c>
      <c r="F8654" s="2" t="s">
        <v>37</v>
      </c>
    </row>
    <row r="8655" spans="1:6" ht="25.5">
      <c r="A8655" s="2">
        <v>8652</v>
      </c>
      <c r="B8655" s="2" t="s">
        <v>8730</v>
      </c>
      <c r="C8655" s="2" t="str">
        <f>"17427363"</f>
        <v>17427363</v>
      </c>
      <c r="D8655" s="2">
        <v>0.626</v>
      </c>
      <c r="E8655" s="2">
        <v>3</v>
      </c>
      <c r="F8655" s="2" t="s">
        <v>6</v>
      </c>
    </row>
    <row r="8656" spans="1:6" ht="25.5">
      <c r="A8656" s="2">
        <v>8653</v>
      </c>
      <c r="B8656" s="2" t="s">
        <v>8731</v>
      </c>
      <c r="C8656" s="2" t="str">
        <f>"07380593"</f>
        <v>07380593</v>
      </c>
      <c r="D8656" s="2">
        <v>0.83599999999999997</v>
      </c>
      <c r="E8656" s="2">
        <v>21</v>
      </c>
      <c r="F8656" s="2" t="s">
        <v>75</v>
      </c>
    </row>
    <row r="8657" spans="1:6" ht="25.5">
      <c r="A8657" s="2">
        <v>8654</v>
      </c>
      <c r="B8657" s="2" t="s">
        <v>8732</v>
      </c>
      <c r="C8657" s="2" t="str">
        <f>"0951354X"</f>
        <v>0951354X</v>
      </c>
      <c r="D8657" s="2">
        <v>0.39100000000000001</v>
      </c>
      <c r="E8657" s="2">
        <v>13</v>
      </c>
      <c r="F8657" s="2" t="s">
        <v>16</v>
      </c>
    </row>
    <row r="8658" spans="1:6" ht="25.5">
      <c r="A8658" s="2">
        <v>8655</v>
      </c>
      <c r="B8658" s="2" t="s">
        <v>8733</v>
      </c>
      <c r="C8658" s="2" t="str">
        <f>"08830355"</f>
        <v>08830355</v>
      </c>
      <c r="D8658" s="2">
        <v>0.41099999999999998</v>
      </c>
      <c r="E8658" s="2">
        <v>30</v>
      </c>
      <c r="F8658" s="2" t="s">
        <v>75</v>
      </c>
    </row>
    <row r="8659" spans="1:6" ht="25.5">
      <c r="A8659" s="2">
        <v>8656</v>
      </c>
      <c r="B8659" s="2" t="s">
        <v>8734</v>
      </c>
      <c r="C8659" s="2" t="str">
        <f>"1947315X"</f>
        <v>1947315X</v>
      </c>
      <c r="D8659" s="2">
        <v>0.215</v>
      </c>
      <c r="E8659" s="2">
        <v>3</v>
      </c>
      <c r="F8659" s="2" t="s">
        <v>6</v>
      </c>
    </row>
    <row r="8660" spans="1:6" ht="25.5">
      <c r="A8660" s="2">
        <v>8657</v>
      </c>
      <c r="B8660" s="2" t="s">
        <v>8735</v>
      </c>
      <c r="C8660" s="2" t="str">
        <f>"18123031"</f>
        <v>18123031</v>
      </c>
      <c r="D8660" s="2">
        <v>0.108</v>
      </c>
      <c r="E8660" s="2">
        <v>6</v>
      </c>
      <c r="F8660" s="2" t="s">
        <v>165</v>
      </c>
    </row>
    <row r="8661" spans="1:6" ht="25.5">
      <c r="A8661" s="2">
        <v>8658</v>
      </c>
      <c r="B8661" s="2" t="s">
        <v>8736</v>
      </c>
      <c r="C8661" s="2" t="str">
        <f>"00207209"</f>
        <v>00207209</v>
      </c>
      <c r="D8661" s="2">
        <v>0.23799999999999999</v>
      </c>
      <c r="E8661" s="2">
        <v>11</v>
      </c>
      <c r="F8661" s="2" t="s">
        <v>16</v>
      </c>
    </row>
    <row r="8662" spans="1:6" ht="25.5">
      <c r="A8662" s="2">
        <v>8659</v>
      </c>
      <c r="B8662" s="2" t="s">
        <v>8737</v>
      </c>
      <c r="C8662" s="2" t="str">
        <f>"01420615"</f>
        <v>01420615</v>
      </c>
      <c r="D8662" s="2">
        <v>1.671</v>
      </c>
      <c r="E8662" s="2">
        <v>48</v>
      </c>
      <c r="F8662" s="2" t="s">
        <v>16</v>
      </c>
    </row>
    <row r="8663" spans="1:6" ht="25.5">
      <c r="A8663" s="2">
        <v>8660</v>
      </c>
      <c r="B8663" s="2" t="s">
        <v>8738</v>
      </c>
      <c r="C8663" s="2" t="str">
        <f>"17514088"</f>
        <v>17514088</v>
      </c>
      <c r="D8663" s="2">
        <v>0.23300000000000001</v>
      </c>
      <c r="E8663" s="2">
        <v>7</v>
      </c>
      <c r="F8663" s="2" t="s">
        <v>16</v>
      </c>
    </row>
    <row r="8664" spans="1:6" ht="25.5">
      <c r="A8664" s="2">
        <v>8661</v>
      </c>
      <c r="B8664" s="2" t="s">
        <v>8739</v>
      </c>
      <c r="C8664" s="2" t="str">
        <f>"14523981"</f>
        <v>14523981</v>
      </c>
      <c r="D8664" s="2">
        <v>0.53600000000000003</v>
      </c>
      <c r="E8664" s="2">
        <v>24</v>
      </c>
      <c r="F8664" s="2" t="s">
        <v>212</v>
      </c>
    </row>
    <row r="8665" spans="1:6" ht="25.5">
      <c r="A8665" s="2">
        <v>8662</v>
      </c>
      <c r="B8665" s="2" t="s">
        <v>8740</v>
      </c>
      <c r="C8665" s="2" t="str">
        <f>"10864415"</f>
        <v>10864415</v>
      </c>
      <c r="D8665" s="2">
        <v>1.155</v>
      </c>
      <c r="E8665" s="2">
        <v>49</v>
      </c>
      <c r="F8665" s="2" t="s">
        <v>6</v>
      </c>
    </row>
    <row r="8666" spans="1:6" ht="25.5">
      <c r="A8666" s="2">
        <v>8663</v>
      </c>
      <c r="B8666" s="2" t="s">
        <v>8741</v>
      </c>
      <c r="C8666" s="2" t="str">
        <f>"17500672"</f>
        <v>17500672</v>
      </c>
      <c r="D8666" s="2">
        <v>0.14199999999999999</v>
      </c>
      <c r="E8666" s="2">
        <v>2</v>
      </c>
      <c r="F8666" s="2" t="s">
        <v>16</v>
      </c>
    </row>
    <row r="8667" spans="1:6" ht="25.5">
      <c r="A8667" s="2">
        <v>8664</v>
      </c>
      <c r="B8667" s="2" t="s">
        <v>8742</v>
      </c>
      <c r="C8667" s="2" t="str">
        <f>"15483894"</f>
        <v>15483894</v>
      </c>
      <c r="D8667" s="2">
        <v>0.30599999999999999</v>
      </c>
      <c r="E8667" s="2">
        <v>6</v>
      </c>
      <c r="F8667" s="2" t="s">
        <v>6</v>
      </c>
    </row>
    <row r="8668" spans="1:6" ht="25.5">
      <c r="A8668" s="2">
        <v>8665</v>
      </c>
      <c r="B8668" s="2" t="s">
        <v>8743</v>
      </c>
      <c r="C8668" s="2" t="str">
        <f>"17418461"</f>
        <v>17418461</v>
      </c>
      <c r="D8668" s="2">
        <v>0.24099999999999999</v>
      </c>
      <c r="E8668" s="2">
        <v>16</v>
      </c>
      <c r="F8668" s="2" t="s">
        <v>16</v>
      </c>
    </row>
    <row r="8669" spans="1:6" ht="25.5">
      <c r="A8669" s="2">
        <v>8666</v>
      </c>
      <c r="B8669" s="2" t="s">
        <v>8744</v>
      </c>
      <c r="C8669" s="2" t="str">
        <f>"17411033"</f>
        <v>17411033</v>
      </c>
      <c r="D8669" s="2">
        <v>0.23</v>
      </c>
      <c r="E8669" s="2">
        <v>3</v>
      </c>
      <c r="F8669" s="2" t="s">
        <v>16</v>
      </c>
    </row>
    <row r="8670" spans="1:6" ht="25.5">
      <c r="A8670" s="2">
        <v>8667</v>
      </c>
      <c r="B8670" s="2" t="s">
        <v>8745</v>
      </c>
      <c r="C8670" s="2" t="str">
        <f>"13623060"</f>
        <v>13623060</v>
      </c>
      <c r="D8670" s="2">
        <v>0.29699999999999999</v>
      </c>
      <c r="E8670" s="2">
        <v>34</v>
      </c>
      <c r="F8670" s="2" t="s">
        <v>16</v>
      </c>
    </row>
    <row r="8671" spans="1:6" ht="25.5">
      <c r="A8671" s="2">
        <v>8668</v>
      </c>
      <c r="B8671" s="2" t="s">
        <v>8746</v>
      </c>
      <c r="C8671" s="2" t="str">
        <f>"20818491"</f>
        <v>20818491</v>
      </c>
      <c r="D8671" s="2">
        <v>0.16300000000000001</v>
      </c>
      <c r="E8671" s="2">
        <v>7</v>
      </c>
      <c r="F8671" s="2" t="s">
        <v>169</v>
      </c>
    </row>
    <row r="8672" spans="1:6" ht="25.5">
      <c r="A8672" s="2">
        <v>8669</v>
      </c>
      <c r="B8672" s="2" t="s">
        <v>8747</v>
      </c>
      <c r="C8672" s="2" t="str">
        <f>"17519128"</f>
        <v>17519128</v>
      </c>
      <c r="D8672" s="2">
        <v>0.28199999999999997</v>
      </c>
      <c r="E8672" s="2">
        <v>4</v>
      </c>
      <c r="F8672" s="2" t="s">
        <v>16</v>
      </c>
    </row>
    <row r="8673" spans="1:6" ht="25.5">
      <c r="A8673" s="2">
        <v>8670</v>
      </c>
      <c r="B8673" s="2" t="s">
        <v>8748</v>
      </c>
      <c r="C8673" s="2" t="str">
        <f>"19473184"</f>
        <v>19473184</v>
      </c>
      <c r="D8673" s="2">
        <v>0.13600000000000001</v>
      </c>
      <c r="E8673" s="2">
        <v>3</v>
      </c>
      <c r="F8673" s="2" t="s">
        <v>6</v>
      </c>
    </row>
    <row r="8674" spans="1:6" ht="25.5">
      <c r="A8674" s="2">
        <v>8671</v>
      </c>
      <c r="B8674" s="2" t="s">
        <v>8749</v>
      </c>
      <c r="C8674" s="2" t="str">
        <f>"17411076"</f>
        <v>17411076</v>
      </c>
      <c r="D8674" s="2">
        <v>0.154</v>
      </c>
      <c r="E8674" s="2">
        <v>3</v>
      </c>
      <c r="F8674" s="2" t="s">
        <v>16</v>
      </c>
    </row>
    <row r="8675" spans="1:6" ht="25.5">
      <c r="A8675" s="2">
        <v>8672</v>
      </c>
      <c r="B8675" s="2" t="s">
        <v>8750</v>
      </c>
      <c r="C8675" s="2" t="str">
        <f>"14714825"</f>
        <v>14714825</v>
      </c>
      <c r="D8675" s="2">
        <v>0.28899999999999998</v>
      </c>
      <c r="E8675" s="2">
        <v>10</v>
      </c>
      <c r="F8675" s="2" t="s">
        <v>16</v>
      </c>
    </row>
    <row r="8676" spans="1:6" ht="25.5">
      <c r="A8676" s="2">
        <v>8673</v>
      </c>
      <c r="B8676" s="2" t="s">
        <v>8751</v>
      </c>
      <c r="C8676" s="2" t="str">
        <f>"18651372"</f>
        <v>18651372</v>
      </c>
      <c r="D8676" s="2">
        <v>0.33400000000000002</v>
      </c>
      <c r="E8676" s="2">
        <v>7</v>
      </c>
      <c r="F8676" s="2" t="s">
        <v>16</v>
      </c>
    </row>
    <row r="8677" spans="1:6" ht="25.5">
      <c r="A8677" s="2">
        <v>8674</v>
      </c>
      <c r="B8677" s="2" t="s">
        <v>8752</v>
      </c>
      <c r="C8677" s="2" t="str">
        <f>"15224821"</f>
        <v>15224821</v>
      </c>
      <c r="D8677" s="2">
        <v>0.255</v>
      </c>
      <c r="E8677" s="2">
        <v>19</v>
      </c>
      <c r="F8677" s="2" t="s">
        <v>6</v>
      </c>
    </row>
    <row r="8678" spans="1:6" ht="25.5">
      <c r="A8678" s="2">
        <v>8675</v>
      </c>
      <c r="B8678" s="2" t="s">
        <v>8753</v>
      </c>
      <c r="C8678" s="2" t="str">
        <f>"1553779X"</f>
        <v>1553779X</v>
      </c>
      <c r="D8678" s="2">
        <v>0.219</v>
      </c>
      <c r="E8678" s="2">
        <v>9</v>
      </c>
      <c r="F8678" s="2" t="s">
        <v>6</v>
      </c>
    </row>
    <row r="8679" spans="1:6" ht="25.5">
      <c r="A8679" s="2">
        <v>8676</v>
      </c>
      <c r="B8679" s="2" t="s">
        <v>8754</v>
      </c>
      <c r="C8679" s="2" t="str">
        <f>"17568315"</f>
        <v>17568315</v>
      </c>
      <c r="D8679" s="2">
        <v>0.19800000000000001</v>
      </c>
      <c r="E8679" s="2">
        <v>4</v>
      </c>
      <c r="F8679" s="2" t="s">
        <v>16</v>
      </c>
    </row>
    <row r="8680" spans="1:6" ht="25.5">
      <c r="A8680" s="2">
        <v>8677</v>
      </c>
      <c r="B8680" s="2" t="s">
        <v>8755</v>
      </c>
      <c r="C8680" s="2" t="str">
        <f>"18688799"</f>
        <v>18688799</v>
      </c>
      <c r="D8680" s="2">
        <v>0.16900000000000001</v>
      </c>
      <c r="E8680" s="2">
        <v>4</v>
      </c>
      <c r="F8680" s="2" t="s">
        <v>12</v>
      </c>
    </row>
    <row r="8681" spans="1:6" ht="25.5">
      <c r="A8681" s="2">
        <v>8678</v>
      </c>
      <c r="B8681" s="2" t="s">
        <v>8756</v>
      </c>
      <c r="C8681" s="2" t="str">
        <f>"16878345"</f>
        <v>16878345</v>
      </c>
      <c r="D8681" s="2">
        <v>0.67400000000000004</v>
      </c>
      <c r="E8681" s="2">
        <v>11</v>
      </c>
      <c r="F8681" s="2" t="s">
        <v>6</v>
      </c>
    </row>
    <row r="8682" spans="1:6" ht="25.5">
      <c r="A8682" s="2">
        <v>8679</v>
      </c>
      <c r="B8682" s="2" t="s">
        <v>8757</v>
      </c>
      <c r="C8682" s="2" t="str">
        <f>"17269148"</f>
        <v>17269148</v>
      </c>
      <c r="D8682" s="2">
        <v>0.104</v>
      </c>
      <c r="E8682" s="2">
        <v>3</v>
      </c>
      <c r="F8682" s="2" t="s">
        <v>299</v>
      </c>
    </row>
    <row r="8683" spans="1:6" ht="25.5">
      <c r="A8683" s="2">
        <v>8680</v>
      </c>
      <c r="B8683" s="2" t="s">
        <v>8758</v>
      </c>
      <c r="C8683" s="2" t="str">
        <f>"2150766X"</f>
        <v>2150766X</v>
      </c>
      <c r="D8683" s="2">
        <v>0.17499999999999999</v>
      </c>
      <c r="E8683" s="2">
        <v>2</v>
      </c>
      <c r="F8683" s="2" t="s">
        <v>6</v>
      </c>
    </row>
    <row r="8684" spans="1:6" ht="25.5">
      <c r="A8684" s="2">
        <v>8681</v>
      </c>
      <c r="B8684" s="2" t="s">
        <v>8759</v>
      </c>
      <c r="C8684" s="2" t="str">
        <f>"22516832"</f>
        <v>22516832</v>
      </c>
      <c r="D8684" s="2">
        <v>0.105</v>
      </c>
      <c r="E8684" s="2">
        <v>1</v>
      </c>
      <c r="F8684" s="2" t="s">
        <v>6</v>
      </c>
    </row>
    <row r="8685" spans="1:6" ht="25.5">
      <c r="A8685" s="2">
        <v>8682</v>
      </c>
      <c r="B8685" s="2" t="s">
        <v>8760</v>
      </c>
      <c r="C8685" s="2" t="str">
        <f>"1054853X"</f>
        <v>1054853X</v>
      </c>
      <c r="D8685" s="2">
        <v>0.113</v>
      </c>
      <c r="E8685" s="2">
        <v>2</v>
      </c>
      <c r="F8685" s="2" t="s">
        <v>6</v>
      </c>
    </row>
    <row r="8686" spans="1:6" ht="25.5">
      <c r="A8686" s="2">
        <v>8683</v>
      </c>
      <c r="B8686" s="2" t="s">
        <v>8761</v>
      </c>
      <c r="C8686" s="2" t="str">
        <f>"1099114X"</f>
        <v>1099114X</v>
      </c>
      <c r="D8686" s="2">
        <v>0.96299999999999997</v>
      </c>
      <c r="E8686" s="2">
        <v>41</v>
      </c>
      <c r="F8686" s="2" t="s">
        <v>16</v>
      </c>
    </row>
    <row r="8687" spans="1:6" ht="25.5">
      <c r="A8687" s="2">
        <v>8684</v>
      </c>
      <c r="B8687" s="2" t="s">
        <v>8762</v>
      </c>
      <c r="C8687" s="2" t="str">
        <f>"17506220"</f>
        <v>17506220</v>
      </c>
      <c r="D8687" s="2">
        <v>0.249</v>
      </c>
      <c r="E8687" s="2">
        <v>6</v>
      </c>
      <c r="F8687" s="2" t="s">
        <v>16</v>
      </c>
    </row>
    <row r="8688" spans="1:6" ht="25.5">
      <c r="A8688" s="2">
        <v>8685</v>
      </c>
      <c r="B8688" s="2" t="s">
        <v>8763</v>
      </c>
      <c r="C8688" s="2" t="str">
        <f>"1741508X"</f>
        <v>1741508X</v>
      </c>
      <c r="D8688" s="2">
        <v>0.13</v>
      </c>
      <c r="E8688" s="2">
        <v>8</v>
      </c>
      <c r="F8688" s="2" t="s">
        <v>16</v>
      </c>
    </row>
    <row r="8689" spans="1:6" ht="25.5">
      <c r="A8689" s="2">
        <v>8686</v>
      </c>
      <c r="B8689" s="2" t="s">
        <v>8764</v>
      </c>
      <c r="C8689" s="2" t="str">
        <f>"09754024"</f>
        <v>09754024</v>
      </c>
      <c r="D8689" s="2">
        <v>0.13100000000000001</v>
      </c>
      <c r="E8689" s="2">
        <v>3</v>
      </c>
      <c r="F8689" s="2" t="s">
        <v>488</v>
      </c>
    </row>
    <row r="8690" spans="1:6" ht="25.5">
      <c r="A8690" s="2">
        <v>8687</v>
      </c>
      <c r="B8690" s="2" t="s">
        <v>8765</v>
      </c>
      <c r="C8690" s="2" t="str">
        <f>"18479790"</f>
        <v>18479790</v>
      </c>
      <c r="D8690" s="2">
        <v>0.127</v>
      </c>
      <c r="E8690" s="2">
        <v>2</v>
      </c>
      <c r="F8690" s="2" t="s">
        <v>149</v>
      </c>
    </row>
    <row r="8691" spans="1:6" ht="25.5">
      <c r="A8691" s="2">
        <v>8688</v>
      </c>
      <c r="B8691" s="2" t="s">
        <v>8766</v>
      </c>
      <c r="C8691" s="2" t="str">
        <f>"0949149X"</f>
        <v>0949149X</v>
      </c>
      <c r="D8691" s="2">
        <v>0.47499999999999998</v>
      </c>
      <c r="E8691" s="2">
        <v>25</v>
      </c>
      <c r="F8691" s="2" t="s">
        <v>6</v>
      </c>
    </row>
    <row r="8692" spans="1:6" ht="25.5">
      <c r="A8692" s="2">
        <v>8689</v>
      </c>
      <c r="B8692" s="2" t="s">
        <v>8767</v>
      </c>
      <c r="C8692" s="2" t="str">
        <f>"09691170"</f>
        <v>09691170</v>
      </c>
      <c r="D8692" s="2">
        <v>0.33100000000000002</v>
      </c>
      <c r="E8692" s="2">
        <v>12</v>
      </c>
      <c r="F8692" s="2" t="s">
        <v>16</v>
      </c>
    </row>
    <row r="8693" spans="1:6" ht="25.5">
      <c r="A8693" s="2">
        <v>8690</v>
      </c>
      <c r="B8693" s="2" t="s">
        <v>8768</v>
      </c>
      <c r="C8693" s="2" t="str">
        <f>"16633571"</f>
        <v>16633571</v>
      </c>
      <c r="D8693" s="2">
        <v>0.125</v>
      </c>
      <c r="E8693" s="2">
        <v>2</v>
      </c>
      <c r="F8693" s="2" t="s">
        <v>12</v>
      </c>
    </row>
    <row r="8694" spans="1:6" ht="25.5">
      <c r="A8694" s="2">
        <v>8691</v>
      </c>
      <c r="B8694" s="2" t="s">
        <v>8769</v>
      </c>
      <c r="C8694" s="2" t="str">
        <f>"00207225"</f>
        <v>00207225</v>
      </c>
      <c r="D8694" s="2">
        <v>1.0900000000000001</v>
      </c>
      <c r="E8694" s="2">
        <v>53</v>
      </c>
      <c r="F8694" s="2" t="s">
        <v>16</v>
      </c>
    </row>
    <row r="8695" spans="1:6" ht="25.5">
      <c r="A8695" s="2">
        <v>8692</v>
      </c>
      <c r="B8695" s="2" t="s">
        <v>8770</v>
      </c>
      <c r="C8695" s="2" t="str">
        <f>"17559766"</f>
        <v>17559766</v>
      </c>
      <c r="D8695" s="2">
        <v>0.156</v>
      </c>
      <c r="E8695" s="2">
        <v>1</v>
      </c>
      <c r="F8695" s="2" t="s">
        <v>31</v>
      </c>
    </row>
    <row r="8696" spans="1:6">
      <c r="A8696" s="2">
        <v>8693</v>
      </c>
      <c r="B8696" s="2" t="s">
        <v>8771</v>
      </c>
      <c r="C8696" s="2" t="str">
        <f>"0"</f>
        <v>0</v>
      </c>
      <c r="D8696" s="2">
        <v>0.218</v>
      </c>
      <c r="E8696" s="2">
        <v>5</v>
      </c>
      <c r="F8696" s="2" t="s">
        <v>299</v>
      </c>
    </row>
    <row r="8697" spans="1:6" ht="25.5">
      <c r="A8697" s="2">
        <v>8694</v>
      </c>
      <c r="B8697" s="2" t="s">
        <v>8772</v>
      </c>
      <c r="C8697" s="2" t="str">
        <f>"10252495"</f>
        <v>10252495</v>
      </c>
      <c r="D8697" s="2">
        <v>0.20599999999999999</v>
      </c>
      <c r="E8697" s="2">
        <v>5</v>
      </c>
      <c r="F8697" s="2" t="s">
        <v>299</v>
      </c>
    </row>
    <row r="8698" spans="1:6" ht="25.5">
      <c r="A8698" s="2">
        <v>8695</v>
      </c>
      <c r="B8698" s="2" t="s">
        <v>8773</v>
      </c>
      <c r="C8698" s="2" t="str">
        <f>"14680874"</f>
        <v>14680874</v>
      </c>
      <c r="D8698" s="2">
        <v>0.66800000000000004</v>
      </c>
      <c r="E8698" s="2">
        <v>20</v>
      </c>
      <c r="F8698" s="2" t="s">
        <v>16</v>
      </c>
    </row>
    <row r="8699" spans="1:6" ht="25.5">
      <c r="A8699" s="2">
        <v>8696</v>
      </c>
      <c r="B8699" s="2" t="s">
        <v>8774</v>
      </c>
      <c r="C8699" s="2" t="str">
        <f>"15481123"</f>
        <v>15481123</v>
      </c>
      <c r="D8699" s="2">
        <v>0.35899999999999999</v>
      </c>
      <c r="E8699" s="2">
        <v>9</v>
      </c>
      <c r="F8699" s="2" t="s">
        <v>6</v>
      </c>
    </row>
    <row r="8700" spans="1:6" ht="25.5">
      <c r="A8700" s="2">
        <v>8697</v>
      </c>
      <c r="B8700" s="2" t="s">
        <v>8775</v>
      </c>
      <c r="C8700" s="2" t="str">
        <f>"17481260"</f>
        <v>17481260</v>
      </c>
      <c r="D8700" s="2">
        <v>0.14799999999999999</v>
      </c>
      <c r="E8700" s="2">
        <v>2</v>
      </c>
      <c r="F8700" s="2" t="s">
        <v>16</v>
      </c>
    </row>
    <row r="8701" spans="1:6" ht="25.5">
      <c r="A8701" s="2">
        <v>8698</v>
      </c>
      <c r="B8701" s="2" t="s">
        <v>8776</v>
      </c>
      <c r="C8701" s="2" t="str">
        <f>"13552554"</f>
        <v>13552554</v>
      </c>
      <c r="D8701" s="2">
        <v>0.441</v>
      </c>
      <c r="E8701" s="2">
        <v>16</v>
      </c>
      <c r="F8701" s="2" t="s">
        <v>16</v>
      </c>
    </row>
    <row r="8702" spans="1:6" ht="25.5">
      <c r="A8702" s="2">
        <v>8699</v>
      </c>
      <c r="B8702" s="2" t="s">
        <v>8777</v>
      </c>
      <c r="C8702" s="2" t="str">
        <f>"17425379"</f>
        <v>17425379</v>
      </c>
      <c r="D8702" s="2">
        <v>0.15</v>
      </c>
      <c r="E8702" s="2">
        <v>3</v>
      </c>
      <c r="F8702" s="2" t="s">
        <v>31</v>
      </c>
    </row>
    <row r="8703" spans="1:6" ht="25.5">
      <c r="A8703" s="2">
        <v>8700</v>
      </c>
      <c r="B8703" s="2" t="s">
        <v>8778</v>
      </c>
      <c r="C8703" s="2" t="str">
        <f>"10999264"</f>
        <v>10999264</v>
      </c>
      <c r="D8703" s="2">
        <v>0.13200000000000001</v>
      </c>
      <c r="E8703" s="2">
        <v>2</v>
      </c>
      <c r="F8703" s="2" t="s">
        <v>6</v>
      </c>
    </row>
    <row r="8704" spans="1:6" ht="25.5">
      <c r="A8704" s="2">
        <v>8701</v>
      </c>
      <c r="B8704" s="2" t="s">
        <v>8779</v>
      </c>
      <c r="C8704" s="2" t="str">
        <f>"17415098"</f>
        <v>17415098</v>
      </c>
      <c r="D8704" s="2">
        <v>0.17599999999999999</v>
      </c>
      <c r="E8704" s="2">
        <v>7</v>
      </c>
      <c r="F8704" s="2" t="s">
        <v>16</v>
      </c>
    </row>
    <row r="8705" spans="1:6" ht="25.5">
      <c r="A8705" s="2">
        <v>8702</v>
      </c>
      <c r="B8705" s="2" t="s">
        <v>8780</v>
      </c>
      <c r="C8705" s="2" t="str">
        <f>"17418054"</f>
        <v>17418054</v>
      </c>
      <c r="D8705" s="2">
        <v>0.19400000000000001</v>
      </c>
      <c r="E8705" s="2">
        <v>7</v>
      </c>
      <c r="F8705" s="2" t="s">
        <v>16</v>
      </c>
    </row>
    <row r="8706" spans="1:6" ht="25.5">
      <c r="A8706" s="2">
        <v>8703</v>
      </c>
      <c r="B8706" s="2" t="s">
        <v>8781</v>
      </c>
      <c r="C8706" s="2" t="str">
        <f>"10290397"</f>
        <v>10290397</v>
      </c>
      <c r="D8706" s="2">
        <v>0.50800000000000001</v>
      </c>
      <c r="E8706" s="2">
        <v>29</v>
      </c>
      <c r="F8706" s="2" t="s">
        <v>16</v>
      </c>
    </row>
    <row r="8707" spans="1:6" ht="25.5">
      <c r="A8707" s="2">
        <v>8704</v>
      </c>
      <c r="B8707" s="2" t="s">
        <v>8782</v>
      </c>
      <c r="C8707" s="2" t="str">
        <f>"13063065"</f>
        <v>13063065</v>
      </c>
      <c r="D8707" s="2">
        <v>0.72799999999999998</v>
      </c>
      <c r="E8707" s="2">
        <v>6</v>
      </c>
      <c r="F8707" s="2" t="s">
        <v>345</v>
      </c>
    </row>
    <row r="8708" spans="1:6" ht="25.5">
      <c r="A8708" s="2">
        <v>8705</v>
      </c>
      <c r="B8708" s="2" t="s">
        <v>8783</v>
      </c>
      <c r="C8708" s="2" t="str">
        <f>"18322077"</f>
        <v>18322077</v>
      </c>
      <c r="D8708" s="2">
        <v>0.124</v>
      </c>
      <c r="E8708" s="2">
        <v>2</v>
      </c>
      <c r="F8708" s="2" t="s">
        <v>127</v>
      </c>
    </row>
    <row r="8709" spans="1:6" ht="25.5">
      <c r="A8709" s="2">
        <v>8706</v>
      </c>
      <c r="B8709" s="2" t="s">
        <v>8784</v>
      </c>
      <c r="C8709" s="2" t="str">
        <f>"13691619"</f>
        <v>13691619</v>
      </c>
      <c r="D8709" s="2">
        <v>0.36399999999999999</v>
      </c>
      <c r="E8709" s="2">
        <v>25</v>
      </c>
      <c r="F8709" s="2" t="s">
        <v>16</v>
      </c>
    </row>
    <row r="8710" spans="1:6" ht="25.5">
      <c r="A8710" s="2">
        <v>8707</v>
      </c>
      <c r="B8710" s="2" t="s">
        <v>8785</v>
      </c>
      <c r="C8710" s="2" t="str">
        <f>"17356865"</f>
        <v>17356865</v>
      </c>
      <c r="D8710" s="2">
        <v>0.46400000000000002</v>
      </c>
      <c r="E8710" s="2">
        <v>12</v>
      </c>
      <c r="F8710" s="2" t="s">
        <v>299</v>
      </c>
    </row>
    <row r="8711" spans="1:6" ht="25.5">
      <c r="A8711" s="2">
        <v>8708</v>
      </c>
      <c r="B8711" s="2" t="s">
        <v>8786</v>
      </c>
      <c r="C8711" s="2" t="str">
        <f>"16617827"</f>
        <v>16617827</v>
      </c>
      <c r="D8711" s="2">
        <v>0.628</v>
      </c>
      <c r="E8711" s="2">
        <v>21</v>
      </c>
      <c r="F8711" s="2" t="s">
        <v>31</v>
      </c>
    </row>
    <row r="8712" spans="1:6" ht="25.5">
      <c r="A8712" s="2">
        <v>8709</v>
      </c>
      <c r="B8712" s="2" t="s">
        <v>8787</v>
      </c>
      <c r="C8712" s="2" t="str">
        <f>"17351472"</f>
        <v>17351472</v>
      </c>
      <c r="D8712" s="2">
        <v>0.73599999999999999</v>
      </c>
      <c r="E8712" s="2">
        <v>28</v>
      </c>
      <c r="F8712" s="2" t="s">
        <v>299</v>
      </c>
    </row>
    <row r="8713" spans="1:6" ht="25.5">
      <c r="A8713" s="2">
        <v>8710</v>
      </c>
      <c r="B8713" s="2" t="s">
        <v>8788</v>
      </c>
      <c r="C8713" s="2" t="str">
        <f>"10290400"</f>
        <v>10290400</v>
      </c>
      <c r="D8713" s="2">
        <v>0.19500000000000001</v>
      </c>
      <c r="E8713" s="2">
        <v>14</v>
      </c>
      <c r="F8713" s="2" t="s">
        <v>16</v>
      </c>
    </row>
    <row r="8714" spans="1:6" ht="25.5">
      <c r="A8714" s="2">
        <v>8711</v>
      </c>
      <c r="B8714" s="2" t="s">
        <v>8789</v>
      </c>
      <c r="C8714" s="2" t="str">
        <f>"1741511X"</f>
        <v>1741511X</v>
      </c>
      <c r="D8714" s="2">
        <v>0.19600000000000001</v>
      </c>
      <c r="E8714" s="2">
        <v>10</v>
      </c>
      <c r="F8714" s="2" t="s">
        <v>16</v>
      </c>
    </row>
    <row r="8715" spans="1:6" ht="25.5">
      <c r="A8715" s="2">
        <v>8712</v>
      </c>
      <c r="B8715" s="2" t="s">
        <v>8790</v>
      </c>
      <c r="C8715" s="2" t="str">
        <f>"17434963"</f>
        <v>17434963</v>
      </c>
      <c r="D8715" s="2">
        <v>0.186</v>
      </c>
      <c r="E8715" s="2">
        <v>7</v>
      </c>
      <c r="F8715" s="2" t="s">
        <v>16</v>
      </c>
    </row>
    <row r="8716" spans="1:6" ht="25.5">
      <c r="A8716" s="2">
        <v>8713</v>
      </c>
      <c r="B8716" s="2" t="s">
        <v>8791</v>
      </c>
      <c r="C8716" s="2" t="str">
        <f>"09574352"</f>
        <v>09574352</v>
      </c>
      <c r="D8716" s="2">
        <v>0.219</v>
      </c>
      <c r="E8716" s="2">
        <v>26</v>
      </c>
      <c r="F8716" s="2" t="s">
        <v>16</v>
      </c>
    </row>
    <row r="8717" spans="1:6" ht="25.5">
      <c r="A8717" s="2">
        <v>8714</v>
      </c>
      <c r="B8717" s="2" t="s">
        <v>8792</v>
      </c>
      <c r="C8717" s="2" t="str">
        <f>"14787466"</f>
        <v>14787466</v>
      </c>
      <c r="D8717" s="2">
        <v>0.16600000000000001</v>
      </c>
      <c r="E8717" s="2">
        <v>10</v>
      </c>
      <c r="F8717" s="2" t="s">
        <v>16</v>
      </c>
    </row>
    <row r="8718" spans="1:6" ht="25.5">
      <c r="A8718" s="2">
        <v>8715</v>
      </c>
      <c r="B8718" s="2" t="s">
        <v>8793</v>
      </c>
      <c r="C8718" s="2" t="str">
        <f>"14789876"</f>
        <v>14789876</v>
      </c>
      <c r="D8718" s="2">
        <v>0.20699999999999999</v>
      </c>
      <c r="E8718" s="2">
        <v>7</v>
      </c>
      <c r="F8718" s="2" t="s">
        <v>16</v>
      </c>
    </row>
    <row r="8719" spans="1:6" ht="25.5">
      <c r="A8719" s="2">
        <v>8716</v>
      </c>
      <c r="B8719" s="2" t="s">
        <v>8794</v>
      </c>
      <c r="C8719" s="2" t="str">
        <f>"03005771"</f>
        <v>03005771</v>
      </c>
      <c r="D8719" s="2">
        <v>2.7370000000000001</v>
      </c>
      <c r="E8719" s="2">
        <v>113</v>
      </c>
      <c r="F8719" s="2" t="s">
        <v>16</v>
      </c>
    </row>
    <row r="8720" spans="1:6" ht="25.5">
      <c r="A8720" s="2">
        <v>8717</v>
      </c>
      <c r="B8720" s="2" t="s">
        <v>8795</v>
      </c>
      <c r="C8720" s="2" t="str">
        <f>"17441609"</f>
        <v>17441609</v>
      </c>
      <c r="D8720" s="2">
        <v>0.35899999999999999</v>
      </c>
      <c r="E8720" s="2">
        <v>6</v>
      </c>
      <c r="F8720" s="2" t="s">
        <v>127</v>
      </c>
    </row>
    <row r="8721" spans="1:6" ht="25.5">
      <c r="A8721" s="2">
        <v>8718</v>
      </c>
      <c r="B8721" s="2" t="s">
        <v>8796</v>
      </c>
      <c r="C8721" s="2" t="str">
        <f>"17428300"</f>
        <v>17428300</v>
      </c>
      <c r="D8721" s="2">
        <v>0.46100000000000002</v>
      </c>
      <c r="E8721" s="2">
        <v>11</v>
      </c>
      <c r="F8721" s="2" t="s">
        <v>16</v>
      </c>
    </row>
    <row r="8722" spans="1:6" ht="25.5">
      <c r="A8722" s="2">
        <v>8719</v>
      </c>
      <c r="B8722" s="2" t="s">
        <v>8797</v>
      </c>
      <c r="C8722" s="2" t="str">
        <f>"13652613"</f>
        <v>13652613</v>
      </c>
      <c r="D8722" s="2">
        <v>0.76900000000000002</v>
      </c>
      <c r="E8722" s="2">
        <v>46</v>
      </c>
      <c r="F8722" s="2" t="s">
        <v>16</v>
      </c>
    </row>
    <row r="8723" spans="1:6" ht="25.5">
      <c r="A8723" s="2">
        <v>8720</v>
      </c>
      <c r="B8723" s="2" t="s">
        <v>8798</v>
      </c>
      <c r="C8723" s="2" t="str">
        <f>"17543274"</f>
        <v>17543274</v>
      </c>
      <c r="D8723" s="2">
        <v>0.23699999999999999</v>
      </c>
      <c r="E8723" s="2">
        <v>2</v>
      </c>
      <c r="F8723" s="2" t="s">
        <v>16</v>
      </c>
    </row>
    <row r="8724" spans="1:6" ht="25.5">
      <c r="A8724" s="2">
        <v>8721</v>
      </c>
      <c r="B8724" s="2" t="s">
        <v>8799</v>
      </c>
      <c r="C8724" s="2" t="str">
        <f>"01421123"</f>
        <v>01421123</v>
      </c>
      <c r="D8724" s="2">
        <v>1.8620000000000001</v>
      </c>
      <c r="E8724" s="2">
        <v>61</v>
      </c>
      <c r="F8724" s="2" t="s">
        <v>16</v>
      </c>
    </row>
    <row r="8725" spans="1:6" ht="25.5">
      <c r="A8725" s="2">
        <v>8722</v>
      </c>
      <c r="B8725" s="2" t="s">
        <v>8800</v>
      </c>
      <c r="C8725" s="2" t="str">
        <f>"20080778"</f>
        <v>20080778</v>
      </c>
      <c r="D8725" s="2">
        <v>0.22600000000000001</v>
      </c>
      <c r="E8725" s="2">
        <v>5</v>
      </c>
      <c r="F8725" s="2" t="s">
        <v>299</v>
      </c>
    </row>
    <row r="8726" spans="1:6" ht="25.5">
      <c r="A8726" s="2">
        <v>8723</v>
      </c>
      <c r="B8726" s="2" t="s">
        <v>8801</v>
      </c>
      <c r="C8726" s="2" t="str">
        <f>"10991158"</f>
        <v>10991158</v>
      </c>
      <c r="D8726" s="2">
        <v>0.46700000000000003</v>
      </c>
      <c r="E8726" s="2">
        <v>23</v>
      </c>
      <c r="F8726" s="2" t="s">
        <v>16</v>
      </c>
    </row>
    <row r="8727" spans="1:6" ht="25.5">
      <c r="A8727" s="2">
        <v>8724</v>
      </c>
      <c r="B8727" s="2" t="s">
        <v>8802</v>
      </c>
      <c r="C8727" s="2" t="str">
        <f>"17568250"</f>
        <v>17568250</v>
      </c>
      <c r="D8727" s="2">
        <v>0.28299999999999997</v>
      </c>
      <c r="E8727" s="2">
        <v>4</v>
      </c>
      <c r="F8727" s="2" t="s">
        <v>16</v>
      </c>
    </row>
    <row r="8728" spans="1:6" ht="25.5">
      <c r="A8728" s="2">
        <v>8725</v>
      </c>
      <c r="B8728" s="2" t="s">
        <v>8803</v>
      </c>
      <c r="C8728" s="2" t="str">
        <f>"18829554"</f>
        <v>18829554</v>
      </c>
      <c r="D8728" s="2">
        <v>0</v>
      </c>
      <c r="E8728" s="2">
        <v>0</v>
      </c>
      <c r="F8728" s="2" t="s">
        <v>131</v>
      </c>
    </row>
    <row r="8729" spans="1:6">
      <c r="A8729" s="2">
        <v>8726</v>
      </c>
      <c r="B8729" s="2" t="s">
        <v>8804</v>
      </c>
      <c r="C8729" s="2" t="str">
        <f>"0"</f>
        <v>0</v>
      </c>
      <c r="D8729" s="2">
        <v>0.20399999999999999</v>
      </c>
      <c r="E8729" s="2">
        <v>10</v>
      </c>
      <c r="F8729" s="2" t="s">
        <v>6</v>
      </c>
    </row>
    <row r="8730" spans="1:6" ht="25.5">
      <c r="A8730" s="2">
        <v>8727</v>
      </c>
      <c r="B8730" s="2" t="s">
        <v>8805</v>
      </c>
      <c r="C8730" s="2" t="str">
        <f>"14399776"</f>
        <v>14399776</v>
      </c>
      <c r="D8730" s="2">
        <v>0.16900000000000001</v>
      </c>
      <c r="E8730" s="2">
        <v>9</v>
      </c>
      <c r="F8730" s="2" t="s">
        <v>12</v>
      </c>
    </row>
    <row r="8731" spans="1:6" ht="25.5">
      <c r="A8731" s="2">
        <v>8728</v>
      </c>
      <c r="B8731" s="2" t="s">
        <v>8806</v>
      </c>
      <c r="C8731" s="2" t="str">
        <f>"15563758"</f>
        <v>15563758</v>
      </c>
      <c r="D8731" s="2">
        <v>0.30299999999999999</v>
      </c>
      <c r="E8731" s="2">
        <v>10</v>
      </c>
      <c r="F8731" s="2" t="s">
        <v>6</v>
      </c>
    </row>
    <row r="8732" spans="1:6" ht="25.5">
      <c r="A8732" s="2">
        <v>8729</v>
      </c>
      <c r="B8732" s="2" t="s">
        <v>8807</v>
      </c>
      <c r="C8732" s="2" t="str">
        <f>"01681605"</f>
        <v>01681605</v>
      </c>
      <c r="D8732" s="2">
        <v>1.3859999999999999</v>
      </c>
      <c r="E8732" s="2">
        <v>108</v>
      </c>
      <c r="F8732" s="2" t="s">
        <v>75</v>
      </c>
    </row>
    <row r="8733" spans="1:6" ht="25.5">
      <c r="A8733" s="2">
        <v>8730</v>
      </c>
      <c r="B8733" s="2" t="s">
        <v>8808</v>
      </c>
      <c r="C8733" s="2" t="str">
        <f>"15322386"</f>
        <v>15322386</v>
      </c>
      <c r="D8733" s="2">
        <v>0.55100000000000005</v>
      </c>
      <c r="E8733" s="2">
        <v>22</v>
      </c>
      <c r="F8733" s="2" t="s">
        <v>16</v>
      </c>
    </row>
    <row r="8734" spans="1:6" ht="25.5">
      <c r="A8734" s="2">
        <v>8731</v>
      </c>
      <c r="B8734" s="2" t="s">
        <v>8809</v>
      </c>
      <c r="C8734" s="2" t="str">
        <f>"13652621"</f>
        <v>13652621</v>
      </c>
      <c r="D8734" s="2">
        <v>0.68899999999999995</v>
      </c>
      <c r="E8734" s="2">
        <v>47</v>
      </c>
      <c r="F8734" s="2" t="s">
        <v>16</v>
      </c>
    </row>
    <row r="8735" spans="1:6" ht="25.5">
      <c r="A8735" s="2">
        <v>8732</v>
      </c>
      <c r="B8735" s="2" t="s">
        <v>8810</v>
      </c>
      <c r="C8735" s="2" t="str">
        <f>"14653478"</f>
        <v>14653478</v>
      </c>
      <c r="D8735" s="2">
        <v>0.45400000000000001</v>
      </c>
      <c r="E8735" s="2">
        <v>41</v>
      </c>
      <c r="F8735" s="2" t="s">
        <v>16</v>
      </c>
    </row>
    <row r="8736" spans="1:6" ht="25.5">
      <c r="A8736" s="2">
        <v>8733</v>
      </c>
      <c r="B8736" s="2" t="s">
        <v>8811</v>
      </c>
      <c r="C8736" s="2" t="str">
        <f>"01692070"</f>
        <v>01692070</v>
      </c>
      <c r="D8736" s="2">
        <v>1.149</v>
      </c>
      <c r="E8736" s="2">
        <v>45</v>
      </c>
      <c r="F8736" s="2" t="s">
        <v>75</v>
      </c>
    </row>
    <row r="8737" spans="1:6" ht="25.5">
      <c r="A8737" s="2">
        <v>8734</v>
      </c>
      <c r="B8737" s="2" t="s">
        <v>8812</v>
      </c>
      <c r="C8737" s="2" t="str">
        <f>"17402824"</f>
        <v>17402824</v>
      </c>
      <c r="D8737" s="2">
        <v>0.193</v>
      </c>
      <c r="E8737" s="2">
        <v>6</v>
      </c>
      <c r="F8737" s="2" t="s">
        <v>16</v>
      </c>
    </row>
    <row r="8738" spans="1:6" ht="25.5">
      <c r="A8738" s="2">
        <v>8735</v>
      </c>
      <c r="B8738" s="2" t="s">
        <v>8813</v>
      </c>
      <c r="C8738" s="2" t="str">
        <f>"01290541"</f>
        <v>01290541</v>
      </c>
      <c r="D8738" s="2">
        <v>1.0329999999999999</v>
      </c>
      <c r="E8738" s="2">
        <v>14</v>
      </c>
      <c r="F8738" s="2" t="s">
        <v>543</v>
      </c>
    </row>
    <row r="8739" spans="1:6" ht="25.5">
      <c r="A8739" s="2">
        <v>8736</v>
      </c>
      <c r="B8739" s="2" t="s">
        <v>8814</v>
      </c>
      <c r="C8739" s="2" t="str">
        <f>"15732673"</f>
        <v>15732673</v>
      </c>
      <c r="D8739" s="2">
        <v>1.034</v>
      </c>
      <c r="E8739" s="2">
        <v>53</v>
      </c>
      <c r="F8739" s="2" t="s">
        <v>75</v>
      </c>
    </row>
    <row r="8740" spans="1:6" ht="25.5">
      <c r="A8740" s="2">
        <v>8737</v>
      </c>
      <c r="B8740" s="2" t="s">
        <v>8815</v>
      </c>
      <c r="C8740" s="2" t="str">
        <f>"15538362"</f>
        <v>15538362</v>
      </c>
      <c r="D8740" s="2">
        <v>0.19900000000000001</v>
      </c>
      <c r="E8740" s="2">
        <v>6</v>
      </c>
      <c r="F8740" s="2" t="s">
        <v>6</v>
      </c>
    </row>
    <row r="8741" spans="1:6" ht="25.5">
      <c r="A8741" s="2">
        <v>8738</v>
      </c>
      <c r="B8741" s="2" t="s">
        <v>8816</v>
      </c>
      <c r="C8741" s="2" t="str">
        <f>"15622479"</f>
        <v>15622479</v>
      </c>
      <c r="D8741" s="2">
        <v>0.79900000000000004</v>
      </c>
      <c r="E8741" s="2">
        <v>12</v>
      </c>
      <c r="F8741" s="2" t="s">
        <v>165</v>
      </c>
    </row>
    <row r="8742" spans="1:6" ht="25.5">
      <c r="A8742" s="2">
        <v>8739</v>
      </c>
      <c r="B8742" s="2" t="s">
        <v>8817</v>
      </c>
      <c r="C8742" s="2" t="str">
        <f>"14321270"</f>
        <v>14321270</v>
      </c>
      <c r="D8742" s="2">
        <v>0.623</v>
      </c>
      <c r="E8742" s="2">
        <v>26</v>
      </c>
      <c r="F8742" s="2" t="s">
        <v>12</v>
      </c>
    </row>
    <row r="8743" spans="1:6" ht="25.5">
      <c r="A8743" s="2">
        <v>8740</v>
      </c>
      <c r="B8743" s="2" t="s">
        <v>8818</v>
      </c>
      <c r="C8743" s="2" t="str">
        <f>"19423896"</f>
        <v>19423896</v>
      </c>
      <c r="D8743" s="2">
        <v>0.28899999999999998</v>
      </c>
      <c r="E8743" s="2">
        <v>5</v>
      </c>
      <c r="F8743" s="2" t="s">
        <v>6</v>
      </c>
    </row>
    <row r="8744" spans="1:6" ht="25.5">
      <c r="A8744" s="2">
        <v>8741</v>
      </c>
      <c r="B8744" s="2" t="s">
        <v>8819</v>
      </c>
      <c r="C8744" s="2" t="str">
        <f>"11787074"</f>
        <v>11787074</v>
      </c>
      <c r="D8744" s="2">
        <v>0.3</v>
      </c>
      <c r="E8744" s="2">
        <v>7</v>
      </c>
      <c r="F8744" s="2" t="s">
        <v>503</v>
      </c>
    </row>
    <row r="8745" spans="1:6" ht="25.5">
      <c r="A8745" s="2">
        <v>8742</v>
      </c>
      <c r="B8745" s="2" t="s">
        <v>8820</v>
      </c>
      <c r="C8745" s="2" t="str">
        <f>"03081079"</f>
        <v>03081079</v>
      </c>
      <c r="D8745" s="2">
        <v>0.67600000000000005</v>
      </c>
      <c r="E8745" s="2">
        <v>26</v>
      </c>
      <c r="F8745" s="2" t="s">
        <v>16</v>
      </c>
    </row>
    <row r="8746" spans="1:6" ht="25.5">
      <c r="A8746" s="2">
        <v>8743</v>
      </c>
      <c r="B8746" s="2" t="s">
        <v>8821</v>
      </c>
      <c r="C8746" s="2" t="str">
        <f>"20069863"</f>
        <v>20069863</v>
      </c>
      <c r="D8746" s="2">
        <v>0.11700000000000001</v>
      </c>
      <c r="E8746" s="2">
        <v>2</v>
      </c>
      <c r="F8746" s="2" t="s">
        <v>698</v>
      </c>
    </row>
    <row r="8747" spans="1:6" ht="25.5">
      <c r="A8747" s="2">
        <v>8744</v>
      </c>
      <c r="B8747" s="2" t="s">
        <v>8822</v>
      </c>
      <c r="C8747" s="2" t="str">
        <f>"13658824"</f>
        <v>13658824</v>
      </c>
      <c r="D8747" s="2">
        <v>0.93300000000000005</v>
      </c>
      <c r="E8747" s="2">
        <v>60</v>
      </c>
      <c r="F8747" s="2" t="s">
        <v>16</v>
      </c>
    </row>
    <row r="8748" spans="1:6" ht="25.5">
      <c r="A8748" s="2">
        <v>8745</v>
      </c>
      <c r="B8748" s="2" t="s">
        <v>8823</v>
      </c>
      <c r="C8748" s="2" t="str">
        <f>"16866576"</f>
        <v>16866576</v>
      </c>
      <c r="D8748" s="2">
        <v>0.193</v>
      </c>
      <c r="E8748" s="2">
        <v>3</v>
      </c>
      <c r="F8748" s="2" t="s">
        <v>1966</v>
      </c>
    </row>
    <row r="8749" spans="1:6" ht="25.5">
      <c r="A8749" s="2">
        <v>8746</v>
      </c>
      <c r="B8749" s="2" t="s">
        <v>8824</v>
      </c>
      <c r="C8749" s="2" t="str">
        <f>"15323641"</f>
        <v>15323641</v>
      </c>
      <c r="D8749" s="2">
        <v>1.62</v>
      </c>
      <c r="E8749" s="2">
        <v>19</v>
      </c>
      <c r="F8749" s="2" t="s">
        <v>6</v>
      </c>
    </row>
    <row r="8750" spans="1:6" ht="25.5">
      <c r="A8750" s="2">
        <v>8747</v>
      </c>
      <c r="B8750" s="2" t="s">
        <v>8825</v>
      </c>
      <c r="C8750" s="2" t="str">
        <f>"02198878"</f>
        <v>02198878</v>
      </c>
      <c r="D8750" s="2">
        <v>0.56200000000000006</v>
      </c>
      <c r="E8750" s="2">
        <v>15</v>
      </c>
      <c r="F8750" s="2" t="s">
        <v>543</v>
      </c>
    </row>
    <row r="8751" spans="1:6" ht="25.5">
      <c r="A8751" s="2">
        <v>8748</v>
      </c>
      <c r="B8751" s="2" t="s">
        <v>8826</v>
      </c>
      <c r="C8751" s="2" t="str">
        <f>"16878868"</f>
        <v>16878868</v>
      </c>
      <c r="D8751" s="2">
        <v>0.20799999999999999</v>
      </c>
      <c r="E8751" s="2">
        <v>3</v>
      </c>
      <c r="F8751" s="2" t="s">
        <v>523</v>
      </c>
    </row>
    <row r="8752" spans="1:6" ht="25.5">
      <c r="A8752" s="2">
        <v>8749</v>
      </c>
      <c r="B8752" s="2" t="s">
        <v>8827</v>
      </c>
      <c r="C8752" s="2" t="str">
        <f>"19478496"</f>
        <v>19478496</v>
      </c>
      <c r="D8752" s="2">
        <v>0.125</v>
      </c>
      <c r="E8752" s="2">
        <v>1</v>
      </c>
      <c r="F8752" s="2" t="s">
        <v>6</v>
      </c>
    </row>
    <row r="8753" spans="1:6" ht="25.5">
      <c r="A8753" s="2">
        <v>8750</v>
      </c>
      <c r="B8753" s="2" t="s">
        <v>8828</v>
      </c>
      <c r="C8753" s="2" t="str">
        <f>"10991166"</f>
        <v>10991166</v>
      </c>
      <c r="D8753" s="2">
        <v>1.0860000000000001</v>
      </c>
      <c r="E8753" s="2">
        <v>81</v>
      </c>
      <c r="F8753" s="2" t="s">
        <v>16</v>
      </c>
    </row>
    <row r="8754" spans="1:6" ht="25.5">
      <c r="A8754" s="2">
        <v>8751</v>
      </c>
      <c r="B8754" s="2" t="s">
        <v>8829</v>
      </c>
      <c r="C8754" s="2" t="str">
        <f>"18739598"</f>
        <v>18739598</v>
      </c>
      <c r="D8754" s="2">
        <v>0.14799999999999999</v>
      </c>
      <c r="E8754" s="2">
        <v>4</v>
      </c>
      <c r="F8754" s="2" t="s">
        <v>165</v>
      </c>
    </row>
    <row r="8755" spans="1:6" ht="25.5">
      <c r="A8755" s="2">
        <v>8752</v>
      </c>
      <c r="B8755" s="2" t="s">
        <v>8830</v>
      </c>
      <c r="C8755" s="2" t="str">
        <f>"17415128"</f>
        <v>17415128</v>
      </c>
      <c r="D8755" s="2">
        <v>0.193</v>
      </c>
      <c r="E8755" s="2">
        <v>15</v>
      </c>
      <c r="F8755" s="2" t="s">
        <v>16</v>
      </c>
    </row>
    <row r="8756" spans="1:6" ht="25.5">
      <c r="A8756" s="2">
        <v>8753</v>
      </c>
      <c r="B8756" s="2" t="s">
        <v>8831</v>
      </c>
      <c r="C8756" s="2" t="str">
        <f>"17415136"</f>
        <v>17415136</v>
      </c>
      <c r="D8756" s="2">
        <v>0.182</v>
      </c>
      <c r="E8756" s="2">
        <v>9</v>
      </c>
      <c r="F8756" s="2" t="s">
        <v>16</v>
      </c>
    </row>
    <row r="8757" spans="1:6" ht="25.5">
      <c r="A8757" s="2">
        <v>8754</v>
      </c>
      <c r="B8757" s="2" t="s">
        <v>8832</v>
      </c>
      <c r="C8757" s="2" t="str">
        <f>"14793067"</f>
        <v>14793067</v>
      </c>
      <c r="D8757" s="2">
        <v>0.10299999999999999</v>
      </c>
      <c r="E8757" s="2">
        <v>5</v>
      </c>
      <c r="F8757" s="2" t="s">
        <v>16</v>
      </c>
    </row>
    <row r="8758" spans="1:6" ht="25.5">
      <c r="A8758" s="2">
        <v>8755</v>
      </c>
      <c r="B8758" s="2" t="s">
        <v>8833</v>
      </c>
      <c r="C8758" s="2" t="str">
        <f>"17582091"</f>
        <v>17582091</v>
      </c>
      <c r="D8758" s="2">
        <v>0.28399999999999997</v>
      </c>
      <c r="E8758" s="2">
        <v>3</v>
      </c>
      <c r="F8758" s="2" t="s">
        <v>31</v>
      </c>
    </row>
    <row r="8759" spans="1:6" ht="25.5">
      <c r="A8759" s="2">
        <v>8756</v>
      </c>
      <c r="B8759" s="2" t="s">
        <v>8834</v>
      </c>
      <c r="C8759" s="2" t="str">
        <f>"17449936"</f>
        <v>17449936</v>
      </c>
      <c r="D8759" s="2">
        <v>0.17899999999999999</v>
      </c>
      <c r="E8759" s="2">
        <v>7</v>
      </c>
      <c r="F8759" s="2" t="s">
        <v>16</v>
      </c>
    </row>
    <row r="8760" spans="1:6" ht="25.5">
      <c r="A8760" s="2">
        <v>8757</v>
      </c>
      <c r="B8760" s="2" t="s">
        <v>8835</v>
      </c>
      <c r="C8760" s="2" t="str">
        <f>"15435083"</f>
        <v>15435083</v>
      </c>
      <c r="D8760" s="2">
        <v>0.76300000000000001</v>
      </c>
      <c r="E8760" s="2">
        <v>12</v>
      </c>
      <c r="F8760" s="2" t="s">
        <v>16</v>
      </c>
    </row>
    <row r="8761" spans="1:6" ht="25.5">
      <c r="A8761" s="2">
        <v>8758</v>
      </c>
      <c r="B8761" s="2" t="s">
        <v>8836</v>
      </c>
      <c r="C8761" s="2" t="str">
        <f>"17505836"</f>
        <v>17505836</v>
      </c>
      <c r="D8761" s="2">
        <v>0.99299999999999999</v>
      </c>
      <c r="E8761" s="2">
        <v>39</v>
      </c>
      <c r="F8761" s="2" t="s">
        <v>75</v>
      </c>
    </row>
    <row r="8762" spans="1:6" ht="25.5">
      <c r="A8762" s="2">
        <v>8759</v>
      </c>
      <c r="B8762" s="2" t="s">
        <v>8837</v>
      </c>
      <c r="C8762" s="2" t="str">
        <f>"19430868"</f>
        <v>19430868</v>
      </c>
      <c r="D8762" s="2">
        <v>0.14299999999999999</v>
      </c>
      <c r="E8762" s="2">
        <v>4</v>
      </c>
      <c r="F8762" s="2" t="s">
        <v>16</v>
      </c>
    </row>
    <row r="8763" spans="1:6" ht="25.5">
      <c r="A8763" s="2">
        <v>8760</v>
      </c>
      <c r="B8763" s="2" t="s">
        <v>8838</v>
      </c>
      <c r="C8763" s="2" t="str">
        <f>"19430884"</f>
        <v>19430884</v>
      </c>
      <c r="D8763" s="2">
        <v>0.221</v>
      </c>
      <c r="E8763" s="2">
        <v>4</v>
      </c>
      <c r="F8763" s="2" t="s">
        <v>16</v>
      </c>
    </row>
    <row r="8764" spans="1:6" ht="25.5">
      <c r="A8764" s="2">
        <v>8761</v>
      </c>
      <c r="B8764" s="2" t="s">
        <v>8839</v>
      </c>
      <c r="C8764" s="2" t="str">
        <f>"19984103"</f>
        <v>19984103</v>
      </c>
      <c r="D8764" s="2">
        <v>0.25800000000000001</v>
      </c>
      <c r="E8764" s="2">
        <v>8</v>
      </c>
      <c r="F8764" s="2" t="s">
        <v>488</v>
      </c>
    </row>
    <row r="8765" spans="1:6" ht="25.5">
      <c r="A8765" s="2">
        <v>8762</v>
      </c>
      <c r="B8765" s="2" t="s">
        <v>8840</v>
      </c>
      <c r="C8765" s="2" t="str">
        <f>"19380267"</f>
        <v>19380267</v>
      </c>
      <c r="D8765" s="2">
        <v>0.156</v>
      </c>
      <c r="E8765" s="2">
        <v>3</v>
      </c>
      <c r="F8765" s="2" t="s">
        <v>6</v>
      </c>
    </row>
    <row r="8766" spans="1:6" ht="25.5">
      <c r="A8766" s="2">
        <v>8763</v>
      </c>
      <c r="B8766" s="2" t="s">
        <v>8841</v>
      </c>
      <c r="C8766" s="2" t="str">
        <f>"17418488"</f>
        <v>17418488</v>
      </c>
      <c r="D8766" s="2">
        <v>0.16800000000000001</v>
      </c>
      <c r="E8766" s="2">
        <v>6</v>
      </c>
      <c r="F8766" s="2" t="s">
        <v>16</v>
      </c>
    </row>
    <row r="8767" spans="1:6" ht="25.5">
      <c r="A8767" s="2">
        <v>8764</v>
      </c>
      <c r="B8767" s="2" t="s">
        <v>8842</v>
      </c>
      <c r="C8767" s="2" t="str">
        <f>"00207284"</f>
        <v>00207284</v>
      </c>
      <c r="D8767" s="2">
        <v>0.38</v>
      </c>
      <c r="E8767" s="2">
        <v>16</v>
      </c>
      <c r="F8767" s="2" t="s">
        <v>6</v>
      </c>
    </row>
    <row r="8768" spans="1:6" ht="25.5">
      <c r="A8768" s="2">
        <v>8765</v>
      </c>
      <c r="B8768" s="2" t="s">
        <v>8843</v>
      </c>
      <c r="C8768" s="2" t="str">
        <f>"15251438"</f>
        <v>15251438</v>
      </c>
      <c r="D8768" s="2">
        <v>0.76200000000000001</v>
      </c>
      <c r="E8768" s="2">
        <v>52</v>
      </c>
      <c r="F8768" s="2" t="s">
        <v>6</v>
      </c>
    </row>
    <row r="8769" spans="1:6" ht="25.5">
      <c r="A8769" s="2">
        <v>8766</v>
      </c>
      <c r="B8769" s="2" t="s">
        <v>8844</v>
      </c>
      <c r="C8769" s="2" t="str">
        <f>"15387151"</f>
        <v>15387151</v>
      </c>
      <c r="D8769" s="2">
        <v>0.56899999999999995</v>
      </c>
      <c r="E8769" s="2">
        <v>53</v>
      </c>
      <c r="F8769" s="2" t="s">
        <v>6</v>
      </c>
    </row>
    <row r="8770" spans="1:6" ht="25.5">
      <c r="A8770" s="2">
        <v>8767</v>
      </c>
      <c r="B8770" s="2" t="s">
        <v>8845</v>
      </c>
      <c r="C8770" s="2" t="str">
        <f>"00207292"</f>
        <v>00207292</v>
      </c>
      <c r="D8770" s="2">
        <v>0.66800000000000004</v>
      </c>
      <c r="E8770" s="2">
        <v>56</v>
      </c>
      <c r="F8770" s="2" t="s">
        <v>732</v>
      </c>
    </row>
    <row r="8771" spans="1:6" ht="25.5">
      <c r="A8771" s="2">
        <v>8768</v>
      </c>
      <c r="B8771" s="2" t="s">
        <v>8846</v>
      </c>
      <c r="C8771" s="2" t="str">
        <f>"15736962"</f>
        <v>15736962</v>
      </c>
      <c r="D8771" s="2">
        <v>0.35899999999999999</v>
      </c>
      <c r="E8771" s="2">
        <v>17</v>
      </c>
      <c r="F8771" s="2" t="s">
        <v>75</v>
      </c>
    </row>
    <row r="8772" spans="1:6" ht="25.5">
      <c r="A8772" s="2">
        <v>8769</v>
      </c>
      <c r="B8772" s="2" t="s">
        <v>8847</v>
      </c>
      <c r="C8772" s="2" t="str">
        <f>"1555340X"</f>
        <v>1555340X</v>
      </c>
      <c r="D8772" s="2">
        <v>0.121</v>
      </c>
      <c r="E8772" s="2">
        <v>2</v>
      </c>
      <c r="F8772" s="2" t="s">
        <v>6</v>
      </c>
    </row>
    <row r="8773" spans="1:6" ht="25.5">
      <c r="A8773" s="2">
        <v>8770</v>
      </c>
      <c r="B8773" s="2" t="s">
        <v>8848</v>
      </c>
      <c r="C8773" s="2" t="str">
        <f>"09526862"</f>
        <v>09526862</v>
      </c>
      <c r="D8773" s="2">
        <v>0.32700000000000001</v>
      </c>
      <c r="E8773" s="2">
        <v>22</v>
      </c>
      <c r="F8773" s="2" t="s">
        <v>16</v>
      </c>
    </row>
    <row r="8774" spans="1:6" ht="25.5">
      <c r="A8774" s="2">
        <v>8771</v>
      </c>
      <c r="B8774" s="2" t="s">
        <v>8849</v>
      </c>
      <c r="C8774" s="2" t="str">
        <f>"17415144"</f>
        <v>17415144</v>
      </c>
      <c r="D8774" s="2">
        <v>0.14199999999999999</v>
      </c>
      <c r="E8774" s="2">
        <v>7</v>
      </c>
      <c r="F8774" s="2" t="s">
        <v>16</v>
      </c>
    </row>
    <row r="8775" spans="1:6" ht="25.5">
      <c r="A8775" s="2">
        <v>8772</v>
      </c>
      <c r="B8775" s="2" t="s">
        <v>8850</v>
      </c>
      <c r="C8775" s="2" t="str">
        <f>"1476072X"</f>
        <v>1476072X</v>
      </c>
      <c r="D8775" s="2">
        <v>0.77400000000000002</v>
      </c>
      <c r="E8775" s="2">
        <v>34</v>
      </c>
      <c r="F8775" s="2" t="s">
        <v>16</v>
      </c>
    </row>
    <row r="8776" spans="1:6" ht="25.5">
      <c r="A8776" s="2">
        <v>8773</v>
      </c>
      <c r="B8776" s="2" t="s">
        <v>8851</v>
      </c>
      <c r="C8776" s="2" t="str">
        <f>"10991751"</f>
        <v>10991751</v>
      </c>
      <c r="D8776" s="2">
        <v>0.24099999999999999</v>
      </c>
      <c r="E8776" s="2">
        <v>25</v>
      </c>
      <c r="F8776" s="2" t="s">
        <v>16</v>
      </c>
    </row>
    <row r="8777" spans="1:6" ht="25.5">
      <c r="A8777" s="2">
        <v>8774</v>
      </c>
      <c r="B8777" s="2" t="s">
        <v>8852</v>
      </c>
      <c r="C8777" s="2" t="str">
        <f>"14635240"</f>
        <v>14635240</v>
      </c>
      <c r="D8777" s="2">
        <v>0.11899999999999999</v>
      </c>
      <c r="E8777" s="2">
        <v>8</v>
      </c>
      <c r="F8777" s="2" t="s">
        <v>16</v>
      </c>
    </row>
    <row r="8778" spans="1:6" ht="25.5">
      <c r="A8778" s="2">
        <v>8775</v>
      </c>
      <c r="B8778" s="2" t="s">
        <v>8853</v>
      </c>
      <c r="C8778" s="2" t="str">
        <f>"15969886"</f>
        <v>15969886</v>
      </c>
      <c r="D8778" s="2">
        <v>0.11799999999999999</v>
      </c>
      <c r="E8778" s="2">
        <v>4</v>
      </c>
      <c r="F8778" s="2" t="s">
        <v>692</v>
      </c>
    </row>
    <row r="8779" spans="1:6" ht="25.5">
      <c r="A8779" s="2">
        <v>8776</v>
      </c>
      <c r="B8779" s="2" t="s">
        <v>8854</v>
      </c>
      <c r="C8779" s="2" t="str">
        <f>"00207314"</f>
        <v>00207314</v>
      </c>
      <c r="D8779" s="2">
        <v>0.66</v>
      </c>
      <c r="E8779" s="2">
        <v>37</v>
      </c>
      <c r="F8779" s="2" t="s">
        <v>6</v>
      </c>
    </row>
    <row r="8780" spans="1:6" ht="25.5">
      <c r="A8780" s="2">
        <v>8777</v>
      </c>
      <c r="B8780" s="2" t="s">
        <v>8855</v>
      </c>
      <c r="C8780" s="2" t="str">
        <f>"0142727X"</f>
        <v>0142727X</v>
      </c>
      <c r="D8780" s="2">
        <v>1.2390000000000001</v>
      </c>
      <c r="E8780" s="2">
        <v>59</v>
      </c>
      <c r="F8780" s="2" t="s">
        <v>75</v>
      </c>
    </row>
    <row r="8781" spans="1:6" ht="25.5">
      <c r="A8781" s="2">
        <v>8778</v>
      </c>
      <c r="B8781" s="2" t="s">
        <v>8856</v>
      </c>
      <c r="C8781" s="2" t="str">
        <f>"00179310"</f>
        <v>00179310</v>
      </c>
      <c r="D8781" s="2">
        <v>1.5289999999999999</v>
      </c>
      <c r="E8781" s="2">
        <v>104</v>
      </c>
      <c r="F8781" s="2" t="s">
        <v>16</v>
      </c>
    </row>
    <row r="8782" spans="1:6" ht="25.5">
      <c r="A8782" s="2">
        <v>8779</v>
      </c>
      <c r="B8782" s="2" t="s">
        <v>8857</v>
      </c>
      <c r="C8782" s="2" t="str">
        <f>"03928764"</f>
        <v>03928764</v>
      </c>
      <c r="D8782" s="2">
        <v>0.107</v>
      </c>
      <c r="E8782" s="2">
        <v>12</v>
      </c>
      <c r="F8782" s="2" t="s">
        <v>190</v>
      </c>
    </row>
    <row r="8783" spans="1:6" ht="25.5">
      <c r="A8783" s="2">
        <v>8780</v>
      </c>
      <c r="B8783" s="2" t="s">
        <v>8858</v>
      </c>
      <c r="C8783" s="2" t="str">
        <f>"1744232X"</f>
        <v>1744232X</v>
      </c>
      <c r="D8783" s="2">
        <v>0.36699999999999999</v>
      </c>
      <c r="E8783" s="2">
        <v>10</v>
      </c>
      <c r="F8783" s="2" t="s">
        <v>16</v>
      </c>
    </row>
    <row r="8784" spans="1:6" ht="25.5">
      <c r="A8784" s="2">
        <v>8781</v>
      </c>
      <c r="B8784" s="2" t="s">
        <v>8859</v>
      </c>
      <c r="C8784" s="2" t="str">
        <f>"09255710"</f>
        <v>09255710</v>
      </c>
      <c r="D8784" s="2">
        <v>0.61499999999999999</v>
      </c>
      <c r="E8784" s="2">
        <v>49</v>
      </c>
      <c r="F8784" s="2" t="s">
        <v>131</v>
      </c>
    </row>
    <row r="8785" spans="1:6" ht="25.5">
      <c r="A8785" s="2">
        <v>8782</v>
      </c>
      <c r="B8785" s="2" t="s">
        <v>8860</v>
      </c>
      <c r="C8785" s="2" t="str">
        <f>"20082207"</f>
        <v>20082207</v>
      </c>
      <c r="D8785" s="2">
        <v>0.108</v>
      </c>
      <c r="E8785" s="2">
        <v>1</v>
      </c>
      <c r="F8785" s="2" t="s">
        <v>299</v>
      </c>
    </row>
    <row r="8786" spans="1:6" ht="25.5">
      <c r="A8786" s="2">
        <v>8783</v>
      </c>
      <c r="B8786" s="2" t="s">
        <v>8861</v>
      </c>
      <c r="C8786" s="2" t="str">
        <f>"14703610"</f>
        <v>14703610</v>
      </c>
      <c r="D8786" s="2">
        <v>0.30099999999999999</v>
      </c>
      <c r="E8786" s="2">
        <v>13</v>
      </c>
      <c r="F8786" s="2" t="s">
        <v>16</v>
      </c>
    </row>
    <row r="8787" spans="1:6" ht="25.5">
      <c r="A8787" s="2">
        <v>8784</v>
      </c>
      <c r="B8787" s="2" t="s">
        <v>8862</v>
      </c>
      <c r="C8787" s="2" t="str">
        <f>"19826206"</f>
        <v>19826206</v>
      </c>
      <c r="D8787" s="2">
        <v>0.13100000000000001</v>
      </c>
      <c r="E8787" s="2">
        <v>2</v>
      </c>
      <c r="F8787" s="2" t="s">
        <v>159</v>
      </c>
    </row>
    <row r="8788" spans="1:6" ht="25.5">
      <c r="A8788" s="2">
        <v>8785</v>
      </c>
      <c r="B8788" s="2" t="s">
        <v>8863</v>
      </c>
      <c r="C8788" s="2" t="str">
        <f>"17400570"</f>
        <v>17400570</v>
      </c>
      <c r="D8788" s="2">
        <v>0.153</v>
      </c>
      <c r="E8788" s="2">
        <v>4</v>
      </c>
      <c r="F8788" s="2" t="s">
        <v>16</v>
      </c>
    </row>
    <row r="8789" spans="1:6" ht="25.5">
      <c r="A8789" s="2">
        <v>8786</v>
      </c>
      <c r="B8789" s="2" t="s">
        <v>8864</v>
      </c>
      <c r="C8789" s="2" t="str">
        <f>"17412846"</f>
        <v>17412846</v>
      </c>
      <c r="D8789" s="2">
        <v>0.60799999999999998</v>
      </c>
      <c r="E8789" s="2">
        <v>38</v>
      </c>
      <c r="F8789" s="2" t="s">
        <v>6</v>
      </c>
    </row>
    <row r="8790" spans="1:6" ht="25.5">
      <c r="A8790" s="2">
        <v>8787</v>
      </c>
      <c r="B8790" s="2" t="s">
        <v>8865</v>
      </c>
      <c r="C8790" s="2" t="str">
        <f>"17516536"</f>
        <v>17516536</v>
      </c>
      <c r="D8790" s="2">
        <v>0.20799999999999999</v>
      </c>
      <c r="E8790" s="2">
        <v>2</v>
      </c>
      <c r="F8790" s="2" t="s">
        <v>16</v>
      </c>
    </row>
    <row r="8791" spans="1:6" ht="25.5">
      <c r="A8791" s="2">
        <v>8788</v>
      </c>
      <c r="B8791" s="2" t="s">
        <v>8866</v>
      </c>
      <c r="C8791" s="2" t="str">
        <f>"01291564"</f>
        <v>01291564</v>
      </c>
      <c r="D8791" s="2">
        <v>0.25800000000000001</v>
      </c>
      <c r="E8791" s="2">
        <v>14</v>
      </c>
      <c r="F8791" s="2" t="s">
        <v>543</v>
      </c>
    </row>
    <row r="8792" spans="1:6" ht="25.5">
      <c r="A8792" s="2">
        <v>8789</v>
      </c>
      <c r="B8792" s="2" t="s">
        <v>8867</v>
      </c>
      <c r="C8792" s="2" t="str">
        <f>"15749282"</f>
        <v>15749282</v>
      </c>
      <c r="D8792" s="2">
        <v>0.151</v>
      </c>
      <c r="E8792" s="2">
        <v>2</v>
      </c>
      <c r="F8792" s="2" t="s">
        <v>75</v>
      </c>
    </row>
    <row r="8793" spans="1:6" ht="25.5">
      <c r="A8793" s="2">
        <v>8790</v>
      </c>
      <c r="B8793" s="2" t="s">
        <v>8868</v>
      </c>
      <c r="C8793" s="2" t="str">
        <f>"15737738"</f>
        <v>15737738</v>
      </c>
      <c r="D8793" s="2">
        <v>0.39300000000000002</v>
      </c>
      <c r="E8793" s="2">
        <v>11</v>
      </c>
      <c r="F8793" s="2" t="s">
        <v>6</v>
      </c>
    </row>
    <row r="8794" spans="1:6" ht="25.5">
      <c r="A8794" s="2">
        <v>8791</v>
      </c>
      <c r="B8794" s="2" t="s">
        <v>8869</v>
      </c>
      <c r="C8794" s="2" t="str">
        <f>"15256499"</f>
        <v>15256499</v>
      </c>
      <c r="D8794" s="2">
        <v>0.26900000000000002</v>
      </c>
      <c r="E8794" s="2">
        <v>5</v>
      </c>
      <c r="F8794" s="2" t="s">
        <v>16</v>
      </c>
    </row>
    <row r="8795" spans="1:6" ht="25.5">
      <c r="A8795" s="2">
        <v>8792</v>
      </c>
      <c r="B8795" s="2" t="s">
        <v>8870</v>
      </c>
      <c r="C8795" s="2" t="str">
        <f>"02784319"</f>
        <v>02784319</v>
      </c>
      <c r="D8795" s="2">
        <v>0.93700000000000006</v>
      </c>
      <c r="E8795" s="2">
        <v>35</v>
      </c>
      <c r="F8795" s="2" t="s">
        <v>16</v>
      </c>
    </row>
    <row r="8796" spans="1:6" ht="25.5">
      <c r="A8796" s="2">
        <v>8793</v>
      </c>
      <c r="B8796" s="2" t="s">
        <v>8871</v>
      </c>
      <c r="C8796" s="2" t="str">
        <f>"17538270"</f>
        <v>17538270</v>
      </c>
      <c r="D8796" s="2">
        <v>0.19700000000000001</v>
      </c>
      <c r="E8796" s="2">
        <v>2</v>
      </c>
      <c r="F8796" s="2" t="s">
        <v>16</v>
      </c>
    </row>
    <row r="8797" spans="1:6" ht="25.5">
      <c r="A8797" s="2">
        <v>8794</v>
      </c>
      <c r="B8797" s="2" t="s">
        <v>8872</v>
      </c>
      <c r="C8797" s="2" t="str">
        <f>"15327590"</f>
        <v>15327590</v>
      </c>
      <c r="D8797" s="2">
        <v>0.81399999999999995</v>
      </c>
      <c r="E8797" s="2">
        <v>32</v>
      </c>
      <c r="F8797" s="2" t="s">
        <v>16</v>
      </c>
    </row>
    <row r="8798" spans="1:6" ht="25.5">
      <c r="A8798" s="2">
        <v>8795</v>
      </c>
      <c r="B8798" s="2" t="s">
        <v>8873</v>
      </c>
      <c r="C8798" s="2" t="str">
        <f>"10959300"</f>
        <v>10959300</v>
      </c>
      <c r="D8798" s="2">
        <v>1.298</v>
      </c>
      <c r="E8798" s="2">
        <v>68</v>
      </c>
      <c r="F8798" s="2" t="s">
        <v>6</v>
      </c>
    </row>
    <row r="8799" spans="1:6" ht="25.5">
      <c r="A8799" s="2">
        <v>8796</v>
      </c>
      <c r="B8799" s="2" t="s">
        <v>8874</v>
      </c>
      <c r="C8799" s="2" t="str">
        <f>"09723757"</f>
        <v>09723757</v>
      </c>
      <c r="D8799" s="2">
        <v>0.159</v>
      </c>
      <c r="E8799" s="2">
        <v>4</v>
      </c>
      <c r="F8799" s="2" t="s">
        <v>488</v>
      </c>
    </row>
    <row r="8800" spans="1:6" ht="25.5">
      <c r="A8800" s="2">
        <v>8797</v>
      </c>
      <c r="B8800" s="2" t="s">
        <v>8875</v>
      </c>
      <c r="C8800" s="2" t="str">
        <f>"02198436"</f>
        <v>02198436</v>
      </c>
      <c r="D8800" s="2">
        <v>0.45600000000000002</v>
      </c>
      <c r="E8800" s="2">
        <v>14</v>
      </c>
      <c r="F8800" s="2" t="s">
        <v>543</v>
      </c>
    </row>
    <row r="8801" spans="1:6" ht="25.5">
      <c r="A8801" s="2">
        <v>8798</v>
      </c>
      <c r="B8801" s="2" t="s">
        <v>8876</v>
      </c>
      <c r="C8801" s="2" t="str">
        <f>"14664399"</f>
        <v>14664399</v>
      </c>
      <c r="D8801" s="2">
        <v>0.60199999999999998</v>
      </c>
      <c r="E8801" s="2">
        <v>50</v>
      </c>
      <c r="F8801" s="2" t="s">
        <v>16</v>
      </c>
    </row>
    <row r="8802" spans="1:6" ht="25.5">
      <c r="A8802" s="2">
        <v>8799</v>
      </c>
      <c r="B8802" s="2" t="s">
        <v>8877</v>
      </c>
      <c r="C8802" s="2" t="str">
        <f>"17415160"</f>
        <v>17415160</v>
      </c>
      <c r="D8802" s="2">
        <v>0.23799999999999999</v>
      </c>
      <c r="E8802" s="2">
        <v>5</v>
      </c>
      <c r="F8802" s="2" t="s">
        <v>16</v>
      </c>
    </row>
    <row r="8803" spans="1:6" ht="25.5">
      <c r="A8803" s="2">
        <v>8800</v>
      </c>
      <c r="B8803" s="2" t="s">
        <v>8878</v>
      </c>
      <c r="C8803" s="2" t="str">
        <f>"13642987"</f>
        <v>13642987</v>
      </c>
      <c r="D8803" s="2">
        <v>0.39700000000000002</v>
      </c>
      <c r="E8803" s="2">
        <v>4</v>
      </c>
      <c r="F8803" s="2" t="s">
        <v>16</v>
      </c>
    </row>
    <row r="8804" spans="1:6" ht="25.5">
      <c r="A8804" s="2">
        <v>8801</v>
      </c>
      <c r="B8804" s="2" t="s">
        <v>8879</v>
      </c>
      <c r="C8804" s="2" t="str">
        <f>"03603199"</f>
        <v>03603199</v>
      </c>
      <c r="D8804" s="2">
        <v>1.3009999999999999</v>
      </c>
      <c r="E8804" s="2">
        <v>109</v>
      </c>
      <c r="F8804" s="2" t="s">
        <v>16</v>
      </c>
    </row>
    <row r="8805" spans="1:6" ht="25.5">
      <c r="A8805" s="2">
        <v>8802</v>
      </c>
      <c r="B8805" s="2" t="s">
        <v>8880</v>
      </c>
      <c r="C8805" s="2" t="str">
        <f>"14384639"</f>
        <v>14384639</v>
      </c>
      <c r="D8805" s="2">
        <v>1.302</v>
      </c>
      <c r="E8805" s="2">
        <v>43</v>
      </c>
      <c r="F8805" s="2" t="s">
        <v>12</v>
      </c>
    </row>
    <row r="8806" spans="1:6" ht="25.5">
      <c r="A8806" s="2">
        <v>8803</v>
      </c>
      <c r="B8806" s="2" t="s">
        <v>8881</v>
      </c>
      <c r="C8806" s="2" t="str">
        <f>"20900384"</f>
        <v>20900384</v>
      </c>
      <c r="D8806" s="2">
        <v>0.49299999999999999</v>
      </c>
      <c r="E8806" s="2">
        <v>7</v>
      </c>
      <c r="F8806" s="2" t="s">
        <v>6</v>
      </c>
    </row>
    <row r="8807" spans="1:6" ht="25.5">
      <c r="A8807" s="2">
        <v>8804</v>
      </c>
      <c r="B8807" s="2" t="s">
        <v>8882</v>
      </c>
      <c r="C8807" s="2" t="str">
        <f>"14645157"</f>
        <v>14645157</v>
      </c>
      <c r="D8807" s="2">
        <v>0.67300000000000004</v>
      </c>
      <c r="E8807" s="2">
        <v>47</v>
      </c>
      <c r="F8807" s="2" t="s">
        <v>16</v>
      </c>
    </row>
    <row r="8808" spans="1:6" ht="25.5">
      <c r="A8808" s="2">
        <v>8805</v>
      </c>
      <c r="B8808" s="2" t="s">
        <v>8883</v>
      </c>
      <c r="C8808" s="2" t="str">
        <f>"1364971X"</f>
        <v>1364971X</v>
      </c>
      <c r="D8808" s="2">
        <v>0</v>
      </c>
      <c r="E8808" s="2">
        <v>1</v>
      </c>
      <c r="F8808" s="2" t="s">
        <v>16</v>
      </c>
    </row>
    <row r="8809" spans="1:6" ht="25.5">
      <c r="A8809" s="2">
        <v>8806</v>
      </c>
      <c r="B8809" s="2" t="s">
        <v>8884</v>
      </c>
      <c r="C8809" s="2" t="str">
        <f>"2231525X"</f>
        <v>2231525X</v>
      </c>
      <c r="D8809" s="2">
        <v>0.13</v>
      </c>
      <c r="E8809" s="2">
        <v>4</v>
      </c>
      <c r="F8809" s="2" t="s">
        <v>488</v>
      </c>
    </row>
    <row r="8810" spans="1:6" ht="25.5">
      <c r="A8810" s="2">
        <v>8807</v>
      </c>
      <c r="B8810" s="2" t="s">
        <v>8885</v>
      </c>
      <c r="C8810" s="2" t="str">
        <f>"10981098"</f>
        <v>10981098</v>
      </c>
      <c r="D8810" s="2">
        <v>0.39800000000000002</v>
      </c>
      <c r="E8810" s="2">
        <v>30</v>
      </c>
      <c r="F8810" s="2" t="s">
        <v>6</v>
      </c>
    </row>
    <row r="8811" spans="1:6" ht="25.5">
      <c r="A8811" s="2">
        <v>8808</v>
      </c>
      <c r="B8811" s="2" t="s">
        <v>8886</v>
      </c>
      <c r="C8811" s="2" t="str">
        <f>"1744313X"</f>
        <v>1744313X</v>
      </c>
      <c r="D8811" s="2">
        <v>0.36599999999999999</v>
      </c>
      <c r="E8811" s="2">
        <v>36</v>
      </c>
      <c r="F8811" s="2" t="s">
        <v>16</v>
      </c>
    </row>
    <row r="8812" spans="1:6" ht="25.5">
      <c r="A8812" s="2">
        <v>8809</v>
      </c>
      <c r="B8812" s="2" t="s">
        <v>8887</v>
      </c>
      <c r="C8812" s="2" t="str">
        <f>"03946320"</f>
        <v>03946320</v>
      </c>
      <c r="D8812" s="2">
        <v>0.51200000000000001</v>
      </c>
      <c r="E8812" s="2">
        <v>30</v>
      </c>
      <c r="F8812" s="2" t="s">
        <v>190</v>
      </c>
    </row>
    <row r="8813" spans="1:6" ht="25.5">
      <c r="A8813" s="2">
        <v>8810</v>
      </c>
      <c r="B8813" s="2" t="s">
        <v>8888</v>
      </c>
      <c r="C8813" s="2" t="str">
        <f>"0734743X"</f>
        <v>0734743X</v>
      </c>
      <c r="D8813" s="2">
        <v>1.5580000000000001</v>
      </c>
      <c r="E8813" s="2">
        <v>58</v>
      </c>
      <c r="F8813" s="2" t="s">
        <v>16</v>
      </c>
    </row>
    <row r="8814" spans="1:6" ht="25.5">
      <c r="A8814" s="2">
        <v>8811</v>
      </c>
      <c r="B8814" s="2" t="s">
        <v>8889</v>
      </c>
      <c r="C8814" s="2" t="str">
        <f>"09559930"</f>
        <v>09559930</v>
      </c>
      <c r="D8814" s="2">
        <v>0.49299999999999999</v>
      </c>
      <c r="E8814" s="2">
        <v>57</v>
      </c>
      <c r="F8814" s="2" t="s">
        <v>16</v>
      </c>
    </row>
    <row r="8815" spans="1:6" ht="25.5">
      <c r="A8815" s="2">
        <v>8812</v>
      </c>
      <c r="B8815" s="2" t="s">
        <v>8890</v>
      </c>
      <c r="C8815" s="2" t="str">
        <f>"14645173"</f>
        <v>14645173</v>
      </c>
      <c r="D8815" s="2">
        <v>0.69699999999999995</v>
      </c>
      <c r="E8815" s="2">
        <v>20</v>
      </c>
      <c r="F8815" s="2" t="s">
        <v>16</v>
      </c>
    </row>
    <row r="8816" spans="1:6" ht="25.5">
      <c r="A8816" s="2">
        <v>8813</v>
      </c>
      <c r="B8816" s="2" t="s">
        <v>8891</v>
      </c>
      <c r="C8816" s="2" t="str">
        <f>"17485045"</f>
        <v>17485045</v>
      </c>
      <c r="D8816" s="2">
        <v>0.32100000000000001</v>
      </c>
      <c r="E8816" s="2">
        <v>12</v>
      </c>
      <c r="F8816" s="2" t="s">
        <v>16</v>
      </c>
    </row>
    <row r="8817" spans="1:6" ht="25.5">
      <c r="A8817" s="2">
        <v>8814</v>
      </c>
      <c r="B8817" s="2" t="s">
        <v>8892</v>
      </c>
      <c r="C8817" s="2" t="str">
        <f>"22172661"</f>
        <v>22172661</v>
      </c>
      <c r="D8817" s="2">
        <v>0</v>
      </c>
      <c r="E8817" s="2">
        <v>0</v>
      </c>
      <c r="F8817" s="2" t="s">
        <v>212</v>
      </c>
    </row>
    <row r="8818" spans="1:6" ht="25.5">
      <c r="A8818" s="2">
        <v>8815</v>
      </c>
      <c r="B8818" s="2" t="s">
        <v>8893</v>
      </c>
      <c r="C8818" s="2" t="str">
        <f>"19232934"</f>
        <v>19232934</v>
      </c>
      <c r="D8818" s="2">
        <v>0.253</v>
      </c>
      <c r="E8818" s="2">
        <v>5</v>
      </c>
      <c r="F8818" s="2" t="s">
        <v>488</v>
      </c>
    </row>
    <row r="8819" spans="1:6" ht="25.5">
      <c r="A8819" s="2">
        <v>8816</v>
      </c>
      <c r="B8819" s="2" t="s">
        <v>8894</v>
      </c>
      <c r="C8819" s="2" t="str">
        <f>"10724761"</f>
        <v>10724761</v>
      </c>
      <c r="D8819" s="2">
        <v>0.24299999999999999</v>
      </c>
      <c r="E8819" s="2">
        <v>14</v>
      </c>
      <c r="F8819" s="2" t="s">
        <v>6</v>
      </c>
    </row>
    <row r="8820" spans="1:6" ht="25.5">
      <c r="A8820" s="2">
        <v>8817</v>
      </c>
      <c r="B8820" s="2" t="s">
        <v>8895</v>
      </c>
      <c r="C8820" s="2" t="str">
        <f>"01698141"</f>
        <v>01698141</v>
      </c>
      <c r="D8820" s="2">
        <v>0.83199999999999996</v>
      </c>
      <c r="E8820" s="2">
        <v>40</v>
      </c>
      <c r="F8820" s="2" t="s">
        <v>75</v>
      </c>
    </row>
    <row r="8821" spans="1:6" ht="25.5">
      <c r="A8821" s="2">
        <v>8818</v>
      </c>
      <c r="B8821" s="2" t="s">
        <v>8896</v>
      </c>
      <c r="C8821" s="2" t="str">
        <f>"01677187"</f>
        <v>01677187</v>
      </c>
      <c r="D8821" s="2">
        <v>1.5680000000000001</v>
      </c>
      <c r="E8821" s="2">
        <v>45</v>
      </c>
      <c r="F8821" s="2" t="s">
        <v>6</v>
      </c>
    </row>
    <row r="8822" spans="1:6" ht="25.5">
      <c r="A8822" s="2">
        <v>8819</v>
      </c>
      <c r="B8822" s="2" t="s">
        <v>8897</v>
      </c>
      <c r="C8822" s="2" t="str">
        <f>"18783511"</f>
        <v>18783511</v>
      </c>
      <c r="D8822" s="2">
        <v>0.84499999999999997</v>
      </c>
      <c r="E8822" s="2">
        <v>41</v>
      </c>
      <c r="F8822" s="2" t="s">
        <v>75</v>
      </c>
    </row>
    <row r="8823" spans="1:6" ht="25.5">
      <c r="A8823" s="2">
        <v>8820</v>
      </c>
      <c r="B8823" s="2" t="s">
        <v>8898</v>
      </c>
      <c r="C8823" s="2" t="str">
        <f>"17418070"</f>
        <v>17418070</v>
      </c>
      <c r="D8823" s="2">
        <v>0.129</v>
      </c>
      <c r="E8823" s="2">
        <v>3</v>
      </c>
      <c r="F8823" s="2" t="s">
        <v>16</v>
      </c>
    </row>
    <row r="8824" spans="1:6" ht="25.5">
      <c r="A8824" s="2">
        <v>8821</v>
      </c>
      <c r="B8824" s="2" t="s">
        <v>8899</v>
      </c>
      <c r="C8824" s="2" t="str">
        <f>"15501876"</f>
        <v>15501876</v>
      </c>
      <c r="D8824" s="2">
        <v>0.124</v>
      </c>
      <c r="E8824" s="2">
        <v>4</v>
      </c>
      <c r="F8824" s="2" t="s">
        <v>6</v>
      </c>
    </row>
    <row r="8825" spans="1:6" ht="25.5">
      <c r="A8825" s="2">
        <v>8822</v>
      </c>
      <c r="B8825" s="2" t="s">
        <v>8900</v>
      </c>
      <c r="C8825" s="2" t="str">
        <f>"17441773"</f>
        <v>17441773</v>
      </c>
      <c r="D8825" s="2">
        <v>0.27</v>
      </c>
      <c r="E8825" s="2">
        <v>5</v>
      </c>
      <c r="F8825" s="2" t="s">
        <v>16</v>
      </c>
    </row>
    <row r="8826" spans="1:6" ht="25.5">
      <c r="A8826" s="2">
        <v>8823</v>
      </c>
      <c r="B8826" s="2" t="s">
        <v>8901</v>
      </c>
      <c r="C8826" s="2" t="str">
        <f>"10171819"</f>
        <v>10171819</v>
      </c>
      <c r="D8826" s="2">
        <v>0.34899999999999998</v>
      </c>
      <c r="E8826" s="2">
        <v>10</v>
      </c>
      <c r="F8826" s="2" t="s">
        <v>165</v>
      </c>
    </row>
    <row r="8827" spans="1:6" ht="25.5">
      <c r="A8827" s="2">
        <v>8824</v>
      </c>
      <c r="B8827" s="2" t="s">
        <v>8902</v>
      </c>
      <c r="C8827" s="2" t="str">
        <f>"02684012"</f>
        <v>02684012</v>
      </c>
      <c r="D8827" s="2">
        <v>1.3660000000000001</v>
      </c>
      <c r="E8827" s="2">
        <v>45</v>
      </c>
      <c r="F8827" s="2" t="s">
        <v>16</v>
      </c>
    </row>
    <row r="8828" spans="1:6" ht="25.5">
      <c r="A8828" s="2">
        <v>8825</v>
      </c>
      <c r="B8828" s="2" t="s">
        <v>8903</v>
      </c>
      <c r="C8828" s="2" t="str">
        <f>"2233940X"</f>
        <v>2233940X</v>
      </c>
      <c r="D8828" s="2">
        <v>0.436</v>
      </c>
      <c r="E8828" s="2">
        <v>6</v>
      </c>
      <c r="F8828" s="2" t="s">
        <v>274</v>
      </c>
    </row>
    <row r="8829" spans="1:6" ht="25.5">
      <c r="A8829" s="2">
        <v>8826</v>
      </c>
      <c r="B8829" s="2" t="s">
        <v>8904</v>
      </c>
      <c r="C8829" s="2" t="str">
        <f>"17510465"</f>
        <v>17510465</v>
      </c>
      <c r="D8829" s="2">
        <v>0.12</v>
      </c>
      <c r="E8829" s="2">
        <v>1</v>
      </c>
      <c r="F8829" s="2" t="s">
        <v>16</v>
      </c>
    </row>
    <row r="8830" spans="1:6" ht="25.5">
      <c r="A8830" s="2">
        <v>8827</v>
      </c>
      <c r="B8830" s="2" t="s">
        <v>8905</v>
      </c>
      <c r="C8830" s="2" t="str">
        <f>"20088310"</f>
        <v>20088310</v>
      </c>
      <c r="D8830" s="2">
        <v>0.19700000000000001</v>
      </c>
      <c r="E8830" s="2">
        <v>3</v>
      </c>
      <c r="F8830" s="2" t="s">
        <v>299</v>
      </c>
    </row>
    <row r="8831" spans="1:6" ht="25.5">
      <c r="A8831" s="2">
        <v>8828</v>
      </c>
      <c r="B8831" s="2" t="s">
        <v>8906</v>
      </c>
      <c r="C8831" s="2" t="str">
        <f>"16155270"</f>
        <v>16155270</v>
      </c>
      <c r="D8831" s="2">
        <v>0.69</v>
      </c>
      <c r="E8831" s="2">
        <v>19</v>
      </c>
      <c r="F8831" s="2" t="s">
        <v>12</v>
      </c>
    </row>
    <row r="8832" spans="1:6" ht="25.5">
      <c r="A8832" s="2">
        <v>8829</v>
      </c>
      <c r="B8832" s="2" t="s">
        <v>8907</v>
      </c>
      <c r="C8832" s="2" t="str">
        <f>"19301669"</f>
        <v>19301669</v>
      </c>
      <c r="D8832" s="2">
        <v>0.152</v>
      </c>
      <c r="E8832" s="2">
        <v>2</v>
      </c>
      <c r="F8832" s="2" t="s">
        <v>6</v>
      </c>
    </row>
    <row r="8833" spans="1:6" ht="25.5">
      <c r="A8833" s="2">
        <v>8830</v>
      </c>
      <c r="B8833" s="2" t="s">
        <v>8908</v>
      </c>
      <c r="C8833" s="2" t="str">
        <f>"1479313X"</f>
        <v>1479313X</v>
      </c>
      <c r="D8833" s="2">
        <v>0.14099999999999999</v>
      </c>
      <c r="E8833" s="2">
        <v>5</v>
      </c>
      <c r="F8833" s="2" t="s">
        <v>16</v>
      </c>
    </row>
    <row r="8834" spans="1:6" ht="25.5">
      <c r="A8834" s="2">
        <v>8831</v>
      </c>
      <c r="B8834" s="2" t="s">
        <v>8909</v>
      </c>
      <c r="C8834" s="2" t="str">
        <f>"19355726"</f>
        <v>19355726</v>
      </c>
      <c r="D8834" s="2">
        <v>0.33900000000000002</v>
      </c>
      <c r="E8834" s="2">
        <v>5</v>
      </c>
      <c r="F8834" s="2" t="s">
        <v>6</v>
      </c>
    </row>
    <row r="8835" spans="1:6" ht="25.5">
      <c r="A8835" s="2">
        <v>8832</v>
      </c>
      <c r="B8835" s="2" t="s">
        <v>8910</v>
      </c>
      <c r="C8835" s="2" t="str">
        <f>"02196220"</f>
        <v>02196220</v>
      </c>
      <c r="D8835" s="2">
        <v>1.534</v>
      </c>
      <c r="E8835" s="2">
        <v>20</v>
      </c>
      <c r="F8835" s="2" t="s">
        <v>543</v>
      </c>
    </row>
    <row r="8836" spans="1:6" ht="25.5">
      <c r="A8836" s="2">
        <v>8833</v>
      </c>
      <c r="B8836" s="2" t="s">
        <v>8911</v>
      </c>
      <c r="C8836" s="2" t="str">
        <f>"17415179"</f>
        <v>17415179</v>
      </c>
      <c r="D8836" s="2">
        <v>0.159</v>
      </c>
      <c r="E8836" s="2">
        <v>7</v>
      </c>
      <c r="F8836" s="2" t="s">
        <v>16</v>
      </c>
    </row>
    <row r="8837" spans="1:6" ht="25.5">
      <c r="A8837" s="2">
        <v>8834</v>
      </c>
      <c r="B8837" s="2" t="s">
        <v>8912</v>
      </c>
      <c r="C8837" s="2" t="str">
        <f>"15541053"</f>
        <v>15541053</v>
      </c>
      <c r="D8837" s="2">
        <v>0.13600000000000001</v>
      </c>
      <c r="E8837" s="2">
        <v>5</v>
      </c>
      <c r="F8837" s="2" t="s">
        <v>6</v>
      </c>
    </row>
    <row r="8838" spans="1:6" ht="25.5">
      <c r="A8838" s="2">
        <v>8835</v>
      </c>
      <c r="B8838" s="2" t="s">
        <v>8913</v>
      </c>
      <c r="C8838" s="2" t="str">
        <f>"17457300"</f>
        <v>17457300</v>
      </c>
      <c r="D8838" s="2">
        <v>0.40400000000000003</v>
      </c>
      <c r="E8838" s="2">
        <v>23</v>
      </c>
      <c r="F8838" s="2" t="s">
        <v>16</v>
      </c>
    </row>
    <row r="8839" spans="1:6" ht="25.5">
      <c r="A8839" s="2">
        <v>8836</v>
      </c>
      <c r="B8839" s="2" t="s">
        <v>8914</v>
      </c>
      <c r="C8839" s="2" t="str">
        <f>"17418089"</f>
        <v>17418089</v>
      </c>
      <c r="D8839" s="2">
        <v>0.23</v>
      </c>
      <c r="E8839" s="2">
        <v>16</v>
      </c>
      <c r="F8839" s="2" t="s">
        <v>16</v>
      </c>
    </row>
    <row r="8840" spans="1:6" ht="25.5">
      <c r="A8840" s="2">
        <v>8837</v>
      </c>
      <c r="B8840" s="2" t="s">
        <v>8915</v>
      </c>
      <c r="C8840" s="2" t="str">
        <f>"17408830"</f>
        <v>17408830</v>
      </c>
      <c r="D8840" s="2">
        <v>0.22800000000000001</v>
      </c>
      <c r="E8840" s="2">
        <v>9</v>
      </c>
      <c r="F8840" s="2" t="s">
        <v>16</v>
      </c>
    </row>
    <row r="8841" spans="1:6" ht="25.5">
      <c r="A8841" s="2">
        <v>8838</v>
      </c>
      <c r="B8841" s="2" t="s">
        <v>8916</v>
      </c>
      <c r="C8841" s="2" t="str">
        <f>"13639196"</f>
        <v>13639196</v>
      </c>
      <c r="D8841" s="2">
        <v>0.35899999999999999</v>
      </c>
      <c r="E8841" s="2">
        <v>12</v>
      </c>
      <c r="F8841" s="2" t="s">
        <v>543</v>
      </c>
    </row>
    <row r="8842" spans="1:6" ht="25.5">
      <c r="A8842" s="2">
        <v>8839</v>
      </c>
      <c r="B8842" s="2" t="s">
        <v>8917</v>
      </c>
      <c r="C8842" s="2" t="str">
        <f>"17516498"</f>
        <v>17516498</v>
      </c>
      <c r="D8842" s="2">
        <v>0.23699999999999999</v>
      </c>
      <c r="E8842" s="2">
        <v>3</v>
      </c>
      <c r="F8842" s="2" t="s">
        <v>16</v>
      </c>
    </row>
    <row r="8843" spans="1:6" ht="25.5">
      <c r="A8843" s="2">
        <v>8840</v>
      </c>
      <c r="B8843" s="2" t="s">
        <v>8918</v>
      </c>
      <c r="C8843" s="2" t="str">
        <f>"13494198"</f>
        <v>13494198</v>
      </c>
      <c r="D8843" s="2">
        <v>0.81200000000000006</v>
      </c>
      <c r="E8843" s="2">
        <v>34</v>
      </c>
      <c r="F8843" s="2" t="s">
        <v>16</v>
      </c>
    </row>
    <row r="8844" spans="1:6" ht="25.5">
      <c r="A8844" s="2">
        <v>8841</v>
      </c>
      <c r="B8844" s="2" t="s">
        <v>8919</v>
      </c>
      <c r="C8844" s="2" t="str">
        <f>"19754019"</f>
        <v>19754019</v>
      </c>
      <c r="D8844" s="2">
        <v>0.10299999999999999</v>
      </c>
      <c r="E8844" s="2">
        <v>0</v>
      </c>
      <c r="F8844" s="2" t="s">
        <v>274</v>
      </c>
    </row>
    <row r="8845" spans="1:6" ht="25.5">
      <c r="A8845" s="2">
        <v>8842</v>
      </c>
      <c r="B8845" s="2" t="s">
        <v>8920</v>
      </c>
      <c r="C8845" s="2" t="str">
        <f>"17418097"</f>
        <v>17418097</v>
      </c>
      <c r="D8845" s="2">
        <v>0.13400000000000001</v>
      </c>
      <c r="E8845" s="2">
        <v>9</v>
      </c>
      <c r="F8845" s="2" t="s">
        <v>16</v>
      </c>
    </row>
    <row r="8846" spans="1:6" ht="25.5">
      <c r="A8846" s="2">
        <v>8843</v>
      </c>
      <c r="B8846" s="2" t="s">
        <v>8921</v>
      </c>
      <c r="C8846" s="2" t="str">
        <f>"09742816"</f>
        <v>09742816</v>
      </c>
      <c r="D8846" s="2">
        <v>0.16600000000000001</v>
      </c>
      <c r="E8846" s="2">
        <v>6</v>
      </c>
      <c r="F8846" s="2" t="s">
        <v>543</v>
      </c>
    </row>
    <row r="8847" spans="1:6" ht="25.5">
      <c r="A8847" s="2">
        <v>8844</v>
      </c>
      <c r="B8847" s="2" t="s">
        <v>8922</v>
      </c>
      <c r="C8847" s="2" t="str">
        <f>"08850607"</f>
        <v>08850607</v>
      </c>
      <c r="D8847" s="2">
        <v>0.245</v>
      </c>
      <c r="E8847" s="2">
        <v>2</v>
      </c>
      <c r="F8847" s="2" t="s">
        <v>16</v>
      </c>
    </row>
    <row r="8848" spans="1:6" ht="25.5">
      <c r="A8848" s="2">
        <v>8845</v>
      </c>
      <c r="B8848" s="2" t="s">
        <v>8923</v>
      </c>
      <c r="C8848" s="2" t="str">
        <f>"1756378X"</f>
        <v>1756378X</v>
      </c>
      <c r="D8848" s="2">
        <v>0.32100000000000001</v>
      </c>
      <c r="E8848" s="2">
        <v>6</v>
      </c>
      <c r="F8848" s="2" t="s">
        <v>16</v>
      </c>
    </row>
    <row r="8849" spans="1:6" ht="25.5">
      <c r="A8849" s="2">
        <v>8846</v>
      </c>
      <c r="B8849" s="2" t="s">
        <v>8924</v>
      </c>
      <c r="C8849" s="2" t="str">
        <f>"21853118"</f>
        <v>21853118</v>
      </c>
      <c r="D8849" s="2">
        <v>0.10199999999999999</v>
      </c>
      <c r="E8849" s="2">
        <v>3</v>
      </c>
      <c r="F8849" s="2" t="s">
        <v>131</v>
      </c>
    </row>
    <row r="8850" spans="1:6" ht="25.5">
      <c r="A8850" s="2">
        <v>8847</v>
      </c>
      <c r="B8850" s="2" t="s">
        <v>8925</v>
      </c>
      <c r="C8850" s="2" t="str">
        <f>"17515866"</f>
        <v>17515866</v>
      </c>
      <c r="D8850" s="2">
        <v>0.24299999999999999</v>
      </c>
      <c r="E8850" s="2">
        <v>4</v>
      </c>
      <c r="F8850" s="2" t="s">
        <v>16</v>
      </c>
    </row>
    <row r="8851" spans="1:6" ht="25.5">
      <c r="A8851" s="2">
        <v>8848</v>
      </c>
      <c r="B8851" s="2" t="s">
        <v>8926</v>
      </c>
      <c r="C8851" s="2" t="str">
        <f>"15483665"</f>
        <v>15483665</v>
      </c>
      <c r="D8851" s="2">
        <v>0.22700000000000001</v>
      </c>
      <c r="E8851" s="2">
        <v>6</v>
      </c>
      <c r="F8851" s="2" t="s">
        <v>6</v>
      </c>
    </row>
    <row r="8852" spans="1:6" ht="25.5">
      <c r="A8852" s="2">
        <v>8849</v>
      </c>
      <c r="B8852" s="2" t="s">
        <v>8927</v>
      </c>
      <c r="C8852" s="2" t="str">
        <f>"1098111X"</f>
        <v>1098111X</v>
      </c>
      <c r="D8852" s="2">
        <v>1.3169999999999999</v>
      </c>
      <c r="E8852" s="2">
        <v>41</v>
      </c>
      <c r="F8852" s="2" t="s">
        <v>16</v>
      </c>
    </row>
    <row r="8853" spans="1:6" ht="25.5">
      <c r="A8853" s="2">
        <v>8850</v>
      </c>
      <c r="B8853" s="2" t="s">
        <v>8928</v>
      </c>
      <c r="C8853" s="2" t="str">
        <f>"17408873"</f>
        <v>17408873</v>
      </c>
      <c r="D8853" s="2">
        <v>0.22600000000000001</v>
      </c>
      <c r="E8853" s="2">
        <v>1</v>
      </c>
      <c r="F8853" s="2" t="s">
        <v>31</v>
      </c>
    </row>
    <row r="8854" spans="1:6" ht="25.5">
      <c r="A8854" s="2">
        <v>8851</v>
      </c>
      <c r="B8854" s="2" t="s">
        <v>8929</v>
      </c>
      <c r="C8854" s="2" t="str">
        <f>"18688659"</f>
        <v>18688659</v>
      </c>
      <c r="D8854" s="2">
        <v>0.13200000000000001</v>
      </c>
      <c r="E8854" s="2">
        <v>2</v>
      </c>
      <c r="F8854" s="2" t="s">
        <v>12</v>
      </c>
    </row>
    <row r="8855" spans="1:6" ht="25.5">
      <c r="A8855" s="2">
        <v>8852</v>
      </c>
      <c r="B8855" s="2" t="s">
        <v>8930</v>
      </c>
      <c r="C8855" s="2" t="str">
        <f>"01471767"</f>
        <v>01471767</v>
      </c>
      <c r="D8855" s="2">
        <v>0.67200000000000004</v>
      </c>
      <c r="E8855" s="2">
        <v>34</v>
      </c>
      <c r="F8855" s="2" t="s">
        <v>16</v>
      </c>
    </row>
    <row r="8856" spans="1:6" ht="25.5">
      <c r="A8856" s="2">
        <v>8853</v>
      </c>
      <c r="B8856" s="2" t="s">
        <v>8931</v>
      </c>
      <c r="C8856" s="2" t="str">
        <f>"18331882"</f>
        <v>18331882</v>
      </c>
      <c r="D8856" s="2">
        <v>0.17799999999999999</v>
      </c>
      <c r="E8856" s="2">
        <v>5</v>
      </c>
      <c r="F8856" s="2" t="s">
        <v>127</v>
      </c>
    </row>
    <row r="8857" spans="1:6" ht="25.5">
      <c r="A8857" s="2">
        <v>8854</v>
      </c>
      <c r="B8857" s="2" t="s">
        <v>8932</v>
      </c>
      <c r="C8857" s="2" t="str">
        <f>"1179139X"</f>
        <v>1179139X</v>
      </c>
      <c r="D8857" s="2">
        <v>0.20100000000000001</v>
      </c>
      <c r="E8857" s="2">
        <v>3</v>
      </c>
      <c r="F8857" s="2" t="s">
        <v>503</v>
      </c>
    </row>
    <row r="8858" spans="1:6" ht="25.5">
      <c r="A8858" s="2">
        <v>8855</v>
      </c>
      <c r="B8858" s="2" t="s">
        <v>8933</v>
      </c>
      <c r="C8858" s="2" t="str">
        <f>"17516056"</f>
        <v>17516056</v>
      </c>
      <c r="D8858" s="2">
        <v>0.32</v>
      </c>
      <c r="E8858" s="2">
        <v>3</v>
      </c>
      <c r="F8858" s="2" t="s">
        <v>16</v>
      </c>
    </row>
    <row r="8859" spans="1:6" ht="25.5">
      <c r="A8859" s="2">
        <v>8856</v>
      </c>
      <c r="B8859" s="2" t="s">
        <v>8934</v>
      </c>
      <c r="C8859" s="2" t="str">
        <f>"17418100"</f>
        <v>17418100</v>
      </c>
      <c r="D8859" s="2">
        <v>0.29399999999999998</v>
      </c>
      <c r="E8859" s="2">
        <v>6</v>
      </c>
      <c r="F8859" s="2" t="s">
        <v>16</v>
      </c>
    </row>
    <row r="8860" spans="1:6" ht="25.5">
      <c r="A8860" s="2">
        <v>8857</v>
      </c>
      <c r="B8860" s="2" t="s">
        <v>8935</v>
      </c>
      <c r="C8860" s="2" t="str">
        <f>"17438217"</f>
        <v>17438217</v>
      </c>
      <c r="D8860" s="2">
        <v>0.215</v>
      </c>
      <c r="E8860" s="2">
        <v>7</v>
      </c>
      <c r="F8860" s="2" t="s">
        <v>16</v>
      </c>
    </row>
    <row r="8861" spans="1:6" ht="25.5">
      <c r="A8861" s="2">
        <v>8858</v>
      </c>
      <c r="B8861" s="2" t="s">
        <v>8936</v>
      </c>
      <c r="C8861" s="2" t="str">
        <f>"15393062"</f>
        <v>15393062</v>
      </c>
      <c r="D8861" s="2">
        <v>0.191</v>
      </c>
      <c r="E8861" s="2">
        <v>3</v>
      </c>
      <c r="F8861" s="2" t="s">
        <v>6</v>
      </c>
    </row>
    <row r="8862" spans="1:6" ht="25.5">
      <c r="A8862" s="2">
        <v>8859</v>
      </c>
      <c r="B8862" s="2" t="s">
        <v>8937</v>
      </c>
      <c r="C8862" s="2" t="str">
        <f>"17411017"</f>
        <v>17411017</v>
      </c>
      <c r="D8862" s="2">
        <v>0</v>
      </c>
      <c r="E8862" s="2">
        <v>1</v>
      </c>
      <c r="F8862" s="2" t="s">
        <v>31</v>
      </c>
    </row>
    <row r="8863" spans="1:6" ht="25.5">
      <c r="A8863" s="2">
        <v>8860</v>
      </c>
      <c r="B8863" s="2" t="s">
        <v>8938</v>
      </c>
      <c r="C8863" s="2" t="str">
        <f>"20404476"</f>
        <v>20404476</v>
      </c>
      <c r="D8863" s="2">
        <v>0.17299999999999999</v>
      </c>
      <c r="E8863" s="2">
        <v>3</v>
      </c>
      <c r="F8863" s="2" t="s">
        <v>31</v>
      </c>
    </row>
    <row r="8864" spans="1:6" ht="25.5">
      <c r="A8864" s="2">
        <v>8861</v>
      </c>
      <c r="B8864" s="2" t="s">
        <v>8939</v>
      </c>
      <c r="C8864" s="2" t="str">
        <f>"14479575"</f>
        <v>14479575</v>
      </c>
      <c r="D8864" s="2">
        <v>0.161</v>
      </c>
      <c r="E8864" s="2">
        <v>2</v>
      </c>
      <c r="F8864" s="2" t="s">
        <v>127</v>
      </c>
    </row>
    <row r="8865" spans="1:6" ht="25.5">
      <c r="A8865" s="2">
        <v>8862</v>
      </c>
      <c r="B8865" s="2" t="s">
        <v>8940</v>
      </c>
      <c r="C8865" s="2" t="str">
        <f>"15480666"</f>
        <v>15480666</v>
      </c>
      <c r="D8865" s="2">
        <v>0.26600000000000001</v>
      </c>
      <c r="E8865" s="2">
        <v>6</v>
      </c>
      <c r="F8865" s="2" t="s">
        <v>6</v>
      </c>
    </row>
    <row r="8866" spans="1:6" ht="25.5">
      <c r="A8866" s="2">
        <v>8863</v>
      </c>
      <c r="B8866" s="2" t="s">
        <v>8941</v>
      </c>
      <c r="C8866" s="2" t="str">
        <f>"17438276"</f>
        <v>17438276</v>
      </c>
      <c r="D8866" s="2">
        <v>0.14699999999999999</v>
      </c>
      <c r="E8866" s="2">
        <v>3</v>
      </c>
      <c r="F8866" s="2" t="s">
        <v>16</v>
      </c>
    </row>
    <row r="8867" spans="1:6" ht="25.5">
      <c r="A8867" s="2">
        <v>8864</v>
      </c>
      <c r="B8867" s="2" t="s">
        <v>8942</v>
      </c>
      <c r="C8867" s="2" t="str">
        <f>"1751553X"</f>
        <v>1751553X</v>
      </c>
      <c r="D8867" s="2">
        <v>0.45600000000000002</v>
      </c>
      <c r="E8867" s="2">
        <v>33</v>
      </c>
      <c r="F8867" s="2" t="s">
        <v>16</v>
      </c>
    </row>
    <row r="8868" spans="1:6" ht="25.5">
      <c r="A8868" s="2">
        <v>8865</v>
      </c>
      <c r="B8868" s="2" t="s">
        <v>8943</v>
      </c>
      <c r="C8868" s="2" t="str">
        <f>"14606984"</f>
        <v>14606984</v>
      </c>
      <c r="D8868" s="2">
        <v>0.89700000000000002</v>
      </c>
      <c r="E8868" s="2">
        <v>35</v>
      </c>
      <c r="F8868" s="2" t="s">
        <v>6</v>
      </c>
    </row>
    <row r="8869" spans="1:6" ht="25.5">
      <c r="A8869" s="2">
        <v>8866</v>
      </c>
      <c r="B8869" s="2" t="s">
        <v>8944</v>
      </c>
      <c r="C8869" s="2" t="str">
        <f>"14643693"</f>
        <v>14643693</v>
      </c>
      <c r="D8869" s="2">
        <v>0.374</v>
      </c>
      <c r="E8869" s="2">
        <v>4</v>
      </c>
      <c r="F8869" s="2" t="s">
        <v>16</v>
      </c>
    </row>
    <row r="8870" spans="1:6" ht="25.5">
      <c r="A8870" s="2">
        <v>8867</v>
      </c>
      <c r="B8870" s="2" t="s">
        <v>8945</v>
      </c>
      <c r="C8870" s="2" t="str">
        <f>"01602527"</f>
        <v>01602527</v>
      </c>
      <c r="D8870" s="2">
        <v>0.60199999999999998</v>
      </c>
      <c r="E8870" s="2">
        <v>35</v>
      </c>
      <c r="F8870" s="2" t="s">
        <v>16</v>
      </c>
    </row>
    <row r="8871" spans="1:6" ht="25.5">
      <c r="A8871" s="2">
        <v>8868</v>
      </c>
      <c r="B8871" s="2" t="s">
        <v>8946</v>
      </c>
      <c r="C8871" s="2" t="str">
        <f>"17560616"</f>
        <v>17560616</v>
      </c>
      <c r="D8871" s="2">
        <v>0.221</v>
      </c>
      <c r="E8871" s="2">
        <v>11</v>
      </c>
      <c r="F8871" s="2" t="s">
        <v>6</v>
      </c>
    </row>
    <row r="8872" spans="1:6" ht="25.5">
      <c r="A8872" s="2">
        <v>8869</v>
      </c>
      <c r="B8872" s="2" t="s">
        <v>8947</v>
      </c>
      <c r="C8872" s="2" t="str">
        <f>"13609939"</f>
        <v>13609939</v>
      </c>
      <c r="D8872" s="2">
        <v>0.42499999999999999</v>
      </c>
      <c r="E8872" s="2">
        <v>8</v>
      </c>
      <c r="F8872" s="2" t="s">
        <v>6</v>
      </c>
    </row>
    <row r="8873" spans="1:6" ht="25.5">
      <c r="A8873" s="2">
        <v>8870</v>
      </c>
      <c r="B8873" s="2" t="s">
        <v>8948</v>
      </c>
      <c r="C8873" s="2" t="str">
        <f>"13603124"</f>
        <v>13603124</v>
      </c>
      <c r="D8873" s="2">
        <v>0.254</v>
      </c>
      <c r="E8873" s="2">
        <v>17</v>
      </c>
      <c r="F8873" s="2" t="s">
        <v>16</v>
      </c>
    </row>
    <row r="8874" spans="1:6" ht="25.5">
      <c r="A8874" s="2">
        <v>8871</v>
      </c>
      <c r="B8874" s="2" t="s">
        <v>8949</v>
      </c>
      <c r="C8874" s="2" t="str">
        <f>"14479540"</f>
        <v>14479540</v>
      </c>
      <c r="D8874" s="2">
        <v>0.17699999999999999</v>
      </c>
      <c r="E8874" s="2">
        <v>4</v>
      </c>
      <c r="F8874" s="2" t="s">
        <v>127</v>
      </c>
    </row>
    <row r="8875" spans="1:6" ht="25.5">
      <c r="A8875" s="2">
        <v>8872</v>
      </c>
      <c r="B8875" s="2" t="s">
        <v>8950</v>
      </c>
      <c r="C8875" s="2" t="str">
        <f>"14794861"</f>
        <v>14794861</v>
      </c>
      <c r="D8875" s="2">
        <v>0.13800000000000001</v>
      </c>
      <c r="E8875" s="2">
        <v>6</v>
      </c>
      <c r="F8875" s="2" t="s">
        <v>16</v>
      </c>
    </row>
    <row r="8876" spans="1:6" ht="25.5">
      <c r="A8876" s="2">
        <v>8873</v>
      </c>
      <c r="B8876" s="2" t="s">
        <v>8951</v>
      </c>
      <c r="C8876" s="2" t="str">
        <f>"14371596"</f>
        <v>14371596</v>
      </c>
      <c r="D8876" s="2">
        <v>1.216</v>
      </c>
      <c r="E8876" s="2">
        <v>51</v>
      </c>
      <c r="F8876" s="2" t="s">
        <v>12</v>
      </c>
    </row>
    <row r="8877" spans="1:6" ht="25.5">
      <c r="A8877" s="2">
        <v>8874</v>
      </c>
      <c r="B8877" s="2" t="s">
        <v>8952</v>
      </c>
      <c r="C8877" s="2" t="str">
        <f>"09503846"</f>
        <v>09503846</v>
      </c>
      <c r="D8877" s="2">
        <v>0.30099999999999999</v>
      </c>
      <c r="E8877" s="2">
        <v>8</v>
      </c>
      <c r="F8877" s="2" t="s">
        <v>16</v>
      </c>
    </row>
    <row r="8878" spans="1:6" ht="25.5">
      <c r="A8878" s="2">
        <v>8875</v>
      </c>
      <c r="B8878" s="2" t="s">
        <v>8953</v>
      </c>
      <c r="C8878" s="2" t="str">
        <f>"16147502"</f>
        <v>16147502</v>
      </c>
      <c r="D8878" s="2">
        <v>1.3149999999999999</v>
      </c>
      <c r="E8878" s="2">
        <v>44</v>
      </c>
      <c r="F8878" s="2" t="s">
        <v>6</v>
      </c>
    </row>
    <row r="8879" spans="1:6" ht="25.5">
      <c r="A8879" s="2">
        <v>8876</v>
      </c>
      <c r="B8879" s="2" t="s">
        <v>8954</v>
      </c>
      <c r="C8879" s="2" t="str">
        <f>"1464519X"</f>
        <v>1464519X</v>
      </c>
      <c r="D8879" s="2">
        <v>0.35099999999999998</v>
      </c>
      <c r="E8879" s="2">
        <v>12</v>
      </c>
      <c r="F8879" s="2" t="s">
        <v>16</v>
      </c>
    </row>
    <row r="8880" spans="1:6" ht="25.5">
      <c r="A8880" s="2">
        <v>8877</v>
      </c>
      <c r="B8880" s="2" t="s">
        <v>8955</v>
      </c>
      <c r="C8880" s="2" t="str">
        <f>"1932586X"</f>
        <v>1932586X</v>
      </c>
      <c r="D8880" s="2">
        <v>0.24</v>
      </c>
      <c r="E8880" s="2">
        <v>4</v>
      </c>
      <c r="F8880" s="2" t="s">
        <v>6</v>
      </c>
    </row>
    <row r="8881" spans="1:6" ht="25.5">
      <c r="A8881" s="2">
        <v>8878</v>
      </c>
      <c r="B8881" s="2" t="s">
        <v>8956</v>
      </c>
      <c r="C8881" s="2" t="str">
        <f>"1469848X"</f>
        <v>1469848X</v>
      </c>
      <c r="D8881" s="2">
        <v>0.36599999999999999</v>
      </c>
      <c r="E8881" s="2">
        <v>7</v>
      </c>
      <c r="F8881" s="2" t="s">
        <v>16</v>
      </c>
    </row>
    <row r="8882" spans="1:6" ht="25.5">
      <c r="A8882" s="2">
        <v>8879</v>
      </c>
      <c r="B8882" s="2" t="s">
        <v>8957</v>
      </c>
      <c r="C8882" s="2" t="str">
        <f>"17427975"</f>
        <v>17427975</v>
      </c>
      <c r="D8882" s="2">
        <v>0.32700000000000001</v>
      </c>
      <c r="E8882" s="2">
        <v>12</v>
      </c>
      <c r="F8882" s="2" t="s">
        <v>16</v>
      </c>
    </row>
    <row r="8883" spans="1:6" ht="25.5">
      <c r="A8883" s="2">
        <v>8880</v>
      </c>
      <c r="B8883" s="2" t="s">
        <v>8958</v>
      </c>
      <c r="C8883" s="2" t="str">
        <f>"17481317"</f>
        <v>17481317</v>
      </c>
      <c r="D8883" s="2">
        <v>0.30599999999999999</v>
      </c>
      <c r="E8883" s="2">
        <v>6</v>
      </c>
      <c r="F8883" s="2" t="s">
        <v>16</v>
      </c>
    </row>
    <row r="8884" spans="1:6" ht="25.5">
      <c r="A8884" s="2">
        <v>8881</v>
      </c>
      <c r="B8884" s="2" t="s">
        <v>8959</v>
      </c>
      <c r="C8884" s="2" t="str">
        <f>"15347346"</f>
        <v>15347346</v>
      </c>
      <c r="D8884" s="2">
        <v>0.56399999999999995</v>
      </c>
      <c r="E8884" s="2">
        <v>18</v>
      </c>
      <c r="F8884" s="2" t="s">
        <v>6</v>
      </c>
    </row>
    <row r="8885" spans="1:6" ht="25.5">
      <c r="A8885" s="2">
        <v>8882</v>
      </c>
      <c r="B8885" s="2" t="s">
        <v>8960</v>
      </c>
      <c r="C8885" s="2" t="str">
        <f>"17419190"</f>
        <v>17419190</v>
      </c>
      <c r="D8885" s="2">
        <v>0.126</v>
      </c>
      <c r="E8885" s="2">
        <v>7</v>
      </c>
      <c r="F8885" s="2" t="s">
        <v>16</v>
      </c>
    </row>
    <row r="8886" spans="1:6" ht="25.5">
      <c r="A8886" s="2">
        <v>8883</v>
      </c>
      <c r="B8886" s="2" t="s">
        <v>8961</v>
      </c>
      <c r="C8886" s="2" t="str">
        <f>"17938430"</f>
        <v>17938430</v>
      </c>
      <c r="D8886" s="2">
        <v>0.32200000000000001</v>
      </c>
      <c r="E8886" s="2">
        <v>7</v>
      </c>
      <c r="F8886" s="2" t="s">
        <v>543</v>
      </c>
    </row>
    <row r="8887" spans="1:6" ht="25.5">
      <c r="A8887" s="2">
        <v>8884</v>
      </c>
      <c r="B8887" s="2" t="s">
        <v>8962</v>
      </c>
      <c r="C8887" s="2" t="str">
        <f>"08906955"</f>
        <v>08906955</v>
      </c>
      <c r="D8887" s="2">
        <v>2.7240000000000002</v>
      </c>
      <c r="E8887" s="2">
        <v>71</v>
      </c>
      <c r="F8887" s="2" t="s">
        <v>16</v>
      </c>
    </row>
    <row r="8888" spans="1:6" ht="25.5">
      <c r="A8888" s="2">
        <v>8885</v>
      </c>
      <c r="B8888" s="2" t="s">
        <v>8963</v>
      </c>
      <c r="C8888" s="2" t="str">
        <f>"1748572X"</f>
        <v>1748572X</v>
      </c>
      <c r="D8888" s="2">
        <v>0.24</v>
      </c>
      <c r="E8888" s="2">
        <v>6</v>
      </c>
      <c r="F8888" s="2" t="s">
        <v>16</v>
      </c>
    </row>
    <row r="8889" spans="1:6" ht="25.5">
      <c r="A8889" s="2">
        <v>8886</v>
      </c>
      <c r="B8889" s="2" t="s">
        <v>8964</v>
      </c>
      <c r="C8889" s="2" t="str">
        <f>"17415187"</f>
        <v>17415187</v>
      </c>
      <c r="D8889" s="2">
        <v>0.14899999999999999</v>
      </c>
      <c r="E8889" s="2">
        <v>10</v>
      </c>
      <c r="F8889" s="2" t="s">
        <v>16</v>
      </c>
    </row>
    <row r="8890" spans="1:6" ht="25.5">
      <c r="A8890" s="2">
        <v>8887</v>
      </c>
      <c r="B8890" s="2" t="s">
        <v>8965</v>
      </c>
      <c r="C8890" s="2" t="str">
        <f>"17418127"</f>
        <v>17418127</v>
      </c>
      <c r="D8890" s="2">
        <v>0.186</v>
      </c>
      <c r="E8890" s="2">
        <v>14</v>
      </c>
      <c r="F8890" s="2" t="s">
        <v>16</v>
      </c>
    </row>
    <row r="8891" spans="1:6" ht="25.5">
      <c r="A8891" s="2">
        <v>8888</v>
      </c>
      <c r="B8891" s="2" t="s">
        <v>8966</v>
      </c>
      <c r="C8891" s="2" t="str">
        <f>"17503868"</f>
        <v>17503868</v>
      </c>
      <c r="D8891" s="2">
        <v>0</v>
      </c>
      <c r="E8891" s="2">
        <v>0</v>
      </c>
      <c r="F8891" s="2" t="s">
        <v>31</v>
      </c>
    </row>
    <row r="8892" spans="1:6" ht="25.5">
      <c r="A8892" s="2">
        <v>8889</v>
      </c>
      <c r="B8892" s="2" t="s">
        <v>8967</v>
      </c>
      <c r="C8892" s="2" t="str">
        <f>"17418143"</f>
        <v>17418143</v>
      </c>
      <c r="D8892" s="2">
        <v>0.11799999999999999</v>
      </c>
      <c r="E8892" s="2">
        <v>3</v>
      </c>
      <c r="F8892" s="2" t="s">
        <v>16</v>
      </c>
    </row>
    <row r="8893" spans="1:6" ht="25.5">
      <c r="A8893" s="2">
        <v>8890</v>
      </c>
      <c r="B8893" s="2" t="s">
        <v>8968</v>
      </c>
      <c r="C8893" s="2" t="str">
        <f>"14682370"</f>
        <v>14682370</v>
      </c>
      <c r="D8893" s="2">
        <v>1.8080000000000001</v>
      </c>
      <c r="E8893" s="2">
        <v>40</v>
      </c>
      <c r="F8893" s="2" t="s">
        <v>16</v>
      </c>
    </row>
    <row r="8894" spans="1:6" ht="25.5">
      <c r="A8894" s="2">
        <v>8891</v>
      </c>
      <c r="B8894" s="2" t="s">
        <v>8969</v>
      </c>
      <c r="C8894" s="2" t="str">
        <f>"17439132"</f>
        <v>17439132</v>
      </c>
      <c r="D8894" s="2">
        <v>0.191</v>
      </c>
      <c r="E8894" s="2">
        <v>7</v>
      </c>
      <c r="F8894" s="2" t="s">
        <v>16</v>
      </c>
    </row>
    <row r="8895" spans="1:6" ht="25.5">
      <c r="A8895" s="2">
        <v>8892</v>
      </c>
      <c r="B8895" s="2" t="s">
        <v>8970</v>
      </c>
      <c r="C8895" s="2" t="str">
        <f>"01437720"</f>
        <v>01437720</v>
      </c>
      <c r="D8895" s="2">
        <v>0.316</v>
      </c>
      <c r="E8895" s="2">
        <v>26</v>
      </c>
      <c r="F8895" s="2" t="s">
        <v>16</v>
      </c>
    </row>
    <row r="8896" spans="1:6" ht="25.5">
      <c r="A8896" s="2">
        <v>8893</v>
      </c>
      <c r="B8896" s="2" t="s">
        <v>8971</v>
      </c>
      <c r="C8896" s="2" t="str">
        <f>"17500605"</f>
        <v>17500605</v>
      </c>
      <c r="D8896" s="2">
        <v>0.38200000000000001</v>
      </c>
      <c r="E8896" s="2">
        <v>6</v>
      </c>
      <c r="F8896" s="2" t="s">
        <v>16</v>
      </c>
    </row>
    <row r="8897" spans="1:6" ht="25.5">
      <c r="A8897" s="2">
        <v>8894</v>
      </c>
      <c r="B8897" s="2" t="s">
        <v>8972</v>
      </c>
      <c r="C8897" s="2" t="str">
        <f>"17415195"</f>
        <v>17415195</v>
      </c>
      <c r="D8897" s="2">
        <v>0.36099999999999999</v>
      </c>
      <c r="E8897" s="2">
        <v>12</v>
      </c>
      <c r="F8897" s="2" t="s">
        <v>16</v>
      </c>
    </row>
    <row r="8898" spans="1:6" ht="25.5">
      <c r="A8898" s="2">
        <v>8895</v>
      </c>
      <c r="B8898" s="2" t="s">
        <v>8973</v>
      </c>
      <c r="C8898" s="2" t="str">
        <f>"15718085"</f>
        <v>15718085</v>
      </c>
      <c r="D8898" s="2">
        <v>0.35399999999999998</v>
      </c>
      <c r="E8898" s="2">
        <v>9</v>
      </c>
      <c r="F8898" s="2" t="s">
        <v>75</v>
      </c>
    </row>
    <row r="8899" spans="1:6" ht="25.5">
      <c r="A8899" s="2">
        <v>8896</v>
      </c>
      <c r="B8899" s="2" t="s">
        <v>8974</v>
      </c>
      <c r="C8899" s="2" t="str">
        <f>"14707853"</f>
        <v>14707853</v>
      </c>
      <c r="D8899" s="2">
        <v>0.45900000000000002</v>
      </c>
      <c r="E8899" s="2">
        <v>26</v>
      </c>
      <c r="F8899" s="2" t="s">
        <v>16</v>
      </c>
    </row>
    <row r="8900" spans="1:6" ht="25.5">
      <c r="A8900" s="2">
        <v>8897</v>
      </c>
      <c r="B8900" s="2" t="s">
        <v>8975</v>
      </c>
      <c r="C8900" s="2" t="str">
        <f>"13873806"</f>
        <v>13873806</v>
      </c>
      <c r="D8900" s="2">
        <v>0.76300000000000001</v>
      </c>
      <c r="E8900" s="2">
        <v>75</v>
      </c>
      <c r="F8900" s="2" t="s">
        <v>75</v>
      </c>
    </row>
    <row r="8901" spans="1:6" ht="25.5">
      <c r="A8901" s="2">
        <v>8898</v>
      </c>
      <c r="B8901" s="2" t="s">
        <v>8976</v>
      </c>
      <c r="C8901" s="2" t="str">
        <f>"19606214"</f>
        <v>19606214</v>
      </c>
      <c r="D8901" s="2">
        <v>0.52100000000000002</v>
      </c>
      <c r="E8901" s="2">
        <v>8</v>
      </c>
      <c r="F8901" s="2" t="s">
        <v>66</v>
      </c>
    </row>
    <row r="8902" spans="1:6" ht="25.5">
      <c r="A8902" s="2">
        <v>8899</v>
      </c>
      <c r="B8902" s="2" t="s">
        <v>8977</v>
      </c>
      <c r="C8902" s="2" t="str">
        <f>"02681900"</f>
        <v>02681900</v>
      </c>
      <c r="D8902" s="2">
        <v>0.223</v>
      </c>
      <c r="E8902" s="2">
        <v>18</v>
      </c>
      <c r="F8902" s="2" t="s">
        <v>16</v>
      </c>
    </row>
    <row r="8903" spans="1:6" ht="25.5">
      <c r="A8903" s="2">
        <v>8900</v>
      </c>
      <c r="B8903" s="2" t="s">
        <v>8978</v>
      </c>
      <c r="C8903" s="2" t="str">
        <f>"17450063"</f>
        <v>17450063</v>
      </c>
      <c r="D8903" s="2">
        <v>0.26800000000000002</v>
      </c>
      <c r="E8903" s="2">
        <v>6</v>
      </c>
      <c r="F8903" s="2" t="s">
        <v>16</v>
      </c>
    </row>
    <row r="8904" spans="1:6" ht="25.5">
      <c r="A8904" s="2">
        <v>8901</v>
      </c>
      <c r="B8904" s="2" t="s">
        <v>8979</v>
      </c>
      <c r="C8904" s="2" t="str">
        <f>"17572762"</f>
        <v>17572762</v>
      </c>
      <c r="D8904" s="2">
        <v>0.152</v>
      </c>
      <c r="E8904" s="2">
        <v>3</v>
      </c>
      <c r="F8904" s="2" t="s">
        <v>16</v>
      </c>
    </row>
    <row r="8905" spans="1:6" ht="25.5">
      <c r="A8905" s="2">
        <v>8902</v>
      </c>
      <c r="B8905" s="2" t="s">
        <v>8980</v>
      </c>
      <c r="C8905" s="2" t="str">
        <f>"18625282"</f>
        <v>18625282</v>
      </c>
      <c r="D8905" s="2">
        <v>0.48199999999999998</v>
      </c>
      <c r="E8905" s="2">
        <v>39</v>
      </c>
      <c r="F8905" s="2" t="s">
        <v>12</v>
      </c>
    </row>
    <row r="8906" spans="1:6" ht="25.5">
      <c r="A8906" s="2">
        <v>8903</v>
      </c>
      <c r="B8906" s="2" t="s">
        <v>8981</v>
      </c>
      <c r="C8906" s="2" t="str">
        <f>"13128876"</f>
        <v>13128876</v>
      </c>
      <c r="D8906" s="2">
        <v>0.253</v>
      </c>
      <c r="E8906" s="2">
        <v>8</v>
      </c>
      <c r="F8906" s="2" t="s">
        <v>293</v>
      </c>
    </row>
    <row r="8907" spans="1:6" ht="25.5">
      <c r="A8907" s="2">
        <v>8904</v>
      </c>
      <c r="B8907" s="2" t="s">
        <v>8982</v>
      </c>
      <c r="C8907" s="2" t="str">
        <f>"0020739X"</f>
        <v>0020739X</v>
      </c>
      <c r="D8907" s="2">
        <v>0.28299999999999997</v>
      </c>
      <c r="E8907" s="2">
        <v>9</v>
      </c>
      <c r="F8907" s="2" t="s">
        <v>16</v>
      </c>
    </row>
    <row r="8908" spans="1:6" ht="25.5">
      <c r="A8908" s="2">
        <v>8905</v>
      </c>
      <c r="B8908" s="2" t="s">
        <v>8983</v>
      </c>
      <c r="C8908" s="2" t="str">
        <f>"20403615"</f>
        <v>20403615</v>
      </c>
      <c r="D8908" s="2">
        <v>0.36199999999999999</v>
      </c>
      <c r="E8908" s="2">
        <v>4</v>
      </c>
      <c r="F8908" s="2" t="s">
        <v>31</v>
      </c>
    </row>
    <row r="8909" spans="1:6" ht="25.5">
      <c r="A8909" s="2">
        <v>8906</v>
      </c>
      <c r="B8909" s="2" t="s">
        <v>8984</v>
      </c>
      <c r="C8909" s="2" t="str">
        <f>"19980140"</f>
        <v>19980140</v>
      </c>
      <c r="D8909" s="2">
        <v>0.27600000000000002</v>
      </c>
      <c r="E8909" s="2">
        <v>6</v>
      </c>
      <c r="F8909" s="2" t="s">
        <v>6</v>
      </c>
    </row>
    <row r="8910" spans="1:6" ht="25.5">
      <c r="A8910" s="2">
        <v>8907</v>
      </c>
      <c r="B8910" s="2" t="s">
        <v>8985</v>
      </c>
      <c r="C8910" s="2" t="str">
        <f>"0129167X"</f>
        <v>0129167X</v>
      </c>
      <c r="D8910" s="2">
        <v>0.78900000000000003</v>
      </c>
      <c r="E8910" s="2">
        <v>24</v>
      </c>
      <c r="F8910" s="2" t="s">
        <v>543</v>
      </c>
    </row>
    <row r="8911" spans="1:6" ht="25.5">
      <c r="A8911" s="2">
        <v>8908</v>
      </c>
      <c r="B8911" s="2" t="s">
        <v>8986</v>
      </c>
      <c r="C8911" s="2" t="str">
        <f>"19980159"</f>
        <v>19980159</v>
      </c>
      <c r="D8911" s="2">
        <v>0.221</v>
      </c>
      <c r="E8911" s="2">
        <v>5</v>
      </c>
      <c r="F8911" s="2" t="s">
        <v>6</v>
      </c>
    </row>
    <row r="8912" spans="1:6" ht="25.5">
      <c r="A8912" s="2">
        <v>8909</v>
      </c>
      <c r="B8912" s="2" t="s">
        <v>8987</v>
      </c>
      <c r="C8912" s="2" t="str">
        <f>"16870425"</f>
        <v>16870425</v>
      </c>
      <c r="D8912" s="2">
        <v>0.36099999999999999</v>
      </c>
      <c r="E8912" s="2">
        <v>19</v>
      </c>
      <c r="F8912" s="2" t="s">
        <v>6</v>
      </c>
    </row>
    <row r="8913" spans="1:6" ht="25.5">
      <c r="A8913" s="2">
        <v>8910</v>
      </c>
      <c r="B8913" s="2" t="s">
        <v>8988</v>
      </c>
      <c r="C8913" s="2" t="str">
        <f>"17575869"</f>
        <v>17575869</v>
      </c>
      <c r="D8913" s="2">
        <v>0.41</v>
      </c>
      <c r="E8913" s="2">
        <v>6</v>
      </c>
      <c r="F8913" s="2" t="s">
        <v>31</v>
      </c>
    </row>
    <row r="8914" spans="1:6" ht="25.5">
      <c r="A8914" s="2">
        <v>8911</v>
      </c>
      <c r="B8914" s="2" t="s">
        <v>8989</v>
      </c>
      <c r="C8914" s="2" t="str">
        <f>"18230334"</f>
        <v>18230334</v>
      </c>
      <c r="D8914" s="2">
        <v>0.251</v>
      </c>
      <c r="E8914" s="2">
        <v>8</v>
      </c>
      <c r="F8914" s="2" t="s">
        <v>37</v>
      </c>
    </row>
    <row r="8915" spans="1:6" ht="25.5">
      <c r="A8915" s="2">
        <v>8912</v>
      </c>
      <c r="B8915" s="2" t="s">
        <v>8990</v>
      </c>
      <c r="C8915" s="2" t="str">
        <f>"2077124X"</f>
        <v>2077124X</v>
      </c>
      <c r="D8915" s="2">
        <v>0.14499999999999999</v>
      </c>
      <c r="E8915" s="2">
        <v>3</v>
      </c>
      <c r="F8915" s="2" t="s">
        <v>43</v>
      </c>
    </row>
    <row r="8916" spans="1:6" ht="25.5">
      <c r="A8916" s="2">
        <v>8913</v>
      </c>
      <c r="B8916" s="2" t="s">
        <v>8991</v>
      </c>
      <c r="C8916" s="2" t="str">
        <f>"22272771"</f>
        <v>22272771</v>
      </c>
      <c r="D8916" s="2">
        <v>0.155</v>
      </c>
      <c r="E8916" s="2">
        <v>2</v>
      </c>
      <c r="F8916" s="2" t="s">
        <v>43</v>
      </c>
    </row>
    <row r="8917" spans="1:6" ht="25.5">
      <c r="A8917" s="2">
        <v>8914</v>
      </c>
      <c r="B8917" s="2" t="s">
        <v>8992</v>
      </c>
      <c r="C8917" s="2" t="str">
        <f>"03064190"</f>
        <v>03064190</v>
      </c>
      <c r="D8917" s="2">
        <v>0.10299999999999999</v>
      </c>
      <c r="E8917" s="2">
        <v>5</v>
      </c>
      <c r="F8917" s="2" t="s">
        <v>16</v>
      </c>
    </row>
    <row r="8918" spans="1:6" ht="25.5">
      <c r="A8918" s="2">
        <v>8915</v>
      </c>
      <c r="B8918" s="2" t="s">
        <v>8993</v>
      </c>
      <c r="C8918" s="2" t="str">
        <f>"00207403"</f>
        <v>00207403</v>
      </c>
      <c r="D8918" s="2">
        <v>1.073</v>
      </c>
      <c r="E8918" s="2">
        <v>57</v>
      </c>
      <c r="F8918" s="2" t="s">
        <v>16</v>
      </c>
    </row>
    <row r="8919" spans="1:6" ht="25.5">
      <c r="A8919" s="2">
        <v>8916</v>
      </c>
      <c r="B8919" s="2" t="s">
        <v>8994</v>
      </c>
      <c r="C8919" s="2" t="str">
        <f>"19984448"</f>
        <v>19984448</v>
      </c>
      <c r="D8919" s="2">
        <v>0.20399999999999999</v>
      </c>
      <c r="E8919" s="2">
        <v>3</v>
      </c>
      <c r="F8919" s="2" t="s">
        <v>6</v>
      </c>
    </row>
    <row r="8920" spans="1:6" ht="25.5">
      <c r="A8920" s="2">
        <v>8917</v>
      </c>
      <c r="B8920" s="2" t="s">
        <v>8995</v>
      </c>
      <c r="C8920" s="2" t="str">
        <f>"15691713"</f>
        <v>15691713</v>
      </c>
      <c r="D8920" s="2">
        <v>0.34899999999999998</v>
      </c>
      <c r="E8920" s="2">
        <v>8</v>
      </c>
      <c r="F8920" s="2" t="s">
        <v>75</v>
      </c>
    </row>
    <row r="8921" spans="1:6" ht="25.5">
      <c r="A8921" s="2">
        <v>8918</v>
      </c>
      <c r="B8921" s="2" t="s">
        <v>8996</v>
      </c>
      <c r="C8921" s="2" t="str">
        <f>"17531047"</f>
        <v>17531047</v>
      </c>
      <c r="D8921" s="2">
        <v>0.216</v>
      </c>
      <c r="E8921" s="2">
        <v>4</v>
      </c>
      <c r="F8921" s="2" t="s">
        <v>16</v>
      </c>
    </row>
    <row r="8922" spans="1:6" ht="25.5">
      <c r="A8922" s="2">
        <v>8919</v>
      </c>
      <c r="B8922" s="2" t="s">
        <v>8997</v>
      </c>
      <c r="C8922" s="2" t="str">
        <f>"17550661"</f>
        <v>17550661</v>
      </c>
      <c r="D8922" s="2">
        <v>0.13900000000000001</v>
      </c>
      <c r="E8922" s="2">
        <v>3</v>
      </c>
      <c r="F8922" s="2" t="s">
        <v>16</v>
      </c>
    </row>
    <row r="8923" spans="1:6" ht="25.5">
      <c r="A8923" s="2">
        <v>8920</v>
      </c>
      <c r="B8923" s="2" t="s">
        <v>8998</v>
      </c>
      <c r="C8923" s="2" t="str">
        <f>"13865056"</f>
        <v>13865056</v>
      </c>
      <c r="D8923" s="2">
        <v>1.1240000000000001</v>
      </c>
      <c r="E8923" s="2">
        <v>56</v>
      </c>
      <c r="F8923" s="2" t="s">
        <v>732</v>
      </c>
    </row>
    <row r="8924" spans="1:6" ht="25.5">
      <c r="A8924" s="2">
        <v>8921</v>
      </c>
      <c r="B8924" s="2" t="s">
        <v>8999</v>
      </c>
      <c r="C8924" s="2" t="str">
        <f>"16180607"</f>
        <v>16180607</v>
      </c>
      <c r="D8924" s="2">
        <v>1.5189999999999999</v>
      </c>
      <c r="E8924" s="2">
        <v>53</v>
      </c>
      <c r="F8924" s="2" t="s">
        <v>12</v>
      </c>
    </row>
    <row r="8925" spans="1:6" ht="25.5">
      <c r="A8925" s="2">
        <v>8922</v>
      </c>
      <c r="B8925" s="2" t="s">
        <v>9000</v>
      </c>
      <c r="C8925" s="2" t="str">
        <f>"1478596X"</f>
        <v>1478596X</v>
      </c>
      <c r="D8925" s="2">
        <v>0.45600000000000002</v>
      </c>
      <c r="E8925" s="2">
        <v>22</v>
      </c>
      <c r="F8925" s="2" t="s">
        <v>16</v>
      </c>
    </row>
    <row r="8926" spans="1:6" ht="25.5">
      <c r="A8926" s="2">
        <v>8923</v>
      </c>
      <c r="B8926" s="2" t="s">
        <v>9001</v>
      </c>
      <c r="C8926" s="2" t="str">
        <f>"14491907"</f>
        <v>14491907</v>
      </c>
      <c r="D8926" s="2">
        <v>0.251</v>
      </c>
      <c r="E8926" s="2">
        <v>27</v>
      </c>
      <c r="F8926" s="2" t="s">
        <v>64</v>
      </c>
    </row>
    <row r="8927" spans="1:6" ht="25.5">
      <c r="A8927" s="2">
        <v>8924</v>
      </c>
      <c r="B8927" s="2" t="s">
        <v>9002</v>
      </c>
      <c r="C8927" s="2" t="str">
        <f>"09720448"</f>
        <v>09720448</v>
      </c>
      <c r="D8927" s="2">
        <v>0.1</v>
      </c>
      <c r="E8927" s="2">
        <v>4</v>
      </c>
      <c r="F8927" s="2" t="s">
        <v>488</v>
      </c>
    </row>
    <row r="8928" spans="1:6" ht="25.5">
      <c r="A8928" s="2">
        <v>8925</v>
      </c>
      <c r="B8928" s="2" t="s">
        <v>9003</v>
      </c>
      <c r="C8928" s="2" t="str">
        <f>"15219437"</f>
        <v>15219437</v>
      </c>
      <c r="D8928" s="2">
        <v>0.28799999999999998</v>
      </c>
      <c r="E8928" s="2">
        <v>11</v>
      </c>
      <c r="F8928" s="2" t="s">
        <v>6</v>
      </c>
    </row>
    <row r="8929" spans="1:6" ht="25.5">
      <c r="A8929" s="2">
        <v>8926</v>
      </c>
      <c r="B8929" s="2" t="s">
        <v>9004</v>
      </c>
      <c r="C8929" s="2" t="str">
        <f>"19330278"</f>
        <v>19330278</v>
      </c>
      <c r="D8929" s="2">
        <v>0.35899999999999999</v>
      </c>
      <c r="E8929" s="2">
        <v>10</v>
      </c>
      <c r="F8929" s="2" t="s">
        <v>6</v>
      </c>
    </row>
    <row r="8930" spans="1:6" ht="25.5">
      <c r="A8930" s="2">
        <v>8927</v>
      </c>
      <c r="B8930" s="2" t="s">
        <v>9005</v>
      </c>
      <c r="C8930" s="2" t="str">
        <f>"00207411"</f>
        <v>00207411</v>
      </c>
      <c r="D8930" s="2">
        <v>0.219</v>
      </c>
      <c r="E8930" s="2">
        <v>11</v>
      </c>
      <c r="F8930" s="2" t="s">
        <v>6</v>
      </c>
    </row>
    <row r="8931" spans="1:6" ht="25.5">
      <c r="A8931" s="2">
        <v>8928</v>
      </c>
      <c r="B8931" s="2" t="s">
        <v>9006</v>
      </c>
      <c r="C8931" s="2" t="str">
        <f>"15571882"</f>
        <v>15571882</v>
      </c>
      <c r="D8931" s="2">
        <v>0.40799999999999997</v>
      </c>
      <c r="E8931" s="2">
        <v>13</v>
      </c>
      <c r="F8931" s="2" t="s">
        <v>6</v>
      </c>
    </row>
    <row r="8932" spans="1:6" ht="25.5">
      <c r="A8932" s="2">
        <v>8929</v>
      </c>
      <c r="B8932" s="2" t="s">
        <v>9007</v>
      </c>
      <c r="C8932" s="2" t="str">
        <f>"14458330"</f>
        <v>14458330</v>
      </c>
      <c r="D8932" s="2">
        <v>0.58799999999999997</v>
      </c>
      <c r="E8932" s="2">
        <v>28</v>
      </c>
      <c r="F8932" s="2" t="s">
        <v>16</v>
      </c>
    </row>
    <row r="8933" spans="1:6" ht="25.5">
      <c r="A8933" s="2">
        <v>8930</v>
      </c>
      <c r="B8933" s="2" t="s">
        <v>9008</v>
      </c>
      <c r="C8933" s="2" t="str">
        <f>"17524458"</f>
        <v>17524458</v>
      </c>
      <c r="D8933" s="2">
        <v>0.51800000000000002</v>
      </c>
      <c r="E8933" s="2">
        <v>11</v>
      </c>
      <c r="F8933" s="2" t="s">
        <v>16</v>
      </c>
    </row>
    <row r="8934" spans="1:6" ht="25.5">
      <c r="A8934" s="2">
        <v>8931</v>
      </c>
      <c r="B8934" s="2" t="s">
        <v>9009</v>
      </c>
      <c r="C8934" s="2" t="str">
        <f>"1744263X"</f>
        <v>1744263X</v>
      </c>
      <c r="D8934" s="2">
        <v>0.42399999999999999</v>
      </c>
      <c r="E8934" s="2">
        <v>7</v>
      </c>
      <c r="F8934" s="2" t="s">
        <v>16</v>
      </c>
    </row>
    <row r="8935" spans="1:6" ht="25.5">
      <c r="A8935" s="2">
        <v>8932</v>
      </c>
      <c r="B8935" s="2" t="s">
        <v>9010</v>
      </c>
      <c r="C8935" s="2" t="str">
        <f>"19395981"</f>
        <v>19395981</v>
      </c>
      <c r="D8935" s="2">
        <v>0.16400000000000001</v>
      </c>
      <c r="E8935" s="2">
        <v>6</v>
      </c>
      <c r="F8935" s="2" t="s">
        <v>6</v>
      </c>
    </row>
    <row r="8936" spans="1:6" ht="25.5">
      <c r="A8936" s="2">
        <v>8933</v>
      </c>
      <c r="B8936" s="2" t="s">
        <v>9011</v>
      </c>
      <c r="C8936" s="2" t="str">
        <f>"17482992"</f>
        <v>17482992</v>
      </c>
      <c r="D8936" s="2">
        <v>0.104</v>
      </c>
      <c r="E8936" s="2">
        <v>8</v>
      </c>
      <c r="F8936" s="2" t="s">
        <v>16</v>
      </c>
    </row>
    <row r="8937" spans="1:6" ht="25.5">
      <c r="A8937" s="2">
        <v>8934</v>
      </c>
      <c r="B8937" s="2" t="s">
        <v>9012</v>
      </c>
      <c r="C8937" s="2" t="str">
        <f>"10498931"</f>
        <v>10498931</v>
      </c>
      <c r="D8937" s="2">
        <v>1.2929999999999999</v>
      </c>
      <c r="E8937" s="2">
        <v>42</v>
      </c>
      <c r="F8937" s="2" t="s">
        <v>16</v>
      </c>
    </row>
    <row r="8938" spans="1:6" ht="25.5">
      <c r="A8938" s="2">
        <v>8935</v>
      </c>
      <c r="B8938" s="2" t="s">
        <v>9013</v>
      </c>
      <c r="C8938" s="2" t="str">
        <f>"17418429"</f>
        <v>17418429</v>
      </c>
      <c r="D8938" s="2">
        <v>0.24</v>
      </c>
      <c r="E8938" s="2">
        <v>4</v>
      </c>
      <c r="F8938" s="2" t="s">
        <v>16</v>
      </c>
    </row>
    <row r="8939" spans="1:6" ht="25.5">
      <c r="A8939" s="2">
        <v>8936</v>
      </c>
      <c r="B8939" s="2" t="s">
        <v>9014</v>
      </c>
      <c r="C8939" s="2" t="str">
        <f>"15530396"</f>
        <v>15530396</v>
      </c>
      <c r="D8939" s="2">
        <v>0.108</v>
      </c>
      <c r="E8939" s="2">
        <v>1</v>
      </c>
      <c r="F8939" s="2" t="s">
        <v>6</v>
      </c>
    </row>
    <row r="8940" spans="1:6" ht="25.5">
      <c r="A8940" s="2">
        <v>8937</v>
      </c>
      <c r="B8940" s="2" t="s">
        <v>9015</v>
      </c>
      <c r="C8940" s="2" t="str">
        <f>"17590787"</f>
        <v>17590787</v>
      </c>
      <c r="D8940" s="2">
        <v>0.379</v>
      </c>
      <c r="E8940" s="2">
        <v>6</v>
      </c>
      <c r="F8940" s="2" t="s">
        <v>16</v>
      </c>
    </row>
    <row r="8941" spans="1:6" ht="25.5">
      <c r="A8941" s="2">
        <v>8938</v>
      </c>
      <c r="B8941" s="2" t="s">
        <v>9016</v>
      </c>
      <c r="C8941" s="2" t="str">
        <f>"14716380"</f>
        <v>14716380</v>
      </c>
      <c r="D8941" s="2">
        <v>0.60499999999999998</v>
      </c>
      <c r="E8941" s="2">
        <v>14</v>
      </c>
      <c r="F8941" s="2" t="s">
        <v>16</v>
      </c>
    </row>
    <row r="8942" spans="1:6" ht="25.5">
      <c r="A8942" s="2">
        <v>8939</v>
      </c>
      <c r="B8942" s="2" t="s">
        <v>9017</v>
      </c>
      <c r="C8942" s="2" t="str">
        <f>"20428650"</f>
        <v>20428650</v>
      </c>
      <c r="D8942" s="2">
        <v>0.18</v>
      </c>
      <c r="E8942" s="2">
        <v>2</v>
      </c>
      <c r="F8942" s="2" t="s">
        <v>16</v>
      </c>
    </row>
    <row r="8943" spans="1:6" ht="25.5">
      <c r="A8943" s="2">
        <v>8940</v>
      </c>
      <c r="B8943" s="2" t="s">
        <v>9018</v>
      </c>
      <c r="C8943" s="2" t="str">
        <f>"03017516"</f>
        <v>03017516</v>
      </c>
      <c r="D8943" s="2">
        <v>0.88</v>
      </c>
      <c r="E8943" s="2">
        <v>46</v>
      </c>
      <c r="F8943" s="2" t="s">
        <v>75</v>
      </c>
    </row>
    <row r="8944" spans="1:6" ht="25.5">
      <c r="A8944" s="2">
        <v>8941</v>
      </c>
      <c r="B8944" s="2" t="s">
        <v>9019</v>
      </c>
      <c r="C8944" s="2" t="str">
        <f>"16744799"</f>
        <v>16744799</v>
      </c>
      <c r="D8944" s="2">
        <v>0.40500000000000003</v>
      </c>
      <c r="E8944" s="2">
        <v>15</v>
      </c>
      <c r="F8944" s="2" t="s">
        <v>46</v>
      </c>
    </row>
    <row r="8945" spans="1:6" ht="25.5">
      <c r="A8945" s="2">
        <v>8942</v>
      </c>
      <c r="B8945" s="2" t="s">
        <v>9020</v>
      </c>
      <c r="C8945" s="2" t="str">
        <f>"17548918"</f>
        <v>17548918</v>
      </c>
      <c r="D8945" s="2">
        <v>0.10100000000000001</v>
      </c>
      <c r="E8945" s="2">
        <v>1</v>
      </c>
      <c r="F8945" s="2" t="s">
        <v>31</v>
      </c>
    </row>
    <row r="8946" spans="1:6" ht="25.5">
      <c r="A8946" s="2">
        <v>8943</v>
      </c>
      <c r="B8946" s="2" t="s">
        <v>9021</v>
      </c>
      <c r="C8946" s="2" t="str">
        <f>"17480949"</f>
        <v>17480949</v>
      </c>
      <c r="D8946" s="2">
        <v>0.29799999999999999</v>
      </c>
      <c r="E8946" s="2">
        <v>5</v>
      </c>
      <c r="F8946" s="2" t="s">
        <v>16</v>
      </c>
    </row>
    <row r="8947" spans="1:6" ht="25.5">
      <c r="A8947" s="2">
        <v>8944</v>
      </c>
      <c r="B8947" s="2" t="s">
        <v>9022</v>
      </c>
      <c r="C8947" s="2" t="str">
        <f>"20952686"</f>
        <v>20952686</v>
      </c>
      <c r="D8947" s="2">
        <v>0.629</v>
      </c>
      <c r="E8947" s="2">
        <v>15</v>
      </c>
      <c r="F8947" s="2" t="s">
        <v>75</v>
      </c>
    </row>
    <row r="8948" spans="1:6" ht="25.5">
      <c r="A8948" s="2">
        <v>8945</v>
      </c>
      <c r="B8948" s="2" t="s">
        <v>9023</v>
      </c>
      <c r="C8948" s="2" t="str">
        <f>"15718115"</f>
        <v>15718115</v>
      </c>
      <c r="D8948" s="2">
        <v>0.252</v>
      </c>
      <c r="E8948" s="2">
        <v>6</v>
      </c>
      <c r="F8948" s="2" t="s">
        <v>75</v>
      </c>
    </row>
    <row r="8949" spans="1:6" ht="25.5">
      <c r="A8949" s="2">
        <v>8946</v>
      </c>
      <c r="B8949" s="2" t="s">
        <v>9024</v>
      </c>
      <c r="C8949" s="2" t="str">
        <f>"19418647"</f>
        <v>19418647</v>
      </c>
      <c r="D8949" s="2">
        <v>0</v>
      </c>
      <c r="E8949" s="2">
        <v>1</v>
      </c>
      <c r="F8949" s="2" t="s">
        <v>6</v>
      </c>
    </row>
    <row r="8950" spans="1:6" ht="25.5">
      <c r="A8950" s="2">
        <v>8947</v>
      </c>
      <c r="B8950" s="2" t="s">
        <v>9025</v>
      </c>
      <c r="C8950" s="2" t="str">
        <f>"17415217"</f>
        <v>17415217</v>
      </c>
      <c r="D8950" s="2">
        <v>0.41099999999999998</v>
      </c>
      <c r="E8950" s="2">
        <v>24</v>
      </c>
      <c r="F8950" s="2" t="s">
        <v>16</v>
      </c>
    </row>
    <row r="8951" spans="1:6" ht="25.5">
      <c r="A8951" s="2">
        <v>8948</v>
      </c>
      <c r="B8951" s="2" t="s">
        <v>9026</v>
      </c>
      <c r="C8951" s="2" t="str">
        <f>"19379412"</f>
        <v>19379412</v>
      </c>
      <c r="D8951" s="2">
        <v>0.107</v>
      </c>
      <c r="E8951" s="2">
        <v>3</v>
      </c>
      <c r="F8951" s="2" t="s">
        <v>6</v>
      </c>
    </row>
    <row r="8952" spans="1:6" ht="25.5">
      <c r="A8952" s="2">
        <v>8949</v>
      </c>
      <c r="B8952" s="2" t="s">
        <v>9027</v>
      </c>
      <c r="C8952" s="2" t="str">
        <f>"1942390X"</f>
        <v>1942390X</v>
      </c>
      <c r="D8952" s="2">
        <v>0</v>
      </c>
      <c r="E8952" s="2">
        <v>1</v>
      </c>
      <c r="F8952" s="2" t="s">
        <v>6</v>
      </c>
    </row>
    <row r="8953" spans="1:6" ht="25.5">
      <c r="A8953" s="2">
        <v>8950</v>
      </c>
      <c r="B8953" s="2" t="s">
        <v>9028</v>
      </c>
      <c r="C8953" s="2" t="str">
        <f>"1746725X"</f>
        <v>1746725X</v>
      </c>
      <c r="D8953" s="2">
        <v>0.156</v>
      </c>
      <c r="E8953" s="2">
        <v>2</v>
      </c>
      <c r="F8953" s="2" t="s">
        <v>31</v>
      </c>
    </row>
    <row r="8954" spans="1:6" ht="25.5">
      <c r="A8954" s="2">
        <v>8951</v>
      </c>
      <c r="B8954" s="2" t="s">
        <v>9029</v>
      </c>
      <c r="C8954" s="2" t="str">
        <f>"17442869"</f>
        <v>17442869</v>
      </c>
      <c r="D8954" s="2">
        <v>0.10299999999999999</v>
      </c>
      <c r="E8954" s="2">
        <v>4</v>
      </c>
      <c r="F8954" s="2" t="s">
        <v>16</v>
      </c>
    </row>
    <row r="8955" spans="1:6" ht="25.5">
      <c r="A8955" s="2">
        <v>8952</v>
      </c>
      <c r="B8955" s="2" t="s">
        <v>9030</v>
      </c>
      <c r="C8955" s="2" t="str">
        <f>"17939623"</f>
        <v>17939623</v>
      </c>
      <c r="D8955" s="2">
        <v>0.23</v>
      </c>
      <c r="E8955" s="2">
        <v>4</v>
      </c>
      <c r="F8955" s="2" t="s">
        <v>543</v>
      </c>
    </row>
    <row r="8956" spans="1:6" ht="25.5">
      <c r="A8956" s="2">
        <v>8953</v>
      </c>
      <c r="B8956" s="2" t="s">
        <v>9031</v>
      </c>
      <c r="C8956" s="2" t="str">
        <f>"02286203"</f>
        <v>02286203</v>
      </c>
      <c r="D8956" s="2">
        <v>0.12</v>
      </c>
      <c r="E8956" s="2">
        <v>11</v>
      </c>
      <c r="F8956" s="2" t="s">
        <v>64</v>
      </c>
    </row>
    <row r="8957" spans="1:6" ht="25.5">
      <c r="A8957" s="2">
        <v>8954</v>
      </c>
      <c r="B8957" s="2" t="s">
        <v>9032</v>
      </c>
      <c r="C8957" s="2" t="str">
        <f>"17466180"</f>
        <v>17466180</v>
      </c>
      <c r="D8957" s="2">
        <v>0.27700000000000002</v>
      </c>
      <c r="E8957" s="2">
        <v>13</v>
      </c>
      <c r="F8957" s="2" t="s">
        <v>16</v>
      </c>
    </row>
    <row r="8958" spans="1:6" ht="25.5">
      <c r="A8958" s="2">
        <v>8955</v>
      </c>
      <c r="B8958" s="2" t="s">
        <v>9033</v>
      </c>
      <c r="C8958" s="2" t="str">
        <f>"0217751X"</f>
        <v>0217751X</v>
      </c>
      <c r="D8958" s="2">
        <v>0.755</v>
      </c>
      <c r="E8958" s="2">
        <v>66</v>
      </c>
      <c r="F8958" s="2" t="s">
        <v>543</v>
      </c>
    </row>
    <row r="8959" spans="1:6" ht="25.5">
      <c r="A8959" s="2">
        <v>8956</v>
      </c>
      <c r="B8959" s="2" t="s">
        <v>9034</v>
      </c>
      <c r="C8959" s="2" t="str">
        <f>"02179792"</f>
        <v>02179792</v>
      </c>
      <c r="D8959" s="2">
        <v>0.21299999999999999</v>
      </c>
      <c r="E8959" s="2">
        <v>49</v>
      </c>
      <c r="F8959" s="2" t="s">
        <v>543</v>
      </c>
    </row>
    <row r="8960" spans="1:6" ht="25.5">
      <c r="A8960" s="2">
        <v>8957</v>
      </c>
      <c r="B8960" s="2" t="s">
        <v>9035</v>
      </c>
      <c r="C8960" s="2" t="str">
        <f>"01291831"</f>
        <v>01291831</v>
      </c>
      <c r="D8960" s="2">
        <v>0.32400000000000001</v>
      </c>
      <c r="E8960" s="2">
        <v>40</v>
      </c>
      <c r="F8960" s="2" t="s">
        <v>543</v>
      </c>
    </row>
    <row r="8961" spans="1:6" ht="25.5">
      <c r="A8961" s="2">
        <v>8958</v>
      </c>
      <c r="B8961" s="2" t="s">
        <v>9036</v>
      </c>
      <c r="C8961" s="2" t="str">
        <f>"02182718"</f>
        <v>02182718</v>
      </c>
      <c r="D8961" s="2">
        <v>0.71699999999999997</v>
      </c>
      <c r="E8961" s="2">
        <v>44</v>
      </c>
      <c r="F8961" s="2" t="s">
        <v>543</v>
      </c>
    </row>
    <row r="8962" spans="1:6" ht="25.5">
      <c r="A8962" s="2">
        <v>8959</v>
      </c>
      <c r="B8962" s="2" t="s">
        <v>9037</v>
      </c>
      <c r="C8962" s="2" t="str">
        <f>"02183013"</f>
        <v>02183013</v>
      </c>
      <c r="D8962" s="2">
        <v>0.57599999999999996</v>
      </c>
      <c r="E8962" s="2">
        <v>30</v>
      </c>
      <c r="F8962" s="2" t="s">
        <v>543</v>
      </c>
    </row>
    <row r="8963" spans="1:6" ht="25.5">
      <c r="A8963" s="2">
        <v>8960</v>
      </c>
      <c r="B8963" s="2" t="s">
        <v>9038</v>
      </c>
      <c r="C8963" s="2" t="str">
        <f>"19481756"</f>
        <v>19481756</v>
      </c>
      <c r="D8963" s="2">
        <v>0.45200000000000001</v>
      </c>
      <c r="E8963" s="2">
        <v>6</v>
      </c>
      <c r="F8963" s="2" t="s">
        <v>6</v>
      </c>
    </row>
    <row r="8964" spans="1:6" ht="25.5">
      <c r="A8964" s="2">
        <v>8961</v>
      </c>
      <c r="B8964" s="2" t="s">
        <v>9039</v>
      </c>
      <c r="C8964" s="2" t="str">
        <f>"11073756"</f>
        <v>11073756</v>
      </c>
      <c r="D8964" s="2">
        <v>0.64100000000000001</v>
      </c>
      <c r="E8964" s="2">
        <v>58</v>
      </c>
      <c r="F8964" s="2" t="s">
        <v>313</v>
      </c>
    </row>
    <row r="8965" spans="1:6" ht="25.5">
      <c r="A8965" s="2">
        <v>8962</v>
      </c>
      <c r="B8965" s="2" t="s">
        <v>9040</v>
      </c>
      <c r="C8965" s="2" t="str">
        <f>"14220067"</f>
        <v>14220067</v>
      </c>
      <c r="D8965" s="2">
        <v>0.66800000000000004</v>
      </c>
      <c r="E8965" s="2">
        <v>37</v>
      </c>
      <c r="F8965" s="2" t="s">
        <v>31</v>
      </c>
    </row>
    <row r="8966" spans="1:6" ht="25.5">
      <c r="A8966" s="2">
        <v>8963</v>
      </c>
      <c r="B8966" s="2" t="s">
        <v>9041</v>
      </c>
      <c r="C8966" s="2" t="str">
        <f>"17520479"</f>
        <v>17520479</v>
      </c>
      <c r="D8966" s="2">
        <v>0.14000000000000001</v>
      </c>
      <c r="E8966" s="2">
        <v>1</v>
      </c>
      <c r="F8966" s="2" t="s">
        <v>31</v>
      </c>
    </row>
    <row r="8967" spans="1:6" ht="25.5">
      <c r="A8967" s="2">
        <v>8964</v>
      </c>
      <c r="B8967" s="2" t="s">
        <v>9042</v>
      </c>
      <c r="C8967" s="2" t="str">
        <f>"07179502"</f>
        <v>07179502</v>
      </c>
      <c r="D8967" s="2">
        <v>0.23200000000000001</v>
      </c>
      <c r="E8967" s="2">
        <v>8</v>
      </c>
      <c r="F8967" s="2" t="s">
        <v>182</v>
      </c>
    </row>
    <row r="8968" spans="1:6" ht="25.5">
      <c r="A8968" s="2">
        <v>8965</v>
      </c>
      <c r="B8968" s="2" t="s">
        <v>9043</v>
      </c>
      <c r="C8968" s="2" t="str">
        <f>"15372073"</f>
        <v>15372073</v>
      </c>
      <c r="D8968" s="2">
        <v>0</v>
      </c>
      <c r="E8968" s="2">
        <v>0</v>
      </c>
      <c r="F8968" s="2" t="s">
        <v>6</v>
      </c>
    </row>
    <row r="8969" spans="1:6" ht="25.5">
      <c r="A8969" s="2">
        <v>8966</v>
      </c>
      <c r="B8969" s="2" t="s">
        <v>9044</v>
      </c>
      <c r="C8969" s="2" t="str">
        <f>"19345267"</f>
        <v>19345267</v>
      </c>
      <c r="D8969" s="2">
        <v>0.14000000000000001</v>
      </c>
      <c r="E8969" s="2">
        <v>3</v>
      </c>
      <c r="F8969" s="2" t="s">
        <v>6</v>
      </c>
    </row>
    <row r="8970" spans="1:6" ht="25.5">
      <c r="A8970" s="2">
        <v>8967</v>
      </c>
      <c r="B8970" s="2" t="s">
        <v>9045</v>
      </c>
      <c r="C8970" s="2" t="str">
        <f>"14790718"</f>
        <v>14790718</v>
      </c>
      <c r="D8970" s="2">
        <v>0.52800000000000002</v>
      </c>
      <c r="E8970" s="2">
        <v>3</v>
      </c>
      <c r="F8970" s="2" t="s">
        <v>16</v>
      </c>
    </row>
    <row r="8971" spans="1:6" ht="25.5">
      <c r="A8971" s="2">
        <v>8968</v>
      </c>
      <c r="B8971" s="2" t="s">
        <v>9046</v>
      </c>
      <c r="C8971" s="2" t="str">
        <f>"19750080"</f>
        <v>19750080</v>
      </c>
      <c r="D8971" s="2">
        <v>0.17499999999999999</v>
      </c>
      <c r="E8971" s="2">
        <v>5</v>
      </c>
      <c r="F8971" s="2" t="s">
        <v>274</v>
      </c>
    </row>
    <row r="8972" spans="1:6" ht="25.5">
      <c r="A8972" s="2">
        <v>8969</v>
      </c>
      <c r="B8972" s="2" t="s">
        <v>9047</v>
      </c>
      <c r="C8972" s="2" t="str">
        <f>"03019322"</f>
        <v>03019322</v>
      </c>
      <c r="D8972" s="2">
        <v>1.097</v>
      </c>
      <c r="E8972" s="2">
        <v>68</v>
      </c>
      <c r="F8972" s="2" t="s">
        <v>75</v>
      </c>
    </row>
    <row r="8973" spans="1:6" ht="25.5">
      <c r="A8973" s="2">
        <v>8970</v>
      </c>
      <c r="B8973" s="2" t="s">
        <v>9048</v>
      </c>
      <c r="C8973" s="2" t="str">
        <f>"18340806"</f>
        <v>18340806</v>
      </c>
      <c r="D8973" s="2">
        <v>0.312</v>
      </c>
      <c r="E8973" s="2">
        <v>8</v>
      </c>
      <c r="F8973" s="2" t="s">
        <v>127</v>
      </c>
    </row>
    <row r="8974" spans="1:6" ht="25.5">
      <c r="A8974" s="2">
        <v>8971</v>
      </c>
      <c r="B8974" s="2" t="s">
        <v>9049</v>
      </c>
      <c r="C8974" s="2" t="str">
        <f>"1744795X"</f>
        <v>1744795X</v>
      </c>
      <c r="D8974" s="2">
        <v>0.438</v>
      </c>
      <c r="E8974" s="2">
        <v>10</v>
      </c>
      <c r="F8974" s="2" t="s">
        <v>16</v>
      </c>
    </row>
    <row r="8975" spans="1:6" ht="25.5">
      <c r="A8975" s="2">
        <v>8972</v>
      </c>
      <c r="B8975" s="2" t="s">
        <v>9050</v>
      </c>
      <c r="C8975" s="2" t="str">
        <f>"17528941"</f>
        <v>17528941</v>
      </c>
      <c r="D8975" s="2">
        <v>0.115</v>
      </c>
      <c r="E8975" s="2">
        <v>3</v>
      </c>
      <c r="F8975" s="2" t="s">
        <v>16</v>
      </c>
    </row>
    <row r="8976" spans="1:6" ht="25.5">
      <c r="A8976" s="2">
        <v>8973</v>
      </c>
      <c r="B8976" s="2" t="s">
        <v>9051</v>
      </c>
      <c r="C8976" s="2" t="str">
        <f>"22321535"</f>
        <v>22321535</v>
      </c>
      <c r="D8976" s="2">
        <v>0</v>
      </c>
      <c r="E8976" s="2">
        <v>1</v>
      </c>
      <c r="F8976" s="2" t="s">
        <v>37</v>
      </c>
    </row>
    <row r="8977" spans="1:6" ht="25.5">
      <c r="A8977" s="2">
        <v>8974</v>
      </c>
      <c r="B8977" s="2" t="s">
        <v>9052</v>
      </c>
      <c r="C8977" s="2" t="str">
        <f>"17469406"</f>
        <v>17469406</v>
      </c>
      <c r="D8977" s="2">
        <v>0.19</v>
      </c>
      <c r="E8977" s="2">
        <v>4</v>
      </c>
      <c r="F8977" s="2" t="s">
        <v>16</v>
      </c>
    </row>
    <row r="8978" spans="1:6" ht="25.5">
      <c r="A8978" s="2">
        <v>8975</v>
      </c>
      <c r="B8978" s="2" t="s">
        <v>9053</v>
      </c>
      <c r="C8978" s="2" t="str">
        <f>"19475756"</f>
        <v>19475756</v>
      </c>
      <c r="D8978" s="2">
        <v>0.13</v>
      </c>
      <c r="E8978" s="2">
        <v>1</v>
      </c>
      <c r="F8978" s="2" t="s">
        <v>6</v>
      </c>
    </row>
    <row r="8979" spans="1:6" ht="25.5">
      <c r="A8979" s="2">
        <v>8976</v>
      </c>
      <c r="B8979" s="2" t="s">
        <v>9054</v>
      </c>
      <c r="C8979" s="2" t="str">
        <f>"11782013"</f>
        <v>11782013</v>
      </c>
      <c r="D8979" s="2">
        <v>0.90200000000000002</v>
      </c>
      <c r="E8979" s="2">
        <v>32</v>
      </c>
      <c r="F8979" s="2" t="s">
        <v>503</v>
      </c>
    </row>
    <row r="8980" spans="1:6" ht="25.5">
      <c r="A8980" s="2">
        <v>8977</v>
      </c>
      <c r="B8980" s="2" t="s">
        <v>9055</v>
      </c>
      <c r="C8980" s="2" t="str">
        <f>"17532507"</f>
        <v>17532507</v>
      </c>
      <c r="D8980" s="2">
        <v>0.23400000000000001</v>
      </c>
      <c r="E8980" s="2">
        <v>4</v>
      </c>
      <c r="F8980" s="2" t="s">
        <v>16</v>
      </c>
    </row>
    <row r="8981" spans="1:6" ht="25.5">
      <c r="A8981" s="2">
        <v>8978</v>
      </c>
      <c r="B8981" s="2" t="s">
        <v>9056</v>
      </c>
      <c r="C8981" s="2" t="str">
        <f>"0219581X"</f>
        <v>0219581X</v>
      </c>
      <c r="D8981" s="2">
        <v>0.16</v>
      </c>
      <c r="E8981" s="2">
        <v>12</v>
      </c>
      <c r="F8981" s="2" t="s">
        <v>543</v>
      </c>
    </row>
    <row r="8982" spans="1:6" ht="25.5">
      <c r="A8982" s="2">
        <v>8979</v>
      </c>
      <c r="B8982" s="2" t="s">
        <v>9057</v>
      </c>
      <c r="C8982" s="2" t="str">
        <f>"14757435"</f>
        <v>14757435</v>
      </c>
      <c r="D8982" s="2">
        <v>0.38900000000000001</v>
      </c>
      <c r="E8982" s="2">
        <v>20</v>
      </c>
      <c r="F8982" s="2" t="s">
        <v>16</v>
      </c>
    </row>
    <row r="8983" spans="1:6" ht="25.5">
      <c r="A8983" s="2">
        <v>8980</v>
      </c>
      <c r="B8983" s="2" t="s">
        <v>9058</v>
      </c>
      <c r="C8983" s="2" t="str">
        <f>"10959270"</f>
        <v>10959270</v>
      </c>
      <c r="D8983" s="2">
        <v>0.25700000000000001</v>
      </c>
      <c r="E8983" s="2">
        <v>11</v>
      </c>
      <c r="F8983" s="2" t="s">
        <v>16</v>
      </c>
    </row>
    <row r="8984" spans="1:6" ht="25.5">
      <c r="A8984" s="2">
        <v>8981</v>
      </c>
      <c r="B8984" s="2" t="s">
        <v>9059</v>
      </c>
      <c r="C8984" s="2" t="str">
        <f>"20926790"</f>
        <v>20926790</v>
      </c>
      <c r="D8984" s="2">
        <v>0.34200000000000003</v>
      </c>
      <c r="E8984" s="2">
        <v>4</v>
      </c>
      <c r="F8984" s="2" t="s">
        <v>274</v>
      </c>
    </row>
    <row r="8985" spans="1:6" ht="25.5">
      <c r="A8985" s="2">
        <v>8982</v>
      </c>
      <c r="B8985" s="2" t="s">
        <v>9060</v>
      </c>
      <c r="C8985" s="2" t="str">
        <f>"16876008"</f>
        <v>16876008</v>
      </c>
      <c r="D8985" s="2">
        <v>0.10199999999999999</v>
      </c>
      <c r="E8985" s="2">
        <v>2</v>
      </c>
      <c r="F8985" s="2" t="s">
        <v>6</v>
      </c>
    </row>
    <row r="8986" spans="1:6" ht="25.5">
      <c r="A8986" s="2">
        <v>8983</v>
      </c>
      <c r="B8986" s="2" t="s">
        <v>9061</v>
      </c>
      <c r="C8986" s="2" t="str">
        <f>"20902158"</f>
        <v>20902158</v>
      </c>
      <c r="D8986" s="2">
        <v>0</v>
      </c>
      <c r="E8986" s="2">
        <v>2</v>
      </c>
      <c r="F8986" s="2" t="s">
        <v>6</v>
      </c>
    </row>
    <row r="8987" spans="1:6" ht="25.5">
      <c r="A8987" s="2">
        <v>8984</v>
      </c>
      <c r="B8987" s="2" t="s">
        <v>9062</v>
      </c>
      <c r="C8987" s="2" t="str">
        <f>"11787058"</f>
        <v>11787058</v>
      </c>
      <c r="D8987" s="2">
        <v>0.255</v>
      </c>
      <c r="E8987" s="2">
        <v>4</v>
      </c>
      <c r="F8987" s="2" t="s">
        <v>6</v>
      </c>
    </row>
    <row r="8988" spans="1:6" ht="25.5">
      <c r="A8988" s="2">
        <v>8985</v>
      </c>
      <c r="B8988" s="2" t="s">
        <v>9063</v>
      </c>
      <c r="C8988" s="2" t="str">
        <f>"17415225"</f>
        <v>17415225</v>
      </c>
      <c r="D8988" s="2">
        <v>0.26500000000000001</v>
      </c>
      <c r="E8988" s="2">
        <v>10</v>
      </c>
      <c r="F8988" s="2" t="s">
        <v>16</v>
      </c>
    </row>
    <row r="8989" spans="1:6" ht="25.5">
      <c r="A8989" s="2">
        <v>8986</v>
      </c>
      <c r="B8989" s="2" t="s">
        <v>9064</v>
      </c>
      <c r="C8989" s="2" t="str">
        <f>"10991190"</f>
        <v>10991190</v>
      </c>
      <c r="D8989" s="2">
        <v>0.38100000000000001</v>
      </c>
      <c r="E8989" s="2">
        <v>18</v>
      </c>
      <c r="F8989" s="2" t="s">
        <v>16</v>
      </c>
    </row>
    <row r="8990" spans="1:6" ht="25.5">
      <c r="A8990" s="2">
        <v>8987</v>
      </c>
      <c r="B8990" s="2" t="s">
        <v>9065</v>
      </c>
      <c r="C8990" s="2" t="str">
        <f>"18163548"</f>
        <v>18163548</v>
      </c>
      <c r="D8990" s="2">
        <v>0.47299999999999998</v>
      </c>
      <c r="E8990" s="2">
        <v>18</v>
      </c>
      <c r="F8990" s="2" t="s">
        <v>165</v>
      </c>
    </row>
    <row r="8991" spans="1:6" ht="25.5">
      <c r="A8991" s="2">
        <v>8988</v>
      </c>
      <c r="B8991" s="2" t="s">
        <v>9066</v>
      </c>
      <c r="C8991" s="2" t="str">
        <f>"01290657"</f>
        <v>01290657</v>
      </c>
      <c r="D8991" s="2">
        <v>0.878</v>
      </c>
      <c r="E8991" s="2">
        <v>30</v>
      </c>
      <c r="F8991" s="2" t="s">
        <v>543</v>
      </c>
    </row>
    <row r="8992" spans="1:6" ht="25.5">
      <c r="A8992" s="2">
        <v>8989</v>
      </c>
      <c r="B8992" s="2" t="s">
        <v>9067</v>
      </c>
      <c r="C8992" s="2" t="str">
        <f>"14695111"</f>
        <v>14695111</v>
      </c>
      <c r="D8992" s="2">
        <v>1.7</v>
      </c>
      <c r="E8992" s="2">
        <v>62</v>
      </c>
      <c r="F8992" s="2" t="s">
        <v>16</v>
      </c>
    </row>
    <row r="8993" spans="1:6" ht="25.5">
      <c r="A8993" s="2">
        <v>8990</v>
      </c>
      <c r="B8993" s="2" t="s">
        <v>9068</v>
      </c>
      <c r="C8993" s="2" t="str">
        <f>"15635279"</f>
        <v>15635279</v>
      </c>
      <c r="D8993" s="2">
        <v>0.41399999999999998</v>
      </c>
      <c r="E8993" s="2">
        <v>38</v>
      </c>
      <c r="F8993" s="2" t="s">
        <v>16</v>
      </c>
    </row>
    <row r="8994" spans="1:6" ht="25.5">
      <c r="A8994" s="2">
        <v>8991</v>
      </c>
      <c r="B8994" s="2" t="s">
        <v>9069</v>
      </c>
      <c r="C8994" s="2" t="str">
        <f>"00207462"</f>
        <v>00207462</v>
      </c>
      <c r="D8994" s="2">
        <v>0.60599999999999998</v>
      </c>
      <c r="E8994" s="2">
        <v>50</v>
      </c>
      <c r="F8994" s="2" t="s">
        <v>16</v>
      </c>
    </row>
    <row r="8995" spans="1:6" ht="25.5">
      <c r="A8995" s="2">
        <v>8992</v>
      </c>
      <c r="B8995" s="2" t="s">
        <v>9070</v>
      </c>
      <c r="C8995" s="2" t="str">
        <f>"15651339"</f>
        <v>15651339</v>
      </c>
      <c r="D8995" s="2">
        <v>0.41099999999999998</v>
      </c>
      <c r="E8995" s="2">
        <v>46</v>
      </c>
      <c r="F8995" s="2" t="s">
        <v>12</v>
      </c>
    </row>
    <row r="8996" spans="1:6" ht="25.5">
      <c r="A8996" s="2">
        <v>8993</v>
      </c>
      <c r="B8996" s="2" t="s">
        <v>9071</v>
      </c>
      <c r="C8996" s="2" t="str">
        <f>"17419204"</f>
        <v>17419204</v>
      </c>
      <c r="D8996" s="2">
        <v>0.16900000000000001</v>
      </c>
      <c r="E8996" s="2">
        <v>5</v>
      </c>
      <c r="F8996" s="2" t="s">
        <v>16</v>
      </c>
    </row>
    <row r="8997" spans="1:6" ht="25.5">
      <c r="A8997" s="2">
        <v>8994</v>
      </c>
      <c r="B8997" s="2" t="s">
        <v>9072</v>
      </c>
      <c r="C8997" s="2" t="str">
        <f>"1741637X"</f>
        <v>1741637X</v>
      </c>
      <c r="D8997" s="2">
        <v>0.20599999999999999</v>
      </c>
      <c r="E8997" s="2">
        <v>3</v>
      </c>
      <c r="F8997" s="2" t="s">
        <v>16</v>
      </c>
    </row>
    <row r="8998" spans="1:6" ht="25.5">
      <c r="A8998" s="2">
        <v>8995</v>
      </c>
      <c r="B8998" s="2" t="s">
        <v>9073</v>
      </c>
      <c r="C8998" s="2" t="str">
        <f>"17930421"</f>
        <v>17930421</v>
      </c>
      <c r="D8998" s="2">
        <v>0.54300000000000004</v>
      </c>
      <c r="E8998" s="2">
        <v>6</v>
      </c>
      <c r="F8998" s="2" t="s">
        <v>543</v>
      </c>
    </row>
    <row r="8999" spans="1:6" ht="25.5">
      <c r="A8999" s="2">
        <v>8996</v>
      </c>
      <c r="B8999" s="2" t="s">
        <v>9074</v>
      </c>
      <c r="C8999" s="2" t="str">
        <f>"17055105"</f>
        <v>17055105</v>
      </c>
      <c r="D8999" s="2">
        <v>0.83199999999999996</v>
      </c>
      <c r="E8999" s="2">
        <v>11</v>
      </c>
      <c r="F8999" s="2" t="s">
        <v>64</v>
      </c>
    </row>
    <row r="9000" spans="1:6" ht="25.5">
      <c r="A9000" s="2">
        <v>8997</v>
      </c>
      <c r="B9000" s="2" t="s">
        <v>9075</v>
      </c>
      <c r="C9000" s="2" t="str">
        <f>"09615539"</f>
        <v>09615539</v>
      </c>
      <c r="D9000" s="2">
        <v>0.41799999999999998</v>
      </c>
      <c r="E9000" s="2">
        <v>24</v>
      </c>
      <c r="F9000" s="2" t="s">
        <v>16</v>
      </c>
    </row>
    <row r="9001" spans="1:6" ht="25.5">
      <c r="A9001" s="2">
        <v>8998</v>
      </c>
      <c r="B9001" s="2" t="s">
        <v>9076</v>
      </c>
      <c r="C9001" s="2" t="str">
        <f>"10991204"</f>
        <v>10991204</v>
      </c>
      <c r="D9001" s="2">
        <v>0.28100000000000003</v>
      </c>
      <c r="E9001" s="2">
        <v>19</v>
      </c>
      <c r="F9001" s="2" t="s">
        <v>16</v>
      </c>
    </row>
    <row r="9002" spans="1:6" ht="25.5">
      <c r="A9002" s="2">
        <v>8999</v>
      </c>
      <c r="B9002" s="2" t="s">
        <v>9077</v>
      </c>
      <c r="C9002" s="2" t="str">
        <f>"1548923X"</f>
        <v>1548923X</v>
      </c>
      <c r="D9002" s="2">
        <v>0.75800000000000001</v>
      </c>
      <c r="E9002" s="2">
        <v>15</v>
      </c>
      <c r="F9002" s="2" t="s">
        <v>6</v>
      </c>
    </row>
    <row r="9003" spans="1:6" ht="25.5">
      <c r="A9003" s="2">
        <v>9000</v>
      </c>
      <c r="B9003" s="2" t="s">
        <v>9078</v>
      </c>
      <c r="C9003" s="2" t="str">
        <f>"20473087"</f>
        <v>20473087</v>
      </c>
      <c r="D9003" s="2">
        <v>0.17799999999999999</v>
      </c>
      <c r="E9003" s="2">
        <v>12</v>
      </c>
      <c r="F9003" s="2" t="s">
        <v>12</v>
      </c>
    </row>
    <row r="9004" spans="1:6" ht="25.5">
      <c r="A9004" s="2">
        <v>9001</v>
      </c>
      <c r="B9004" s="2" t="s">
        <v>9079</v>
      </c>
      <c r="C9004" s="2" t="str">
        <f>"1440172X"</f>
        <v>1440172X</v>
      </c>
      <c r="D9004" s="2">
        <v>0.502</v>
      </c>
      <c r="E9004" s="2">
        <v>30</v>
      </c>
      <c r="F9004" s="2" t="s">
        <v>6</v>
      </c>
    </row>
    <row r="9005" spans="1:6" ht="25.5">
      <c r="A9005" s="2">
        <v>9002</v>
      </c>
      <c r="B9005" s="2" t="s">
        <v>9080</v>
      </c>
      <c r="C9005" s="2" t="str">
        <f>"00207489"</f>
        <v>00207489</v>
      </c>
      <c r="D9005" s="2">
        <v>1.0629999999999999</v>
      </c>
      <c r="E9005" s="2">
        <v>45</v>
      </c>
      <c r="F9005" s="2" t="s">
        <v>16</v>
      </c>
    </row>
    <row r="9006" spans="1:6" ht="25.5">
      <c r="A9006" s="2">
        <v>9003</v>
      </c>
      <c r="B9006" s="2" t="s">
        <v>9081</v>
      </c>
      <c r="C9006" s="2" t="str">
        <f>"14765497"</f>
        <v>14765497</v>
      </c>
      <c r="D9006" s="2">
        <v>1.9039999999999999</v>
      </c>
      <c r="E9006" s="2">
        <v>136</v>
      </c>
      <c r="F9006" s="2" t="s">
        <v>16</v>
      </c>
    </row>
    <row r="9007" spans="1:6" ht="25.5">
      <c r="A9007" s="2">
        <v>9004</v>
      </c>
      <c r="B9007" s="2" t="s">
        <v>9082</v>
      </c>
      <c r="C9007" s="2" t="str">
        <f>"15323374"</f>
        <v>15323374</v>
      </c>
      <c r="D9007" s="2">
        <v>0.55100000000000005</v>
      </c>
      <c r="E9007" s="2">
        <v>29</v>
      </c>
      <c r="F9007" s="2" t="s">
        <v>6</v>
      </c>
    </row>
    <row r="9008" spans="1:6" ht="25.5">
      <c r="A9008" s="2">
        <v>9005</v>
      </c>
      <c r="B9008" s="2" t="s">
        <v>9083</v>
      </c>
      <c r="C9008" s="2" t="str">
        <f>"10773525"</f>
        <v>10773525</v>
      </c>
      <c r="D9008" s="2">
        <v>0.41399999999999998</v>
      </c>
      <c r="E9008" s="2">
        <v>31</v>
      </c>
      <c r="F9008" s="2" t="s">
        <v>6</v>
      </c>
    </row>
    <row r="9009" spans="1:6" ht="25.5">
      <c r="A9009" s="2">
        <v>9006</v>
      </c>
      <c r="B9009" s="2" t="s">
        <v>9084</v>
      </c>
      <c r="C9009" s="2" t="str">
        <f>"12321087"</f>
        <v>12321087</v>
      </c>
      <c r="D9009" s="2">
        <v>0.40699999999999997</v>
      </c>
      <c r="E9009" s="2">
        <v>24</v>
      </c>
      <c r="F9009" s="2" t="s">
        <v>12</v>
      </c>
    </row>
    <row r="9010" spans="1:6" ht="25.5">
      <c r="A9010" s="2">
        <v>9007</v>
      </c>
      <c r="B9010" s="2" t="s">
        <v>9085</v>
      </c>
      <c r="C9010" s="2" t="str">
        <f>"10803548"</f>
        <v>10803548</v>
      </c>
      <c r="D9010" s="2">
        <v>0.313</v>
      </c>
      <c r="E9010" s="2">
        <v>14</v>
      </c>
      <c r="F9010" s="2" t="s">
        <v>169</v>
      </c>
    </row>
    <row r="9011" spans="1:6" ht="25.5">
      <c r="A9011" s="2">
        <v>9008</v>
      </c>
      <c r="B9011" s="2" t="s">
        <v>9086</v>
      </c>
      <c r="C9011" s="2" t="str">
        <f>"13887890"</f>
        <v>13887890</v>
      </c>
      <c r="D9011" s="2">
        <v>0.251</v>
      </c>
      <c r="E9011" s="2">
        <v>5</v>
      </c>
      <c r="F9011" s="2" t="s">
        <v>6</v>
      </c>
    </row>
    <row r="9012" spans="1:6" ht="25.5">
      <c r="A9012" s="2">
        <v>9009</v>
      </c>
      <c r="B9012" s="2" t="s">
        <v>9087</v>
      </c>
      <c r="C9012" s="2" t="str">
        <f>"0306624X"</f>
        <v>0306624X</v>
      </c>
      <c r="D9012" s="2">
        <v>0.54900000000000004</v>
      </c>
      <c r="E9012" s="2">
        <v>28</v>
      </c>
      <c r="F9012" s="2" t="s">
        <v>6</v>
      </c>
    </row>
    <row r="9013" spans="1:6" ht="25.5">
      <c r="A9013" s="2">
        <v>9010</v>
      </c>
      <c r="B9013" s="2" t="s">
        <v>9088</v>
      </c>
      <c r="C9013" s="2" t="str">
        <f>"10535381"</f>
        <v>10535381</v>
      </c>
      <c r="D9013" s="2">
        <v>0.442</v>
      </c>
      <c r="E9013" s="2">
        <v>22</v>
      </c>
      <c r="F9013" s="2" t="s">
        <v>6</v>
      </c>
    </row>
    <row r="9014" spans="1:6" ht="25.5">
      <c r="A9014" s="2">
        <v>9011</v>
      </c>
      <c r="B9014" s="2" t="s">
        <v>9089</v>
      </c>
      <c r="C9014" s="2" t="str">
        <f>"17533317"</f>
        <v>17533317</v>
      </c>
      <c r="D9014" s="2">
        <v>0.24399999999999999</v>
      </c>
      <c r="E9014" s="2">
        <v>5</v>
      </c>
      <c r="F9014" s="2" t="s">
        <v>16</v>
      </c>
    </row>
    <row r="9015" spans="1:6" ht="25.5">
      <c r="A9015" s="2">
        <v>9012</v>
      </c>
      <c r="B9015" s="2" t="s">
        <v>9090</v>
      </c>
      <c r="C9015" s="2" t="str">
        <f>"17483743"</f>
        <v>17483743</v>
      </c>
      <c r="D9015" s="2">
        <v>0.376</v>
      </c>
      <c r="E9015" s="2">
        <v>4</v>
      </c>
      <c r="F9015" s="2" t="s">
        <v>16</v>
      </c>
    </row>
    <row r="9016" spans="1:6" ht="25.5">
      <c r="A9016" s="2">
        <v>9013</v>
      </c>
      <c r="B9016" s="2" t="s">
        <v>9091</v>
      </c>
      <c r="C9016" s="2" t="str">
        <f>"10196439"</f>
        <v>10196439</v>
      </c>
      <c r="D9016" s="2">
        <v>0.98299999999999998</v>
      </c>
      <c r="E9016" s="2">
        <v>78</v>
      </c>
      <c r="F9016" s="2" t="s">
        <v>313</v>
      </c>
    </row>
    <row r="9017" spans="1:6" ht="25.5">
      <c r="A9017" s="2">
        <v>9014</v>
      </c>
      <c r="B9017" s="2" t="s">
        <v>9092</v>
      </c>
      <c r="C9017" s="2" t="str">
        <f>"18681646"</f>
        <v>18681646</v>
      </c>
      <c r="D9017" s="2">
        <v>0.21</v>
      </c>
      <c r="E9017" s="2">
        <v>4</v>
      </c>
      <c r="F9017" s="2" t="s">
        <v>12</v>
      </c>
    </row>
    <row r="9018" spans="1:6" ht="25.5">
      <c r="A9018" s="2">
        <v>9015</v>
      </c>
      <c r="B9018" s="2" t="s">
        <v>9093</v>
      </c>
      <c r="C9018" s="2" t="str">
        <f>"19423934"</f>
        <v>19423934</v>
      </c>
      <c r="D9018" s="2">
        <v>0.20799999999999999</v>
      </c>
      <c r="E9018" s="2">
        <v>3</v>
      </c>
      <c r="F9018" s="2" t="s">
        <v>6</v>
      </c>
    </row>
    <row r="9019" spans="1:6" ht="25.5">
      <c r="A9019" s="2">
        <v>9016</v>
      </c>
      <c r="B9019" s="2" t="s">
        <v>9094</v>
      </c>
      <c r="C9019" s="2" t="str">
        <f>"17457653"</f>
        <v>17457653</v>
      </c>
      <c r="D9019" s="2">
        <v>0.52800000000000002</v>
      </c>
      <c r="E9019" s="2">
        <v>12</v>
      </c>
      <c r="F9019" s="2" t="s">
        <v>16</v>
      </c>
    </row>
    <row r="9020" spans="1:6" ht="25.5">
      <c r="A9020" s="2">
        <v>9017</v>
      </c>
      <c r="B9020" s="2" t="s">
        <v>9095</v>
      </c>
      <c r="C9020" s="2" t="str">
        <f>"01443577"</f>
        <v>01443577</v>
      </c>
      <c r="D9020" s="2">
        <v>1.784</v>
      </c>
      <c r="E9020" s="2">
        <v>67</v>
      </c>
      <c r="F9020" s="2" t="s">
        <v>16</v>
      </c>
    </row>
    <row r="9021" spans="1:6" ht="25.5">
      <c r="A9021" s="2">
        <v>9018</v>
      </c>
      <c r="B9021" s="2" t="s">
        <v>9096</v>
      </c>
      <c r="C9021" s="2" t="str">
        <f>"10821910"</f>
        <v>10821910</v>
      </c>
      <c r="D9021" s="2">
        <v>0.11799999999999999</v>
      </c>
      <c r="E9021" s="2">
        <v>5</v>
      </c>
      <c r="F9021" s="2" t="s">
        <v>6</v>
      </c>
    </row>
    <row r="9022" spans="1:6" ht="25.5">
      <c r="A9022" s="2">
        <v>9019</v>
      </c>
      <c r="B9022" s="2" t="s">
        <v>9097</v>
      </c>
      <c r="C9022" s="2" t="str">
        <f>"16725123"</f>
        <v>16725123</v>
      </c>
      <c r="D9022" s="2">
        <v>0.10299999999999999</v>
      </c>
      <c r="E9022" s="2">
        <v>5</v>
      </c>
      <c r="F9022" s="2" t="s">
        <v>46</v>
      </c>
    </row>
    <row r="9023" spans="1:6" ht="25.5">
      <c r="A9023" s="2">
        <v>9020</v>
      </c>
      <c r="B9023" s="2" t="s">
        <v>9098</v>
      </c>
      <c r="C9023" s="2" t="str">
        <f>"16879392"</f>
        <v>16879392</v>
      </c>
      <c r="D9023" s="2">
        <v>0.16900000000000001</v>
      </c>
      <c r="E9023" s="2">
        <v>3</v>
      </c>
      <c r="F9023" s="2" t="s">
        <v>6</v>
      </c>
    </row>
    <row r="9024" spans="1:6" ht="25.5">
      <c r="A9024" s="2">
        <v>9021</v>
      </c>
      <c r="B9024" s="2" t="s">
        <v>9099</v>
      </c>
      <c r="C9024" s="2" t="str">
        <f>"15599612"</f>
        <v>15599612</v>
      </c>
      <c r="D9024" s="2">
        <v>0.379</v>
      </c>
      <c r="E9024" s="2">
        <v>6</v>
      </c>
      <c r="F9024" s="2" t="s">
        <v>16</v>
      </c>
    </row>
    <row r="9025" spans="1:6" ht="25.5">
      <c r="A9025" s="2">
        <v>9022</v>
      </c>
      <c r="B9025" s="2" t="s">
        <v>9100</v>
      </c>
      <c r="C9025" s="2" t="str">
        <f>"08822786"</f>
        <v>08822786</v>
      </c>
      <c r="D9025" s="2">
        <v>0.81</v>
      </c>
      <c r="E9025" s="2">
        <v>83</v>
      </c>
      <c r="F9025" s="2" t="s">
        <v>6</v>
      </c>
    </row>
    <row r="9026" spans="1:6" ht="25.5">
      <c r="A9026" s="2">
        <v>9023</v>
      </c>
      <c r="B9026" s="2" t="s">
        <v>9101</v>
      </c>
      <c r="C9026" s="2" t="str">
        <f>"09015027"</f>
        <v>09015027</v>
      </c>
      <c r="D9026" s="2">
        <v>0.83399999999999996</v>
      </c>
      <c r="E9026" s="2">
        <v>59</v>
      </c>
      <c r="F9026" s="2" t="s">
        <v>6</v>
      </c>
    </row>
    <row r="9027" spans="1:6" ht="25.5">
      <c r="A9027" s="2">
        <v>9024</v>
      </c>
      <c r="B9027" s="2" t="s">
        <v>9102</v>
      </c>
      <c r="C9027" s="2" t="str">
        <f>"16742818"</f>
        <v>16742818</v>
      </c>
      <c r="D9027" s="2">
        <v>0.59399999999999997</v>
      </c>
      <c r="E9027" s="2">
        <v>10</v>
      </c>
      <c r="F9027" s="2" t="s">
        <v>46</v>
      </c>
    </row>
    <row r="9028" spans="1:6" ht="25.5">
      <c r="A9028" s="2">
        <v>9025</v>
      </c>
      <c r="B9028" s="2" t="s">
        <v>9103</v>
      </c>
      <c r="C9028" s="2" t="str">
        <f>"19348835"</f>
        <v>19348835</v>
      </c>
      <c r="D9028" s="2">
        <v>0.192</v>
      </c>
      <c r="E9028" s="2">
        <v>6</v>
      </c>
      <c r="F9028" s="2" t="s">
        <v>16</v>
      </c>
    </row>
    <row r="9029" spans="1:6" ht="25.5">
      <c r="A9029" s="2">
        <v>9026</v>
      </c>
      <c r="B9029" s="2" t="s">
        <v>9104</v>
      </c>
      <c r="C9029" s="2" t="str">
        <f>"20086490"</f>
        <v>20086490</v>
      </c>
      <c r="D9029" s="2">
        <v>0</v>
      </c>
      <c r="E9029" s="2">
        <v>1</v>
      </c>
      <c r="F9029" s="2" t="s">
        <v>299</v>
      </c>
    </row>
    <row r="9030" spans="1:6" ht="25.5">
      <c r="A9030" s="2">
        <v>9027</v>
      </c>
      <c r="B9030" s="2" t="s">
        <v>9105</v>
      </c>
      <c r="C9030" s="2" t="str">
        <f>"07350120"</f>
        <v>07350120</v>
      </c>
      <c r="D9030" s="2">
        <v>0.14199999999999999</v>
      </c>
      <c r="E9030" s="2">
        <v>7</v>
      </c>
      <c r="F9030" s="2" t="s">
        <v>6</v>
      </c>
    </row>
    <row r="9031" spans="1:6" ht="25.5">
      <c r="A9031" s="2">
        <v>9028</v>
      </c>
      <c r="B9031" s="2" t="s">
        <v>9106</v>
      </c>
      <c r="C9031" s="2" t="str">
        <f>"15391450"</f>
        <v>15391450</v>
      </c>
      <c r="D9031" s="2">
        <v>0.12</v>
      </c>
      <c r="E9031" s="2">
        <v>5</v>
      </c>
      <c r="F9031" s="2" t="s">
        <v>6</v>
      </c>
    </row>
    <row r="9032" spans="1:6" ht="25.5">
      <c r="A9032" s="2">
        <v>9029</v>
      </c>
      <c r="B9032" s="2" t="s">
        <v>9107</v>
      </c>
      <c r="C9032" s="2" t="str">
        <f>"18781292"</f>
        <v>18781292</v>
      </c>
      <c r="D9032" s="2">
        <v>0.161</v>
      </c>
      <c r="E9032" s="2">
        <v>9</v>
      </c>
      <c r="F9032" s="2" t="s">
        <v>75</v>
      </c>
    </row>
    <row r="9033" spans="1:6" ht="25.5">
      <c r="A9033" s="2">
        <v>9030</v>
      </c>
      <c r="B9033" s="2" t="s">
        <v>9108</v>
      </c>
      <c r="C9033" s="2" t="str">
        <f>"10991212"</f>
        <v>10991212</v>
      </c>
      <c r="D9033" s="2">
        <v>0.499</v>
      </c>
      <c r="E9033" s="2">
        <v>28</v>
      </c>
      <c r="F9033" s="2" t="s">
        <v>16</v>
      </c>
    </row>
    <row r="9034" spans="1:6" ht="25.5">
      <c r="A9034" s="2">
        <v>9031</v>
      </c>
      <c r="B9034" s="2" t="s">
        <v>9109</v>
      </c>
      <c r="C9034" s="2" t="str">
        <f>"17460689"</f>
        <v>17460689</v>
      </c>
      <c r="D9034" s="2">
        <v>0.24299999999999999</v>
      </c>
      <c r="E9034" s="2">
        <v>8</v>
      </c>
      <c r="F9034" s="2" t="s">
        <v>16</v>
      </c>
    </row>
    <row r="9035" spans="1:6" ht="25.5">
      <c r="A9035" s="2">
        <v>9032</v>
      </c>
      <c r="B9035" s="2" t="s">
        <v>9110</v>
      </c>
      <c r="C9035" s="2" t="str">
        <f>"20772157"</f>
        <v>20772157</v>
      </c>
      <c r="D9035" s="2">
        <v>0.22600000000000001</v>
      </c>
      <c r="E9035" s="2">
        <v>2</v>
      </c>
      <c r="F9035" s="2" t="s">
        <v>43</v>
      </c>
    </row>
    <row r="9036" spans="1:6" ht="25.5">
      <c r="A9036" s="2">
        <v>9033</v>
      </c>
      <c r="B9036" s="2" t="s">
        <v>9111</v>
      </c>
      <c r="C9036" s="2" t="str">
        <f>"19723539"</f>
        <v>19723539</v>
      </c>
      <c r="D9036" s="2">
        <v>0.10199999999999999</v>
      </c>
      <c r="E9036" s="2">
        <v>3</v>
      </c>
      <c r="F9036" s="2" t="s">
        <v>190</v>
      </c>
    </row>
    <row r="9037" spans="1:6" ht="25.5">
      <c r="A9037" s="2">
        <v>9034</v>
      </c>
      <c r="B9037" s="2" t="s">
        <v>9112</v>
      </c>
      <c r="C9037" s="2" t="str">
        <f>"1365263X"</f>
        <v>1365263X</v>
      </c>
      <c r="D9037" s="2">
        <v>0.60799999999999998</v>
      </c>
      <c r="E9037" s="2">
        <v>33</v>
      </c>
      <c r="F9037" s="2" t="s">
        <v>16</v>
      </c>
    </row>
    <row r="9038" spans="1:6" ht="25.5">
      <c r="A9038" s="2">
        <v>9035</v>
      </c>
      <c r="B9038" s="2" t="s">
        <v>9113</v>
      </c>
      <c r="C9038" s="2" t="str">
        <f>"13576321"</f>
        <v>13576321</v>
      </c>
      <c r="D9038" s="2">
        <v>0.38400000000000001</v>
      </c>
      <c r="E9038" s="2">
        <v>23</v>
      </c>
      <c r="F9038" s="2" t="s">
        <v>16</v>
      </c>
    </row>
    <row r="9039" spans="1:6" ht="25.5">
      <c r="A9039" s="2">
        <v>9036</v>
      </c>
      <c r="B9039" s="2" t="s">
        <v>9114</v>
      </c>
      <c r="C9039" s="2" t="str">
        <f>"17445779"</f>
        <v>17445779</v>
      </c>
      <c r="D9039" s="2">
        <v>0.29399999999999998</v>
      </c>
      <c r="E9039" s="2">
        <v>9</v>
      </c>
      <c r="F9039" s="2" t="s">
        <v>16</v>
      </c>
    </row>
    <row r="9040" spans="1:6" ht="25.5">
      <c r="A9040" s="2">
        <v>9037</v>
      </c>
      <c r="B9040" s="2" t="s">
        <v>9115</v>
      </c>
      <c r="C9040" s="2" t="str">
        <f>"08857458"</f>
        <v>08857458</v>
      </c>
      <c r="D9040" s="2">
        <v>0.44800000000000001</v>
      </c>
      <c r="E9040" s="2">
        <v>21</v>
      </c>
      <c r="F9040" s="2" t="s">
        <v>6</v>
      </c>
    </row>
    <row r="9041" spans="1:6" ht="25.5">
      <c r="A9041" s="2">
        <v>9038</v>
      </c>
      <c r="B9041" s="2" t="s">
        <v>9116</v>
      </c>
      <c r="C9041" s="2" t="str">
        <f>"02180014"</f>
        <v>02180014</v>
      </c>
      <c r="D9041" s="2">
        <v>0.60399999999999998</v>
      </c>
      <c r="E9041" s="2">
        <v>32</v>
      </c>
      <c r="F9041" s="2" t="s">
        <v>543</v>
      </c>
    </row>
    <row r="9042" spans="1:6" ht="25.5">
      <c r="A9042" s="2">
        <v>9039</v>
      </c>
      <c r="B9042" s="2" t="s">
        <v>9117</v>
      </c>
      <c r="C9042" s="2" t="str">
        <f>"1477268X"</f>
        <v>1477268X</v>
      </c>
      <c r="D9042" s="2">
        <v>0.70399999999999996</v>
      </c>
      <c r="E9042" s="2">
        <v>14</v>
      </c>
      <c r="F9042" s="2" t="s">
        <v>16</v>
      </c>
    </row>
    <row r="9043" spans="1:6" ht="25.5">
      <c r="A9043" s="2">
        <v>9040</v>
      </c>
      <c r="B9043" s="2" t="s">
        <v>9118</v>
      </c>
      <c r="C9043" s="2" t="str">
        <f>"19971400"</f>
        <v>19971400</v>
      </c>
      <c r="D9043" s="2">
        <v>0.35499999999999998</v>
      </c>
      <c r="E9043" s="2">
        <v>5</v>
      </c>
      <c r="F9043" s="2" t="s">
        <v>165</v>
      </c>
    </row>
    <row r="9044" spans="1:6" ht="25.5">
      <c r="A9044" s="2">
        <v>9041</v>
      </c>
      <c r="B9044" s="2" t="s">
        <v>9119</v>
      </c>
      <c r="C9044" s="2" t="str">
        <f>"18334105"</f>
        <v>18334105</v>
      </c>
      <c r="D9044" s="2">
        <v>0</v>
      </c>
      <c r="E9044" s="2">
        <v>0</v>
      </c>
      <c r="F9044" s="2" t="s">
        <v>127</v>
      </c>
    </row>
    <row r="9045" spans="1:6" ht="25.5">
      <c r="A9045" s="2">
        <v>9042</v>
      </c>
      <c r="B9045" s="2" t="s">
        <v>9120</v>
      </c>
      <c r="C9045" s="2" t="str">
        <f>"01655876"</f>
        <v>01655876</v>
      </c>
      <c r="D9045" s="2">
        <v>0.72699999999999998</v>
      </c>
      <c r="E9045" s="2">
        <v>47</v>
      </c>
      <c r="F9045" s="2" t="s">
        <v>732</v>
      </c>
    </row>
    <row r="9046" spans="1:6" ht="25.5">
      <c r="A9046" s="2">
        <v>9043</v>
      </c>
      <c r="B9046" s="2" t="s">
        <v>9121</v>
      </c>
      <c r="C9046" s="2" t="str">
        <f>"18714048"</f>
        <v>18714048</v>
      </c>
      <c r="D9046" s="2">
        <v>0.13200000000000001</v>
      </c>
      <c r="E9046" s="2">
        <v>4</v>
      </c>
      <c r="F9046" s="2" t="s">
        <v>732</v>
      </c>
    </row>
    <row r="9047" spans="1:6" ht="25.5">
      <c r="A9047" s="2">
        <v>9044</v>
      </c>
      <c r="B9047" s="2" t="s">
        <v>9122</v>
      </c>
      <c r="C9047" s="2" t="str">
        <f>"15733904"</f>
        <v>15733904</v>
      </c>
      <c r="D9047" s="2">
        <v>0.375</v>
      </c>
      <c r="E9047" s="2">
        <v>21</v>
      </c>
      <c r="F9047" s="2" t="s">
        <v>75</v>
      </c>
    </row>
    <row r="9048" spans="1:6" ht="25.5">
      <c r="A9048" s="2">
        <v>9045</v>
      </c>
      <c r="B9048" s="2" t="s">
        <v>9123</v>
      </c>
      <c r="C9048" s="2" t="str">
        <f>"09731318"</f>
        <v>09731318</v>
      </c>
      <c r="D9048" s="2">
        <v>0.34399999999999997</v>
      </c>
      <c r="E9048" s="2">
        <v>5</v>
      </c>
      <c r="F9048" s="2" t="s">
        <v>488</v>
      </c>
    </row>
    <row r="9049" spans="1:6" ht="25.5">
      <c r="A9049" s="2">
        <v>9046</v>
      </c>
      <c r="B9049" s="2" t="s">
        <v>9124</v>
      </c>
      <c r="C9049" s="2" t="str">
        <f>"01987569"</f>
        <v>01987569</v>
      </c>
      <c r="D9049" s="2">
        <v>0.45800000000000002</v>
      </c>
      <c r="E9049" s="2">
        <v>50</v>
      </c>
      <c r="F9049" s="2" t="s">
        <v>6</v>
      </c>
    </row>
    <row r="9050" spans="1:6" ht="25.5">
      <c r="A9050" s="2">
        <v>9047</v>
      </c>
      <c r="B9050" s="2" t="s">
        <v>9125</v>
      </c>
      <c r="C9050" s="2" t="str">
        <f>"13665863"</f>
        <v>13665863</v>
      </c>
      <c r="D9050" s="2">
        <v>0.33</v>
      </c>
      <c r="E9050" s="2">
        <v>26</v>
      </c>
      <c r="F9050" s="2" t="s">
        <v>16</v>
      </c>
    </row>
    <row r="9051" spans="1:6" ht="25.5">
      <c r="A9051" s="2">
        <v>9048</v>
      </c>
      <c r="B9051" s="2" t="s">
        <v>9126</v>
      </c>
      <c r="C9051" s="2" t="str">
        <f>"09756299"</f>
        <v>09756299</v>
      </c>
      <c r="D9051" s="2">
        <v>0.19600000000000001</v>
      </c>
      <c r="E9051" s="2">
        <v>6</v>
      </c>
      <c r="F9051" s="2" t="s">
        <v>488</v>
      </c>
    </row>
    <row r="9052" spans="1:6" ht="25.5">
      <c r="A9052" s="2">
        <v>9049</v>
      </c>
      <c r="B9052" s="2" t="s">
        <v>9127</v>
      </c>
      <c r="C9052" s="2" t="str">
        <f>"09751556"</f>
        <v>09751556</v>
      </c>
      <c r="D9052" s="2">
        <v>0.151</v>
      </c>
      <c r="E9052" s="2">
        <v>1</v>
      </c>
      <c r="F9052" s="2" t="s">
        <v>127</v>
      </c>
    </row>
    <row r="9053" spans="1:6" ht="25.5">
      <c r="A9053" s="2">
        <v>9050</v>
      </c>
      <c r="B9053" s="2" t="s">
        <v>9128</v>
      </c>
      <c r="C9053" s="2" t="str">
        <f>"17506123"</f>
        <v>17506123</v>
      </c>
      <c r="D9053" s="2">
        <v>0.247</v>
      </c>
      <c r="E9053" s="2">
        <v>4</v>
      </c>
      <c r="F9053" s="2" t="s">
        <v>16</v>
      </c>
    </row>
    <row r="9054" spans="1:6" ht="25.5">
      <c r="A9054" s="2">
        <v>9051</v>
      </c>
      <c r="B9054" s="2" t="s">
        <v>9129</v>
      </c>
      <c r="C9054" s="2" t="str">
        <f>"10924221"</f>
        <v>10924221</v>
      </c>
      <c r="D9054" s="2">
        <v>0.10199999999999999</v>
      </c>
      <c r="E9054" s="2">
        <v>4</v>
      </c>
      <c r="F9054" s="2" t="s">
        <v>6</v>
      </c>
    </row>
    <row r="9055" spans="1:6" ht="25.5">
      <c r="A9055" s="2">
        <v>9052</v>
      </c>
      <c r="B9055" s="2" t="s">
        <v>9130</v>
      </c>
      <c r="C9055" s="2" t="str">
        <f>"09759506"</f>
        <v>09759506</v>
      </c>
      <c r="D9055" s="2">
        <v>0.113</v>
      </c>
      <c r="E9055" s="2">
        <v>0</v>
      </c>
      <c r="F9055" s="2" t="s">
        <v>488</v>
      </c>
    </row>
    <row r="9056" spans="1:6" ht="25.5">
      <c r="A9056" s="2">
        <v>9053</v>
      </c>
      <c r="B9056" s="2" t="s">
        <v>9131</v>
      </c>
      <c r="C9056" s="2" t="str">
        <f>"0976044X"</f>
        <v>0976044X</v>
      </c>
      <c r="D9056" s="2">
        <v>0.23</v>
      </c>
      <c r="E9056" s="2">
        <v>8</v>
      </c>
      <c r="F9056" s="2" t="s">
        <v>488</v>
      </c>
    </row>
    <row r="9057" spans="1:6" ht="25.5">
      <c r="A9057" s="2">
        <v>9054</v>
      </c>
      <c r="B9057" s="2" t="s">
        <v>9132</v>
      </c>
      <c r="C9057" s="2" t="str">
        <f>"03785173"</f>
        <v>03785173</v>
      </c>
      <c r="D9057" s="2">
        <v>1.3109999999999999</v>
      </c>
      <c r="E9057" s="2">
        <v>112</v>
      </c>
      <c r="F9057" s="2" t="s">
        <v>75</v>
      </c>
    </row>
    <row r="9058" spans="1:6" ht="25.5">
      <c r="A9058" s="2">
        <v>9055</v>
      </c>
      <c r="B9058" s="2" t="s">
        <v>9133</v>
      </c>
      <c r="C9058" s="2" t="str">
        <f>"09754873"</f>
        <v>09754873</v>
      </c>
      <c r="D9058" s="2">
        <v>0.13700000000000001</v>
      </c>
      <c r="E9058" s="2">
        <v>1</v>
      </c>
      <c r="F9058" s="2" t="s">
        <v>488</v>
      </c>
    </row>
    <row r="9059" spans="1:6" ht="25.5">
      <c r="A9059" s="2">
        <v>9056</v>
      </c>
      <c r="B9059" s="2" t="s">
        <v>9134</v>
      </c>
      <c r="C9059" s="2" t="str">
        <f>"18125700"</f>
        <v>18125700</v>
      </c>
      <c r="D9059" s="2">
        <v>0.505</v>
      </c>
      <c r="E9059" s="2">
        <v>16</v>
      </c>
      <c r="F9059" s="2" t="s">
        <v>43</v>
      </c>
    </row>
    <row r="9060" spans="1:6" ht="25.5">
      <c r="A9060" s="2">
        <v>9057</v>
      </c>
      <c r="B9060" s="2" t="s">
        <v>9135</v>
      </c>
      <c r="C9060" s="2" t="str">
        <f>"09751491"</f>
        <v>09751491</v>
      </c>
      <c r="D9060" s="2">
        <v>0.49199999999999999</v>
      </c>
      <c r="E9060" s="2">
        <v>11</v>
      </c>
      <c r="F9060" s="2" t="s">
        <v>488</v>
      </c>
    </row>
    <row r="9061" spans="1:6" ht="25.5">
      <c r="A9061" s="2">
        <v>9058</v>
      </c>
      <c r="B9061" s="2" t="s">
        <v>9136</v>
      </c>
      <c r="C9061" s="2" t="str">
        <f>"09617671"</f>
        <v>09617671</v>
      </c>
      <c r="D9061" s="2">
        <v>0.25900000000000001</v>
      </c>
      <c r="E9061" s="2">
        <v>23</v>
      </c>
      <c r="F9061" s="2" t="s">
        <v>16</v>
      </c>
    </row>
    <row r="9062" spans="1:6" ht="25.5">
      <c r="A9062" s="2">
        <v>9059</v>
      </c>
      <c r="B9062" s="2" t="s">
        <v>9137</v>
      </c>
      <c r="C9062" s="2" t="str">
        <f>"09744304"</f>
        <v>09744304</v>
      </c>
      <c r="D9062" s="2">
        <v>0.314</v>
      </c>
      <c r="E9062" s="2">
        <v>11</v>
      </c>
      <c r="F9062" s="2" t="s">
        <v>488</v>
      </c>
    </row>
    <row r="9063" spans="1:6" ht="25.5">
      <c r="A9063" s="2">
        <v>9060</v>
      </c>
      <c r="B9063" s="2" t="s">
        <v>9138</v>
      </c>
      <c r="C9063" s="2" t="str">
        <f>"14664542"</f>
        <v>14664542</v>
      </c>
      <c r="D9063" s="2">
        <v>0.121</v>
      </c>
      <c r="E9063" s="2">
        <v>8</v>
      </c>
      <c r="F9063" s="2" t="s">
        <v>16</v>
      </c>
    </row>
    <row r="9064" spans="1:6" ht="25.5">
      <c r="A9064" s="2">
        <v>9061</v>
      </c>
      <c r="B9064" s="2" t="s">
        <v>9139</v>
      </c>
      <c r="C9064" s="2" t="str">
        <f>"1687529X"</f>
        <v>1687529X</v>
      </c>
      <c r="D9064" s="2">
        <v>0.29399999999999998</v>
      </c>
      <c r="E9064" s="2">
        <v>21</v>
      </c>
      <c r="F9064" s="2" t="s">
        <v>6</v>
      </c>
    </row>
    <row r="9065" spans="1:6" ht="25.5">
      <c r="A9065" s="2">
        <v>9062</v>
      </c>
      <c r="B9065" s="2" t="s">
        <v>9140</v>
      </c>
      <c r="C9065" s="2" t="str">
        <f>"09600035"</f>
        <v>09600035</v>
      </c>
      <c r="D9065" s="2">
        <v>1.0640000000000001</v>
      </c>
      <c r="E9065" s="2">
        <v>28</v>
      </c>
      <c r="F9065" s="2" t="s">
        <v>16</v>
      </c>
    </row>
    <row r="9066" spans="1:6" ht="25.5">
      <c r="A9066" s="2">
        <v>9063</v>
      </c>
      <c r="B9066" s="2" t="s">
        <v>9141</v>
      </c>
      <c r="C9066" s="2" t="str">
        <f>"20426550"</f>
        <v>20426550</v>
      </c>
      <c r="D9066" s="2">
        <v>0.19500000000000001</v>
      </c>
      <c r="E9066" s="2">
        <v>2</v>
      </c>
      <c r="F9066" s="2" t="s">
        <v>16</v>
      </c>
    </row>
    <row r="9067" spans="1:6" ht="25.5">
      <c r="A9067" s="2">
        <v>9064</v>
      </c>
      <c r="B9067" s="2" t="s">
        <v>9142</v>
      </c>
      <c r="C9067" s="2" t="str">
        <f>"19921950"</f>
        <v>19921950</v>
      </c>
      <c r="D9067" s="2">
        <v>0.26400000000000001</v>
      </c>
      <c r="E9067" s="2">
        <v>13</v>
      </c>
      <c r="F9067" s="2" t="s">
        <v>6</v>
      </c>
    </row>
    <row r="9068" spans="1:6" ht="25.5">
      <c r="A9068" s="2">
        <v>9065</v>
      </c>
      <c r="B9068" s="2" t="s">
        <v>9143</v>
      </c>
      <c r="C9068" s="2" t="str">
        <f>"19448171"</f>
        <v>19448171</v>
      </c>
      <c r="D9068" s="2">
        <v>0.66</v>
      </c>
      <c r="E9068" s="2">
        <v>7</v>
      </c>
      <c r="F9068" s="2" t="s">
        <v>6</v>
      </c>
    </row>
    <row r="9069" spans="1:6" ht="25.5">
      <c r="A9069" s="2">
        <v>9066</v>
      </c>
      <c r="B9069" s="2" t="s">
        <v>9144</v>
      </c>
      <c r="C9069" s="2" t="str">
        <f>"09750185"</f>
        <v>09750185</v>
      </c>
      <c r="D9069" s="2">
        <v>0.17</v>
      </c>
      <c r="E9069" s="2">
        <v>5</v>
      </c>
      <c r="F9069" s="2" t="s">
        <v>488</v>
      </c>
    </row>
    <row r="9070" spans="1:6" ht="25.5">
      <c r="A9070" s="2">
        <v>9067</v>
      </c>
      <c r="B9070" s="2" t="s">
        <v>9145</v>
      </c>
      <c r="C9070" s="2" t="str">
        <f>"15497879"</f>
        <v>15497879</v>
      </c>
      <c r="D9070" s="2">
        <v>0.54800000000000004</v>
      </c>
      <c r="E9070" s="2">
        <v>27</v>
      </c>
      <c r="F9070" s="2" t="s">
        <v>16</v>
      </c>
    </row>
    <row r="9071" spans="1:6" ht="25.5">
      <c r="A9071" s="2">
        <v>9068</v>
      </c>
      <c r="B9071" s="2" t="s">
        <v>9146</v>
      </c>
      <c r="C9071" s="2" t="str">
        <f>"20370164"</f>
        <v>20370164</v>
      </c>
      <c r="D9071" s="2">
        <v>0.24</v>
      </c>
      <c r="E9071" s="2">
        <v>4</v>
      </c>
      <c r="F9071" s="2" t="s">
        <v>190</v>
      </c>
    </row>
    <row r="9072" spans="1:6" ht="25.5">
      <c r="A9072" s="2">
        <v>9069</v>
      </c>
      <c r="B9072" s="2" t="s">
        <v>9147</v>
      </c>
      <c r="C9072" s="2" t="str">
        <f>"16875389"</f>
        <v>16875389</v>
      </c>
      <c r="D9072" s="2">
        <v>0.50600000000000001</v>
      </c>
      <c r="E9072" s="2">
        <v>14</v>
      </c>
      <c r="F9072" s="2" t="s">
        <v>6</v>
      </c>
    </row>
    <row r="9073" spans="1:6" ht="25.5">
      <c r="A9073" s="2">
        <v>9070</v>
      </c>
      <c r="B9073" s="2" t="s">
        <v>9148</v>
      </c>
      <c r="C9073" s="2" t="str">
        <f>"17356814"</f>
        <v>17356814</v>
      </c>
      <c r="D9073" s="2">
        <v>0.62</v>
      </c>
      <c r="E9073" s="2">
        <v>9</v>
      </c>
      <c r="F9073" s="2" t="s">
        <v>299</v>
      </c>
    </row>
    <row r="9074" spans="1:6" ht="25.5">
      <c r="A9074" s="2">
        <v>9071</v>
      </c>
      <c r="B9074" s="2" t="s">
        <v>9149</v>
      </c>
      <c r="C9074" s="2" t="str">
        <f>"15375315"</f>
        <v>15375315</v>
      </c>
      <c r="D9074" s="2">
        <v>0.71899999999999997</v>
      </c>
      <c r="E9074" s="2">
        <v>58</v>
      </c>
      <c r="F9074" s="2" t="s">
        <v>6</v>
      </c>
    </row>
    <row r="9075" spans="1:6" ht="25.5">
      <c r="A9075" s="2">
        <v>9072</v>
      </c>
      <c r="B9075" s="2" t="s">
        <v>9150</v>
      </c>
      <c r="C9075" s="2" t="str">
        <f>"18818692"</f>
        <v>18818692</v>
      </c>
      <c r="D9075" s="2">
        <v>0.16800000000000001</v>
      </c>
      <c r="E9075" s="2">
        <v>2</v>
      </c>
      <c r="F9075" s="2" t="s">
        <v>131</v>
      </c>
    </row>
    <row r="9076" spans="1:6" ht="25.5">
      <c r="A9076" s="2">
        <v>9073</v>
      </c>
      <c r="B9076" s="2" t="s">
        <v>9151</v>
      </c>
      <c r="C9076" s="2" t="str">
        <f>"07496419"</f>
        <v>07496419</v>
      </c>
      <c r="D9076" s="2">
        <v>3.6749999999999998</v>
      </c>
      <c r="E9076" s="2">
        <v>75</v>
      </c>
      <c r="F9076" s="2" t="s">
        <v>16</v>
      </c>
    </row>
    <row r="9077" spans="1:6" ht="25.5">
      <c r="A9077" s="2">
        <v>9074</v>
      </c>
      <c r="B9077" s="2" t="s">
        <v>9152</v>
      </c>
      <c r="C9077" s="2" t="str">
        <f>"0975072X"</f>
        <v>0975072X</v>
      </c>
      <c r="D9077" s="2">
        <v>0.12</v>
      </c>
      <c r="E9077" s="2">
        <v>1</v>
      </c>
      <c r="F9077" s="2" t="s">
        <v>488</v>
      </c>
    </row>
    <row r="9078" spans="1:6" ht="25.5">
      <c r="A9078" s="2">
        <v>9075</v>
      </c>
      <c r="B9078" s="2" t="s">
        <v>9153</v>
      </c>
      <c r="C9078" s="2" t="str">
        <f>"18725473"</f>
        <v>18725473</v>
      </c>
      <c r="D9078" s="2">
        <v>0.13300000000000001</v>
      </c>
      <c r="E9078" s="2">
        <v>1</v>
      </c>
      <c r="F9078" s="2" t="s">
        <v>75</v>
      </c>
    </row>
    <row r="9079" spans="1:6" ht="25.5">
      <c r="A9079" s="2">
        <v>9076</v>
      </c>
      <c r="B9079" s="2" t="s">
        <v>9154</v>
      </c>
      <c r="C9079" s="2" t="str">
        <f>"15556824"</f>
        <v>15556824</v>
      </c>
      <c r="D9079" s="2">
        <v>0.23200000000000001</v>
      </c>
      <c r="E9079" s="2">
        <v>16</v>
      </c>
      <c r="F9079" s="2" t="s">
        <v>6</v>
      </c>
    </row>
    <row r="9080" spans="1:6" ht="25.5">
      <c r="A9080" s="2">
        <v>9077</v>
      </c>
      <c r="B9080" s="2" t="s">
        <v>9155</v>
      </c>
      <c r="C9080" s="2" t="str">
        <f>"15733416"</f>
        <v>15733416</v>
      </c>
      <c r="D9080" s="2">
        <v>0.13300000000000001</v>
      </c>
      <c r="E9080" s="2">
        <v>9</v>
      </c>
      <c r="F9080" s="2" t="s">
        <v>6</v>
      </c>
    </row>
    <row r="9081" spans="1:6" ht="25.5">
      <c r="A9081" s="2">
        <v>9078</v>
      </c>
      <c r="B9081" s="2" t="s">
        <v>9156</v>
      </c>
      <c r="C9081" s="2" t="str">
        <f>"15635341"</f>
        <v>15635341</v>
      </c>
      <c r="D9081" s="2">
        <v>0.33100000000000002</v>
      </c>
      <c r="E9081" s="2">
        <v>19</v>
      </c>
      <c r="F9081" s="2" t="s">
        <v>16</v>
      </c>
    </row>
    <row r="9082" spans="1:6" ht="25.5">
      <c r="A9082" s="2">
        <v>9079</v>
      </c>
      <c r="B9082" s="2" t="s">
        <v>9157</v>
      </c>
      <c r="C9082" s="2" t="str">
        <f>"1563535X"</f>
        <v>1563535X</v>
      </c>
      <c r="D9082" s="2">
        <v>0.61099999999999999</v>
      </c>
      <c r="E9082" s="2">
        <v>16</v>
      </c>
      <c r="F9082" s="2" t="s">
        <v>16</v>
      </c>
    </row>
    <row r="9083" spans="1:6" ht="25.5">
      <c r="A9083" s="2">
        <v>9080</v>
      </c>
      <c r="B9083" s="2" t="s">
        <v>9158</v>
      </c>
      <c r="C9083" s="2" t="str">
        <f>"16879430"</f>
        <v>16879430</v>
      </c>
      <c r="D9083" s="2">
        <v>0</v>
      </c>
      <c r="E9083" s="2">
        <v>1</v>
      </c>
      <c r="F9083" s="2" t="s">
        <v>6</v>
      </c>
    </row>
    <row r="9084" spans="1:6" ht="25.5">
      <c r="A9084" s="2">
        <v>9081</v>
      </c>
      <c r="B9084" s="2" t="s">
        <v>9159</v>
      </c>
      <c r="C9084" s="2" t="str">
        <f>"17447569"</f>
        <v>17447569</v>
      </c>
      <c r="D9084" s="2">
        <v>0.17</v>
      </c>
      <c r="E9084" s="2">
        <v>2</v>
      </c>
      <c r="F9084" s="2" t="s">
        <v>16</v>
      </c>
    </row>
    <row r="9085" spans="1:6" ht="25.5">
      <c r="A9085" s="2">
        <v>9082</v>
      </c>
      <c r="B9085" s="2" t="s">
        <v>9160</v>
      </c>
      <c r="C9085" s="2" t="str">
        <f>"16828356"</f>
        <v>16828356</v>
      </c>
      <c r="D9085" s="2">
        <v>0.33700000000000002</v>
      </c>
      <c r="E9085" s="2">
        <v>16</v>
      </c>
      <c r="F9085" s="2" t="s">
        <v>43</v>
      </c>
    </row>
    <row r="9086" spans="1:6" ht="25.5">
      <c r="A9086" s="2">
        <v>9083</v>
      </c>
      <c r="B9086" s="2" t="s">
        <v>9161</v>
      </c>
      <c r="C9086" s="2" t="str">
        <f>"08887462"</f>
        <v>08887462</v>
      </c>
      <c r="D9086" s="2">
        <v>0.70599999999999996</v>
      </c>
      <c r="E9086" s="2">
        <v>18</v>
      </c>
      <c r="F9086" s="2" t="s">
        <v>6</v>
      </c>
    </row>
    <row r="9087" spans="1:6" ht="25.5">
      <c r="A9087" s="2">
        <v>9084</v>
      </c>
      <c r="B9087" s="2" t="s">
        <v>9162</v>
      </c>
      <c r="C9087" s="2" t="str">
        <f>"10783466"</f>
        <v>10783466</v>
      </c>
      <c r="D9087" s="2">
        <v>0.14199999999999999</v>
      </c>
      <c r="E9087" s="2">
        <v>11</v>
      </c>
      <c r="F9087" s="2" t="s">
        <v>64</v>
      </c>
    </row>
    <row r="9088" spans="1:6" ht="25.5">
      <c r="A9088" s="2">
        <v>9085</v>
      </c>
      <c r="B9088" s="2" t="s">
        <v>9163</v>
      </c>
      <c r="C9088" s="2" t="str">
        <f>"17566398"</f>
        <v>17566398</v>
      </c>
      <c r="D9088" s="2">
        <v>0.20399999999999999</v>
      </c>
      <c r="E9088" s="2">
        <v>2</v>
      </c>
      <c r="F9088" s="2" t="s">
        <v>31</v>
      </c>
    </row>
    <row r="9089" spans="1:6" ht="25.5">
      <c r="A9089" s="2">
        <v>9086</v>
      </c>
      <c r="B9089" s="2" t="s">
        <v>9164</v>
      </c>
      <c r="C9089" s="2" t="str">
        <f>"14306921"</f>
        <v>14306921</v>
      </c>
      <c r="D9089" s="2">
        <v>0.154</v>
      </c>
      <c r="E9089" s="2">
        <v>4</v>
      </c>
      <c r="F9089" s="2" t="s">
        <v>12</v>
      </c>
    </row>
    <row r="9090" spans="1:6" ht="25.5">
      <c r="A9090" s="2">
        <v>9087</v>
      </c>
      <c r="B9090" s="2" t="s">
        <v>9165</v>
      </c>
      <c r="C9090" s="2" t="str">
        <f>"12298557"</f>
        <v>12298557</v>
      </c>
      <c r="D9090" s="2">
        <v>0.61099999999999999</v>
      </c>
      <c r="E9090" s="2">
        <v>13</v>
      </c>
      <c r="F9090" s="2" t="s">
        <v>274</v>
      </c>
    </row>
    <row r="9091" spans="1:6" ht="25.5">
      <c r="A9091" s="2">
        <v>9088</v>
      </c>
      <c r="B9091" s="2" t="s">
        <v>9166</v>
      </c>
      <c r="C9091" s="2" t="str">
        <f>"19401612"</f>
        <v>19401612</v>
      </c>
      <c r="D9091" s="2">
        <v>1.9930000000000001</v>
      </c>
      <c r="E9091" s="2">
        <v>26</v>
      </c>
      <c r="F9091" s="2" t="s">
        <v>6</v>
      </c>
    </row>
    <row r="9092" spans="1:6" ht="25.5">
      <c r="A9092" s="2">
        <v>9089</v>
      </c>
      <c r="B9092" s="2" t="s">
        <v>9167</v>
      </c>
      <c r="C9092" s="2" t="str">
        <f>"03080161"</f>
        <v>03080161</v>
      </c>
      <c r="D9092" s="2">
        <v>0.86899999999999999</v>
      </c>
      <c r="E9092" s="2">
        <v>39</v>
      </c>
      <c r="F9092" s="2" t="s">
        <v>75</v>
      </c>
    </row>
    <row r="9093" spans="1:6" ht="25.5">
      <c r="A9093" s="2">
        <v>9090</v>
      </c>
      <c r="B9093" s="2" t="s">
        <v>9168</v>
      </c>
      <c r="C9093" s="2" t="str">
        <f>"20088213"</f>
        <v>20088213</v>
      </c>
      <c r="D9093" s="2">
        <v>0.184</v>
      </c>
      <c r="E9093" s="2">
        <v>4</v>
      </c>
      <c r="F9093" s="2" t="s">
        <v>299</v>
      </c>
    </row>
    <row r="9094" spans="1:6" ht="25.5">
      <c r="A9094" s="2">
        <v>9091</v>
      </c>
      <c r="B9094" s="2" t="s">
        <v>9169</v>
      </c>
      <c r="C9094" s="2" t="str">
        <f>"15738604"</f>
        <v>15738604</v>
      </c>
      <c r="D9094" s="2">
        <v>0.80300000000000005</v>
      </c>
      <c r="E9094" s="2">
        <v>45</v>
      </c>
      <c r="F9094" s="2" t="s">
        <v>6</v>
      </c>
    </row>
    <row r="9095" spans="1:6" ht="25.5">
      <c r="A9095" s="2">
        <v>9092</v>
      </c>
      <c r="B9095" s="2" t="s">
        <v>9170</v>
      </c>
      <c r="C9095" s="2" t="str">
        <f>"17536243"</f>
        <v>17536243</v>
      </c>
      <c r="D9095" s="2">
        <v>0.106</v>
      </c>
      <c r="E9095" s="2">
        <v>1</v>
      </c>
      <c r="F9095" s="2" t="s">
        <v>16</v>
      </c>
    </row>
    <row r="9096" spans="1:6" ht="25.5">
      <c r="A9096" s="2">
        <v>9093</v>
      </c>
      <c r="B9096" s="2" t="s">
        <v>9171</v>
      </c>
      <c r="C9096" s="2" t="str">
        <f>"17418178"</f>
        <v>17418178</v>
      </c>
      <c r="D9096" s="2">
        <v>0.21</v>
      </c>
      <c r="E9096" s="2">
        <v>9</v>
      </c>
      <c r="F9096" s="2" t="s">
        <v>16</v>
      </c>
    </row>
    <row r="9097" spans="1:6" ht="25.5">
      <c r="A9097" s="2">
        <v>9094</v>
      </c>
      <c r="B9097" s="2" t="s">
        <v>9172</v>
      </c>
      <c r="C9097" s="2" t="str">
        <f>"09255273"</f>
        <v>09255273</v>
      </c>
      <c r="D9097" s="2">
        <v>2.02</v>
      </c>
      <c r="E9097" s="2">
        <v>77</v>
      </c>
      <c r="F9097" s="2" t="s">
        <v>75</v>
      </c>
    </row>
    <row r="9098" spans="1:6" ht="25.5">
      <c r="A9098" s="2">
        <v>9095</v>
      </c>
      <c r="B9098" s="2" t="s">
        <v>9173</v>
      </c>
      <c r="C9098" s="2" t="str">
        <f>"1366588X"</f>
        <v>1366588X</v>
      </c>
      <c r="D9098" s="2">
        <v>1.3029999999999999</v>
      </c>
      <c r="E9098" s="2">
        <v>67</v>
      </c>
      <c r="F9098" s="2" t="s">
        <v>16</v>
      </c>
    </row>
    <row r="9099" spans="1:6" ht="25.5">
      <c r="A9099" s="2">
        <v>9096</v>
      </c>
      <c r="B9099" s="2" t="s">
        <v>9174</v>
      </c>
      <c r="C9099" s="2" t="str">
        <f>"17410401"</f>
        <v>17410401</v>
      </c>
      <c r="D9099" s="2">
        <v>0.39200000000000002</v>
      </c>
      <c r="E9099" s="2">
        <v>19</v>
      </c>
      <c r="F9099" s="2" t="s">
        <v>16</v>
      </c>
    </row>
    <row r="9100" spans="1:6" ht="25.5">
      <c r="A9100" s="2">
        <v>9097</v>
      </c>
      <c r="B9100" s="2" t="s">
        <v>9175</v>
      </c>
      <c r="C9100" s="2" t="str">
        <f>"17466482"</f>
        <v>17466482</v>
      </c>
      <c r="D9100" s="2">
        <v>0.29399999999999998</v>
      </c>
      <c r="E9100" s="2">
        <v>10</v>
      </c>
      <c r="F9100" s="2" t="s">
        <v>16</v>
      </c>
    </row>
    <row r="9101" spans="1:6" ht="25.5">
      <c r="A9101" s="2">
        <v>9098</v>
      </c>
      <c r="B9101" s="2" t="s">
        <v>9176</v>
      </c>
      <c r="C9101" s="2" t="str">
        <f>"17435129"</f>
        <v>17435129</v>
      </c>
      <c r="D9101" s="2">
        <v>0.23799999999999999</v>
      </c>
      <c r="E9101" s="2">
        <v>9</v>
      </c>
      <c r="F9101" s="2" t="s">
        <v>16</v>
      </c>
    </row>
    <row r="9102" spans="1:6" ht="25.5">
      <c r="A9102" s="2">
        <v>9099</v>
      </c>
      <c r="B9102" s="2" t="s">
        <v>9177</v>
      </c>
      <c r="C9102" s="2" t="str">
        <f>"02637863"</f>
        <v>02637863</v>
      </c>
      <c r="D9102" s="2">
        <v>0.99</v>
      </c>
      <c r="E9102" s="2">
        <v>58</v>
      </c>
      <c r="F9102" s="2" t="s">
        <v>75</v>
      </c>
    </row>
    <row r="9103" spans="1:6" ht="25.5">
      <c r="A9103" s="2">
        <v>9100</v>
      </c>
      <c r="B9103" s="2" t="s">
        <v>9178</v>
      </c>
      <c r="C9103" s="2" t="str">
        <f>"11399791"</f>
        <v>11399791</v>
      </c>
      <c r="D9103" s="2">
        <v>0.52900000000000003</v>
      </c>
      <c r="E9103" s="2">
        <v>58</v>
      </c>
      <c r="F9103" s="2" t="s">
        <v>6</v>
      </c>
    </row>
    <row r="9104" spans="1:6" ht="25.5">
      <c r="A9104" s="2">
        <v>9101</v>
      </c>
      <c r="B9104" s="2" t="s">
        <v>9179</v>
      </c>
      <c r="C9104" s="2" t="str">
        <f>"14711788"</f>
        <v>14711788</v>
      </c>
      <c r="D9104" s="2">
        <v>0.20100000000000001</v>
      </c>
      <c r="E9104" s="2">
        <v>22</v>
      </c>
      <c r="F9104" s="2" t="s">
        <v>16</v>
      </c>
    </row>
    <row r="9105" spans="1:6" ht="25.5">
      <c r="A9105" s="2">
        <v>9102</v>
      </c>
      <c r="B9105" s="2" t="s">
        <v>9180</v>
      </c>
      <c r="C9105" s="2" t="str">
        <f>"15413527"</f>
        <v>15413527</v>
      </c>
      <c r="D9105" s="2">
        <v>0.46600000000000003</v>
      </c>
      <c r="E9105" s="2">
        <v>35</v>
      </c>
      <c r="F9105" s="2" t="s">
        <v>6</v>
      </c>
    </row>
    <row r="9106" spans="1:6" ht="25.5">
      <c r="A9106" s="2">
        <v>9103</v>
      </c>
      <c r="B9106" s="2" t="s">
        <v>9181</v>
      </c>
      <c r="C9106" s="2" t="str">
        <f>"00207578"</f>
        <v>00207578</v>
      </c>
      <c r="D9106" s="2">
        <v>0.96699999999999997</v>
      </c>
      <c r="E9106" s="2">
        <v>35</v>
      </c>
      <c r="F9106" s="2" t="s">
        <v>16</v>
      </c>
    </row>
    <row r="9107" spans="1:6" ht="25.5">
      <c r="A9107" s="2">
        <v>9104</v>
      </c>
      <c r="B9107" s="2" t="s">
        <v>9182</v>
      </c>
      <c r="C9107" s="2" t="str">
        <f>"19409141"</f>
        <v>19409141</v>
      </c>
      <c r="D9107" s="2">
        <v>0.25700000000000001</v>
      </c>
      <c r="E9107" s="2">
        <v>2</v>
      </c>
      <c r="F9107" s="2" t="s">
        <v>6</v>
      </c>
    </row>
    <row r="9108" spans="1:6" ht="25.5">
      <c r="A9108" s="2">
        <v>9105</v>
      </c>
      <c r="B9108" s="2" t="s">
        <v>9183</v>
      </c>
      <c r="C9108" s="2" t="str">
        <f>"20112084"</f>
        <v>20112084</v>
      </c>
      <c r="D9108" s="2">
        <v>0.12</v>
      </c>
      <c r="E9108" s="2">
        <v>1</v>
      </c>
      <c r="F9108" s="2" t="s">
        <v>184</v>
      </c>
    </row>
    <row r="9109" spans="1:6" ht="25.5">
      <c r="A9109" s="2">
        <v>9106</v>
      </c>
      <c r="B9109" s="2" t="s">
        <v>9184</v>
      </c>
      <c r="C9109" s="2" t="str">
        <f>"1464066X"</f>
        <v>1464066X</v>
      </c>
      <c r="D9109" s="2">
        <v>0.28799999999999998</v>
      </c>
      <c r="E9109" s="2">
        <v>31</v>
      </c>
      <c r="F9109" s="2" t="s">
        <v>16</v>
      </c>
    </row>
    <row r="9110" spans="1:6" ht="25.5">
      <c r="A9110" s="2">
        <v>9107</v>
      </c>
      <c r="B9110" s="2" t="s">
        <v>9185</v>
      </c>
      <c r="C9110" s="2" t="str">
        <f>"15777057"</f>
        <v>15777057</v>
      </c>
      <c r="D9110" s="2">
        <v>0.44800000000000001</v>
      </c>
      <c r="E9110" s="2">
        <v>15</v>
      </c>
      <c r="F9110" s="2" t="s">
        <v>351</v>
      </c>
    </row>
    <row r="9111" spans="1:6" ht="25.5">
      <c r="A9111" s="2">
        <v>9108</v>
      </c>
      <c r="B9111" s="2" t="s">
        <v>9186</v>
      </c>
      <c r="C9111" s="2" t="str">
        <f>"01678760"</f>
        <v>01678760</v>
      </c>
      <c r="D9111" s="2">
        <v>0.96199999999999997</v>
      </c>
      <c r="E9111" s="2">
        <v>72</v>
      </c>
      <c r="F9111" s="2" t="s">
        <v>75</v>
      </c>
    </row>
    <row r="9112" spans="1:6" ht="25.5">
      <c r="A9112" s="2">
        <v>9109</v>
      </c>
      <c r="B9112" s="2" t="s">
        <v>9187</v>
      </c>
      <c r="C9112" s="2" t="str">
        <f>"14757192"</f>
        <v>14757192</v>
      </c>
      <c r="D9112" s="2">
        <v>0.11</v>
      </c>
      <c r="E9112" s="2">
        <v>2</v>
      </c>
      <c r="F9112" s="2" t="s">
        <v>16</v>
      </c>
    </row>
    <row r="9113" spans="1:6" ht="25.5">
      <c r="A9113" s="2">
        <v>9110</v>
      </c>
      <c r="B9113" s="2" t="s">
        <v>9188</v>
      </c>
      <c r="C9113" s="2" t="str">
        <f>"15324265"</f>
        <v>15324265</v>
      </c>
      <c r="D9113" s="2">
        <v>0.32300000000000001</v>
      </c>
      <c r="E9113" s="2">
        <v>11</v>
      </c>
      <c r="F9113" s="2" t="s">
        <v>16</v>
      </c>
    </row>
    <row r="9114" spans="1:6" ht="25.5">
      <c r="A9114" s="2">
        <v>9111</v>
      </c>
      <c r="B9114" s="2" t="s">
        <v>9189</v>
      </c>
      <c r="C9114" s="2" t="str">
        <f>"16618564"</f>
        <v>16618564</v>
      </c>
      <c r="D9114" s="2">
        <v>0.83399999999999996</v>
      </c>
      <c r="E9114" s="2">
        <v>27</v>
      </c>
      <c r="F9114" s="2" t="s">
        <v>31</v>
      </c>
    </row>
    <row r="9115" spans="1:6" ht="25.5">
      <c r="A9115" s="2">
        <v>9112</v>
      </c>
      <c r="B9115" s="2" t="s">
        <v>9190</v>
      </c>
      <c r="C9115" s="2" t="str">
        <f>"14716909"</f>
        <v>14716909</v>
      </c>
      <c r="D9115" s="2">
        <v>0.61599999999999999</v>
      </c>
      <c r="E9115" s="2">
        <v>22</v>
      </c>
      <c r="F9115" s="2" t="s">
        <v>16</v>
      </c>
    </row>
    <row r="9116" spans="1:6" ht="25.5">
      <c r="A9116" s="2">
        <v>9113</v>
      </c>
      <c r="B9116" s="2" t="s">
        <v>9191</v>
      </c>
      <c r="C9116" s="2" t="str">
        <f>"17400619"</f>
        <v>17400619</v>
      </c>
      <c r="D9116" s="2">
        <v>0.14499999999999999</v>
      </c>
      <c r="E9116" s="2">
        <v>5</v>
      </c>
      <c r="F9116" s="2" t="s">
        <v>16</v>
      </c>
    </row>
    <row r="9117" spans="1:6" ht="25.5">
      <c r="A9117" s="2">
        <v>9114</v>
      </c>
      <c r="B9117" s="2" t="s">
        <v>9192</v>
      </c>
      <c r="C9117" s="2" t="str">
        <f>"09513558"</f>
        <v>09513558</v>
      </c>
      <c r="D9117" s="2">
        <v>0.34799999999999998</v>
      </c>
      <c r="E9117" s="2">
        <v>24</v>
      </c>
      <c r="F9117" s="2" t="s">
        <v>16</v>
      </c>
    </row>
    <row r="9118" spans="1:6" ht="25.5">
      <c r="A9118" s="2">
        <v>9115</v>
      </c>
      <c r="B9118" s="2" t="s">
        <v>9193</v>
      </c>
      <c r="C9118" s="2" t="str">
        <f>"17411041"</f>
        <v>17411041</v>
      </c>
      <c r="D9118" s="2">
        <v>0.152</v>
      </c>
      <c r="E9118" s="2">
        <v>1</v>
      </c>
      <c r="F9118" s="2" t="s">
        <v>16</v>
      </c>
    </row>
    <row r="9119" spans="1:6" ht="25.5">
      <c r="A9119" s="2">
        <v>9116</v>
      </c>
      <c r="B9119" s="2" t="s">
        <v>9194</v>
      </c>
      <c r="C9119" s="2" t="str">
        <f>"13118080"</f>
        <v>13118080</v>
      </c>
      <c r="D9119" s="2">
        <v>0.186</v>
      </c>
      <c r="E9119" s="2">
        <v>7</v>
      </c>
      <c r="F9119" s="2" t="s">
        <v>6</v>
      </c>
    </row>
    <row r="9120" spans="1:6" ht="25.5">
      <c r="A9120" s="2">
        <v>9117</v>
      </c>
      <c r="B9120" s="2" t="s">
        <v>9195</v>
      </c>
      <c r="C9120" s="2" t="str">
        <f>"09518398"</f>
        <v>09518398</v>
      </c>
      <c r="D9120" s="2">
        <v>0.3</v>
      </c>
      <c r="E9120" s="2">
        <v>14</v>
      </c>
      <c r="F9120" s="2" t="s">
        <v>16</v>
      </c>
    </row>
    <row r="9121" spans="1:6" ht="25.5">
      <c r="A9121" s="2">
        <v>9118</v>
      </c>
      <c r="B9121" s="2" t="s">
        <v>9196</v>
      </c>
      <c r="C9121" s="2" t="str">
        <f>"17482623"</f>
        <v>17482623</v>
      </c>
      <c r="D9121" s="2">
        <v>0.23200000000000001</v>
      </c>
      <c r="E9121" s="2">
        <v>10</v>
      </c>
      <c r="F9121" s="2" t="s">
        <v>16</v>
      </c>
    </row>
    <row r="9122" spans="1:6" ht="25.5">
      <c r="A9122" s="2">
        <v>9119</v>
      </c>
      <c r="B9122" s="2" t="s">
        <v>9197</v>
      </c>
      <c r="C9122" s="2" t="str">
        <f>"0265671X"</f>
        <v>0265671X</v>
      </c>
      <c r="D9122" s="2">
        <v>0.71599999999999997</v>
      </c>
      <c r="E9122" s="2">
        <v>23</v>
      </c>
      <c r="F9122" s="2" t="s">
        <v>16</v>
      </c>
    </row>
    <row r="9123" spans="1:6" ht="25.5">
      <c r="A9123" s="2">
        <v>9120</v>
      </c>
      <c r="B9123" s="2" t="s">
        <v>9198</v>
      </c>
      <c r="C9123" s="2" t="str">
        <f>"16877152"</f>
        <v>16877152</v>
      </c>
      <c r="D9123" s="2">
        <v>0.128</v>
      </c>
      <c r="E9123" s="2">
        <v>1</v>
      </c>
      <c r="F9123" s="2" t="s">
        <v>6</v>
      </c>
    </row>
    <row r="9124" spans="1:6" ht="25.5">
      <c r="A9124" s="2">
        <v>9121</v>
      </c>
      <c r="B9124" s="2" t="s">
        <v>9199</v>
      </c>
      <c r="C9124" s="2" t="str">
        <f>"1097461X"</f>
        <v>1097461X</v>
      </c>
      <c r="D9124" s="2">
        <v>0.52100000000000002</v>
      </c>
      <c r="E9124" s="2">
        <v>63</v>
      </c>
      <c r="F9124" s="2" t="s">
        <v>6</v>
      </c>
    </row>
    <row r="9125" spans="1:6" ht="25.5">
      <c r="A9125" s="2">
        <v>9122</v>
      </c>
      <c r="B9125" s="2" t="s">
        <v>9200</v>
      </c>
      <c r="C9125" s="2" t="str">
        <f>"02197499"</f>
        <v>02197499</v>
      </c>
      <c r="D9125" s="2">
        <v>0.58799999999999997</v>
      </c>
      <c r="E9125" s="2">
        <v>18</v>
      </c>
      <c r="F9125" s="2" t="s">
        <v>543</v>
      </c>
    </row>
    <row r="9126" spans="1:6" ht="25.5">
      <c r="A9126" s="2">
        <v>9123</v>
      </c>
      <c r="B9126" s="2" t="s">
        <v>9201</v>
      </c>
      <c r="C9126" s="2" t="str">
        <f>"09553002"</f>
        <v>09553002</v>
      </c>
      <c r="D9126" s="2">
        <v>0.73499999999999999</v>
      </c>
      <c r="E9126" s="2">
        <v>69</v>
      </c>
      <c r="F9126" s="2" t="s">
        <v>16</v>
      </c>
    </row>
    <row r="9127" spans="1:6" ht="25.5">
      <c r="A9127" s="2">
        <v>9124</v>
      </c>
      <c r="B9127" s="2" t="s">
        <v>9202</v>
      </c>
      <c r="C9127" s="2" t="str">
        <f>"1879355X"</f>
        <v>1879355X</v>
      </c>
      <c r="D9127" s="2">
        <v>2.2370000000000001</v>
      </c>
      <c r="E9127" s="2">
        <v>163</v>
      </c>
      <c r="F9127" s="2" t="s">
        <v>6</v>
      </c>
    </row>
    <row r="9128" spans="1:6" ht="25.5">
      <c r="A9128" s="2">
        <v>9125</v>
      </c>
      <c r="B9128" s="2" t="s">
        <v>9203</v>
      </c>
      <c r="C9128" s="2" t="str">
        <f>"17453224"</f>
        <v>17453224</v>
      </c>
      <c r="D9128" s="2">
        <v>0.14499999999999999</v>
      </c>
      <c r="E9128" s="2">
        <v>3</v>
      </c>
      <c r="F9128" s="2" t="s">
        <v>16</v>
      </c>
    </row>
    <row r="9129" spans="1:6" ht="25.5">
      <c r="A9129" s="2">
        <v>9126</v>
      </c>
      <c r="B9129" s="2" t="s">
        <v>9204</v>
      </c>
      <c r="C9129" s="2" t="str">
        <f>"17550564"</f>
        <v>17550564</v>
      </c>
      <c r="D9129" s="2">
        <v>0.112</v>
      </c>
      <c r="E9129" s="2">
        <v>2</v>
      </c>
      <c r="F9129" s="2" t="s">
        <v>31</v>
      </c>
    </row>
    <row r="9130" spans="1:6" ht="25.5">
      <c r="A9130" s="2">
        <v>9127</v>
      </c>
      <c r="B9130" s="2" t="s">
        <v>9205</v>
      </c>
      <c r="C9130" s="2" t="str">
        <f>"16877209"</f>
        <v>16877209</v>
      </c>
      <c r="D9130" s="2">
        <v>0.15</v>
      </c>
      <c r="E9130" s="2">
        <v>4</v>
      </c>
      <c r="F9130" s="2" t="s">
        <v>6</v>
      </c>
    </row>
    <row r="9131" spans="1:6" ht="25.5">
      <c r="A9131" s="2">
        <v>9128</v>
      </c>
      <c r="B9131" s="2" t="s">
        <v>9206</v>
      </c>
      <c r="C9131" s="2" t="str">
        <f>"09580611"</f>
        <v>09580611</v>
      </c>
      <c r="D9131" s="2">
        <v>1.274</v>
      </c>
      <c r="E9131" s="2">
        <v>42</v>
      </c>
      <c r="F9131" s="2" t="s">
        <v>75</v>
      </c>
    </row>
    <row r="9132" spans="1:6" ht="25.5">
      <c r="A9132" s="2">
        <v>9129</v>
      </c>
      <c r="B9132" s="2" t="s">
        <v>9207</v>
      </c>
      <c r="C9132" s="2" t="str">
        <f>"01407007"</f>
        <v>01407007</v>
      </c>
      <c r="D9132" s="2">
        <v>1.323</v>
      </c>
      <c r="E9132" s="2">
        <v>53</v>
      </c>
      <c r="F9132" s="2" t="s">
        <v>16</v>
      </c>
    </row>
    <row r="9133" spans="1:6" ht="25.5">
      <c r="A9133" s="2">
        <v>9130</v>
      </c>
      <c r="B9133" s="2" t="s">
        <v>9208</v>
      </c>
      <c r="C9133" s="2" t="str">
        <f>"14643715"</f>
        <v>14643715</v>
      </c>
      <c r="D9133" s="2">
        <v>0.51300000000000001</v>
      </c>
      <c r="E9133" s="2">
        <v>10</v>
      </c>
      <c r="F9133" s="2" t="s">
        <v>16</v>
      </c>
    </row>
    <row r="9134" spans="1:6" ht="25.5">
      <c r="A9134" s="2">
        <v>9131</v>
      </c>
      <c r="B9134" s="2" t="s">
        <v>9209</v>
      </c>
      <c r="C9134" s="2" t="str">
        <f>"09724907"</f>
        <v>09724907</v>
      </c>
      <c r="D9134" s="2">
        <v>0.121</v>
      </c>
      <c r="E9134" s="2">
        <v>2</v>
      </c>
      <c r="F9134" s="2" t="s">
        <v>488</v>
      </c>
    </row>
    <row r="9135" spans="1:6" ht="25.5">
      <c r="A9135" s="2">
        <v>9132</v>
      </c>
      <c r="B9135" s="2" t="s">
        <v>9210</v>
      </c>
      <c r="C9135" s="2" t="str">
        <f>"03425282"</f>
        <v>03425282</v>
      </c>
      <c r="D9135" s="2">
        <v>0.435</v>
      </c>
      <c r="E9135" s="2">
        <v>29</v>
      </c>
      <c r="F9135" s="2" t="s">
        <v>6</v>
      </c>
    </row>
    <row r="9136" spans="1:6" ht="25.5">
      <c r="A9136" s="2">
        <v>9133</v>
      </c>
      <c r="B9136" s="2" t="s">
        <v>9211</v>
      </c>
      <c r="C9136" s="2" t="str">
        <f>"14793903"</f>
        <v>14793903</v>
      </c>
      <c r="D9136" s="2">
        <v>0.154</v>
      </c>
      <c r="E9136" s="2">
        <v>5</v>
      </c>
      <c r="F9136" s="2" t="s">
        <v>16</v>
      </c>
    </row>
    <row r="9137" spans="1:6" ht="25.5">
      <c r="A9137" s="2">
        <v>9134</v>
      </c>
      <c r="B9137" s="2" t="s">
        <v>9212</v>
      </c>
      <c r="C9137" s="2" t="str">
        <f>"02185393"</f>
        <v>02185393</v>
      </c>
      <c r="D9137" s="2">
        <v>0.34300000000000003</v>
      </c>
      <c r="E9137" s="2">
        <v>16</v>
      </c>
      <c r="F9137" s="2" t="s">
        <v>543</v>
      </c>
    </row>
    <row r="9138" spans="1:6" ht="25.5">
      <c r="A9138" s="2">
        <v>9135</v>
      </c>
      <c r="B9138" s="2" t="s">
        <v>9213</v>
      </c>
      <c r="C9138" s="2" t="str">
        <f>"13665901"</f>
        <v>13665901</v>
      </c>
      <c r="D9138" s="2">
        <v>0.63700000000000001</v>
      </c>
      <c r="E9138" s="2">
        <v>95</v>
      </c>
      <c r="F9138" s="2" t="s">
        <v>16</v>
      </c>
    </row>
    <row r="9139" spans="1:6" ht="25.5">
      <c r="A9139" s="2">
        <v>9136</v>
      </c>
      <c r="B9139" s="2" t="s">
        <v>9214</v>
      </c>
      <c r="C9139" s="2" t="str">
        <f>"17437288"</f>
        <v>17437288</v>
      </c>
      <c r="D9139" s="2">
        <v>0.41699999999999998</v>
      </c>
      <c r="E9139" s="2">
        <v>9</v>
      </c>
      <c r="F9139" s="2" t="s">
        <v>16</v>
      </c>
    </row>
    <row r="9140" spans="1:6" ht="25.5">
      <c r="A9140" s="2">
        <v>9137</v>
      </c>
      <c r="B9140" s="2" t="s">
        <v>9215</v>
      </c>
      <c r="C9140" s="2" t="str">
        <f>"01678116"</f>
        <v>01678116</v>
      </c>
      <c r="D9140" s="2">
        <v>1.579</v>
      </c>
      <c r="E9140" s="2">
        <v>52</v>
      </c>
      <c r="F9140" s="2" t="s">
        <v>75</v>
      </c>
    </row>
    <row r="9141" spans="1:6" ht="25.5">
      <c r="A9141" s="2">
        <v>9138</v>
      </c>
      <c r="B9141" s="2" t="s">
        <v>9216</v>
      </c>
      <c r="C9141" s="2" t="str">
        <f>"09757538"</f>
        <v>09757538</v>
      </c>
      <c r="D9141" s="2">
        <v>0.24399999999999999</v>
      </c>
      <c r="E9141" s="2">
        <v>7</v>
      </c>
      <c r="F9141" s="2" t="s">
        <v>488</v>
      </c>
    </row>
    <row r="9142" spans="1:6" ht="25.5">
      <c r="A9142" s="2">
        <v>9139</v>
      </c>
      <c r="B9142" s="2" t="s">
        <v>9217</v>
      </c>
      <c r="C9142" s="2" t="str">
        <f>"09590552"</f>
        <v>09590552</v>
      </c>
      <c r="D9142" s="2">
        <v>0.61</v>
      </c>
      <c r="E9142" s="2">
        <v>22</v>
      </c>
      <c r="F9142" s="2" t="s">
        <v>16</v>
      </c>
    </row>
    <row r="9143" spans="1:6" ht="25.5">
      <c r="A9143" s="2">
        <v>9140</v>
      </c>
      <c r="B9143" s="2" t="s">
        <v>9218</v>
      </c>
      <c r="C9143" s="2" t="str">
        <f>"17418186"</f>
        <v>17418186</v>
      </c>
      <c r="D9143" s="2">
        <v>0.26100000000000001</v>
      </c>
      <c r="E9143" s="2">
        <v>3</v>
      </c>
      <c r="F9143" s="2" t="s">
        <v>16</v>
      </c>
    </row>
    <row r="9144" spans="1:6" ht="25.5">
      <c r="A9144" s="2">
        <v>9141</v>
      </c>
      <c r="B9144" s="2" t="s">
        <v>9219</v>
      </c>
      <c r="C9144" s="2" t="str">
        <f>"1099047X"</f>
        <v>1099047X</v>
      </c>
      <c r="D9144" s="2">
        <v>0.42799999999999999</v>
      </c>
      <c r="E9144" s="2">
        <v>24</v>
      </c>
      <c r="F9144" s="2" t="s">
        <v>6</v>
      </c>
    </row>
    <row r="9145" spans="1:6" ht="25.5">
      <c r="A9145" s="2">
        <v>9142</v>
      </c>
      <c r="B9145" s="2" t="s">
        <v>9220</v>
      </c>
      <c r="C9145" s="2" t="str">
        <f>"17545730"</f>
        <v>17545730</v>
      </c>
      <c r="D9145" s="2">
        <v>0.371</v>
      </c>
      <c r="E9145" s="2">
        <v>6</v>
      </c>
      <c r="F9145" s="2" t="s">
        <v>16</v>
      </c>
    </row>
    <row r="9146" spans="1:6" ht="25.5">
      <c r="A9146" s="2">
        <v>9143</v>
      </c>
      <c r="B9146" s="2" t="s">
        <v>9221</v>
      </c>
      <c r="C9146" s="2" t="str">
        <f>"1756185X"</f>
        <v>1756185X</v>
      </c>
      <c r="D9146" s="2">
        <v>0.372</v>
      </c>
      <c r="E9146" s="2">
        <v>12</v>
      </c>
      <c r="F9146" s="2" t="s">
        <v>16</v>
      </c>
    </row>
    <row r="9147" spans="1:6" ht="25.5">
      <c r="A9147" s="2">
        <v>9144</v>
      </c>
      <c r="B9147" s="2" t="s">
        <v>9222</v>
      </c>
      <c r="C9147" s="2" t="str">
        <f>"09246479"</f>
        <v>09246479</v>
      </c>
      <c r="D9147" s="2">
        <v>0.17599999999999999</v>
      </c>
      <c r="E9147" s="2">
        <v>14</v>
      </c>
      <c r="F9147" s="2" t="s">
        <v>75</v>
      </c>
    </row>
    <row r="9148" spans="1:6" ht="25.5">
      <c r="A9148" s="2">
        <v>9145</v>
      </c>
      <c r="B9148" s="2" t="s">
        <v>9223</v>
      </c>
      <c r="C9148" s="2" t="str">
        <f>"17415241"</f>
        <v>17415241</v>
      </c>
      <c r="D9148" s="2">
        <v>0.19800000000000001</v>
      </c>
      <c r="E9148" s="2">
        <v>9</v>
      </c>
      <c r="F9148" s="2" t="s">
        <v>16</v>
      </c>
    </row>
    <row r="9149" spans="1:6" ht="25.5">
      <c r="A9149" s="2">
        <v>9146</v>
      </c>
      <c r="B9149" s="2" t="s">
        <v>9224</v>
      </c>
      <c r="C9149" s="2" t="str">
        <f>"18142060"</f>
        <v>18142060</v>
      </c>
      <c r="D9149" s="2">
        <v>0.311</v>
      </c>
      <c r="E9149" s="2">
        <v>8</v>
      </c>
      <c r="F9149" s="2" t="s">
        <v>351</v>
      </c>
    </row>
    <row r="9150" spans="1:6" ht="25.5">
      <c r="A9150" s="2">
        <v>9147</v>
      </c>
      <c r="B9150" s="2" t="s">
        <v>9225</v>
      </c>
      <c r="C9150" s="2" t="str">
        <f>"08268185"</f>
        <v>08268185</v>
      </c>
      <c r="D9150" s="2">
        <v>0.27500000000000002</v>
      </c>
      <c r="E9150" s="2">
        <v>16</v>
      </c>
      <c r="F9150" s="2" t="s">
        <v>64</v>
      </c>
    </row>
    <row r="9151" spans="1:6" ht="25.5">
      <c r="A9151" s="2">
        <v>9148</v>
      </c>
      <c r="B9151" s="2" t="s">
        <v>9226</v>
      </c>
      <c r="C9151" s="2" t="str">
        <f>"02783649"</f>
        <v>02783649</v>
      </c>
      <c r="D9151" s="2">
        <v>4.298</v>
      </c>
      <c r="E9151" s="2">
        <v>79</v>
      </c>
      <c r="F9151" s="2" t="s">
        <v>6</v>
      </c>
    </row>
    <row r="9152" spans="1:6" ht="25.5">
      <c r="A9152" s="2">
        <v>9149</v>
      </c>
      <c r="B9152" s="2" t="s">
        <v>9227</v>
      </c>
      <c r="C9152" s="2" t="str">
        <f>"10991239"</f>
        <v>10991239</v>
      </c>
      <c r="D9152" s="2">
        <v>2.4279999999999999</v>
      </c>
      <c r="E9152" s="2">
        <v>53</v>
      </c>
      <c r="F9152" s="2" t="s">
        <v>16</v>
      </c>
    </row>
    <row r="9153" spans="1:6" ht="25.5">
      <c r="A9153" s="2">
        <v>9150</v>
      </c>
      <c r="B9153" s="2" t="s">
        <v>9228</v>
      </c>
      <c r="C9153" s="2" t="str">
        <f>"13651609"</f>
        <v>13651609</v>
      </c>
      <c r="D9153" s="2">
        <v>1.446</v>
      </c>
      <c r="E9153" s="2">
        <v>59</v>
      </c>
      <c r="F9153" s="2" t="s">
        <v>75</v>
      </c>
    </row>
    <row r="9154" spans="1:6" ht="25.5">
      <c r="A9154" s="2">
        <v>9151</v>
      </c>
      <c r="B9154" s="2" t="s">
        <v>9229</v>
      </c>
      <c r="C9154" s="2" t="str">
        <f>"15423034"</f>
        <v>15423034</v>
      </c>
      <c r="D9154" s="2">
        <v>0.151</v>
      </c>
      <c r="E9154" s="2">
        <v>13</v>
      </c>
      <c r="F9154" s="2" t="s">
        <v>6</v>
      </c>
    </row>
    <row r="9155" spans="1:6" ht="25.5">
      <c r="A9155" s="2">
        <v>9152</v>
      </c>
      <c r="B9155" s="2" t="s">
        <v>9230</v>
      </c>
      <c r="C9155" s="2" t="str">
        <f>"09730052"</f>
        <v>09730052</v>
      </c>
      <c r="D9155" s="2">
        <v>0.188</v>
      </c>
      <c r="E9155" s="2">
        <v>2</v>
      </c>
      <c r="F9155" s="2" t="s">
        <v>488</v>
      </c>
    </row>
    <row r="9156" spans="1:6" ht="25.5">
      <c r="A9156" s="2">
        <v>9153</v>
      </c>
      <c r="B9156" s="2" t="s">
        <v>9231</v>
      </c>
      <c r="C9156" s="2" t="str">
        <f>"15420981"</f>
        <v>15420981</v>
      </c>
      <c r="D9156" s="2">
        <v>0.33500000000000002</v>
      </c>
      <c r="E9156" s="2">
        <v>22</v>
      </c>
      <c r="F9156" s="2" t="s">
        <v>16</v>
      </c>
    </row>
    <row r="9157" spans="1:6" ht="25.5">
      <c r="A9157" s="2">
        <v>9154</v>
      </c>
      <c r="B9157" s="2" t="s">
        <v>9232</v>
      </c>
      <c r="C9157" s="2" t="str">
        <f>"15710068"</f>
        <v>15710068</v>
      </c>
      <c r="D9157" s="2">
        <v>0.59199999999999997</v>
      </c>
      <c r="E9157" s="2">
        <v>12</v>
      </c>
      <c r="F9157" s="2" t="s">
        <v>75</v>
      </c>
    </row>
    <row r="9158" spans="1:6" ht="25.5">
      <c r="A9158" s="2">
        <v>9155</v>
      </c>
      <c r="B9158" s="2" t="s">
        <v>9233</v>
      </c>
      <c r="C9158" s="2" t="str">
        <f>"14645289"</f>
        <v>14645289</v>
      </c>
      <c r="D9158" s="2">
        <v>1.2769999999999999</v>
      </c>
      <c r="E9158" s="2">
        <v>47</v>
      </c>
      <c r="F9158" s="2" t="s">
        <v>16</v>
      </c>
    </row>
    <row r="9159" spans="1:6" ht="25.5">
      <c r="A9159" s="2">
        <v>9156</v>
      </c>
      <c r="B9159" s="2" t="s">
        <v>9234</v>
      </c>
      <c r="C9159" s="2" t="str">
        <f>"17389976"</f>
        <v>17389976</v>
      </c>
      <c r="D9159" s="2">
        <v>0.157</v>
      </c>
      <c r="E9159" s="2">
        <v>4</v>
      </c>
      <c r="F9159" s="2" t="s">
        <v>274</v>
      </c>
    </row>
    <row r="9160" spans="1:6" ht="25.5">
      <c r="A9160" s="2">
        <v>9157</v>
      </c>
      <c r="B9160" s="2" t="s">
        <v>9235</v>
      </c>
      <c r="C9160" s="2" t="str">
        <f>"17478413"</f>
        <v>17478413</v>
      </c>
      <c r="D9160" s="2">
        <v>0.95399999999999996</v>
      </c>
      <c r="E9160" s="2">
        <v>11</v>
      </c>
      <c r="F9160" s="2" t="s">
        <v>16</v>
      </c>
    </row>
    <row r="9161" spans="1:6" ht="25.5">
      <c r="A9161" s="2">
        <v>9158</v>
      </c>
      <c r="B9161" s="2" t="s">
        <v>9236</v>
      </c>
      <c r="C9161" s="2" t="str">
        <f>"10137866"</f>
        <v>10137866</v>
      </c>
      <c r="D9161" s="2">
        <v>0.57199999999999995</v>
      </c>
      <c r="E9161" s="2">
        <v>13</v>
      </c>
      <c r="F9161" s="2" t="s">
        <v>46</v>
      </c>
    </row>
    <row r="9162" spans="1:6" ht="25.5">
      <c r="A9162" s="2">
        <v>9159</v>
      </c>
      <c r="B9162" s="2" t="s">
        <v>9237</v>
      </c>
      <c r="C9162" s="2" t="str">
        <f>"14682389"</f>
        <v>14682389</v>
      </c>
      <c r="D9162" s="2">
        <v>1.1759999999999999</v>
      </c>
      <c r="E9162" s="2">
        <v>32</v>
      </c>
      <c r="F9162" s="2" t="s">
        <v>16</v>
      </c>
    </row>
    <row r="9163" spans="1:6" ht="25.5">
      <c r="A9163" s="2">
        <v>9160</v>
      </c>
      <c r="B9163" s="2" t="s">
        <v>9238</v>
      </c>
      <c r="C9163" s="2" t="str">
        <f>"17481287"</f>
        <v>17481287</v>
      </c>
      <c r="D9163" s="2">
        <v>1.802</v>
      </c>
      <c r="E9163" s="2">
        <v>6</v>
      </c>
      <c r="F9163" s="2" t="s">
        <v>16</v>
      </c>
    </row>
    <row r="9164" spans="1:6" ht="25.5">
      <c r="A9164" s="2">
        <v>9161</v>
      </c>
      <c r="B9164" s="2" t="s">
        <v>9239</v>
      </c>
      <c r="C9164" s="2" t="str">
        <f>"17442389"</f>
        <v>17442389</v>
      </c>
      <c r="D9164" s="2">
        <v>0.34200000000000003</v>
      </c>
      <c r="E9164" s="2">
        <v>11</v>
      </c>
      <c r="F9164" s="2" t="s">
        <v>16</v>
      </c>
    </row>
    <row r="9165" spans="1:6" ht="25.5">
      <c r="A9165" s="2">
        <v>9162</v>
      </c>
      <c r="B9165" s="2" t="s">
        <v>9240</v>
      </c>
      <c r="C9165" s="2" t="str">
        <f>"17408857"</f>
        <v>17408857</v>
      </c>
      <c r="D9165" s="2">
        <v>0.21199999999999999</v>
      </c>
      <c r="E9165" s="2">
        <v>10</v>
      </c>
      <c r="F9165" s="2" t="s">
        <v>16</v>
      </c>
    </row>
    <row r="9166" spans="1:6" ht="25.5">
      <c r="A9166" s="2">
        <v>9163</v>
      </c>
      <c r="B9166" s="2" t="s">
        <v>9241</v>
      </c>
      <c r="C9166" s="2" t="str">
        <f>"17415403"</f>
        <v>17415403</v>
      </c>
      <c r="D9166" s="2">
        <v>0.14799999999999999</v>
      </c>
      <c r="E9166" s="2">
        <v>6</v>
      </c>
      <c r="F9166" s="2" t="s">
        <v>16</v>
      </c>
    </row>
    <row r="9167" spans="1:6" ht="25.5">
      <c r="A9167" s="2">
        <v>9164</v>
      </c>
      <c r="B9167" s="2" t="s">
        <v>9242</v>
      </c>
      <c r="C9167" s="2" t="str">
        <f>"1741525X"</f>
        <v>1741525X</v>
      </c>
      <c r="D9167" s="2">
        <v>0.23899999999999999</v>
      </c>
      <c r="E9167" s="2">
        <v>11</v>
      </c>
      <c r="F9167" s="2" t="s">
        <v>16</v>
      </c>
    </row>
    <row r="9168" spans="1:6" ht="25.5">
      <c r="A9168" s="2">
        <v>9165</v>
      </c>
      <c r="B9168" s="2" t="s">
        <v>9243</v>
      </c>
      <c r="C9168" s="2" t="str">
        <f>"1931762X"</f>
        <v>1931762X</v>
      </c>
      <c r="D9168" s="2">
        <v>0.23300000000000001</v>
      </c>
      <c r="E9168" s="2">
        <v>11</v>
      </c>
      <c r="F9168" s="2" t="s">
        <v>16</v>
      </c>
    </row>
    <row r="9169" spans="1:6" ht="25.5">
      <c r="A9169" s="2">
        <v>9166</v>
      </c>
      <c r="B9169" s="2" t="s">
        <v>9244</v>
      </c>
      <c r="C9169" s="2" t="str">
        <f>"17566525"</f>
        <v>17566525</v>
      </c>
      <c r="D9169" s="2">
        <v>0.60299999999999998</v>
      </c>
      <c r="E9169" s="2">
        <v>5</v>
      </c>
      <c r="F9169" s="2" t="s">
        <v>16</v>
      </c>
    </row>
    <row r="9170" spans="1:6" ht="25.5">
      <c r="A9170" s="2">
        <v>9167</v>
      </c>
      <c r="B9170" s="2" t="s">
        <v>9245</v>
      </c>
      <c r="C9170" s="2" t="str">
        <f>"09736042"</f>
        <v>09736042</v>
      </c>
      <c r="D9170" s="2">
        <v>0.16600000000000001</v>
      </c>
      <c r="E9170" s="2">
        <v>2</v>
      </c>
      <c r="F9170" s="2" t="s">
        <v>410</v>
      </c>
    </row>
    <row r="9171" spans="1:6" ht="25.5">
      <c r="A9171" s="2">
        <v>9168</v>
      </c>
      <c r="B9171" s="2" t="s">
        <v>9246</v>
      </c>
      <c r="C9171" s="2" t="str">
        <f>"17480701"</f>
        <v>17480701</v>
      </c>
      <c r="D9171" s="2">
        <v>0.20200000000000001</v>
      </c>
      <c r="E9171" s="2">
        <v>3</v>
      </c>
      <c r="F9171" s="2" t="s">
        <v>16</v>
      </c>
    </row>
    <row r="9172" spans="1:6" ht="25.5">
      <c r="A9172" s="2">
        <v>9169</v>
      </c>
      <c r="B9172" s="2" t="s">
        <v>9247</v>
      </c>
      <c r="C9172" s="2" t="str">
        <f>"17402131"</f>
        <v>17402131</v>
      </c>
      <c r="D9172" s="2">
        <v>0.33400000000000002</v>
      </c>
      <c r="E9172" s="2">
        <v>7</v>
      </c>
      <c r="F9172" s="2" t="s">
        <v>16</v>
      </c>
    </row>
    <row r="9173" spans="1:6" ht="25.5">
      <c r="A9173" s="2">
        <v>9170</v>
      </c>
      <c r="B9173" s="2" t="s">
        <v>9248</v>
      </c>
      <c r="C9173" s="2" t="str">
        <f>"17264529"</f>
        <v>17264529</v>
      </c>
      <c r="D9173" s="2">
        <v>0.59799999999999998</v>
      </c>
      <c r="E9173" s="2">
        <v>8</v>
      </c>
      <c r="F9173" s="2" t="s">
        <v>288</v>
      </c>
    </row>
    <row r="9174" spans="1:6" ht="25.5">
      <c r="A9174" s="2">
        <v>9171</v>
      </c>
      <c r="B9174" s="2" t="s">
        <v>9249</v>
      </c>
      <c r="C9174" s="2" t="str">
        <f>"1473804X"</f>
        <v>1473804X</v>
      </c>
      <c r="D9174" s="2">
        <v>0.11</v>
      </c>
      <c r="E9174" s="2">
        <v>3</v>
      </c>
      <c r="F9174" s="2" t="s">
        <v>16</v>
      </c>
    </row>
    <row r="9175" spans="1:6" ht="25.5">
      <c r="A9175" s="2">
        <v>9172</v>
      </c>
      <c r="B9175" s="2" t="s">
        <v>9250</v>
      </c>
      <c r="C9175" s="2" t="str">
        <f>"14792753"</f>
        <v>14792753</v>
      </c>
      <c r="D9175" s="2">
        <v>0.36299999999999999</v>
      </c>
      <c r="E9175" s="2">
        <v>11</v>
      </c>
      <c r="F9175" s="2" t="s">
        <v>16</v>
      </c>
    </row>
    <row r="9176" spans="1:6" ht="25.5">
      <c r="A9176" s="2">
        <v>9173</v>
      </c>
      <c r="B9176" s="2" t="s">
        <v>9251</v>
      </c>
      <c r="C9176" s="2" t="str">
        <f>"19754094"</f>
        <v>19754094</v>
      </c>
      <c r="D9176" s="2">
        <v>0.23699999999999999</v>
      </c>
      <c r="E9176" s="2">
        <v>6</v>
      </c>
      <c r="F9176" s="2" t="s">
        <v>274</v>
      </c>
    </row>
    <row r="9177" spans="1:6" ht="25.5">
      <c r="A9177" s="2">
        <v>9174</v>
      </c>
      <c r="B9177" s="2" t="s">
        <v>9252</v>
      </c>
      <c r="C9177" s="2" t="str">
        <f>"03068293"</f>
        <v>03068293</v>
      </c>
      <c r="D9177" s="2">
        <v>0.25900000000000001</v>
      </c>
      <c r="E9177" s="2">
        <v>17</v>
      </c>
      <c r="F9177" s="2" t="s">
        <v>16</v>
      </c>
    </row>
    <row r="9178" spans="1:6" ht="25.5">
      <c r="A9178" s="2">
        <v>9175</v>
      </c>
      <c r="B9178" s="2" t="s">
        <v>9253</v>
      </c>
      <c r="C9178" s="2" t="str">
        <f>"00207640"</f>
        <v>00207640</v>
      </c>
      <c r="D9178" s="2">
        <v>0.61599999999999999</v>
      </c>
      <c r="E9178" s="2">
        <v>34</v>
      </c>
      <c r="F9178" s="2" t="s">
        <v>16</v>
      </c>
    </row>
    <row r="9179" spans="1:6" ht="25.5">
      <c r="A9179" s="2">
        <v>9176</v>
      </c>
      <c r="B9179" s="2" t="s">
        <v>9254</v>
      </c>
      <c r="C9179" s="2" t="str">
        <f>"14645300"</f>
        <v>14645300</v>
      </c>
      <c r="D9179" s="2">
        <v>0.63100000000000001</v>
      </c>
      <c r="E9179" s="2">
        <v>19</v>
      </c>
      <c r="F9179" s="2" t="s">
        <v>16</v>
      </c>
    </row>
    <row r="9180" spans="1:6" ht="25.5">
      <c r="A9180" s="2">
        <v>9177</v>
      </c>
      <c r="B9180" s="2" t="s">
        <v>9255</v>
      </c>
      <c r="C9180" s="2" t="str">
        <f>"18754805"</f>
        <v>18754805</v>
      </c>
      <c r="D9180" s="2">
        <v>0.72599999999999998</v>
      </c>
      <c r="E9180" s="2">
        <v>11</v>
      </c>
      <c r="F9180" s="2" t="s">
        <v>12</v>
      </c>
    </row>
    <row r="9181" spans="1:6" ht="25.5">
      <c r="A9181" s="2">
        <v>9178</v>
      </c>
      <c r="B9181" s="2" t="s">
        <v>9256</v>
      </c>
      <c r="C9181" s="2" t="str">
        <f>"14682397"</f>
        <v>14682397</v>
      </c>
      <c r="D9181" s="2">
        <v>0.56200000000000006</v>
      </c>
      <c r="E9181" s="2">
        <v>20</v>
      </c>
      <c r="F9181" s="2" t="s">
        <v>16</v>
      </c>
    </row>
    <row r="9182" spans="1:6" ht="25.5">
      <c r="A9182" s="2">
        <v>9179</v>
      </c>
      <c r="B9182" s="2" t="s">
        <v>9257</v>
      </c>
      <c r="C9182" s="2" t="str">
        <f>"18169503"</f>
        <v>18169503</v>
      </c>
      <c r="D9182" s="2">
        <v>0.16800000000000001</v>
      </c>
      <c r="E9182" s="2">
        <v>4</v>
      </c>
      <c r="F9182" s="2" t="s">
        <v>43</v>
      </c>
    </row>
    <row r="9183" spans="1:6" ht="25.5">
      <c r="A9183" s="2">
        <v>9180</v>
      </c>
      <c r="B9183" s="2" t="s">
        <v>9258</v>
      </c>
      <c r="C9183" s="2" t="str">
        <f>"17389984"</f>
        <v>17389984</v>
      </c>
      <c r="D9183" s="2">
        <v>0.13800000000000001</v>
      </c>
      <c r="E9183" s="2">
        <v>2</v>
      </c>
      <c r="F9183" s="2" t="s">
        <v>274</v>
      </c>
    </row>
    <row r="9184" spans="1:6" ht="25.5">
      <c r="A9184" s="2">
        <v>9181</v>
      </c>
      <c r="B9184" s="2" t="s">
        <v>9259</v>
      </c>
      <c r="C9184" s="2" t="str">
        <f>"02181940"</f>
        <v>02181940</v>
      </c>
      <c r="D9184" s="2">
        <v>0.3</v>
      </c>
      <c r="E9184" s="2">
        <v>22</v>
      </c>
      <c r="F9184" s="2" t="s">
        <v>543</v>
      </c>
    </row>
    <row r="9185" spans="1:6" ht="25.5">
      <c r="A9185" s="2">
        <v>9182</v>
      </c>
      <c r="B9185" s="2" t="s">
        <v>9260</v>
      </c>
      <c r="C9185" s="2" t="str">
        <f>"18164978"</f>
        <v>18164978</v>
      </c>
      <c r="D9185" s="2">
        <v>0.34</v>
      </c>
      <c r="E9185" s="2">
        <v>5</v>
      </c>
      <c r="F9185" s="2" t="s">
        <v>6</v>
      </c>
    </row>
    <row r="9186" spans="1:6" ht="25.5">
      <c r="A9186" s="2">
        <v>9183</v>
      </c>
      <c r="B9186" s="2" t="s">
        <v>9261</v>
      </c>
      <c r="C9186" s="2" t="str">
        <f>"00207683"</f>
        <v>00207683</v>
      </c>
      <c r="D9186" s="2">
        <v>1.48</v>
      </c>
      <c r="E9186" s="2">
        <v>88</v>
      </c>
      <c r="F9186" s="2" t="s">
        <v>16</v>
      </c>
    </row>
    <row r="9187" spans="1:6" ht="25.5">
      <c r="A9187" s="2">
        <v>9184</v>
      </c>
      <c r="B9187" s="2" t="s">
        <v>9262</v>
      </c>
      <c r="C9187" s="2" t="str">
        <f>"02663511"</f>
        <v>02663511</v>
      </c>
      <c r="D9187" s="2">
        <v>0.34200000000000003</v>
      </c>
      <c r="E9187" s="2">
        <v>16</v>
      </c>
      <c r="F9187" s="2" t="s">
        <v>16</v>
      </c>
    </row>
    <row r="9188" spans="1:6" ht="25.5">
      <c r="A9188" s="2">
        <v>9185</v>
      </c>
      <c r="B9188" s="2" t="s">
        <v>9263</v>
      </c>
      <c r="C9188" s="2" t="str">
        <f>"08273383"</f>
        <v>08273383</v>
      </c>
      <c r="D9188" s="2">
        <v>0.15</v>
      </c>
      <c r="E9188" s="2">
        <v>8</v>
      </c>
      <c r="F9188" s="2" t="s">
        <v>64</v>
      </c>
    </row>
    <row r="9189" spans="1:6" ht="25.5">
      <c r="A9189" s="2">
        <v>9186</v>
      </c>
      <c r="B9189" s="2" t="s">
        <v>9264</v>
      </c>
      <c r="C9189" s="2" t="str">
        <f>"17488893"</f>
        <v>17488893</v>
      </c>
      <c r="D9189" s="2">
        <v>0.17699999999999999</v>
      </c>
      <c r="E9189" s="2">
        <v>10</v>
      </c>
      <c r="F9189" s="2" t="s">
        <v>16</v>
      </c>
    </row>
    <row r="9190" spans="1:6" ht="25.5">
      <c r="A9190" s="2">
        <v>9187</v>
      </c>
      <c r="B9190" s="2" t="s">
        <v>9265</v>
      </c>
      <c r="C9190" s="2" t="str">
        <f>"17549515"</f>
        <v>17549515</v>
      </c>
      <c r="D9190" s="2">
        <v>0.47699999999999998</v>
      </c>
      <c r="E9190" s="2">
        <v>15</v>
      </c>
      <c r="F9190" s="2" t="s">
        <v>16</v>
      </c>
    </row>
    <row r="9191" spans="1:6" ht="25.5">
      <c r="A9191" s="2">
        <v>9188</v>
      </c>
      <c r="B9191" s="2" t="s">
        <v>9266</v>
      </c>
      <c r="C9191" s="2" t="str">
        <f>"15728110"</f>
        <v>15728110</v>
      </c>
      <c r="D9191" s="2">
        <v>0.23</v>
      </c>
      <c r="E9191" s="2">
        <v>13</v>
      </c>
      <c r="F9191" s="2" t="s">
        <v>75</v>
      </c>
    </row>
    <row r="9192" spans="1:6" ht="25.5">
      <c r="A9192" s="2">
        <v>9189</v>
      </c>
      <c r="B9192" s="2" t="s">
        <v>9267</v>
      </c>
      <c r="C9192" s="2" t="str">
        <f>"1827806X"</f>
        <v>1827806X</v>
      </c>
      <c r="D9192" s="2">
        <v>0.63200000000000001</v>
      </c>
      <c r="E9192" s="2">
        <v>11</v>
      </c>
      <c r="F9192" s="2" t="s">
        <v>190</v>
      </c>
    </row>
    <row r="9193" spans="1:6" ht="25.5">
      <c r="A9193" s="2">
        <v>9190</v>
      </c>
      <c r="B9193" s="2" t="s">
        <v>9268</v>
      </c>
      <c r="C9193" s="2" t="str">
        <f>"22114599"</f>
        <v>22114599</v>
      </c>
      <c r="D9193" s="2">
        <v>0.38500000000000001</v>
      </c>
      <c r="E9193" s="2">
        <v>6</v>
      </c>
      <c r="F9193" s="2" t="s">
        <v>6</v>
      </c>
    </row>
    <row r="9194" spans="1:6" ht="25.5">
      <c r="A9194" s="2">
        <v>9191</v>
      </c>
      <c r="B9194" s="2" t="s">
        <v>9269</v>
      </c>
      <c r="C9194" s="2" t="str">
        <f>"1612197X"</f>
        <v>1612197X</v>
      </c>
      <c r="D9194" s="2">
        <v>0.40200000000000002</v>
      </c>
      <c r="E9194" s="2">
        <v>7</v>
      </c>
      <c r="F9194" s="2" t="s">
        <v>6</v>
      </c>
    </row>
    <row r="9195" spans="1:6" ht="25.5">
      <c r="A9195" s="2">
        <v>9192</v>
      </c>
      <c r="B9195" s="2" t="s">
        <v>9270</v>
      </c>
      <c r="C9195" s="2" t="str">
        <f>"1930076X"</f>
        <v>1930076X</v>
      </c>
      <c r="D9195" s="2">
        <v>0.36799999999999999</v>
      </c>
      <c r="E9195" s="2">
        <v>6</v>
      </c>
      <c r="F9195" s="2" t="s">
        <v>6</v>
      </c>
    </row>
    <row r="9196" spans="1:6" ht="25.5">
      <c r="A9196" s="2">
        <v>9193</v>
      </c>
      <c r="B9196" s="2" t="s">
        <v>9271</v>
      </c>
      <c r="C9196" s="2" t="str">
        <f>"17402808"</f>
        <v>17402808</v>
      </c>
      <c r="D9196" s="2">
        <v>0.214</v>
      </c>
      <c r="E9196" s="2">
        <v>7</v>
      </c>
      <c r="F9196" s="2" t="s">
        <v>16</v>
      </c>
    </row>
    <row r="9197" spans="1:6" ht="25.5">
      <c r="A9197" s="2">
        <v>9194</v>
      </c>
      <c r="B9197" s="2" t="s">
        <v>9272</v>
      </c>
      <c r="C9197" s="2" t="str">
        <f>"15432742"</f>
        <v>15432742</v>
      </c>
      <c r="D9197" s="2">
        <v>0.76600000000000001</v>
      </c>
      <c r="E9197" s="2">
        <v>39</v>
      </c>
      <c r="F9197" s="2" t="s">
        <v>6</v>
      </c>
    </row>
    <row r="9198" spans="1:6" ht="25.5">
      <c r="A9198" s="2">
        <v>9195</v>
      </c>
      <c r="B9198" s="2" t="s">
        <v>9273</v>
      </c>
      <c r="C9198" s="2" t="str">
        <f>"00470767"</f>
        <v>00470767</v>
      </c>
      <c r="D9198" s="2">
        <v>0.27600000000000002</v>
      </c>
      <c r="E9198" s="2">
        <v>30</v>
      </c>
      <c r="F9198" s="2" t="s">
        <v>190</v>
      </c>
    </row>
    <row r="9199" spans="1:6" ht="25.5">
      <c r="A9199" s="2">
        <v>9196</v>
      </c>
      <c r="B9199" s="2" t="s">
        <v>9274</v>
      </c>
      <c r="C9199" s="2" t="str">
        <f>"14646668"</f>
        <v>14646668</v>
      </c>
      <c r="D9199" s="2">
        <v>0.51700000000000002</v>
      </c>
      <c r="E9199" s="2">
        <v>5</v>
      </c>
      <c r="F9199" s="2" t="s">
        <v>16</v>
      </c>
    </row>
    <row r="9200" spans="1:6" ht="25.5">
      <c r="A9200" s="2">
        <v>9197</v>
      </c>
      <c r="B9200" s="2" t="s">
        <v>9275</v>
      </c>
      <c r="C9200" s="2" t="str">
        <f>"14393964"</f>
        <v>14393964</v>
      </c>
      <c r="D9200" s="2">
        <v>1.141</v>
      </c>
      <c r="E9200" s="2">
        <v>62</v>
      </c>
      <c r="F9200" s="2" t="s">
        <v>12</v>
      </c>
    </row>
    <row r="9201" spans="1:6" ht="25.5">
      <c r="A9201" s="2">
        <v>9198</v>
      </c>
      <c r="B9201" s="2" t="s">
        <v>9276</v>
      </c>
      <c r="C9201" s="2" t="str">
        <f>"15550273"</f>
        <v>15550273</v>
      </c>
      <c r="D9201" s="2">
        <v>1.2370000000000001</v>
      </c>
      <c r="E9201" s="2">
        <v>16</v>
      </c>
      <c r="F9201" s="2" t="s">
        <v>6</v>
      </c>
    </row>
    <row r="9202" spans="1:6" ht="25.5">
      <c r="A9202" s="2">
        <v>9199</v>
      </c>
      <c r="B9202" s="2" t="s">
        <v>9277</v>
      </c>
      <c r="C9202" s="2" t="str">
        <f>"17479541"</f>
        <v>17479541</v>
      </c>
      <c r="D9202" s="2">
        <v>0.24399999999999999</v>
      </c>
      <c r="E9202" s="2">
        <v>4</v>
      </c>
      <c r="F9202" s="2" t="s">
        <v>16</v>
      </c>
    </row>
    <row r="9203" spans="1:6" ht="25.5">
      <c r="A9203" s="2">
        <v>9200</v>
      </c>
      <c r="B9203" s="2" t="s">
        <v>9278</v>
      </c>
      <c r="C9203" s="2" t="str">
        <f>"17568285"</f>
        <v>17568285</v>
      </c>
      <c r="D9203" s="2">
        <v>0.39</v>
      </c>
      <c r="E9203" s="2">
        <v>2</v>
      </c>
      <c r="F9203" s="2" t="s">
        <v>16</v>
      </c>
    </row>
    <row r="9204" spans="1:6" ht="25.5">
      <c r="A9204" s="2">
        <v>9201</v>
      </c>
      <c r="B9204" s="2" t="s">
        <v>9279</v>
      </c>
      <c r="C9204" s="2" t="str">
        <f>"17581052"</f>
        <v>17581052</v>
      </c>
      <c r="D9204" s="2">
        <v>0.495</v>
      </c>
      <c r="E9204" s="2">
        <v>53</v>
      </c>
      <c r="F9204" s="2" t="s">
        <v>16</v>
      </c>
    </row>
    <row r="9205" spans="1:6" ht="25.5">
      <c r="A9205" s="2">
        <v>9202</v>
      </c>
      <c r="B9205" s="2" t="s">
        <v>9280</v>
      </c>
      <c r="C9205" s="2" t="str">
        <f>"20936311"</f>
        <v>20936311</v>
      </c>
      <c r="D9205" s="2">
        <v>0.254</v>
      </c>
      <c r="E9205" s="2">
        <v>3</v>
      </c>
      <c r="F9205" s="2" t="s">
        <v>274</v>
      </c>
    </row>
    <row r="9206" spans="1:6" ht="25.5">
      <c r="A9206" s="2">
        <v>9203</v>
      </c>
      <c r="B9206" s="2" t="s">
        <v>9281</v>
      </c>
      <c r="C9206" s="2" t="str">
        <f>"1553118X"</f>
        <v>1553118X</v>
      </c>
      <c r="D9206" s="2">
        <v>0.45800000000000002</v>
      </c>
      <c r="E9206" s="2">
        <v>3</v>
      </c>
      <c r="F9206" s="2" t="s">
        <v>6</v>
      </c>
    </row>
    <row r="9207" spans="1:6" ht="25.5">
      <c r="A9207" s="2">
        <v>9204</v>
      </c>
      <c r="B9207" s="2" t="s">
        <v>9282</v>
      </c>
      <c r="C9207" s="2" t="str">
        <f>"16489179"</f>
        <v>16489179</v>
      </c>
      <c r="D9207" s="2">
        <v>0.56000000000000005</v>
      </c>
      <c r="E9207" s="2">
        <v>11</v>
      </c>
      <c r="F9207" s="2" t="s">
        <v>426</v>
      </c>
    </row>
    <row r="9208" spans="1:6" ht="25.5">
      <c r="A9208" s="2">
        <v>9205</v>
      </c>
      <c r="B9208" s="2" t="s">
        <v>9283</v>
      </c>
      <c r="C9208" s="2" t="str">
        <f>"10725245"</f>
        <v>10725245</v>
      </c>
      <c r="D9208" s="2">
        <v>0.55400000000000005</v>
      </c>
      <c r="E9208" s="2">
        <v>28</v>
      </c>
      <c r="F9208" s="2" t="s">
        <v>6</v>
      </c>
    </row>
    <row r="9209" spans="1:6" ht="25.5">
      <c r="A9209" s="2">
        <v>9206</v>
      </c>
      <c r="B9209" s="2" t="s">
        <v>9284</v>
      </c>
      <c r="C9209" s="2" t="str">
        <f>"17474949"</f>
        <v>17474949</v>
      </c>
      <c r="D9209" s="2">
        <v>1.0509999999999999</v>
      </c>
      <c r="E9209" s="2">
        <v>22</v>
      </c>
      <c r="F9209" s="2" t="s">
        <v>16</v>
      </c>
    </row>
    <row r="9210" spans="1:6" ht="25.5">
      <c r="A9210" s="2">
        <v>9207</v>
      </c>
      <c r="B9210" s="2" t="s">
        <v>9285</v>
      </c>
      <c r="C9210" s="2" t="str">
        <f>"17587336"</f>
        <v>17587336</v>
      </c>
      <c r="D9210" s="2">
        <v>0.185</v>
      </c>
      <c r="E9210" s="2">
        <v>4</v>
      </c>
      <c r="F9210" s="2" t="s">
        <v>16</v>
      </c>
    </row>
    <row r="9211" spans="1:6" ht="25.5">
      <c r="A9211" s="2">
        <v>9208</v>
      </c>
      <c r="B9211" s="2" t="s">
        <v>9286</v>
      </c>
      <c r="C9211" s="2" t="str">
        <f>"02194554"</f>
        <v>02194554</v>
      </c>
      <c r="D9211" s="2">
        <v>0.53100000000000003</v>
      </c>
      <c r="E9211" s="2">
        <v>12</v>
      </c>
      <c r="F9211" s="2" t="s">
        <v>543</v>
      </c>
    </row>
    <row r="9212" spans="1:6" ht="25.5">
      <c r="A9212" s="2">
        <v>9209</v>
      </c>
      <c r="B9212" s="2" t="s">
        <v>9287</v>
      </c>
      <c r="C9212" s="2" t="str">
        <f>"1749785X"</f>
        <v>1749785X</v>
      </c>
      <c r="D9212" s="2">
        <v>0.23899999999999999</v>
      </c>
      <c r="E9212" s="2">
        <v>6</v>
      </c>
      <c r="F9212" s="2" t="s">
        <v>16</v>
      </c>
    </row>
    <row r="9213" spans="1:6" ht="25.5">
      <c r="A9213" s="2">
        <v>9210</v>
      </c>
      <c r="B9213" s="2" t="s">
        <v>9288</v>
      </c>
      <c r="C9213" s="2" t="str">
        <f>"17439191"</f>
        <v>17439191</v>
      </c>
      <c r="D9213" s="2">
        <v>0.47199999999999998</v>
      </c>
      <c r="E9213" s="2">
        <v>19</v>
      </c>
      <c r="F9213" s="2" t="s">
        <v>75</v>
      </c>
    </row>
    <row r="9214" spans="1:6" ht="25.5">
      <c r="A9214" s="2">
        <v>9211</v>
      </c>
      <c r="B9214" s="2" t="s">
        <v>9289</v>
      </c>
      <c r="C9214" s="2" t="str">
        <f>"22102612"</f>
        <v>22102612</v>
      </c>
      <c r="D9214" s="2">
        <v>0.112</v>
      </c>
      <c r="E9214" s="2">
        <v>2</v>
      </c>
      <c r="F9214" s="2" t="s">
        <v>75</v>
      </c>
    </row>
    <row r="9215" spans="1:6" ht="25.5">
      <c r="A9215" s="2">
        <v>9212</v>
      </c>
      <c r="B9215" s="2" t="s">
        <v>9290</v>
      </c>
      <c r="C9215" s="2" t="str">
        <f>"20901410"</f>
        <v>20901410</v>
      </c>
      <c r="D9215" s="2">
        <v>0</v>
      </c>
      <c r="E9215" s="2">
        <v>2</v>
      </c>
      <c r="F9215" s="2" t="s">
        <v>6</v>
      </c>
    </row>
    <row r="9216" spans="1:6" ht="25.5">
      <c r="A9216" s="2">
        <v>9213</v>
      </c>
      <c r="B9216" s="2" t="s">
        <v>9291</v>
      </c>
      <c r="C9216" s="2" t="str">
        <f>"10668969"</f>
        <v>10668969</v>
      </c>
      <c r="D9216" s="2">
        <v>0.36499999999999999</v>
      </c>
      <c r="E9216" s="2">
        <v>32</v>
      </c>
      <c r="F9216" s="2" t="s">
        <v>6</v>
      </c>
    </row>
    <row r="9217" spans="1:6" ht="25.5">
      <c r="A9217" s="2">
        <v>9214</v>
      </c>
      <c r="B9217" s="2" t="s">
        <v>9292</v>
      </c>
      <c r="C9217" s="2" t="str">
        <f>"14676370"</f>
        <v>14676370</v>
      </c>
      <c r="D9217" s="2">
        <v>0.376</v>
      </c>
      <c r="E9217" s="2">
        <v>16</v>
      </c>
      <c r="F9217" s="2" t="s">
        <v>16</v>
      </c>
    </row>
    <row r="9218" spans="1:6" ht="25.5">
      <c r="A9218" s="2">
        <v>9215</v>
      </c>
      <c r="B9218" s="2" t="s">
        <v>9293</v>
      </c>
      <c r="C9218" s="2" t="str">
        <f>"17415268"</f>
        <v>17415268</v>
      </c>
      <c r="D9218" s="2">
        <v>0.13700000000000001</v>
      </c>
      <c r="E9218" s="2">
        <v>11</v>
      </c>
      <c r="F9218" s="2" t="s">
        <v>16</v>
      </c>
    </row>
    <row r="9219" spans="1:6" ht="25.5">
      <c r="A9219" s="2">
        <v>9216</v>
      </c>
      <c r="B9219" s="2" t="s">
        <v>9294</v>
      </c>
      <c r="C9219" s="2" t="str">
        <f>"1743761X"</f>
        <v>1743761X</v>
      </c>
      <c r="D9219" s="2">
        <v>0.19600000000000001</v>
      </c>
      <c r="E9219" s="2">
        <v>5</v>
      </c>
      <c r="F9219" s="2" t="s">
        <v>16</v>
      </c>
    </row>
    <row r="9220" spans="1:6" ht="25.5">
      <c r="A9220" s="2">
        <v>9217</v>
      </c>
      <c r="B9220" s="2" t="s">
        <v>9295</v>
      </c>
      <c r="C9220" s="2" t="str">
        <f>"13504509"</f>
        <v>13504509</v>
      </c>
      <c r="D9220" s="2">
        <v>0.40300000000000002</v>
      </c>
      <c r="E9220" s="2">
        <v>17</v>
      </c>
      <c r="F9220" s="2" t="s">
        <v>16</v>
      </c>
    </row>
    <row r="9221" spans="1:6" ht="25.5">
      <c r="A9221" s="2">
        <v>9218</v>
      </c>
      <c r="B9221" s="2" t="s">
        <v>9296</v>
      </c>
      <c r="C9221" s="2" t="str">
        <f>"1478646X"</f>
        <v>1478646X</v>
      </c>
      <c r="D9221" s="2">
        <v>0.46400000000000002</v>
      </c>
      <c r="E9221" s="2">
        <v>11</v>
      </c>
      <c r="F9221" s="2" t="s">
        <v>16</v>
      </c>
    </row>
    <row r="9222" spans="1:6" ht="25.5">
      <c r="A9222" s="2">
        <v>9219</v>
      </c>
      <c r="B9222" s="2" t="s">
        <v>9297</v>
      </c>
      <c r="C9222" s="2" t="str">
        <f>"19397038"</f>
        <v>19397038</v>
      </c>
      <c r="D9222" s="2">
        <v>0.59099999999999997</v>
      </c>
      <c r="E9222" s="2">
        <v>9</v>
      </c>
      <c r="F9222" s="2" t="s">
        <v>16</v>
      </c>
    </row>
    <row r="9223" spans="1:6" ht="25.5">
      <c r="A9223" s="2">
        <v>9220</v>
      </c>
      <c r="B9223" s="2" t="s">
        <v>9298</v>
      </c>
      <c r="C9223" s="2" t="str">
        <f>"17427231"</f>
        <v>17427231</v>
      </c>
      <c r="D9223" s="2">
        <v>0.31</v>
      </c>
      <c r="E9223" s="2">
        <v>7</v>
      </c>
      <c r="F9223" s="2" t="s">
        <v>31</v>
      </c>
    </row>
    <row r="9224" spans="1:6" ht="25.5">
      <c r="A9224" s="2">
        <v>9221</v>
      </c>
      <c r="B9224" s="2" t="s">
        <v>9299</v>
      </c>
      <c r="C9224" s="2" t="str">
        <f>"17562546"</f>
        <v>17562546</v>
      </c>
      <c r="D9224" s="2">
        <v>0.22600000000000001</v>
      </c>
      <c r="E9224" s="2">
        <v>4</v>
      </c>
      <c r="F9224" s="2" t="s">
        <v>16</v>
      </c>
    </row>
    <row r="9225" spans="1:6" ht="25.5">
      <c r="A9225" s="2">
        <v>9222</v>
      </c>
      <c r="B9225" s="2" t="s">
        <v>9300</v>
      </c>
      <c r="C9225" s="2" t="str">
        <f>"15568334"</f>
        <v>15568334</v>
      </c>
      <c r="D9225" s="2">
        <v>0.99</v>
      </c>
      <c r="E9225" s="2">
        <v>6</v>
      </c>
      <c r="F9225" s="2" t="s">
        <v>16</v>
      </c>
    </row>
    <row r="9226" spans="1:6" ht="25.5">
      <c r="A9226" s="2">
        <v>9223</v>
      </c>
      <c r="B9226" s="2" t="s">
        <v>9301</v>
      </c>
      <c r="C9226" s="2" t="str">
        <f>"14665034"</f>
        <v>14665034</v>
      </c>
      <c r="D9226" s="2">
        <v>0.90600000000000003</v>
      </c>
      <c r="E9226" s="2">
        <v>103</v>
      </c>
      <c r="F9226" s="2" t="s">
        <v>16</v>
      </c>
    </row>
    <row r="9227" spans="1:6" ht="25.5">
      <c r="A9227" s="2">
        <v>9224</v>
      </c>
      <c r="B9227" s="2" t="s">
        <v>9302</v>
      </c>
      <c r="C9227" s="2" t="str">
        <f>"14682400"</f>
        <v>14682400</v>
      </c>
      <c r="D9227" s="2">
        <v>0.13800000000000001</v>
      </c>
      <c r="E9227" s="2">
        <v>4</v>
      </c>
      <c r="F9227" s="2" t="s">
        <v>16</v>
      </c>
    </row>
    <row r="9228" spans="1:6" ht="25.5">
      <c r="A9228" s="2">
        <v>9225</v>
      </c>
      <c r="B9228" s="2" t="s">
        <v>9303</v>
      </c>
      <c r="C9228" s="2" t="str">
        <f>"1748068X"</f>
        <v>1748068X</v>
      </c>
      <c r="D9228" s="2">
        <v>0.27500000000000002</v>
      </c>
      <c r="E9228" s="2">
        <v>6</v>
      </c>
      <c r="F9228" s="2" t="s">
        <v>16</v>
      </c>
    </row>
    <row r="9229" spans="1:6" ht="25.5">
      <c r="A9229" s="2">
        <v>9226</v>
      </c>
      <c r="B9229" s="2" t="s">
        <v>9304</v>
      </c>
      <c r="C9229" s="2" t="str">
        <f>"09764348"</f>
        <v>09764348</v>
      </c>
      <c r="D9229" s="2">
        <v>0.216</v>
      </c>
      <c r="E9229" s="2">
        <v>3</v>
      </c>
      <c r="F9229" s="2" t="s">
        <v>488</v>
      </c>
    </row>
    <row r="9230" spans="1:6" ht="25.5">
      <c r="A9230" s="2">
        <v>9227</v>
      </c>
      <c r="B9230" s="2" t="s">
        <v>9305</v>
      </c>
      <c r="C9230" s="2" t="str">
        <f>"17559359"</f>
        <v>17559359</v>
      </c>
      <c r="D9230" s="2">
        <v>0.13600000000000001</v>
      </c>
      <c r="E9230" s="2">
        <v>1</v>
      </c>
      <c r="F9230" s="2" t="s">
        <v>31</v>
      </c>
    </row>
    <row r="9231" spans="1:6" ht="25.5">
      <c r="A9231" s="2">
        <v>9228</v>
      </c>
      <c r="B9231" s="2" t="s">
        <v>9306</v>
      </c>
      <c r="C9231" s="2" t="str">
        <f>"14645319"</f>
        <v>14645319</v>
      </c>
      <c r="D9231" s="2">
        <v>1.044</v>
      </c>
      <c r="E9231" s="2">
        <v>42</v>
      </c>
      <c r="F9231" s="2" t="s">
        <v>16</v>
      </c>
    </row>
    <row r="9232" spans="1:6" ht="25.5">
      <c r="A9232" s="2">
        <v>9229</v>
      </c>
      <c r="B9232" s="2" t="s">
        <v>9307</v>
      </c>
      <c r="C9232" s="2" t="str">
        <f>"17465389"</f>
        <v>17465389</v>
      </c>
      <c r="D9232" s="2">
        <v>0.11</v>
      </c>
      <c r="E9232" s="2">
        <v>1</v>
      </c>
      <c r="F9232" s="2" t="s">
        <v>16</v>
      </c>
    </row>
    <row r="9233" spans="1:6" ht="25.5">
      <c r="A9233" s="2">
        <v>9230</v>
      </c>
      <c r="B9233" s="2" t="s">
        <v>9308</v>
      </c>
      <c r="C9233" s="2" t="str">
        <f>"1947346X"</f>
        <v>1947346X</v>
      </c>
      <c r="D9233" s="2">
        <v>0.17599999999999999</v>
      </c>
      <c r="E9233" s="2">
        <v>2</v>
      </c>
      <c r="F9233" s="2" t="s">
        <v>6</v>
      </c>
    </row>
    <row r="9234" spans="1:6" ht="25.5">
      <c r="A9234" s="2">
        <v>9231</v>
      </c>
      <c r="B9234" s="2" t="s">
        <v>9309</v>
      </c>
      <c r="C9234" s="2" t="str">
        <f>"17531950"</f>
        <v>17531950</v>
      </c>
      <c r="D9234" s="2">
        <v>0.17799999999999999</v>
      </c>
      <c r="E9234" s="2">
        <v>2</v>
      </c>
      <c r="F9234" s="2" t="s">
        <v>16</v>
      </c>
    </row>
    <row r="9235" spans="1:6" ht="25.5">
      <c r="A9235" s="2">
        <v>9232</v>
      </c>
      <c r="B9235" s="2" t="s">
        <v>9310</v>
      </c>
      <c r="C9235" s="2" t="str">
        <f>"15731804"</f>
        <v>15731804</v>
      </c>
      <c r="D9235" s="2">
        <v>0.35199999999999998</v>
      </c>
      <c r="E9235" s="2">
        <v>18</v>
      </c>
      <c r="F9235" s="2" t="s">
        <v>75</v>
      </c>
    </row>
    <row r="9236" spans="1:6" ht="25.5">
      <c r="A9236" s="2">
        <v>9233</v>
      </c>
      <c r="B9236" s="2" t="s">
        <v>9311</v>
      </c>
      <c r="C9236" s="2" t="str">
        <f>"17418194"</f>
        <v>17418194</v>
      </c>
      <c r="D9236" s="2">
        <v>0.16900000000000001</v>
      </c>
      <c r="E9236" s="2">
        <v>7</v>
      </c>
      <c r="F9236" s="2" t="s">
        <v>16</v>
      </c>
    </row>
    <row r="9237" spans="1:6" ht="25.5">
      <c r="A9237" s="2">
        <v>9234</v>
      </c>
      <c r="B9237" s="2" t="s">
        <v>9312</v>
      </c>
      <c r="C9237" s="2" t="str">
        <f>"15483916"</f>
        <v>15483916</v>
      </c>
      <c r="D9237" s="2">
        <v>0.19400000000000001</v>
      </c>
      <c r="E9237" s="2">
        <v>4</v>
      </c>
      <c r="F9237" s="2" t="s">
        <v>6</v>
      </c>
    </row>
    <row r="9238" spans="1:6" ht="25.5">
      <c r="A9238" s="2">
        <v>9235</v>
      </c>
      <c r="B9238" s="2" t="s">
        <v>9313</v>
      </c>
      <c r="C9238" s="2" t="str">
        <f>"14716348"</f>
        <v>14716348</v>
      </c>
      <c r="D9238" s="2">
        <v>0.8</v>
      </c>
      <c r="E9238" s="2">
        <v>43</v>
      </c>
      <c r="F9238" s="2" t="s">
        <v>16</v>
      </c>
    </row>
    <row r="9239" spans="1:6" ht="25.5">
      <c r="A9239" s="2">
        <v>9236</v>
      </c>
      <c r="B9239" s="2" t="s">
        <v>9314</v>
      </c>
      <c r="C9239" s="2" t="str">
        <f>"17535263"</f>
        <v>17535263</v>
      </c>
      <c r="D9239" s="2">
        <v>0.17899999999999999</v>
      </c>
      <c r="E9239" s="2">
        <v>3</v>
      </c>
      <c r="F9239" s="2" t="s">
        <v>31</v>
      </c>
    </row>
    <row r="9240" spans="1:6" ht="25.5">
      <c r="A9240" s="2">
        <v>9237</v>
      </c>
      <c r="B9240" s="2" t="s">
        <v>9315</v>
      </c>
      <c r="C9240" s="2" t="str">
        <f>"17402840"</f>
        <v>17402840</v>
      </c>
      <c r="D9240" s="2">
        <v>0.17699999999999999</v>
      </c>
      <c r="E9240" s="2">
        <v>4</v>
      </c>
      <c r="F9240" s="2" t="s">
        <v>16</v>
      </c>
    </row>
    <row r="9241" spans="1:6" ht="25.5">
      <c r="A9241" s="2">
        <v>9238</v>
      </c>
      <c r="B9241" s="2" t="s">
        <v>9316</v>
      </c>
      <c r="C9241" s="2" t="str">
        <f>"18323669"</f>
        <v>18323669</v>
      </c>
      <c r="D9241" s="2">
        <v>0.10100000000000001</v>
      </c>
      <c r="E9241" s="2">
        <v>1</v>
      </c>
      <c r="F9241" s="2" t="s">
        <v>6</v>
      </c>
    </row>
    <row r="9242" spans="1:6" ht="25.5">
      <c r="A9242" s="2">
        <v>9239</v>
      </c>
      <c r="B9242" s="2" t="s">
        <v>9317</v>
      </c>
      <c r="C9242" s="2" t="str">
        <f>"17415276"</f>
        <v>17415276</v>
      </c>
      <c r="D9242" s="2">
        <v>0.34599999999999997</v>
      </c>
      <c r="E9242" s="2">
        <v>31</v>
      </c>
      <c r="F9242" s="2" t="s">
        <v>16</v>
      </c>
    </row>
    <row r="9243" spans="1:6" ht="25.5">
      <c r="A9243" s="2">
        <v>9240</v>
      </c>
      <c r="B9243" s="2" t="s">
        <v>9318</v>
      </c>
      <c r="C9243" s="2" t="str">
        <f>"17415292"</f>
        <v>17415292</v>
      </c>
      <c r="D9243" s="2">
        <v>0.14599999999999999</v>
      </c>
      <c r="E9243" s="2">
        <v>10</v>
      </c>
      <c r="F9243" s="2" t="s">
        <v>16</v>
      </c>
    </row>
    <row r="9244" spans="1:6" ht="25.5">
      <c r="A9244" s="2">
        <v>9241</v>
      </c>
      <c r="B9244" s="2" t="s">
        <v>9319</v>
      </c>
      <c r="C9244" s="2" t="str">
        <f>"16876423"</f>
        <v>16876423</v>
      </c>
      <c r="D9244" s="2">
        <v>0.153</v>
      </c>
      <c r="E9244" s="2">
        <v>5</v>
      </c>
      <c r="F9244" s="2" t="s">
        <v>523</v>
      </c>
    </row>
    <row r="9245" spans="1:6" ht="25.5">
      <c r="A9245" s="2">
        <v>9242</v>
      </c>
      <c r="B9245" s="2" t="s">
        <v>9320</v>
      </c>
      <c r="C9245" s="2" t="str">
        <f>"15327574"</f>
        <v>15327574</v>
      </c>
      <c r="D9245" s="2">
        <v>0.42</v>
      </c>
      <c r="E9245" s="2">
        <v>3</v>
      </c>
      <c r="F9245" s="2" t="s">
        <v>16</v>
      </c>
    </row>
    <row r="9246" spans="1:6" ht="25.5">
      <c r="A9246" s="2">
        <v>9243</v>
      </c>
      <c r="B9246" s="2" t="s">
        <v>9321</v>
      </c>
      <c r="C9246" s="2" t="str">
        <f>"14479567"</f>
        <v>14479567</v>
      </c>
      <c r="D9246" s="2">
        <v>0.158</v>
      </c>
      <c r="E9246" s="2">
        <v>1</v>
      </c>
      <c r="F9246" s="2" t="s">
        <v>6</v>
      </c>
    </row>
    <row r="9247" spans="1:6" ht="25.5">
      <c r="A9247" s="2">
        <v>9244</v>
      </c>
      <c r="B9247" s="2" t="s">
        <v>9322</v>
      </c>
      <c r="C9247" s="2" t="str">
        <f>"10730508"</f>
        <v>10730508</v>
      </c>
      <c r="D9247" s="2">
        <v>0.126</v>
      </c>
      <c r="E9247" s="2">
        <v>1</v>
      </c>
      <c r="F9247" s="2" t="s">
        <v>6</v>
      </c>
    </row>
    <row r="9248" spans="1:6" ht="25.5">
      <c r="A9248" s="2">
        <v>9245</v>
      </c>
      <c r="B9248" s="2" t="s">
        <v>9323</v>
      </c>
      <c r="C9248" s="2" t="str">
        <f>"18750281"</f>
        <v>18750281</v>
      </c>
      <c r="D9248" s="2">
        <v>0.221</v>
      </c>
      <c r="E9248" s="2">
        <v>3</v>
      </c>
      <c r="F9248" s="2" t="s">
        <v>6</v>
      </c>
    </row>
    <row r="9249" spans="1:6" ht="25.5">
      <c r="A9249" s="2">
        <v>9246</v>
      </c>
      <c r="B9249" s="2" t="s">
        <v>9324</v>
      </c>
      <c r="C9249" s="2" t="str">
        <f>"14661829"</f>
        <v>14661829</v>
      </c>
      <c r="D9249" s="2">
        <v>0.38600000000000001</v>
      </c>
      <c r="E9249" s="2">
        <v>10</v>
      </c>
      <c r="F9249" s="2" t="s">
        <v>16</v>
      </c>
    </row>
    <row r="9250" spans="1:6" ht="25.5">
      <c r="A9250" s="2">
        <v>9247</v>
      </c>
      <c r="B9250" s="2" t="s">
        <v>9325</v>
      </c>
      <c r="C9250" s="2" t="str">
        <f>"09523367"</f>
        <v>09523367</v>
      </c>
      <c r="D9250" s="2">
        <v>0.25600000000000001</v>
      </c>
      <c r="E9250" s="2">
        <v>5</v>
      </c>
      <c r="F9250" s="2" t="s">
        <v>16</v>
      </c>
    </row>
    <row r="9251" spans="1:6" ht="25.5">
      <c r="A9251" s="2">
        <v>9248</v>
      </c>
      <c r="B9251" s="2" t="s">
        <v>9326</v>
      </c>
      <c r="C9251" s="2" t="str">
        <f>"14479508"</f>
        <v>14479508</v>
      </c>
      <c r="D9251" s="2">
        <v>0.1</v>
      </c>
      <c r="E9251" s="2">
        <v>1</v>
      </c>
      <c r="F9251" s="2" t="s">
        <v>6</v>
      </c>
    </row>
    <row r="9252" spans="1:6" ht="25.5">
      <c r="A9252" s="2">
        <v>9249</v>
      </c>
      <c r="B9252" s="2" t="s">
        <v>9327</v>
      </c>
      <c r="C9252" s="2" t="str">
        <f>"14699257"</f>
        <v>14699257</v>
      </c>
      <c r="D9252" s="2">
        <v>0.156</v>
      </c>
      <c r="E9252" s="2">
        <v>3</v>
      </c>
      <c r="F9252" s="2" t="s">
        <v>16</v>
      </c>
    </row>
    <row r="9253" spans="1:6" ht="25.5">
      <c r="A9253" s="2">
        <v>9250</v>
      </c>
      <c r="B9253" s="2" t="s">
        <v>9328</v>
      </c>
      <c r="C9253" s="2" t="str">
        <f>"02190249"</f>
        <v>02190249</v>
      </c>
      <c r="D9253" s="2">
        <v>0.56799999999999995</v>
      </c>
      <c r="E9253" s="2">
        <v>13</v>
      </c>
      <c r="F9253" s="2" t="s">
        <v>543</v>
      </c>
    </row>
    <row r="9254" spans="1:6" ht="25.5">
      <c r="A9254" s="2">
        <v>9251</v>
      </c>
      <c r="B9254" s="2" t="s">
        <v>9329</v>
      </c>
      <c r="C9254" s="2" t="str">
        <f>"15729575"</f>
        <v>15729575</v>
      </c>
      <c r="D9254" s="2">
        <v>0.46</v>
      </c>
      <c r="E9254" s="2">
        <v>35</v>
      </c>
      <c r="F9254" s="2" t="s">
        <v>6</v>
      </c>
    </row>
    <row r="9255" spans="1:6" ht="25.5">
      <c r="A9255" s="2">
        <v>9252</v>
      </c>
      <c r="B9255" s="2" t="s">
        <v>9330</v>
      </c>
      <c r="C9255" s="2" t="str">
        <f>"1916257X"</f>
        <v>1916257X</v>
      </c>
      <c r="D9255" s="2">
        <v>0.27400000000000002</v>
      </c>
      <c r="E9255" s="2">
        <v>4</v>
      </c>
      <c r="F9255" s="2" t="s">
        <v>64</v>
      </c>
    </row>
    <row r="9256" spans="1:6" ht="25.5">
      <c r="A9256" s="2">
        <v>9253</v>
      </c>
      <c r="B9256" s="2" t="s">
        <v>9331</v>
      </c>
      <c r="C9256" s="2" t="str">
        <f>"17411645"</f>
        <v>17411645</v>
      </c>
      <c r="D9256" s="2">
        <v>0.112</v>
      </c>
      <c r="E9256" s="2">
        <v>2</v>
      </c>
      <c r="F9256" s="2" t="s">
        <v>16</v>
      </c>
    </row>
    <row r="9257" spans="1:6" ht="25.5">
      <c r="A9257" s="2">
        <v>9254</v>
      </c>
      <c r="B9257" s="2" t="s">
        <v>9332</v>
      </c>
      <c r="C9257" s="2" t="str">
        <f>"12900729"</f>
        <v>12900729</v>
      </c>
      <c r="D9257" s="2">
        <v>1.609</v>
      </c>
      <c r="E9257" s="2">
        <v>48</v>
      </c>
      <c r="F9257" s="2" t="s">
        <v>190</v>
      </c>
    </row>
    <row r="9258" spans="1:6" ht="25.5">
      <c r="A9258" s="2">
        <v>9255</v>
      </c>
      <c r="B9258" s="2" t="s">
        <v>9333</v>
      </c>
      <c r="C9258" s="2" t="str">
        <f>"15729567"</f>
        <v>15729567</v>
      </c>
      <c r="D9258" s="2">
        <v>0.35799999999999998</v>
      </c>
      <c r="E9258" s="2">
        <v>40</v>
      </c>
      <c r="F9258" s="2" t="s">
        <v>6</v>
      </c>
    </row>
    <row r="9259" spans="1:6" ht="25.5">
      <c r="A9259" s="2">
        <v>9256</v>
      </c>
      <c r="B9259" s="2" t="s">
        <v>9334</v>
      </c>
      <c r="C9259" s="2" t="str">
        <f>"16133668"</f>
        <v>16133668</v>
      </c>
      <c r="D9259" s="2">
        <v>0.46500000000000002</v>
      </c>
      <c r="E9259" s="2">
        <v>13</v>
      </c>
      <c r="F9259" s="2" t="s">
        <v>12</v>
      </c>
    </row>
    <row r="9260" spans="1:6" ht="25.5">
      <c r="A9260" s="2">
        <v>9257</v>
      </c>
      <c r="B9260" s="2" t="s">
        <v>9335</v>
      </c>
      <c r="C9260" s="2" t="str">
        <f>"09737294"</f>
        <v>09737294</v>
      </c>
      <c r="D9260" s="2">
        <v>0.126</v>
      </c>
      <c r="E9260" s="2">
        <v>2</v>
      </c>
      <c r="F9260" s="2" t="s">
        <v>488</v>
      </c>
    </row>
    <row r="9261" spans="1:6" ht="25.5">
      <c r="A9261" s="2">
        <v>9258</v>
      </c>
      <c r="B9261" s="2" t="s">
        <v>9336</v>
      </c>
      <c r="C9261" s="2" t="str">
        <f>"15221970"</f>
        <v>15221970</v>
      </c>
      <c r="D9261" s="2">
        <v>0.88100000000000001</v>
      </c>
      <c r="E9261" s="2">
        <v>11</v>
      </c>
      <c r="F9261" s="2" t="s">
        <v>16</v>
      </c>
    </row>
    <row r="9262" spans="1:6" ht="25.5">
      <c r="A9262" s="2">
        <v>9259</v>
      </c>
      <c r="B9262" s="2" t="s">
        <v>9337</v>
      </c>
      <c r="C9262" s="2" t="str">
        <f>"09755160"</f>
        <v>09755160</v>
      </c>
      <c r="D9262" s="2">
        <v>0.104</v>
      </c>
      <c r="E9262" s="2">
        <v>0</v>
      </c>
      <c r="F9262" s="2" t="s">
        <v>127</v>
      </c>
    </row>
    <row r="9263" spans="1:6" ht="25.5">
      <c r="A9263" s="2">
        <v>9260</v>
      </c>
      <c r="B9263" s="2" t="s">
        <v>9338</v>
      </c>
      <c r="C9263" s="2" t="str">
        <f>"1092874X"</f>
        <v>1092874X</v>
      </c>
      <c r="D9263" s="2">
        <v>0.375</v>
      </c>
      <c r="E9263" s="2">
        <v>31</v>
      </c>
      <c r="F9263" s="2" t="s">
        <v>6</v>
      </c>
    </row>
    <row r="9264" spans="1:6" ht="25.5">
      <c r="A9264" s="2">
        <v>9261</v>
      </c>
      <c r="B9264" s="2" t="s">
        <v>9339</v>
      </c>
      <c r="C9264" s="2" t="str">
        <f>"14682419"</f>
        <v>14682419</v>
      </c>
      <c r="D9264" s="2">
        <v>0.44</v>
      </c>
      <c r="E9264" s="2">
        <v>8</v>
      </c>
      <c r="F9264" s="2" t="s">
        <v>16</v>
      </c>
    </row>
    <row r="9265" spans="1:6" ht="25.5">
      <c r="A9265" s="2">
        <v>9262</v>
      </c>
      <c r="B9265" s="2" t="s">
        <v>9340</v>
      </c>
      <c r="C9265" s="2" t="str">
        <f>"14480220"</f>
        <v>14480220</v>
      </c>
      <c r="D9265" s="2">
        <v>0</v>
      </c>
      <c r="E9265" s="2">
        <v>1</v>
      </c>
      <c r="F9265" s="2" t="s">
        <v>127</v>
      </c>
    </row>
    <row r="9266" spans="1:6" ht="25.5">
      <c r="A9266" s="2">
        <v>9263</v>
      </c>
      <c r="B9266" s="2" t="s">
        <v>9341</v>
      </c>
      <c r="C9266" s="2" t="str">
        <f>"14344599"</f>
        <v>14344599</v>
      </c>
      <c r="D9266" s="2">
        <v>0.378</v>
      </c>
      <c r="E9266" s="2">
        <v>13</v>
      </c>
      <c r="F9266" s="2" t="s">
        <v>6</v>
      </c>
    </row>
    <row r="9267" spans="1:6" ht="25.5">
      <c r="A9267" s="2">
        <v>9264</v>
      </c>
      <c r="B9267" s="2" t="s">
        <v>9342</v>
      </c>
      <c r="C9267" s="2" t="str">
        <f>"17527724"</f>
        <v>17527724</v>
      </c>
      <c r="D9267" s="2">
        <v>0.70099999999999996</v>
      </c>
      <c r="E9267" s="2">
        <v>4</v>
      </c>
      <c r="F9267" s="2" t="s">
        <v>16</v>
      </c>
    </row>
    <row r="9268" spans="1:6" ht="25.5">
      <c r="A9268" s="2">
        <v>9265</v>
      </c>
      <c r="B9268" s="2" t="s">
        <v>9343</v>
      </c>
      <c r="C9268" s="2" t="str">
        <f>"19423241"</f>
        <v>19423241</v>
      </c>
      <c r="D9268" s="2">
        <v>0.125</v>
      </c>
      <c r="E9268" s="2">
        <v>2</v>
      </c>
      <c r="F9268" s="2" t="s">
        <v>6</v>
      </c>
    </row>
    <row r="9269" spans="1:6" ht="25.5">
      <c r="A9269" s="2">
        <v>9266</v>
      </c>
      <c r="B9269" s="2" t="s">
        <v>9344</v>
      </c>
      <c r="C9269" s="2" t="str">
        <f>"03918440"</f>
        <v>03918440</v>
      </c>
      <c r="D9269" s="2">
        <v>0.27300000000000002</v>
      </c>
      <c r="E9269" s="2">
        <v>12</v>
      </c>
      <c r="F9269" s="2" t="s">
        <v>190</v>
      </c>
    </row>
    <row r="9270" spans="1:6" ht="25.5">
      <c r="A9270" s="2">
        <v>9267</v>
      </c>
      <c r="B9270" s="2" t="s">
        <v>9345</v>
      </c>
      <c r="C9270" s="2" t="str">
        <f>"09747753"</f>
        <v>09747753</v>
      </c>
      <c r="D9270" s="2">
        <v>0.30599999999999999</v>
      </c>
      <c r="E9270" s="2">
        <v>4</v>
      </c>
      <c r="F9270" s="2" t="s">
        <v>488</v>
      </c>
    </row>
    <row r="9271" spans="1:6" ht="25.5">
      <c r="A9271" s="2">
        <v>9268</v>
      </c>
      <c r="B9271" s="2" t="s">
        <v>9346</v>
      </c>
      <c r="C9271" s="2" t="str">
        <f>"17427584"</f>
        <v>17427584</v>
      </c>
      <c r="D9271" s="2">
        <v>0.26</v>
      </c>
      <c r="E9271" s="2">
        <v>17</v>
      </c>
      <c r="F9271" s="2" t="s">
        <v>16</v>
      </c>
    </row>
    <row r="9272" spans="1:6" ht="25.5">
      <c r="A9272" s="2">
        <v>9269</v>
      </c>
      <c r="B9272" s="2" t="s">
        <v>9347</v>
      </c>
      <c r="C9272" s="2" t="str">
        <f>"1818779X"</f>
        <v>1818779X</v>
      </c>
      <c r="D9272" s="2">
        <v>0.11700000000000001</v>
      </c>
      <c r="E9272" s="2">
        <v>2</v>
      </c>
      <c r="F9272" s="2" t="s">
        <v>43</v>
      </c>
    </row>
    <row r="9273" spans="1:6" ht="25.5">
      <c r="A9273" s="2">
        <v>9270</v>
      </c>
      <c r="B9273" s="2" t="s">
        <v>9348</v>
      </c>
      <c r="C9273" s="2" t="str">
        <f>"11786469"</f>
        <v>11786469</v>
      </c>
      <c r="D9273" s="2">
        <v>0.39900000000000002</v>
      </c>
      <c r="E9273" s="2">
        <v>4</v>
      </c>
      <c r="F9273" s="2" t="s">
        <v>503</v>
      </c>
    </row>
    <row r="9274" spans="1:6" ht="25.5">
      <c r="A9274" s="2">
        <v>9271</v>
      </c>
      <c r="B9274" s="2" t="s">
        <v>9349</v>
      </c>
      <c r="C9274" s="2" t="str">
        <f>"10273719"</f>
        <v>10273719</v>
      </c>
      <c r="D9274" s="2">
        <v>1.34</v>
      </c>
      <c r="E9274" s="2">
        <v>72</v>
      </c>
      <c r="F9274" s="2" t="s">
        <v>66</v>
      </c>
    </row>
    <row r="9275" spans="1:6" ht="25.5">
      <c r="A9275" s="2">
        <v>9272</v>
      </c>
      <c r="B9275" s="2" t="s">
        <v>9350</v>
      </c>
      <c r="C9275" s="2" t="str">
        <f>"03340082"</f>
        <v>03340082</v>
      </c>
      <c r="D9275" s="2">
        <v>0.14799999999999999</v>
      </c>
      <c r="E9275" s="2">
        <v>14</v>
      </c>
      <c r="F9275" s="2" t="s">
        <v>12</v>
      </c>
    </row>
    <row r="9276" spans="1:6" ht="25.5">
      <c r="A9276" s="2">
        <v>9273</v>
      </c>
      <c r="B9276" s="2" t="s">
        <v>9351</v>
      </c>
      <c r="C9276" s="2" t="str">
        <f>"02184885"</f>
        <v>02184885</v>
      </c>
      <c r="D9276" s="2">
        <v>0.98499999999999999</v>
      </c>
      <c r="E9276" s="2">
        <v>37</v>
      </c>
      <c r="F9276" s="2" t="s">
        <v>543</v>
      </c>
    </row>
    <row r="9277" spans="1:6" ht="25.5">
      <c r="A9277" s="2">
        <v>9274</v>
      </c>
      <c r="B9277" s="2" t="s">
        <v>9352</v>
      </c>
      <c r="C9277" s="2" t="str">
        <f>"14682427"</f>
        <v>14682427</v>
      </c>
      <c r="D9277" s="2">
        <v>1.8480000000000001</v>
      </c>
      <c r="E9277" s="2">
        <v>46</v>
      </c>
      <c r="F9277" s="2" t="s">
        <v>16</v>
      </c>
    </row>
    <row r="9278" spans="1:6" ht="25.5">
      <c r="A9278" s="2">
        <v>9275</v>
      </c>
      <c r="B9278" s="2" t="s">
        <v>9353</v>
      </c>
      <c r="C9278" s="2" t="str">
        <f>"1749771X"</f>
        <v>1749771X</v>
      </c>
      <c r="D9278" s="2">
        <v>0.13</v>
      </c>
      <c r="E9278" s="2">
        <v>2</v>
      </c>
      <c r="F9278" s="2" t="s">
        <v>16</v>
      </c>
    </row>
    <row r="9279" spans="1:6" ht="25.5">
      <c r="A9279" s="2">
        <v>9276</v>
      </c>
      <c r="B9279" s="2" t="s">
        <v>9354</v>
      </c>
      <c r="C9279" s="2" t="str">
        <f>"14422042"</f>
        <v>14422042</v>
      </c>
      <c r="D9279" s="2">
        <v>0.68</v>
      </c>
      <c r="E9279" s="2">
        <v>37</v>
      </c>
      <c r="F9279" s="2" t="s">
        <v>16</v>
      </c>
    </row>
    <row r="9280" spans="1:6" ht="25.5">
      <c r="A9280" s="2">
        <v>9277</v>
      </c>
      <c r="B9280" s="2" t="s">
        <v>9355</v>
      </c>
      <c r="C9280" s="2" t="str">
        <f>"17415365"</f>
        <v>17415365</v>
      </c>
      <c r="D9280" s="2">
        <v>0.155</v>
      </c>
      <c r="E9280" s="2">
        <v>5</v>
      </c>
      <c r="F9280" s="2" t="s">
        <v>16</v>
      </c>
    </row>
    <row r="9281" spans="1:6" ht="25.5">
      <c r="A9281" s="2">
        <v>9278</v>
      </c>
      <c r="B9281" s="2" t="s">
        <v>9356</v>
      </c>
      <c r="C9281" s="2" t="str">
        <f>"20902832"</f>
        <v>20902832</v>
      </c>
      <c r="D9281" s="2">
        <v>0</v>
      </c>
      <c r="E9281" s="2">
        <v>4</v>
      </c>
      <c r="F9281" s="2" t="s">
        <v>523</v>
      </c>
    </row>
    <row r="9282" spans="1:6" ht="25.5">
      <c r="A9282" s="2">
        <v>9279</v>
      </c>
      <c r="B9282" s="2" t="s">
        <v>9357</v>
      </c>
      <c r="C9282" s="2" t="str">
        <f>"19315279"</f>
        <v>19315279</v>
      </c>
      <c r="D9282" s="2">
        <v>0.249</v>
      </c>
      <c r="E9282" s="2">
        <v>5</v>
      </c>
      <c r="F9282" s="2" t="s">
        <v>6</v>
      </c>
    </row>
    <row r="9283" spans="1:6" ht="25.5">
      <c r="A9283" s="2">
        <v>9280</v>
      </c>
      <c r="B9283" s="2" t="s">
        <v>9358</v>
      </c>
      <c r="C9283" s="2" t="str">
        <f>"17415306"</f>
        <v>17415306</v>
      </c>
      <c r="D9283" s="2">
        <v>0.28199999999999997</v>
      </c>
      <c r="E9283" s="2">
        <v>11</v>
      </c>
      <c r="F9283" s="2" t="s">
        <v>16</v>
      </c>
    </row>
    <row r="9284" spans="1:6" ht="25.5">
      <c r="A9284" s="2">
        <v>9281</v>
      </c>
      <c r="B9284" s="2" t="s">
        <v>9359</v>
      </c>
      <c r="C9284" s="2" t="str">
        <f>"01433369"</f>
        <v>01433369</v>
      </c>
      <c r="D9284" s="2">
        <v>0.36099999999999999</v>
      </c>
      <c r="E9284" s="2">
        <v>27</v>
      </c>
      <c r="F9284" s="2" t="s">
        <v>16</v>
      </c>
    </row>
    <row r="9285" spans="1:6" ht="25.5">
      <c r="A9285" s="2">
        <v>9282</v>
      </c>
      <c r="B9285" s="2" t="s">
        <v>9360</v>
      </c>
      <c r="C9285" s="2" t="str">
        <f>"17418208"</f>
        <v>17418208</v>
      </c>
      <c r="D9285" s="2">
        <v>0.26300000000000001</v>
      </c>
      <c r="E9285" s="2">
        <v>3</v>
      </c>
      <c r="F9285" s="2" t="s">
        <v>16</v>
      </c>
    </row>
    <row r="9286" spans="1:6" ht="25.5">
      <c r="A9286" s="2">
        <v>9283</v>
      </c>
      <c r="B9286" s="2" t="s">
        <v>9361</v>
      </c>
      <c r="C9286" s="2" t="str">
        <f>"1479148X"</f>
        <v>1479148X</v>
      </c>
      <c r="D9286" s="2">
        <v>0.20399999999999999</v>
      </c>
      <c r="E9286" s="2">
        <v>6</v>
      </c>
      <c r="F9286" s="2" t="s">
        <v>16</v>
      </c>
    </row>
    <row r="9287" spans="1:6" ht="25.5">
      <c r="A9287" s="2">
        <v>9284</v>
      </c>
      <c r="B9287" s="2" t="s">
        <v>9362</v>
      </c>
      <c r="C9287" s="2" t="str">
        <f>"14793113"</f>
        <v>14793113</v>
      </c>
      <c r="D9287" s="2">
        <v>0.16800000000000001</v>
      </c>
      <c r="E9287" s="2">
        <v>5</v>
      </c>
      <c r="F9287" s="2" t="s">
        <v>16</v>
      </c>
    </row>
    <row r="9288" spans="1:6" ht="25.5">
      <c r="A9288" s="2">
        <v>9285</v>
      </c>
      <c r="B9288" s="2" t="s">
        <v>9363</v>
      </c>
      <c r="C9288" s="2" t="str">
        <f>"09753540"</f>
        <v>09753540</v>
      </c>
      <c r="D9288" s="2">
        <v>0.187</v>
      </c>
      <c r="E9288" s="2">
        <v>2</v>
      </c>
      <c r="F9288" s="2" t="s">
        <v>488</v>
      </c>
    </row>
    <row r="9289" spans="1:6" ht="25.5">
      <c r="A9289" s="2">
        <v>9286</v>
      </c>
      <c r="B9289" s="2" t="s">
        <v>9364</v>
      </c>
      <c r="C9289" s="2" t="str">
        <f>"17456444"</f>
        <v>17456444</v>
      </c>
      <c r="D9289" s="2">
        <v>0.26100000000000001</v>
      </c>
      <c r="E9289" s="2">
        <v>5</v>
      </c>
      <c r="F9289" s="2" t="s">
        <v>16</v>
      </c>
    </row>
    <row r="9290" spans="1:6" ht="25.5">
      <c r="A9290" s="2">
        <v>9287</v>
      </c>
      <c r="B9290" s="2" t="s">
        <v>9365</v>
      </c>
      <c r="C9290" s="2" t="str">
        <f>"14733315"</f>
        <v>14733315</v>
      </c>
      <c r="D9290" s="2">
        <v>0.17899999999999999</v>
      </c>
      <c r="E9290" s="2">
        <v>9</v>
      </c>
      <c r="F9290" s="2" t="s">
        <v>16</v>
      </c>
    </row>
    <row r="9291" spans="1:6" ht="25.5">
      <c r="A9291" s="2">
        <v>9288</v>
      </c>
      <c r="B9291" s="2" t="s">
        <v>9366</v>
      </c>
      <c r="C9291" s="2" t="str">
        <f>"18164900"</f>
        <v>18164900</v>
      </c>
      <c r="D9291" s="2">
        <v>0.17899999999999999</v>
      </c>
      <c r="E9291" s="2">
        <v>4</v>
      </c>
      <c r="F9291" s="2" t="s">
        <v>43</v>
      </c>
    </row>
    <row r="9292" spans="1:6" ht="25.5">
      <c r="A9292" s="2">
        <v>9289</v>
      </c>
      <c r="B9292" s="2" t="s">
        <v>9367</v>
      </c>
      <c r="C9292" s="2" t="str">
        <f>"17415322"</f>
        <v>17415322</v>
      </c>
      <c r="D9292" s="2">
        <v>0.153</v>
      </c>
      <c r="E9292" s="2">
        <v>6</v>
      </c>
      <c r="F9292" s="2" t="s">
        <v>16</v>
      </c>
    </row>
    <row r="9293" spans="1:6" ht="25.5">
      <c r="A9293" s="2">
        <v>9290</v>
      </c>
      <c r="B9293" s="2" t="s">
        <v>9368</v>
      </c>
      <c r="C9293" s="2" t="str">
        <f>"13600648"</f>
        <v>13600648</v>
      </c>
      <c r="D9293" s="2">
        <v>0.39900000000000002</v>
      </c>
      <c r="E9293" s="2">
        <v>23</v>
      </c>
      <c r="F9293" s="2" t="s">
        <v>16</v>
      </c>
    </row>
    <row r="9294" spans="1:6" ht="25.5">
      <c r="A9294" s="2">
        <v>9291</v>
      </c>
      <c r="B9294" s="2" t="s">
        <v>9369</v>
      </c>
      <c r="C9294" s="2" t="str">
        <f>"02196913"</f>
        <v>02196913</v>
      </c>
      <c r="D9294" s="2">
        <v>0.47899999999999998</v>
      </c>
      <c r="E9294" s="2">
        <v>11</v>
      </c>
      <c r="F9294" s="2" t="s">
        <v>543</v>
      </c>
    </row>
    <row r="9295" spans="1:6" ht="25.5">
      <c r="A9295" s="2">
        <v>9292</v>
      </c>
      <c r="B9295" s="2" t="s">
        <v>9370</v>
      </c>
      <c r="C9295" s="2" t="str">
        <f>"17411114"</f>
        <v>17411114</v>
      </c>
      <c r="D9295" s="2">
        <v>0.61199999999999999</v>
      </c>
      <c r="E9295" s="2">
        <v>9</v>
      </c>
      <c r="F9295" s="2" t="s">
        <v>16</v>
      </c>
    </row>
    <row r="9296" spans="1:6" ht="25.5">
      <c r="A9296" s="2">
        <v>9293</v>
      </c>
      <c r="B9296" s="2" t="s">
        <v>9371</v>
      </c>
      <c r="C9296" s="2" t="str">
        <f>"17418216"</f>
        <v>17418216</v>
      </c>
      <c r="D9296" s="2">
        <v>0.26100000000000001</v>
      </c>
      <c r="E9296" s="2">
        <v>8</v>
      </c>
      <c r="F9296" s="2" t="s">
        <v>16</v>
      </c>
    </row>
    <row r="9297" spans="1:6" ht="25.5">
      <c r="A9297" s="2">
        <v>9294</v>
      </c>
      <c r="B9297" s="2" t="s">
        <v>9372</v>
      </c>
      <c r="C9297" s="2" t="str">
        <f>"15481107"</f>
        <v>15481107</v>
      </c>
      <c r="D9297" s="2">
        <v>0.13500000000000001</v>
      </c>
      <c r="E9297" s="2">
        <v>2</v>
      </c>
      <c r="F9297" s="2" t="s">
        <v>6</v>
      </c>
    </row>
    <row r="9298" spans="1:6" ht="25.5">
      <c r="A9298" s="2">
        <v>9295</v>
      </c>
      <c r="B9298" s="2" t="s">
        <v>9373</v>
      </c>
      <c r="C9298" s="2" t="str">
        <f>"17419212"</f>
        <v>17419212</v>
      </c>
      <c r="D9298" s="2">
        <v>0.373</v>
      </c>
      <c r="E9298" s="2">
        <v>10</v>
      </c>
      <c r="F9298" s="2" t="s">
        <v>16</v>
      </c>
    </row>
    <row r="9299" spans="1:6" ht="25.5">
      <c r="A9299" s="2">
        <v>9296</v>
      </c>
      <c r="B9299" s="2" t="s">
        <v>9374</v>
      </c>
      <c r="C9299" s="2" t="str">
        <f>"19380208"</f>
        <v>19380208</v>
      </c>
      <c r="D9299" s="2">
        <v>0.104</v>
      </c>
      <c r="E9299" s="2">
        <v>2</v>
      </c>
      <c r="F9299" s="2" t="s">
        <v>6</v>
      </c>
    </row>
    <row r="9300" spans="1:6" ht="25.5">
      <c r="A9300" s="2">
        <v>9297</v>
      </c>
      <c r="B9300" s="2" t="s">
        <v>9375</v>
      </c>
      <c r="C9300" s="2" t="str">
        <f>"15465004"</f>
        <v>15465004</v>
      </c>
      <c r="D9300" s="2">
        <v>0.311</v>
      </c>
      <c r="E9300" s="2">
        <v>15</v>
      </c>
      <c r="F9300" s="2" t="s">
        <v>6</v>
      </c>
    </row>
    <row r="9301" spans="1:6" ht="25.5">
      <c r="A9301" s="2">
        <v>9298</v>
      </c>
      <c r="B9301" s="2" t="s">
        <v>9376</v>
      </c>
      <c r="C9301" s="2" t="str">
        <f>"10498001"</f>
        <v>10498001</v>
      </c>
      <c r="D9301" s="2">
        <v>1.508</v>
      </c>
      <c r="E9301" s="2">
        <v>46</v>
      </c>
      <c r="F9301" s="2" t="s">
        <v>127</v>
      </c>
    </row>
    <row r="9302" spans="1:6" ht="25.5">
      <c r="A9302" s="2">
        <v>9299</v>
      </c>
      <c r="B9302" s="2" t="s">
        <v>9377</v>
      </c>
      <c r="C9302" s="2" t="str">
        <f>"11791403"</f>
        <v>11791403</v>
      </c>
      <c r="D9302" s="2">
        <v>0.26</v>
      </c>
      <c r="E9302" s="2">
        <v>5</v>
      </c>
      <c r="F9302" s="2" t="s">
        <v>503</v>
      </c>
    </row>
    <row r="9303" spans="1:6" ht="25.5">
      <c r="A9303" s="2">
        <v>9300</v>
      </c>
      <c r="B9303" s="2" t="s">
        <v>9378</v>
      </c>
      <c r="C9303" s="2" t="str">
        <f>"17411092"</f>
        <v>17411092</v>
      </c>
      <c r="D9303" s="2">
        <v>0.251</v>
      </c>
      <c r="E9303" s="2">
        <v>5</v>
      </c>
      <c r="F9303" s="2" t="s">
        <v>16</v>
      </c>
    </row>
    <row r="9304" spans="1:6" ht="25.5">
      <c r="A9304" s="2">
        <v>9301</v>
      </c>
      <c r="B9304" s="2" t="s">
        <v>9379</v>
      </c>
      <c r="C9304" s="2" t="str">
        <f>"10689605"</f>
        <v>10689605</v>
      </c>
      <c r="D9304" s="2">
        <v>0.34599999999999997</v>
      </c>
      <c r="E9304" s="2">
        <v>18</v>
      </c>
      <c r="F9304" s="2" t="s">
        <v>6</v>
      </c>
    </row>
    <row r="9305" spans="1:6" ht="25.5">
      <c r="A9305" s="2">
        <v>9302</v>
      </c>
      <c r="B9305" s="2" t="s">
        <v>9380</v>
      </c>
      <c r="C9305" s="2" t="str">
        <f>"11791411"</f>
        <v>11791411</v>
      </c>
      <c r="D9305" s="2">
        <v>0.443</v>
      </c>
      <c r="E9305" s="2">
        <v>8</v>
      </c>
      <c r="F9305" s="2" t="s">
        <v>503</v>
      </c>
    </row>
    <row r="9306" spans="1:6" ht="25.5">
      <c r="A9306" s="2">
        <v>9303</v>
      </c>
      <c r="B9306" s="2" t="s">
        <v>9381</v>
      </c>
      <c r="C9306" s="2" t="str">
        <f>"20439040"</f>
        <v>20439040</v>
      </c>
      <c r="D9306" s="2">
        <v>0</v>
      </c>
      <c r="E9306" s="2">
        <v>0</v>
      </c>
      <c r="F9306" s="2" t="s">
        <v>31</v>
      </c>
    </row>
    <row r="9307" spans="1:6" ht="25.5">
      <c r="A9307" s="2">
        <v>9304</v>
      </c>
      <c r="B9307" s="2" t="s">
        <v>9382</v>
      </c>
      <c r="C9307" s="2" t="str">
        <f>"17408946"</f>
        <v>17408946</v>
      </c>
      <c r="D9307" s="2">
        <v>0.20300000000000001</v>
      </c>
      <c r="E9307" s="2">
        <v>7</v>
      </c>
      <c r="F9307" s="2" t="s">
        <v>16</v>
      </c>
    </row>
    <row r="9308" spans="1:6" ht="25.5">
      <c r="A9308" s="2">
        <v>9305</v>
      </c>
      <c r="B9308" s="2" t="s">
        <v>9383</v>
      </c>
      <c r="C9308" s="2" t="str">
        <f>"17538351"</f>
        <v>17538351</v>
      </c>
      <c r="D9308" s="2">
        <v>0.20300000000000001</v>
      </c>
      <c r="E9308" s="2">
        <v>3</v>
      </c>
      <c r="F9308" s="2" t="s">
        <v>16</v>
      </c>
    </row>
    <row r="9309" spans="1:6" ht="25.5">
      <c r="A9309" s="2">
        <v>9306</v>
      </c>
      <c r="B9309" s="2" t="s">
        <v>9384</v>
      </c>
      <c r="C9309" s="2" t="str">
        <f>"15312054"</f>
        <v>15312054</v>
      </c>
      <c r="D9309" s="2">
        <v>0.114</v>
      </c>
      <c r="E9309" s="2">
        <v>1</v>
      </c>
      <c r="F9309" s="2" t="s">
        <v>6</v>
      </c>
    </row>
    <row r="9310" spans="1:6" ht="25.5">
      <c r="A9310" s="2">
        <v>9307</v>
      </c>
      <c r="B9310" s="2" t="s">
        <v>9385</v>
      </c>
      <c r="C9310" s="2" t="str">
        <f>"18119786"</f>
        <v>18119786</v>
      </c>
      <c r="D9310" s="2">
        <v>0.32500000000000001</v>
      </c>
      <c r="E9310" s="2">
        <v>6</v>
      </c>
      <c r="F9310" s="2" t="s">
        <v>43</v>
      </c>
    </row>
    <row r="9311" spans="1:6" ht="25.5">
      <c r="A9311" s="2">
        <v>9308</v>
      </c>
      <c r="B9311" s="2" t="s">
        <v>9386</v>
      </c>
      <c r="C9311" s="2" t="str">
        <f>"16878477"</f>
        <v>16878477</v>
      </c>
      <c r="D9311" s="2">
        <v>0.20200000000000001</v>
      </c>
      <c r="E9311" s="2">
        <v>3</v>
      </c>
      <c r="F9311" s="2" t="s">
        <v>6</v>
      </c>
    </row>
    <row r="9312" spans="1:6" ht="25.5">
      <c r="A9312" s="2">
        <v>9309</v>
      </c>
      <c r="B9312" s="2" t="s">
        <v>9387</v>
      </c>
      <c r="C9312" s="2" t="str">
        <f>"15219429"</f>
        <v>15219429</v>
      </c>
      <c r="D9312" s="2">
        <v>0.19500000000000001</v>
      </c>
      <c r="E9312" s="2">
        <v>4</v>
      </c>
      <c r="F9312" s="2" t="s">
        <v>6</v>
      </c>
    </row>
    <row r="9313" spans="1:6" ht="25.5">
      <c r="A9313" s="2">
        <v>9310</v>
      </c>
      <c r="B9313" s="2" t="s">
        <v>9388</v>
      </c>
      <c r="C9313" s="2" t="str">
        <f>"02182130"</f>
        <v>02182130</v>
      </c>
      <c r="D9313" s="2">
        <v>0.29399999999999998</v>
      </c>
      <c r="E9313" s="2">
        <v>13</v>
      </c>
      <c r="F9313" s="2" t="s">
        <v>543</v>
      </c>
    </row>
    <row r="9314" spans="1:6" ht="25.5">
      <c r="A9314" s="2">
        <v>9311</v>
      </c>
      <c r="B9314" s="2" t="s">
        <v>9389</v>
      </c>
      <c r="C9314" s="2" t="str">
        <f>"14325012"</f>
        <v>14325012</v>
      </c>
      <c r="D9314" s="2">
        <v>0.64900000000000002</v>
      </c>
      <c r="E9314" s="2">
        <v>22</v>
      </c>
      <c r="F9314" s="2" t="s">
        <v>12</v>
      </c>
    </row>
    <row r="9315" spans="1:6" ht="25.5">
      <c r="A9315" s="2">
        <v>9312</v>
      </c>
      <c r="B9315" s="2" t="s">
        <v>9390</v>
      </c>
      <c r="C9315" s="2" t="str">
        <f>"1565012X"</f>
        <v>1565012X</v>
      </c>
      <c r="D9315" s="2">
        <v>0.30099999999999999</v>
      </c>
      <c r="E9315" s="2">
        <v>12</v>
      </c>
      <c r="F9315" s="2" t="s">
        <v>2065</v>
      </c>
    </row>
    <row r="9316" spans="1:6" ht="25.5">
      <c r="A9316" s="2">
        <v>9313</v>
      </c>
      <c r="B9316" s="2" t="s">
        <v>9391</v>
      </c>
      <c r="C9316" s="2" t="str">
        <f>"14332833"</f>
        <v>14332833</v>
      </c>
      <c r="D9316" s="2">
        <v>0.78700000000000003</v>
      </c>
      <c r="E9316" s="2">
        <v>20</v>
      </c>
      <c r="F9316" s="2" t="s">
        <v>12</v>
      </c>
    </row>
    <row r="9317" spans="1:6" ht="25.5">
      <c r="A9317" s="2">
        <v>9314</v>
      </c>
      <c r="B9317" s="2" t="s">
        <v>9392</v>
      </c>
      <c r="C9317" s="2" t="str">
        <f>"20856830"</f>
        <v>20856830</v>
      </c>
      <c r="D9317" s="2">
        <v>0.14699999999999999</v>
      </c>
      <c r="E9317" s="2">
        <v>3</v>
      </c>
      <c r="F9317" s="2" t="s">
        <v>297</v>
      </c>
    </row>
    <row r="9318" spans="1:6" ht="25.5">
      <c r="A9318" s="2">
        <v>9315</v>
      </c>
      <c r="B9318" s="2" t="s">
        <v>9393</v>
      </c>
      <c r="C9318" s="2" t="str">
        <f>"13522523"</f>
        <v>13522523</v>
      </c>
      <c r="D9318" s="2">
        <v>0.14499999999999999</v>
      </c>
      <c r="E9318" s="2">
        <v>8</v>
      </c>
      <c r="F9318" s="2" t="s">
        <v>16</v>
      </c>
    </row>
    <row r="9319" spans="1:6" ht="25.5">
      <c r="A9319" s="2">
        <v>9316</v>
      </c>
      <c r="B9319" s="2" t="s">
        <v>9394</v>
      </c>
      <c r="C9319" s="2" t="str">
        <f>"19552513"</f>
        <v>19552513</v>
      </c>
      <c r="D9319" s="2">
        <v>0.372</v>
      </c>
      <c r="E9319" s="2">
        <v>5</v>
      </c>
      <c r="F9319" s="2" t="s">
        <v>66</v>
      </c>
    </row>
    <row r="9320" spans="1:6" ht="25.5">
      <c r="A9320" s="2">
        <v>9317</v>
      </c>
      <c r="B9320" s="2" t="s">
        <v>9395</v>
      </c>
      <c r="C9320" s="2" t="str">
        <f>"11785608"</f>
        <v>11785608</v>
      </c>
      <c r="D9320" s="2">
        <v>0.253</v>
      </c>
      <c r="E9320" s="2">
        <v>5</v>
      </c>
      <c r="F9320" s="2" t="s">
        <v>503</v>
      </c>
    </row>
    <row r="9321" spans="1:6" ht="25.5">
      <c r="A9321" s="2">
        <v>9318</v>
      </c>
      <c r="B9321" s="2" t="s">
        <v>9396</v>
      </c>
      <c r="C9321" s="2" t="str">
        <f>"14332787"</f>
        <v>14332787</v>
      </c>
      <c r="D9321" s="2">
        <v>0.85199999999999998</v>
      </c>
      <c r="E9321" s="2">
        <v>20</v>
      </c>
      <c r="F9321" s="2" t="s">
        <v>12</v>
      </c>
    </row>
    <row r="9322" spans="1:6" ht="25.5">
      <c r="A9322" s="2">
        <v>9319</v>
      </c>
      <c r="B9322" s="2" t="s">
        <v>9397</v>
      </c>
      <c r="C9322" s="2" t="str">
        <f>"14716445"</f>
        <v>14716445</v>
      </c>
      <c r="D9322" s="2">
        <v>0.16700000000000001</v>
      </c>
      <c r="E9322" s="2">
        <v>8</v>
      </c>
      <c r="F9322" s="2" t="s">
        <v>16</v>
      </c>
    </row>
    <row r="9323" spans="1:6" ht="25.5">
      <c r="A9323" s="2">
        <v>9320</v>
      </c>
      <c r="B9323" s="2" t="s">
        <v>9398</v>
      </c>
      <c r="C9323" s="2" t="str">
        <f>"1564913X"</f>
        <v>1564913X</v>
      </c>
      <c r="D9323" s="2">
        <v>0.32900000000000001</v>
      </c>
      <c r="E9323" s="2">
        <v>22</v>
      </c>
      <c r="F9323" s="2" t="s">
        <v>31</v>
      </c>
    </row>
    <row r="9324" spans="1:6" ht="25.5">
      <c r="A9324" s="2">
        <v>9321</v>
      </c>
      <c r="B9324" s="2" t="s">
        <v>9399</v>
      </c>
      <c r="C9324" s="2" t="str">
        <f>"16419251"</f>
        <v>16419251</v>
      </c>
      <c r="D9324" s="2">
        <v>0.16200000000000001</v>
      </c>
      <c r="E9324" s="2">
        <v>6</v>
      </c>
      <c r="F9324" s="2" t="s">
        <v>169</v>
      </c>
    </row>
    <row r="9325" spans="1:6" ht="25.5">
      <c r="A9325" s="2">
        <v>9322</v>
      </c>
      <c r="B9325" s="2" t="s">
        <v>9400</v>
      </c>
      <c r="C9325" s="2" t="str">
        <f>"02651335"</f>
        <v>02651335</v>
      </c>
      <c r="D9325" s="2">
        <v>0.55500000000000005</v>
      </c>
      <c r="E9325" s="2">
        <v>40</v>
      </c>
      <c r="F9325" s="2" t="s">
        <v>16</v>
      </c>
    </row>
    <row r="9326" spans="1:6" ht="25.5">
      <c r="A9326" s="2">
        <v>9323</v>
      </c>
      <c r="B9326" s="2" t="s">
        <v>9401</v>
      </c>
      <c r="C9326" s="2" t="str">
        <f>"09506608"</f>
        <v>09506608</v>
      </c>
      <c r="D9326" s="2">
        <v>3.3290000000000002</v>
      </c>
      <c r="E9326" s="2">
        <v>56</v>
      </c>
      <c r="F9326" s="2" t="s">
        <v>16</v>
      </c>
    </row>
    <row r="9327" spans="1:6" ht="25.5">
      <c r="A9327" s="2">
        <v>9324</v>
      </c>
      <c r="B9327" s="2" t="s">
        <v>9402</v>
      </c>
      <c r="C9327" s="2" t="str">
        <f>"16870247"</f>
        <v>16870247</v>
      </c>
      <c r="D9327" s="2">
        <v>1.5940000000000001</v>
      </c>
      <c r="E9327" s="2">
        <v>32</v>
      </c>
      <c r="F9327" s="2" t="s">
        <v>16</v>
      </c>
    </row>
    <row r="9328" spans="1:6" ht="25.5">
      <c r="A9328" s="2">
        <v>9325</v>
      </c>
      <c r="B9328" s="2" t="s">
        <v>9403</v>
      </c>
      <c r="C9328" s="2" t="str">
        <f>"1179142X"</f>
        <v>1179142X</v>
      </c>
      <c r="D9328" s="2">
        <v>0.10299999999999999</v>
      </c>
      <c r="E9328" s="2">
        <v>1</v>
      </c>
      <c r="F9328" s="2" t="s">
        <v>503</v>
      </c>
    </row>
    <row r="9329" spans="1:6" ht="25.5">
      <c r="A9329" s="2">
        <v>9326</v>
      </c>
      <c r="B9329" s="2" t="s">
        <v>9404</v>
      </c>
      <c r="C9329" s="2" t="str">
        <f>"13412051"</f>
        <v>13412051</v>
      </c>
      <c r="D9329" s="2">
        <v>0.189</v>
      </c>
      <c r="E9329" s="2">
        <v>9</v>
      </c>
      <c r="F9329" s="2" t="s">
        <v>131</v>
      </c>
    </row>
    <row r="9330" spans="1:6" ht="25.5">
      <c r="A9330" s="2">
        <v>9327</v>
      </c>
      <c r="B9330" s="2" t="s">
        <v>9405</v>
      </c>
      <c r="C9330" s="2" t="str">
        <f>"18234631"</f>
        <v>18234631</v>
      </c>
      <c r="D9330" s="2">
        <v>0.10100000000000001</v>
      </c>
      <c r="E9330" s="2">
        <v>1</v>
      </c>
      <c r="F9330" s="2" t="s">
        <v>37</v>
      </c>
    </row>
    <row r="9331" spans="1:6" ht="25.5">
      <c r="A9331" s="2">
        <v>9328</v>
      </c>
      <c r="B9331" s="2" t="s">
        <v>9406</v>
      </c>
      <c r="C9331" s="2" t="str">
        <f>"16181905"</f>
        <v>16181905</v>
      </c>
      <c r="D9331" s="2">
        <v>0.749</v>
      </c>
      <c r="E9331" s="2">
        <v>38</v>
      </c>
      <c r="F9331" s="2" t="s">
        <v>351</v>
      </c>
    </row>
    <row r="9332" spans="1:6" ht="25.5">
      <c r="A9332" s="2">
        <v>9329</v>
      </c>
      <c r="B9332" s="2" t="s">
        <v>9407</v>
      </c>
      <c r="C9332" s="2" t="str">
        <f>"14682435"</f>
        <v>14682435</v>
      </c>
      <c r="D9332" s="2">
        <v>0.61799999999999999</v>
      </c>
      <c r="E9332" s="2">
        <v>26</v>
      </c>
      <c r="F9332" s="2" t="s">
        <v>16</v>
      </c>
    </row>
    <row r="9333" spans="1:6" ht="25.5">
      <c r="A9333" s="2">
        <v>9330</v>
      </c>
      <c r="B9333" s="2" t="s">
        <v>9408</v>
      </c>
      <c r="C9333" s="2" t="str">
        <f>"01979183"</f>
        <v>01979183</v>
      </c>
      <c r="D9333" s="2">
        <v>1.288</v>
      </c>
      <c r="E9333" s="2">
        <v>47</v>
      </c>
      <c r="F9333" s="2" t="s">
        <v>16</v>
      </c>
    </row>
    <row r="9334" spans="1:6" ht="25.5">
      <c r="A9334" s="2">
        <v>9331</v>
      </c>
      <c r="B9334" s="2" t="s">
        <v>9409</v>
      </c>
      <c r="C9334" s="2" t="str">
        <f>"14693410"</f>
        <v>14693410</v>
      </c>
      <c r="D9334" s="2">
        <v>0.47299999999999998</v>
      </c>
      <c r="E9334" s="2">
        <v>17</v>
      </c>
      <c r="F9334" s="2" t="s">
        <v>16</v>
      </c>
    </row>
    <row r="9335" spans="1:6" ht="25.5">
      <c r="A9335" s="2">
        <v>9332</v>
      </c>
      <c r="B9335" s="2" t="s">
        <v>9410</v>
      </c>
      <c r="C9335" s="2" t="str">
        <f>"19313160"</f>
        <v>19313160</v>
      </c>
      <c r="D9335" s="2">
        <v>0.24</v>
      </c>
      <c r="E9335" s="2">
        <v>3</v>
      </c>
      <c r="F9335" s="2" t="s">
        <v>16</v>
      </c>
    </row>
    <row r="9336" spans="1:6" ht="25.5">
      <c r="A9336" s="2">
        <v>9333</v>
      </c>
      <c r="B9336" s="2" t="s">
        <v>9411</v>
      </c>
      <c r="C9336" s="2" t="str">
        <f>"17536146"</f>
        <v>17536146</v>
      </c>
      <c r="D9336" s="2">
        <v>0.13100000000000001</v>
      </c>
      <c r="E9336" s="2">
        <v>1</v>
      </c>
      <c r="F9336" s="2" t="s">
        <v>16</v>
      </c>
    </row>
    <row r="9337" spans="1:6" ht="25.5">
      <c r="A9337" s="2">
        <v>9334</v>
      </c>
      <c r="B9337" s="2" t="s">
        <v>9412</v>
      </c>
      <c r="C9337" s="2" t="str">
        <f>"15718069"</f>
        <v>15718069</v>
      </c>
      <c r="D9337" s="2">
        <v>0.52400000000000002</v>
      </c>
      <c r="E9337" s="2">
        <v>6</v>
      </c>
      <c r="F9337" s="2" t="s">
        <v>75</v>
      </c>
    </row>
    <row r="9338" spans="1:6" ht="25.5">
      <c r="A9338" s="2">
        <v>9335</v>
      </c>
      <c r="B9338" s="2" t="s">
        <v>9413</v>
      </c>
      <c r="C9338" s="2" t="str">
        <f>"20934777"</f>
        <v>20934777</v>
      </c>
      <c r="D9338" s="2">
        <v>0.39</v>
      </c>
      <c r="E9338" s="2">
        <v>5</v>
      </c>
      <c r="F9338" s="2" t="s">
        <v>274</v>
      </c>
    </row>
    <row r="9339" spans="1:6" ht="25.5">
      <c r="A9339" s="2">
        <v>9336</v>
      </c>
      <c r="B9339" s="2" t="s">
        <v>9414</v>
      </c>
      <c r="C9339" s="2" t="str">
        <f>"14667657"</f>
        <v>14667657</v>
      </c>
      <c r="D9339" s="2">
        <v>0.56699999999999995</v>
      </c>
      <c r="E9339" s="2">
        <v>24</v>
      </c>
      <c r="F9339" s="2" t="s">
        <v>16</v>
      </c>
    </row>
    <row r="9340" spans="1:6" ht="25.5">
      <c r="A9340" s="2">
        <v>9337</v>
      </c>
      <c r="B9340" s="2" t="s">
        <v>9415</v>
      </c>
      <c r="C9340" s="2" t="str">
        <f>"15732630"</f>
        <v>15732630</v>
      </c>
      <c r="D9340" s="2">
        <v>0.55000000000000004</v>
      </c>
      <c r="E9340" s="2">
        <v>26</v>
      </c>
      <c r="F9340" s="2" t="s">
        <v>75</v>
      </c>
    </row>
    <row r="9341" spans="1:6" ht="25.5">
      <c r="A9341" s="2">
        <v>9338</v>
      </c>
      <c r="B9341" s="2" t="s">
        <v>9416</v>
      </c>
      <c r="C9341" s="2" t="str">
        <f>"00208167"</f>
        <v>00208167</v>
      </c>
      <c r="D9341" s="2">
        <v>0.59299999999999997</v>
      </c>
      <c r="E9341" s="2">
        <v>27</v>
      </c>
      <c r="F9341" s="2" t="s">
        <v>6</v>
      </c>
    </row>
    <row r="9342" spans="1:6" ht="25.5">
      <c r="A9342" s="2">
        <v>9339</v>
      </c>
      <c r="B9342" s="2" t="s">
        <v>9417</v>
      </c>
      <c r="C9342" s="2" t="str">
        <f>"15315088"</f>
        <v>15315088</v>
      </c>
      <c r="D9342" s="2">
        <v>5.95</v>
      </c>
      <c r="E9342" s="2">
        <v>67</v>
      </c>
      <c r="F9342" s="2" t="s">
        <v>16</v>
      </c>
    </row>
    <row r="9343" spans="1:6" ht="25.5">
      <c r="A9343" s="2">
        <v>9340</v>
      </c>
      <c r="B9343" s="2" t="s">
        <v>9418</v>
      </c>
      <c r="C9343" s="2" t="str">
        <f>"15723747"</f>
        <v>15723747</v>
      </c>
      <c r="D9343" s="2">
        <v>0.221</v>
      </c>
      <c r="E9343" s="2">
        <v>6</v>
      </c>
      <c r="F9343" s="2" t="s">
        <v>75</v>
      </c>
    </row>
    <row r="9344" spans="1:6" ht="25.5">
      <c r="A9344" s="2">
        <v>9341</v>
      </c>
      <c r="B9344" s="2" t="s">
        <v>9419</v>
      </c>
      <c r="C9344" s="2" t="str">
        <f>"17617227"</f>
        <v>17617227</v>
      </c>
      <c r="D9344" s="2">
        <v>0.17199999999999999</v>
      </c>
      <c r="E9344" s="2">
        <v>4</v>
      </c>
      <c r="F9344" s="2" t="s">
        <v>66</v>
      </c>
    </row>
    <row r="9345" spans="1:6" ht="25.5">
      <c r="A9345" s="2">
        <v>9342</v>
      </c>
      <c r="B9345" s="2" t="s">
        <v>9420</v>
      </c>
      <c r="C9345" s="2" t="str">
        <f>"1879680X"</f>
        <v>1879680X</v>
      </c>
      <c r="D9345" s="2">
        <v>0.109</v>
      </c>
      <c r="E9345" s="2">
        <v>0</v>
      </c>
      <c r="F9345" s="2" t="s">
        <v>66</v>
      </c>
    </row>
    <row r="9346" spans="1:6" ht="25.5">
      <c r="A9346" s="2">
        <v>9343</v>
      </c>
      <c r="B9346" s="2" t="s">
        <v>9421</v>
      </c>
      <c r="C9346" s="2" t="str">
        <f>"14325195"</f>
        <v>14325195</v>
      </c>
      <c r="D9346" s="2">
        <v>1.339</v>
      </c>
      <c r="E9346" s="2">
        <v>42</v>
      </c>
      <c r="F9346" s="2" t="s">
        <v>12</v>
      </c>
    </row>
    <row r="9347" spans="1:6" ht="25.5">
      <c r="A9347" s="2">
        <v>9344</v>
      </c>
      <c r="B9347" s="2" t="s">
        <v>9422</v>
      </c>
      <c r="C9347" s="2" t="str">
        <f>"1743906X"</f>
        <v>1743906X</v>
      </c>
      <c r="D9347" s="2">
        <v>0.41</v>
      </c>
      <c r="E9347" s="2">
        <v>5</v>
      </c>
      <c r="F9347" s="2" t="s">
        <v>16</v>
      </c>
    </row>
    <row r="9348" spans="1:6" ht="25.5">
      <c r="A9348" s="2">
        <v>9345</v>
      </c>
      <c r="B9348" s="2" t="s">
        <v>9423</v>
      </c>
      <c r="C9348" s="2" t="str">
        <f>"19440405"</f>
        <v>19440405</v>
      </c>
      <c r="D9348" s="2">
        <v>0.49399999999999999</v>
      </c>
      <c r="E9348" s="2">
        <v>35</v>
      </c>
      <c r="F9348" s="2" t="s">
        <v>6</v>
      </c>
    </row>
    <row r="9349" spans="1:6" ht="25.5">
      <c r="A9349" s="2">
        <v>9346</v>
      </c>
      <c r="B9349" s="2" t="s">
        <v>9424</v>
      </c>
      <c r="C9349" s="2" t="str">
        <f>"0"</f>
        <v>0</v>
      </c>
      <c r="D9349" s="2">
        <v>0</v>
      </c>
      <c r="E9349" s="2">
        <v>0</v>
      </c>
      <c r="F9349" s="2" t="s">
        <v>6</v>
      </c>
    </row>
    <row r="9350" spans="1:6" ht="25.5">
      <c r="A9350" s="2">
        <v>9347</v>
      </c>
      <c r="B9350" s="2" t="s">
        <v>9425</v>
      </c>
      <c r="C9350" s="2" t="str">
        <f>"14699265"</f>
        <v>14699265</v>
      </c>
      <c r="D9350" s="2">
        <v>0.48199999999999998</v>
      </c>
      <c r="E9350" s="2">
        <v>17</v>
      </c>
      <c r="F9350" s="2" t="s">
        <v>16</v>
      </c>
    </row>
    <row r="9351" spans="1:6" ht="25.5">
      <c r="A9351" s="2">
        <v>9348</v>
      </c>
      <c r="B9351" s="2" t="s">
        <v>9426</v>
      </c>
      <c r="C9351" s="2" t="str">
        <f>"1460373X"</f>
        <v>1460373X</v>
      </c>
      <c r="D9351" s="2">
        <v>0.4</v>
      </c>
      <c r="E9351" s="2">
        <v>21</v>
      </c>
      <c r="F9351" s="2" t="s">
        <v>16</v>
      </c>
    </row>
    <row r="9352" spans="1:6" ht="25.5">
      <c r="A9352" s="2">
        <v>9349</v>
      </c>
      <c r="B9352" s="2" t="s">
        <v>9427</v>
      </c>
      <c r="C9352" s="2" t="str">
        <f>"17495687"</f>
        <v>17495687</v>
      </c>
      <c r="D9352" s="2">
        <v>1.048</v>
      </c>
      <c r="E9352" s="2">
        <v>10</v>
      </c>
      <c r="F9352" s="2" t="s">
        <v>16</v>
      </c>
    </row>
    <row r="9353" spans="1:6" ht="25.5">
      <c r="A9353" s="2">
        <v>9350</v>
      </c>
      <c r="B9353" s="2" t="s">
        <v>9428</v>
      </c>
      <c r="C9353" s="2" t="str">
        <f>"17403898"</f>
        <v>17403898</v>
      </c>
      <c r="D9353" s="2">
        <v>0.29499999999999998</v>
      </c>
      <c r="E9353" s="2">
        <v>13</v>
      </c>
      <c r="F9353" s="2" t="s">
        <v>16</v>
      </c>
    </row>
    <row r="9354" spans="1:6" ht="25.5">
      <c r="A9354" s="2">
        <v>9351</v>
      </c>
      <c r="B9354" s="2" t="s">
        <v>9429</v>
      </c>
      <c r="C9354" s="2" t="str">
        <f>"0930777X"</f>
        <v>0930777X</v>
      </c>
      <c r="D9354" s="2">
        <v>0.29299999999999998</v>
      </c>
      <c r="E9354" s="2">
        <v>21</v>
      </c>
      <c r="F9354" s="2" t="s">
        <v>12</v>
      </c>
    </row>
    <row r="9355" spans="1:6" ht="25.5">
      <c r="A9355" s="2">
        <v>9352</v>
      </c>
      <c r="B9355" s="2" t="s">
        <v>9430</v>
      </c>
      <c r="C9355" s="2" t="str">
        <f>"0307174X"</f>
        <v>0307174X</v>
      </c>
      <c r="D9355" s="2">
        <v>0.1</v>
      </c>
      <c r="E9355" s="2">
        <v>0</v>
      </c>
      <c r="F9355" s="2" t="s">
        <v>16</v>
      </c>
    </row>
    <row r="9356" spans="1:6" ht="25.5">
      <c r="A9356" s="2">
        <v>9353</v>
      </c>
      <c r="B9356" s="2" t="s">
        <v>9431</v>
      </c>
      <c r="C9356" s="2" t="str">
        <f>"1741203X"</f>
        <v>1741203X</v>
      </c>
      <c r="D9356" s="2">
        <v>0.79900000000000004</v>
      </c>
      <c r="E9356" s="2">
        <v>51</v>
      </c>
      <c r="F9356" s="2" t="s">
        <v>16</v>
      </c>
    </row>
    <row r="9357" spans="1:6" ht="25.5">
      <c r="A9357" s="2">
        <v>9354</v>
      </c>
      <c r="B9357" s="2" t="s">
        <v>9432</v>
      </c>
      <c r="C9357" s="2" t="str">
        <f>"10967494"</f>
        <v>10967494</v>
      </c>
      <c r="D9357" s="2">
        <v>1.099</v>
      </c>
      <c r="E9357" s="2">
        <v>17</v>
      </c>
      <c r="F9357" s="2" t="s">
        <v>16</v>
      </c>
    </row>
    <row r="9358" spans="1:6" ht="25.5">
      <c r="A9358" s="2">
        <v>9355</v>
      </c>
      <c r="B9358" s="2" t="s">
        <v>9433</v>
      </c>
      <c r="C9358" s="2" t="str">
        <f>"15413519"</f>
        <v>15413519</v>
      </c>
      <c r="D9358" s="2">
        <v>0.14199999999999999</v>
      </c>
      <c r="E9358" s="2">
        <v>7</v>
      </c>
      <c r="F9358" s="2" t="s">
        <v>6</v>
      </c>
    </row>
    <row r="9359" spans="1:6" ht="25.5">
      <c r="A9359" s="2">
        <v>9356</v>
      </c>
      <c r="B9359" s="2" t="s">
        <v>9434</v>
      </c>
      <c r="C9359" s="2" t="str">
        <f>"01600176"</f>
        <v>01600176</v>
      </c>
      <c r="D9359" s="2">
        <v>0.52700000000000002</v>
      </c>
      <c r="E9359" s="2">
        <v>31</v>
      </c>
      <c r="F9359" s="2" t="s">
        <v>6</v>
      </c>
    </row>
    <row r="9360" spans="1:6" ht="25.5">
      <c r="A9360" s="2">
        <v>9357</v>
      </c>
      <c r="B9360" s="2" t="s">
        <v>9435</v>
      </c>
      <c r="C9360" s="2" t="str">
        <f>"17412862"</f>
        <v>17412862</v>
      </c>
      <c r="D9360" s="2">
        <v>0.92200000000000004</v>
      </c>
      <c r="E9360" s="2">
        <v>8</v>
      </c>
      <c r="F9360" s="2" t="s">
        <v>16</v>
      </c>
    </row>
    <row r="9361" spans="1:6" ht="25.5">
      <c r="A9361" s="2">
        <v>9358</v>
      </c>
      <c r="B9361" s="2" t="s">
        <v>9436</v>
      </c>
      <c r="C9361" s="2" t="str">
        <f>"1470482X"</f>
        <v>1470482X</v>
      </c>
      <c r="D9361" s="2">
        <v>0.97599999999999998</v>
      </c>
      <c r="E9361" s="2">
        <v>8</v>
      </c>
      <c r="F9361" s="2" t="s">
        <v>16</v>
      </c>
    </row>
    <row r="9362" spans="1:6" ht="25.5">
      <c r="A9362" s="2">
        <v>9359</v>
      </c>
      <c r="B9362" s="2" t="s">
        <v>9437</v>
      </c>
      <c r="C9362" s="2" t="str">
        <f>"17556201"</f>
        <v>17556201</v>
      </c>
      <c r="D9362" s="2">
        <v>0.10199999999999999</v>
      </c>
      <c r="E9362" s="2">
        <v>1</v>
      </c>
      <c r="F9362" s="2" t="s">
        <v>16</v>
      </c>
    </row>
    <row r="9363" spans="1:6" ht="25.5">
      <c r="A9363" s="2">
        <v>9360</v>
      </c>
      <c r="B9363" s="2" t="s">
        <v>9438</v>
      </c>
      <c r="C9363" s="2" t="str">
        <f>"10382046"</f>
        <v>10382046</v>
      </c>
      <c r="D9363" s="2">
        <v>0.26100000000000001</v>
      </c>
      <c r="E9363" s="2">
        <v>11</v>
      </c>
      <c r="F9363" s="2" t="s">
        <v>16</v>
      </c>
    </row>
    <row r="9364" spans="1:6" ht="25.5">
      <c r="A9364" s="2">
        <v>9361</v>
      </c>
      <c r="B9364" s="2" t="s">
        <v>9439</v>
      </c>
      <c r="C9364" s="2" t="str">
        <f>"14502887"</f>
        <v>14502887</v>
      </c>
      <c r="D9364" s="2">
        <v>0.23200000000000001</v>
      </c>
      <c r="E9364" s="2">
        <v>5</v>
      </c>
      <c r="F9364" s="2" t="s">
        <v>16</v>
      </c>
    </row>
    <row r="9365" spans="1:6" ht="25.5">
      <c r="A9365" s="2">
        <v>9362</v>
      </c>
      <c r="B9365" s="2" t="s">
        <v>9440</v>
      </c>
      <c r="C9365" s="2" t="str">
        <f>"10126902"</f>
        <v>10126902</v>
      </c>
      <c r="D9365" s="2">
        <v>1.4750000000000001</v>
      </c>
      <c r="E9365" s="2">
        <v>20</v>
      </c>
      <c r="F9365" s="2" t="s">
        <v>16</v>
      </c>
    </row>
    <row r="9366" spans="1:6" ht="25.5">
      <c r="A9366" s="2">
        <v>9363</v>
      </c>
      <c r="B9366" s="2" t="s">
        <v>9441</v>
      </c>
      <c r="C9366" s="2" t="str">
        <f>"14617226"</f>
        <v>14617226</v>
      </c>
      <c r="D9366" s="2">
        <v>0.66400000000000003</v>
      </c>
      <c r="E9366" s="2">
        <v>21</v>
      </c>
      <c r="F9366" s="2" t="s">
        <v>16</v>
      </c>
    </row>
    <row r="9367" spans="1:6" ht="25.5">
      <c r="A9367" s="2">
        <v>9364</v>
      </c>
      <c r="B9367" s="2" t="s">
        <v>9442</v>
      </c>
      <c r="C9367" s="2" t="str">
        <f>"10450920"</f>
        <v>10450920</v>
      </c>
      <c r="D9367" s="2">
        <v>0.1</v>
      </c>
      <c r="E9367" s="2">
        <v>0</v>
      </c>
      <c r="F9367" s="2" t="s">
        <v>6</v>
      </c>
    </row>
    <row r="9368" spans="1:6" ht="25.5">
      <c r="A9368" s="2">
        <v>9365</v>
      </c>
      <c r="B9368" s="2" t="s">
        <v>9443</v>
      </c>
      <c r="C9368" s="2" t="str">
        <f>"12329142"</f>
        <v>12329142</v>
      </c>
      <c r="D9368" s="2">
        <v>0.10199999999999999</v>
      </c>
      <c r="E9368" s="2">
        <v>6</v>
      </c>
      <c r="F9368" s="2" t="s">
        <v>169</v>
      </c>
    </row>
    <row r="9369" spans="1:6" ht="25.5">
      <c r="A9369" s="2">
        <v>9366</v>
      </c>
      <c r="B9369" s="2" t="s">
        <v>9444</v>
      </c>
      <c r="C9369" s="2" t="str">
        <f>"14653486"</f>
        <v>14653486</v>
      </c>
      <c r="D9369" s="2">
        <v>0.35099999999999998</v>
      </c>
      <c r="E9369" s="2">
        <v>16</v>
      </c>
      <c r="F9369" s="2" t="s">
        <v>16</v>
      </c>
    </row>
    <row r="9370" spans="1:6" ht="25.5">
      <c r="A9370" s="2">
        <v>9367</v>
      </c>
      <c r="B9370" s="2" t="s">
        <v>9445</v>
      </c>
      <c r="C9370" s="2" t="str">
        <f>"19746067"</f>
        <v>19746067</v>
      </c>
      <c r="D9370" s="2">
        <v>0</v>
      </c>
      <c r="E9370" s="2">
        <v>2</v>
      </c>
      <c r="F9370" s="2" t="s">
        <v>190</v>
      </c>
    </row>
    <row r="9371" spans="1:6" ht="25.5">
      <c r="A9371" s="2">
        <v>9368</v>
      </c>
      <c r="B9371" s="2" t="s">
        <v>9446</v>
      </c>
      <c r="C9371" s="2" t="str">
        <f>"19376448"</f>
        <v>19376448</v>
      </c>
      <c r="D9371" s="2">
        <v>1.772</v>
      </c>
      <c r="E9371" s="2">
        <v>82</v>
      </c>
      <c r="F9371" s="2" t="s">
        <v>6</v>
      </c>
    </row>
    <row r="9372" spans="1:6" ht="25.5">
      <c r="A9372" s="2">
        <v>9369</v>
      </c>
      <c r="B9372" s="2" t="s">
        <v>9447</v>
      </c>
      <c r="C9372" s="2" t="str">
        <f>"18651704"</f>
        <v>18651704</v>
      </c>
      <c r="D9372" s="2">
        <v>0.30399999999999999</v>
      </c>
      <c r="E9372" s="2">
        <v>4</v>
      </c>
      <c r="F9372" s="2" t="s">
        <v>12</v>
      </c>
    </row>
    <row r="9373" spans="1:6" ht="25.5">
      <c r="A9373" s="2">
        <v>9370</v>
      </c>
      <c r="B9373" s="2" t="s">
        <v>9448</v>
      </c>
      <c r="C9373" s="2" t="str">
        <f>"10590560"</f>
        <v>10590560</v>
      </c>
      <c r="D9373" s="2">
        <v>0.66700000000000004</v>
      </c>
      <c r="E9373" s="2">
        <v>21</v>
      </c>
      <c r="F9373" s="2" t="s">
        <v>6</v>
      </c>
    </row>
    <row r="9374" spans="1:6" ht="25.5">
      <c r="A9374" s="2">
        <v>9371</v>
      </c>
      <c r="B9374" s="2" t="s">
        <v>9449</v>
      </c>
      <c r="C9374" s="2" t="str">
        <f>"00208566"</f>
        <v>00208566</v>
      </c>
      <c r="D9374" s="2">
        <v>0.27700000000000002</v>
      </c>
      <c r="E9374" s="2">
        <v>15</v>
      </c>
      <c r="F9374" s="2" t="s">
        <v>75</v>
      </c>
    </row>
    <row r="9375" spans="1:6" ht="25.5">
      <c r="A9375" s="2">
        <v>9372</v>
      </c>
      <c r="B9375" s="2" t="s">
        <v>9450</v>
      </c>
      <c r="C9375" s="2" t="str">
        <f>"18276660"</f>
        <v>18276660</v>
      </c>
      <c r="D9375" s="2">
        <v>0.35799999999999998</v>
      </c>
      <c r="E9375" s="2">
        <v>18</v>
      </c>
      <c r="F9375" s="2" t="s">
        <v>190</v>
      </c>
    </row>
    <row r="9376" spans="1:6" ht="25.5">
      <c r="A9376" s="2">
        <v>9373</v>
      </c>
      <c r="B9376" s="2" t="s">
        <v>9451</v>
      </c>
      <c r="C9376" s="2" t="str">
        <f>"19321473"</f>
        <v>19321473</v>
      </c>
      <c r="D9376" s="2">
        <v>0.85099999999999998</v>
      </c>
      <c r="E9376" s="2">
        <v>6</v>
      </c>
      <c r="F9376" s="2" t="s">
        <v>6</v>
      </c>
    </row>
    <row r="9377" spans="1:6" ht="25.5">
      <c r="A9377" s="2">
        <v>9374</v>
      </c>
      <c r="B9377" s="2" t="s">
        <v>9452</v>
      </c>
      <c r="C9377" s="2" t="str">
        <f>"14682443"</f>
        <v>14682443</v>
      </c>
      <c r="D9377" s="2">
        <v>0.26</v>
      </c>
      <c r="E9377" s="2">
        <v>3</v>
      </c>
      <c r="F9377" s="2" t="s">
        <v>16</v>
      </c>
    </row>
    <row r="9378" spans="1:6" ht="25.5">
      <c r="A9378" s="2">
        <v>9375</v>
      </c>
      <c r="B9378" s="2" t="s">
        <v>9453</v>
      </c>
      <c r="C9378" s="2" t="str">
        <f>"10575219"</f>
        <v>10575219</v>
      </c>
      <c r="D9378" s="2">
        <v>0.41099999999999998</v>
      </c>
      <c r="E9378" s="2">
        <v>19</v>
      </c>
      <c r="F9378" s="2" t="s">
        <v>6</v>
      </c>
    </row>
    <row r="9379" spans="1:6" ht="25.5">
      <c r="A9379" s="2">
        <v>9376</v>
      </c>
      <c r="B9379" s="2" t="s">
        <v>9454</v>
      </c>
      <c r="C9379" s="2" t="str">
        <f>"15222632"</f>
        <v>15222632</v>
      </c>
      <c r="D9379" s="2">
        <v>0.46200000000000002</v>
      </c>
      <c r="E9379" s="2">
        <v>32</v>
      </c>
      <c r="F9379" s="2" t="s">
        <v>12</v>
      </c>
    </row>
    <row r="9380" spans="1:6" ht="25.5">
      <c r="A9380" s="2">
        <v>9377</v>
      </c>
      <c r="B9380" s="2" t="s">
        <v>9455</v>
      </c>
      <c r="C9380" s="2" t="str">
        <f>"01448188"</f>
        <v>01448188</v>
      </c>
      <c r="D9380" s="2">
        <v>0.45100000000000001</v>
      </c>
      <c r="E9380" s="2">
        <v>22</v>
      </c>
      <c r="F9380" s="2" t="s">
        <v>6</v>
      </c>
    </row>
    <row r="9381" spans="1:6" ht="25.5">
      <c r="A9381" s="2">
        <v>9378</v>
      </c>
      <c r="B9381" s="2" t="s">
        <v>9456</v>
      </c>
      <c r="C9381" s="2" t="str">
        <f>"13646885"</f>
        <v>13646885</v>
      </c>
      <c r="D9381" s="2">
        <v>0.14199999999999999</v>
      </c>
      <c r="E9381" s="2">
        <v>2</v>
      </c>
      <c r="F9381" s="2" t="s">
        <v>16</v>
      </c>
    </row>
    <row r="9382" spans="1:6" ht="25.5">
      <c r="A9382" s="2">
        <v>9379</v>
      </c>
      <c r="B9382" s="2" t="s">
        <v>9457</v>
      </c>
      <c r="C9382" s="2" t="str">
        <f>"19708734"</f>
        <v>19708734</v>
      </c>
      <c r="D9382" s="2">
        <v>0.22900000000000001</v>
      </c>
      <c r="E9382" s="2">
        <v>7</v>
      </c>
      <c r="F9382" s="2" t="s">
        <v>190</v>
      </c>
    </row>
    <row r="9383" spans="1:6" ht="25.5">
      <c r="A9383" s="2">
        <v>9380</v>
      </c>
      <c r="B9383" s="2" t="s">
        <v>9458</v>
      </c>
      <c r="C9383" s="2" t="str">
        <f>"00208582"</f>
        <v>00208582</v>
      </c>
      <c r="D9383" s="2">
        <v>0.111</v>
      </c>
      <c r="E9383" s="2">
        <v>1</v>
      </c>
      <c r="F9383" s="2" t="s">
        <v>16</v>
      </c>
    </row>
    <row r="9384" spans="1:6" ht="25.5">
      <c r="A9384" s="2">
        <v>9381</v>
      </c>
      <c r="B9384" s="2" t="s">
        <v>9459</v>
      </c>
      <c r="C9384" s="2" t="str">
        <f>"00747742"</f>
        <v>00747742</v>
      </c>
      <c r="D9384" s="2">
        <v>0.77400000000000002</v>
      </c>
      <c r="E9384" s="2">
        <v>51</v>
      </c>
      <c r="F9384" s="2" t="s">
        <v>6</v>
      </c>
    </row>
    <row r="9385" spans="1:6" ht="25.5">
      <c r="A9385" s="2">
        <v>9382</v>
      </c>
      <c r="B9385" s="2" t="s">
        <v>9460</v>
      </c>
      <c r="C9385" s="2" t="str">
        <f>"13691627"</f>
        <v>13691627</v>
      </c>
      <c r="D9385" s="2">
        <v>0.76900000000000002</v>
      </c>
      <c r="E9385" s="2">
        <v>43</v>
      </c>
      <c r="F9385" s="2" t="s">
        <v>16</v>
      </c>
    </row>
    <row r="9386" spans="1:6" ht="25.5">
      <c r="A9386" s="2">
        <v>9383</v>
      </c>
      <c r="B9386" s="2" t="s">
        <v>9461</v>
      </c>
      <c r="C9386" s="2" t="str">
        <f>"12294659"</f>
        <v>12294659</v>
      </c>
      <c r="D9386" s="2">
        <v>0.14399999999999999</v>
      </c>
      <c r="E9386" s="2">
        <v>2</v>
      </c>
      <c r="F9386" s="2" t="s">
        <v>274</v>
      </c>
    </row>
    <row r="9387" spans="1:6" ht="25.5">
      <c r="A9387" s="2">
        <v>9384</v>
      </c>
      <c r="B9387" s="2" t="s">
        <v>9462</v>
      </c>
      <c r="C9387" s="2" t="str">
        <f>"22116095"</f>
        <v>22116095</v>
      </c>
      <c r="D9387" s="2">
        <v>0.14499999999999999</v>
      </c>
      <c r="E9387" s="2">
        <v>1</v>
      </c>
      <c r="F9387" s="2" t="s">
        <v>75</v>
      </c>
    </row>
    <row r="9388" spans="1:6" ht="25.5">
      <c r="A9388" s="2">
        <v>9385</v>
      </c>
      <c r="B9388" s="2" t="s">
        <v>9463</v>
      </c>
      <c r="C9388" s="2" t="str">
        <f>"14923831"</f>
        <v>14923831</v>
      </c>
      <c r="D9388" s="2">
        <v>0.55100000000000005</v>
      </c>
      <c r="E9388" s="2">
        <v>21</v>
      </c>
      <c r="F9388" s="2" t="s">
        <v>64</v>
      </c>
    </row>
    <row r="9389" spans="1:6" ht="25.5">
      <c r="A9389" s="2">
        <v>9386</v>
      </c>
      <c r="B9389" s="2" t="s">
        <v>9464</v>
      </c>
      <c r="C9389" s="2" t="str">
        <f>"14664402"</f>
        <v>14664402</v>
      </c>
      <c r="D9389" s="2">
        <v>0.23499999999999999</v>
      </c>
      <c r="E9389" s="2">
        <v>5</v>
      </c>
      <c r="F9389" s="2" t="s">
        <v>16</v>
      </c>
    </row>
    <row r="9390" spans="1:6" ht="25.5">
      <c r="A9390" s="2">
        <v>9387</v>
      </c>
      <c r="B9390" s="2" t="s">
        <v>9465</v>
      </c>
      <c r="C9390" s="2" t="str">
        <f>"1469512X"</f>
        <v>1469512X</v>
      </c>
      <c r="D9390" s="2">
        <v>0.17499999999999999</v>
      </c>
      <c r="E9390" s="2">
        <v>11</v>
      </c>
      <c r="F9390" s="2" t="s">
        <v>16</v>
      </c>
    </row>
    <row r="9391" spans="1:6" ht="25.5">
      <c r="A9391" s="2">
        <v>9388</v>
      </c>
      <c r="B9391" s="2" t="s">
        <v>9466</v>
      </c>
      <c r="C9391" s="2" t="str">
        <f>"14699273"</f>
        <v>14699273</v>
      </c>
      <c r="D9391" s="2">
        <v>0.154</v>
      </c>
      <c r="E9391" s="2">
        <v>9</v>
      </c>
      <c r="F9391" s="2" t="s">
        <v>16</v>
      </c>
    </row>
    <row r="9392" spans="1:6" ht="25.5">
      <c r="A9392" s="2">
        <v>9389</v>
      </c>
      <c r="B9392" s="2" t="s">
        <v>9467</v>
      </c>
      <c r="C9392" s="2" t="str">
        <f>"17509858"</f>
        <v>17509858</v>
      </c>
      <c r="D9392" s="2">
        <v>0.85199999999999998</v>
      </c>
      <c r="E9392" s="2">
        <v>7</v>
      </c>
      <c r="F9392" s="2" t="s">
        <v>16</v>
      </c>
    </row>
    <row r="9393" spans="1:6" ht="25.5">
      <c r="A9393" s="2">
        <v>9390</v>
      </c>
      <c r="B9393" s="2" t="s">
        <v>9468</v>
      </c>
      <c r="C9393" s="2" t="str">
        <f>"03515796"</f>
        <v>03515796</v>
      </c>
      <c r="D9393" s="2">
        <v>0.10299999999999999</v>
      </c>
      <c r="E9393" s="2">
        <v>1</v>
      </c>
      <c r="F9393" s="2" t="s">
        <v>149</v>
      </c>
    </row>
    <row r="9394" spans="1:6" ht="25.5">
      <c r="A9394" s="2">
        <v>9391</v>
      </c>
      <c r="B9394" s="2" t="s">
        <v>9469</v>
      </c>
      <c r="C9394" s="2" t="str">
        <f>"18163831"</f>
        <v>18163831</v>
      </c>
      <c r="D9394" s="2">
        <v>0.20799999999999999</v>
      </c>
      <c r="E9394" s="2">
        <v>4</v>
      </c>
      <c r="F9394" s="2" t="s">
        <v>16</v>
      </c>
    </row>
    <row r="9395" spans="1:6" ht="25.5">
      <c r="A9395" s="2">
        <v>9392</v>
      </c>
      <c r="B9395" s="2" t="s">
        <v>9470</v>
      </c>
      <c r="C9395" s="2" t="str">
        <f>"02697580"</f>
        <v>02697580</v>
      </c>
      <c r="D9395" s="2">
        <v>0</v>
      </c>
      <c r="E9395" s="2">
        <v>1</v>
      </c>
      <c r="F9395" s="2" t="s">
        <v>16</v>
      </c>
    </row>
    <row r="9396" spans="1:6" ht="25.5">
      <c r="A9396" s="2">
        <v>9393</v>
      </c>
      <c r="B9396" s="2" t="s">
        <v>9471</v>
      </c>
      <c r="C9396" s="2" t="str">
        <f>"18286003"</f>
        <v>18286003</v>
      </c>
      <c r="D9396" s="2">
        <v>0.218</v>
      </c>
      <c r="E9396" s="2">
        <v>8</v>
      </c>
      <c r="F9396" s="2" t="s">
        <v>190</v>
      </c>
    </row>
    <row r="9397" spans="1:6" ht="25.5">
      <c r="A9397" s="2">
        <v>9394</v>
      </c>
      <c r="B9397" s="2" t="s">
        <v>9472</v>
      </c>
      <c r="C9397" s="2" t="str">
        <f>"19749821"</f>
        <v>19749821</v>
      </c>
      <c r="D9397" s="2">
        <v>0.29699999999999999</v>
      </c>
      <c r="E9397" s="2">
        <v>10</v>
      </c>
      <c r="F9397" s="2" t="s">
        <v>190</v>
      </c>
    </row>
    <row r="9398" spans="1:6" ht="25.5">
      <c r="A9398" s="2">
        <v>9395</v>
      </c>
      <c r="B9398" s="2" t="s">
        <v>9473</v>
      </c>
      <c r="C9398" s="2" t="str">
        <f>"18651992"</f>
        <v>18651992</v>
      </c>
      <c r="D9398" s="2">
        <v>0.21099999999999999</v>
      </c>
      <c r="E9398" s="2">
        <v>3</v>
      </c>
      <c r="F9398" s="2" t="s">
        <v>12</v>
      </c>
    </row>
    <row r="9399" spans="1:6" ht="25.5">
      <c r="A9399" s="2">
        <v>9396</v>
      </c>
      <c r="B9399" s="2" t="s">
        <v>9474</v>
      </c>
      <c r="C9399" s="2" t="str">
        <f>"1366591X"</f>
        <v>1366591X</v>
      </c>
      <c r="D9399" s="2">
        <v>2.2679999999999998</v>
      </c>
      <c r="E9399" s="2">
        <v>55</v>
      </c>
      <c r="F9399" s="2" t="s">
        <v>16</v>
      </c>
    </row>
    <row r="9400" spans="1:6" ht="25.5">
      <c r="A9400" s="2">
        <v>9397</v>
      </c>
      <c r="B9400" s="2" t="s">
        <v>9475</v>
      </c>
      <c r="C9400" s="2" t="str">
        <f>"08830185"</f>
        <v>08830185</v>
      </c>
      <c r="D9400" s="2">
        <v>2.133</v>
      </c>
      <c r="E9400" s="2">
        <v>46</v>
      </c>
      <c r="F9400" s="2" t="s">
        <v>16</v>
      </c>
    </row>
    <row r="9401" spans="1:6">
      <c r="A9401" s="2">
        <v>9398</v>
      </c>
      <c r="B9401" s="2" t="s">
        <v>9476</v>
      </c>
      <c r="C9401" s="2" t="str">
        <f>"0"</f>
        <v>0</v>
      </c>
      <c r="D9401" s="2">
        <v>0.1</v>
      </c>
      <c r="E9401" s="2">
        <v>11</v>
      </c>
      <c r="F9401" s="2" t="s">
        <v>6</v>
      </c>
    </row>
    <row r="9402" spans="1:6" ht="25.5">
      <c r="A9402" s="2">
        <v>9399</v>
      </c>
      <c r="B9402" s="2" t="s">
        <v>9477</v>
      </c>
      <c r="C9402" s="2" t="str">
        <f>"15314804"</f>
        <v>15314804</v>
      </c>
      <c r="D9402" s="2">
        <v>3.2669999999999999</v>
      </c>
      <c r="E9402" s="2">
        <v>51</v>
      </c>
      <c r="F9402" s="2" t="s">
        <v>6</v>
      </c>
    </row>
    <row r="9403" spans="1:6" ht="25.5">
      <c r="A9403" s="2">
        <v>9400</v>
      </c>
      <c r="B9403" s="2" t="s">
        <v>9478</v>
      </c>
      <c r="C9403" s="2" t="str">
        <f>"15662829"</f>
        <v>15662829</v>
      </c>
      <c r="D9403" s="2">
        <v>0.2</v>
      </c>
      <c r="E9403" s="2">
        <v>13</v>
      </c>
      <c r="F9403" s="2" t="s">
        <v>75</v>
      </c>
    </row>
    <row r="9404" spans="1:6" ht="25.5">
      <c r="A9404" s="2">
        <v>9401</v>
      </c>
      <c r="B9404" s="2" t="s">
        <v>9479</v>
      </c>
      <c r="C9404" s="2" t="str">
        <f>"02662426"</f>
        <v>02662426</v>
      </c>
      <c r="D9404" s="2">
        <v>1.121</v>
      </c>
      <c r="E9404" s="2">
        <v>31</v>
      </c>
      <c r="F9404" s="2" t="s">
        <v>16</v>
      </c>
    </row>
    <row r="9405" spans="1:6" ht="25.5">
      <c r="A9405" s="2">
        <v>9402</v>
      </c>
      <c r="B9405" s="2" t="s">
        <v>9480</v>
      </c>
      <c r="C9405" s="2" t="str">
        <f>"14682451"</f>
        <v>14682451</v>
      </c>
      <c r="D9405" s="2">
        <v>0.16400000000000001</v>
      </c>
      <c r="E9405" s="2">
        <v>19</v>
      </c>
      <c r="F9405" s="2" t="s">
        <v>16</v>
      </c>
    </row>
    <row r="9406" spans="1:6" ht="25.5">
      <c r="A9406" s="2">
        <v>9403</v>
      </c>
      <c r="B9406" s="2" t="s">
        <v>9481</v>
      </c>
      <c r="C9406" s="2" t="str">
        <f>"1468246X"</f>
        <v>1468246X</v>
      </c>
      <c r="D9406" s="2">
        <v>0.42399999999999999</v>
      </c>
      <c r="E9406" s="2">
        <v>6</v>
      </c>
      <c r="F9406" s="2" t="s">
        <v>16</v>
      </c>
    </row>
    <row r="9407" spans="1:6" ht="25.5">
      <c r="A9407" s="2">
        <v>9404</v>
      </c>
      <c r="B9407" s="2" t="s">
        <v>9482</v>
      </c>
      <c r="C9407" s="2" t="str">
        <f>"00208728"</f>
        <v>00208728</v>
      </c>
      <c r="D9407" s="2">
        <v>0.752</v>
      </c>
      <c r="E9407" s="2">
        <v>18</v>
      </c>
      <c r="F9407" s="2" t="s">
        <v>16</v>
      </c>
    </row>
    <row r="9408" spans="1:6" ht="25.5">
      <c r="A9408" s="2">
        <v>9405</v>
      </c>
      <c r="B9408" s="2" t="s">
        <v>9483</v>
      </c>
      <c r="C9408" s="2" t="str">
        <f>"02685809"</f>
        <v>02685809</v>
      </c>
      <c r="D9408" s="2">
        <v>0.47</v>
      </c>
      <c r="E9408" s="2">
        <v>24</v>
      </c>
      <c r="F9408" s="2" t="s">
        <v>16</v>
      </c>
    </row>
    <row r="9409" spans="1:6" ht="25.5">
      <c r="A9409" s="2">
        <v>9406</v>
      </c>
      <c r="B9409" s="2" t="s">
        <v>9484</v>
      </c>
      <c r="C9409" s="2" t="str">
        <f>"03932729"</f>
        <v>03932729</v>
      </c>
      <c r="D9409" s="2">
        <v>0.245</v>
      </c>
      <c r="E9409" s="2">
        <v>3</v>
      </c>
      <c r="F9409" s="2" t="s">
        <v>16</v>
      </c>
    </row>
    <row r="9410" spans="1:6" ht="25.5">
      <c r="A9410" s="2">
        <v>9407</v>
      </c>
      <c r="B9410" s="2" t="s">
        <v>9485</v>
      </c>
      <c r="C9410" s="2" t="str">
        <f>"15283356"</f>
        <v>15283356</v>
      </c>
      <c r="D9410" s="2">
        <v>0.33200000000000002</v>
      </c>
      <c r="E9410" s="2">
        <v>7</v>
      </c>
      <c r="F9410" s="2" t="s">
        <v>6</v>
      </c>
    </row>
    <row r="9411" spans="1:6" ht="25.5">
      <c r="A9411" s="2">
        <v>9408</v>
      </c>
      <c r="B9411" s="2" t="s">
        <v>9486</v>
      </c>
      <c r="C9411" s="2" t="str">
        <f>"03067734"</f>
        <v>03067734</v>
      </c>
      <c r="D9411" s="2">
        <v>0.433</v>
      </c>
      <c r="E9411" s="2">
        <v>30</v>
      </c>
      <c r="F9411" s="2" t="s">
        <v>75</v>
      </c>
    </row>
    <row r="9412" spans="1:6" ht="25.5">
      <c r="A9412" s="2">
        <v>9409</v>
      </c>
      <c r="B9412" s="2" t="s">
        <v>9487</v>
      </c>
      <c r="C9412" s="2" t="str">
        <f>"00208817"</f>
        <v>00208817</v>
      </c>
      <c r="D9412" s="2">
        <v>0.115</v>
      </c>
      <c r="E9412" s="2">
        <v>4</v>
      </c>
      <c r="F9412" s="2" t="s">
        <v>488</v>
      </c>
    </row>
    <row r="9413" spans="1:6" ht="25.5">
      <c r="A9413" s="2">
        <v>9410</v>
      </c>
      <c r="B9413" s="2" t="s">
        <v>9488</v>
      </c>
      <c r="C9413" s="2" t="str">
        <f>"19422547"</f>
        <v>19422547</v>
      </c>
      <c r="D9413" s="2">
        <v>0.122</v>
      </c>
      <c r="E9413" s="2">
        <v>2</v>
      </c>
      <c r="F9413" s="2" t="s">
        <v>16</v>
      </c>
    </row>
    <row r="9414" spans="1:6" ht="25.5">
      <c r="A9414" s="2">
        <v>9411</v>
      </c>
      <c r="B9414" s="2" t="s">
        <v>9489</v>
      </c>
      <c r="C9414" s="2" t="str">
        <f>"17475066"</f>
        <v>17475066</v>
      </c>
      <c r="D9414" s="2">
        <v>0.32800000000000001</v>
      </c>
      <c r="E9414" s="2">
        <v>6</v>
      </c>
      <c r="F9414" s="2" t="s">
        <v>16</v>
      </c>
    </row>
    <row r="9415" spans="1:6" ht="25.5">
      <c r="A9415" s="2">
        <v>9412</v>
      </c>
      <c r="B9415" s="2" t="s">
        <v>9490</v>
      </c>
      <c r="C9415" s="2" t="str">
        <f>"02698595"</f>
        <v>02698595</v>
      </c>
      <c r="D9415" s="2">
        <v>0.247</v>
      </c>
      <c r="E9415" s="2">
        <v>11</v>
      </c>
      <c r="F9415" s="2" t="s">
        <v>16</v>
      </c>
    </row>
    <row r="9416" spans="1:6" ht="25.5">
      <c r="A9416" s="2">
        <v>9413</v>
      </c>
      <c r="B9416" s="2" t="s">
        <v>9491</v>
      </c>
      <c r="C9416" s="2" t="str">
        <f>"15580911"</f>
        <v>15580911</v>
      </c>
      <c r="D9416" s="2">
        <v>0.22</v>
      </c>
      <c r="E9416" s="2">
        <v>5</v>
      </c>
      <c r="F9416" s="2" t="s">
        <v>6</v>
      </c>
    </row>
    <row r="9417" spans="1:6" ht="25.5">
      <c r="A9417" s="2">
        <v>9414</v>
      </c>
      <c r="B9417" s="2" t="s">
        <v>9492</v>
      </c>
      <c r="C9417" s="2" t="str">
        <f>"15283585"</f>
        <v>15283585</v>
      </c>
      <c r="D9417" s="2">
        <v>0.73899999999999999</v>
      </c>
      <c r="E9417" s="2">
        <v>17</v>
      </c>
      <c r="F9417" s="2" t="s">
        <v>16</v>
      </c>
    </row>
    <row r="9418" spans="1:6" ht="25.5">
      <c r="A9418" s="2">
        <v>9415</v>
      </c>
      <c r="B9418" s="2" t="s">
        <v>9493</v>
      </c>
      <c r="C9418" s="2" t="str">
        <f>"14682478"</f>
        <v>14682478</v>
      </c>
      <c r="D9418" s="2">
        <v>1.9119999999999999</v>
      </c>
      <c r="E9418" s="2">
        <v>45</v>
      </c>
      <c r="F9418" s="2" t="s">
        <v>16</v>
      </c>
    </row>
    <row r="9419" spans="1:6" ht="25.5">
      <c r="A9419" s="2">
        <v>9416</v>
      </c>
      <c r="B9419" s="2" t="s">
        <v>9494</v>
      </c>
      <c r="C9419" s="2" t="str">
        <f>"15219488"</f>
        <v>15219488</v>
      </c>
      <c r="D9419" s="2">
        <v>1.208</v>
      </c>
      <c r="E9419" s="2">
        <v>25</v>
      </c>
      <c r="F9419" s="2" t="s">
        <v>16</v>
      </c>
    </row>
    <row r="9420" spans="1:6" ht="25.5">
      <c r="A9420" s="2">
        <v>9417</v>
      </c>
      <c r="B9420" s="2" t="s">
        <v>9495</v>
      </c>
      <c r="C9420" s="2" t="str">
        <f>"00208841"</f>
        <v>00208841</v>
      </c>
      <c r="D9420" s="2">
        <v>0.23499999999999999</v>
      </c>
      <c r="E9420" s="2">
        <v>13</v>
      </c>
      <c r="F9420" s="2" t="s">
        <v>16</v>
      </c>
    </row>
    <row r="9421" spans="1:6" ht="25.5">
      <c r="A9421" s="2">
        <v>9418</v>
      </c>
      <c r="B9421" s="2" t="s">
        <v>9496</v>
      </c>
      <c r="C9421" s="2" t="str">
        <f>"00208868"</f>
        <v>00208868</v>
      </c>
      <c r="D9421" s="2">
        <v>0.2</v>
      </c>
      <c r="E9421" s="2">
        <v>28</v>
      </c>
      <c r="F9421" s="2" t="s">
        <v>6</v>
      </c>
    </row>
    <row r="9422" spans="1:6" ht="25.5">
      <c r="A9422" s="2">
        <v>9419</v>
      </c>
      <c r="B9422" s="2" t="s">
        <v>9497</v>
      </c>
      <c r="C9422" s="2" t="str">
        <f>"1524766X"</f>
        <v>1524766X</v>
      </c>
      <c r="D9422" s="2">
        <v>0.184</v>
      </c>
      <c r="E9422" s="2">
        <v>10</v>
      </c>
      <c r="F9422" s="2" t="s">
        <v>6</v>
      </c>
    </row>
    <row r="9423" spans="1:6" ht="25.5">
      <c r="A9423" s="2">
        <v>9420</v>
      </c>
      <c r="B9423" s="2" t="s">
        <v>9498</v>
      </c>
      <c r="C9423" s="2" t="str">
        <f>"15736970"</f>
        <v>15736970</v>
      </c>
      <c r="D9423" s="2">
        <v>0.624</v>
      </c>
      <c r="E9423" s="2">
        <v>26</v>
      </c>
      <c r="F9423" s="2" t="s">
        <v>6</v>
      </c>
    </row>
    <row r="9424" spans="1:6" ht="25.5">
      <c r="A9424" s="2">
        <v>9421</v>
      </c>
      <c r="B9424" s="2" t="s">
        <v>9499</v>
      </c>
      <c r="C9424" s="2" t="str">
        <f>"09465448"</f>
        <v>09465448</v>
      </c>
      <c r="D9424" s="2">
        <v>0.27800000000000002</v>
      </c>
      <c r="E9424" s="2">
        <v>17</v>
      </c>
      <c r="F9424" s="2" t="s">
        <v>6</v>
      </c>
    </row>
    <row r="9425" spans="1:6" ht="25.5">
      <c r="A9425" s="2">
        <v>9422</v>
      </c>
      <c r="B9425" s="2" t="s">
        <v>9500</v>
      </c>
      <c r="C9425" s="2" t="str">
        <f>"15210545"</f>
        <v>15210545</v>
      </c>
      <c r="D9425" s="2">
        <v>0.20799999999999999</v>
      </c>
      <c r="E9425" s="2">
        <v>6</v>
      </c>
      <c r="F9425" s="2" t="s">
        <v>16</v>
      </c>
    </row>
    <row r="9426" spans="1:6" ht="25.5">
      <c r="A9426" s="2">
        <v>9423</v>
      </c>
      <c r="B9426" s="2" t="s">
        <v>9501</v>
      </c>
      <c r="C9426" s="2" t="str">
        <f>"09696016"</f>
        <v>09696016</v>
      </c>
      <c r="D9426" s="2">
        <v>0.45500000000000002</v>
      </c>
      <c r="E9426" s="2">
        <v>3</v>
      </c>
      <c r="F9426" s="2" t="s">
        <v>163</v>
      </c>
    </row>
    <row r="9427" spans="1:6" ht="25.5">
      <c r="A9427" s="2">
        <v>9424</v>
      </c>
      <c r="B9427" s="2" t="s">
        <v>9502</v>
      </c>
      <c r="C9427" s="2" t="str">
        <f>"14333023"</f>
        <v>14333023</v>
      </c>
      <c r="D9427" s="2">
        <v>1.026</v>
      </c>
      <c r="E9427" s="2">
        <v>58</v>
      </c>
      <c r="F9427" s="2" t="s">
        <v>16</v>
      </c>
    </row>
    <row r="9428" spans="1:6" ht="25.5">
      <c r="A9428" s="2">
        <v>9425</v>
      </c>
      <c r="B9428" s="2" t="s">
        <v>9503</v>
      </c>
      <c r="C9428" s="2" t="str">
        <f>"15732584"</f>
        <v>15732584</v>
      </c>
      <c r="D9428" s="2">
        <v>0.45500000000000002</v>
      </c>
      <c r="E9428" s="2">
        <v>27</v>
      </c>
      <c r="F9428" s="2" t="s">
        <v>75</v>
      </c>
    </row>
    <row r="9429" spans="1:6" ht="25.5">
      <c r="A9429" s="2">
        <v>9426</v>
      </c>
      <c r="B9429" s="2" t="s">
        <v>9504</v>
      </c>
      <c r="C9429" s="2" t="str">
        <f>"20426453"</f>
        <v>20426453</v>
      </c>
      <c r="D9429" s="2">
        <v>0.13</v>
      </c>
      <c r="E9429" s="2">
        <v>9</v>
      </c>
      <c r="F9429" s="2" t="s">
        <v>16</v>
      </c>
    </row>
    <row r="9430" spans="1:6">
      <c r="A9430" s="2">
        <v>9427</v>
      </c>
      <c r="B9430" s="2" t="s">
        <v>9505</v>
      </c>
      <c r="C9430" s="2" t="str">
        <f>"0"</f>
        <v>0</v>
      </c>
      <c r="D9430" s="2">
        <v>0.317</v>
      </c>
      <c r="E9430" s="2">
        <v>19</v>
      </c>
      <c r="F9430" s="2" t="s">
        <v>6</v>
      </c>
    </row>
    <row r="9431" spans="1:6" ht="25.5">
      <c r="A9431" s="2">
        <v>9428</v>
      </c>
      <c r="B9431" s="2" t="s">
        <v>9506</v>
      </c>
      <c r="C9431" s="2" t="str">
        <f>"1742481X"</f>
        <v>1742481X</v>
      </c>
      <c r="D9431" s="2">
        <v>0.70099999999999996</v>
      </c>
      <c r="E9431" s="2">
        <v>24</v>
      </c>
      <c r="F9431" s="2" t="s">
        <v>16</v>
      </c>
    </row>
    <row r="9432" spans="1:6" ht="25.5">
      <c r="A9432" s="2">
        <v>9429</v>
      </c>
      <c r="B9432" s="2" t="s">
        <v>9507</v>
      </c>
      <c r="C9432" s="2" t="str">
        <f>"17481090"</f>
        <v>17481090</v>
      </c>
      <c r="D9432" s="2">
        <v>0.28899999999999998</v>
      </c>
      <c r="E9432" s="2">
        <v>7</v>
      </c>
      <c r="F9432" s="2" t="s">
        <v>16</v>
      </c>
    </row>
    <row r="9433" spans="1:6" ht="25.5">
      <c r="A9433" s="2">
        <v>9430</v>
      </c>
      <c r="B9433" s="2" t="s">
        <v>9508</v>
      </c>
      <c r="C9433" s="2" t="str">
        <f>"10967516"</f>
        <v>10967516</v>
      </c>
      <c r="D9433" s="2">
        <v>1.905</v>
      </c>
      <c r="E9433" s="2">
        <v>34</v>
      </c>
      <c r="F9433" s="2" t="s">
        <v>75</v>
      </c>
    </row>
    <row r="9434" spans="1:6" ht="25.5">
      <c r="A9434" s="2">
        <v>9431</v>
      </c>
      <c r="B9434" s="2" t="s">
        <v>9509</v>
      </c>
      <c r="C9434" s="2" t="str">
        <f>"13635387"</f>
        <v>13635387</v>
      </c>
      <c r="D9434" s="2">
        <v>0.13500000000000001</v>
      </c>
      <c r="E9434" s="2">
        <v>2</v>
      </c>
      <c r="F9434" s="2" t="s">
        <v>16</v>
      </c>
    </row>
    <row r="9435" spans="1:6" ht="25.5">
      <c r="A9435" s="2">
        <v>9432</v>
      </c>
      <c r="B9435" s="2" t="s">
        <v>9510</v>
      </c>
      <c r="C9435" s="2" t="str">
        <f>"15386414"</f>
        <v>15386414</v>
      </c>
      <c r="D9435" s="2">
        <v>0.13700000000000001</v>
      </c>
      <c r="E9435" s="2">
        <v>4</v>
      </c>
      <c r="F9435" s="2" t="s">
        <v>6</v>
      </c>
    </row>
    <row r="9436" spans="1:6" ht="25.5">
      <c r="A9436" s="2">
        <v>9433</v>
      </c>
      <c r="B9436" s="2" t="s">
        <v>9511</v>
      </c>
      <c r="C9436" s="2" t="str">
        <f>"1528834X"</f>
        <v>1528834X</v>
      </c>
      <c r="D9436" s="2">
        <v>0.105</v>
      </c>
      <c r="E9436" s="2">
        <v>1</v>
      </c>
      <c r="F9436" s="2" t="s">
        <v>6</v>
      </c>
    </row>
    <row r="9437" spans="1:6" ht="25.5">
      <c r="A9437" s="2">
        <v>9434</v>
      </c>
      <c r="B9437" s="2" t="s">
        <v>9512</v>
      </c>
      <c r="C9437" s="2" t="str">
        <f>"15402592"</f>
        <v>15402592</v>
      </c>
      <c r="D9437" s="2">
        <v>0.104</v>
      </c>
      <c r="E9437" s="2">
        <v>0</v>
      </c>
      <c r="F9437" s="2" t="s">
        <v>6</v>
      </c>
    </row>
    <row r="9438" spans="1:6" ht="25.5">
      <c r="A9438" s="2">
        <v>9435</v>
      </c>
      <c r="B9438" s="2" t="s">
        <v>9513</v>
      </c>
      <c r="C9438" s="2" t="str">
        <f>"15402614"</f>
        <v>15402614</v>
      </c>
      <c r="D9438" s="2">
        <v>0.13100000000000001</v>
      </c>
      <c r="E9438" s="2">
        <v>1</v>
      </c>
      <c r="F9438" s="2" t="s">
        <v>6</v>
      </c>
    </row>
    <row r="9439" spans="1:6" ht="25.5">
      <c r="A9439" s="2">
        <v>9436</v>
      </c>
      <c r="B9439" s="2" t="s">
        <v>9514</v>
      </c>
      <c r="C9439" s="2" t="str">
        <f>"15288439"</f>
        <v>15288439</v>
      </c>
      <c r="D9439" s="2">
        <v>0.105</v>
      </c>
      <c r="E9439" s="2">
        <v>1</v>
      </c>
      <c r="F9439" s="2" t="s">
        <v>6</v>
      </c>
    </row>
    <row r="9440" spans="1:6" ht="25.5">
      <c r="A9440" s="2">
        <v>9437</v>
      </c>
      <c r="B9440" s="2" t="s">
        <v>9515</v>
      </c>
      <c r="C9440" s="2" t="str">
        <f>"15402649"</f>
        <v>15402649</v>
      </c>
      <c r="D9440" s="2">
        <v>0.10299999999999999</v>
      </c>
      <c r="E9440" s="2">
        <v>4</v>
      </c>
      <c r="F9440" s="2" t="s">
        <v>6</v>
      </c>
    </row>
    <row r="9441" spans="1:6" ht="25.5">
      <c r="A9441" s="2">
        <v>9438</v>
      </c>
      <c r="B9441" s="2" t="s">
        <v>9516</v>
      </c>
      <c r="C9441" s="2" t="str">
        <f>"15288366"</f>
        <v>15288366</v>
      </c>
      <c r="D9441" s="2">
        <v>0.126</v>
      </c>
      <c r="E9441" s="2">
        <v>2</v>
      </c>
      <c r="F9441" s="2" t="s">
        <v>6</v>
      </c>
    </row>
    <row r="9442" spans="1:6" ht="25.5">
      <c r="A9442" s="2">
        <v>9439</v>
      </c>
      <c r="B9442" s="2" t="s">
        <v>9517</v>
      </c>
      <c r="C9442" s="2" t="str">
        <f>"15288382"</f>
        <v>15288382</v>
      </c>
      <c r="D9442" s="2">
        <v>0.10100000000000001</v>
      </c>
      <c r="E9442" s="2">
        <v>1</v>
      </c>
      <c r="F9442" s="2" t="s">
        <v>6</v>
      </c>
    </row>
    <row r="9443" spans="1:6" ht="25.5">
      <c r="A9443" s="2">
        <v>9440</v>
      </c>
      <c r="B9443" s="2" t="s">
        <v>9518</v>
      </c>
      <c r="C9443" s="2" t="str">
        <f>"15288250"</f>
        <v>15288250</v>
      </c>
      <c r="D9443" s="2">
        <v>0.107</v>
      </c>
      <c r="E9443" s="2">
        <v>3</v>
      </c>
      <c r="F9443" s="2" t="s">
        <v>6</v>
      </c>
    </row>
    <row r="9444" spans="1:6" ht="25.5">
      <c r="A9444" s="2">
        <v>9441</v>
      </c>
      <c r="B9444" s="2" t="s">
        <v>9519</v>
      </c>
      <c r="C9444" s="2" t="str">
        <f>"15312941"</f>
        <v>15312941</v>
      </c>
      <c r="D9444" s="2">
        <v>0.17299999999999999</v>
      </c>
      <c r="E9444" s="2">
        <v>2</v>
      </c>
      <c r="F9444" s="2" t="s">
        <v>6</v>
      </c>
    </row>
    <row r="9445" spans="1:6" ht="25.5">
      <c r="A9445" s="2">
        <v>9442</v>
      </c>
      <c r="B9445" s="2" t="s">
        <v>9520</v>
      </c>
      <c r="C9445" s="2" t="str">
        <f>"19378289"</f>
        <v>19378289</v>
      </c>
      <c r="D9445" s="2">
        <v>0.11600000000000001</v>
      </c>
      <c r="E9445" s="2">
        <v>3</v>
      </c>
      <c r="F9445" s="2" t="s">
        <v>6</v>
      </c>
    </row>
    <row r="9446" spans="1:6" ht="25.5">
      <c r="A9446" s="2">
        <v>9443</v>
      </c>
      <c r="B9446" s="2" t="s">
        <v>9521</v>
      </c>
      <c r="C9446" s="2" t="str">
        <f>"1531295X"</f>
        <v>1531295X</v>
      </c>
      <c r="D9446" s="2">
        <v>0.10100000000000001</v>
      </c>
      <c r="E9446" s="2">
        <v>1</v>
      </c>
      <c r="F9446" s="2" t="s">
        <v>6</v>
      </c>
    </row>
    <row r="9447" spans="1:6" ht="25.5">
      <c r="A9447" s="2">
        <v>9444</v>
      </c>
      <c r="B9447" s="2" t="s">
        <v>9522</v>
      </c>
      <c r="C9447" s="2" t="str">
        <f>"15288331"</f>
        <v>15288331</v>
      </c>
      <c r="D9447" s="2">
        <v>0.10100000000000001</v>
      </c>
      <c r="E9447" s="2">
        <v>1</v>
      </c>
      <c r="F9447" s="2" t="s">
        <v>6</v>
      </c>
    </row>
    <row r="9448" spans="1:6" ht="25.5">
      <c r="A9448" s="2">
        <v>9445</v>
      </c>
      <c r="B9448" s="2" t="s">
        <v>9523</v>
      </c>
      <c r="C9448" s="2" t="str">
        <f>"15288277"</f>
        <v>15288277</v>
      </c>
      <c r="D9448" s="2">
        <v>0.10100000000000001</v>
      </c>
      <c r="E9448" s="2">
        <v>2</v>
      </c>
      <c r="F9448" s="2" t="s">
        <v>6</v>
      </c>
    </row>
    <row r="9449" spans="1:6" ht="25.5">
      <c r="A9449" s="2">
        <v>9446</v>
      </c>
      <c r="B9449" s="2" t="s">
        <v>9524</v>
      </c>
      <c r="C9449" s="2" t="str">
        <f>"15288374"</f>
        <v>15288374</v>
      </c>
      <c r="D9449" s="2">
        <v>0.10100000000000001</v>
      </c>
      <c r="E9449" s="2">
        <v>2</v>
      </c>
      <c r="F9449" s="2" t="s">
        <v>6</v>
      </c>
    </row>
    <row r="9450" spans="1:6" ht="25.5">
      <c r="A9450" s="2">
        <v>9447</v>
      </c>
      <c r="B9450" s="2" t="s">
        <v>9525</v>
      </c>
      <c r="C9450" s="2" t="str">
        <f>"15312976"</f>
        <v>15312976</v>
      </c>
      <c r="D9450" s="2">
        <v>0.14299999999999999</v>
      </c>
      <c r="E9450" s="2">
        <v>3</v>
      </c>
      <c r="F9450" s="2" t="s">
        <v>6</v>
      </c>
    </row>
    <row r="9451" spans="1:6" ht="25.5">
      <c r="A9451" s="2">
        <v>9448</v>
      </c>
      <c r="B9451" s="2" t="s">
        <v>9526</v>
      </c>
      <c r="C9451" s="2" t="str">
        <f>"15593916"</f>
        <v>15593916</v>
      </c>
      <c r="D9451" s="2">
        <v>0.10100000000000001</v>
      </c>
      <c r="E9451" s="2">
        <v>2</v>
      </c>
      <c r="F9451" s="2" t="s">
        <v>6</v>
      </c>
    </row>
    <row r="9452" spans="1:6" ht="25.5">
      <c r="A9452" s="2">
        <v>9449</v>
      </c>
      <c r="B9452" s="2" t="s">
        <v>9527</v>
      </c>
      <c r="C9452" s="2" t="str">
        <f>"15404749"</f>
        <v>15404749</v>
      </c>
      <c r="D9452" s="2">
        <v>0.85</v>
      </c>
      <c r="E9452" s="2">
        <v>9</v>
      </c>
      <c r="F9452" s="2" t="s">
        <v>16</v>
      </c>
    </row>
    <row r="9453" spans="1:6" ht="25.5">
      <c r="A9453" s="2">
        <v>9450</v>
      </c>
      <c r="B9453" s="2" t="s">
        <v>9528</v>
      </c>
      <c r="C9453" s="2" t="str">
        <f>"10662243"</f>
        <v>10662243</v>
      </c>
      <c r="D9453" s="2">
        <v>0.89900000000000002</v>
      </c>
      <c r="E9453" s="2">
        <v>40</v>
      </c>
      <c r="F9453" s="2" t="s">
        <v>16</v>
      </c>
    </row>
    <row r="9454" spans="1:6" ht="25.5">
      <c r="A9454" s="2">
        <v>9451</v>
      </c>
      <c r="B9454" s="2" t="s">
        <v>9529</v>
      </c>
      <c r="C9454" s="2" t="str">
        <f>"18035256"</f>
        <v>18035256</v>
      </c>
      <c r="D9454" s="2">
        <v>0.10299999999999999</v>
      </c>
      <c r="E9454" s="2">
        <v>1</v>
      </c>
      <c r="F9454" s="2" t="s">
        <v>208</v>
      </c>
    </row>
    <row r="9455" spans="1:6" ht="25.5">
      <c r="A9455" s="2">
        <v>9452</v>
      </c>
      <c r="B9455" s="2" t="s">
        <v>9530</v>
      </c>
      <c r="C9455" s="2" t="str">
        <f>"00209570"</f>
        <v>00209570</v>
      </c>
      <c r="D9455" s="2">
        <v>0.109</v>
      </c>
      <c r="E9455" s="2">
        <v>5</v>
      </c>
      <c r="F9455" s="2" t="s">
        <v>12</v>
      </c>
    </row>
    <row r="9456" spans="1:6" ht="25.5">
      <c r="A9456" s="2">
        <v>9453</v>
      </c>
      <c r="B9456" s="2" t="s">
        <v>9531</v>
      </c>
      <c r="C9456" s="2" t="str">
        <f>"00209635"</f>
        <v>00209635</v>
      </c>
      <c r="D9456" s="2">
        <v>0.13100000000000001</v>
      </c>
      <c r="E9456" s="2">
        <v>3</v>
      </c>
      <c r="F9456" s="2" t="s">
        <v>6</v>
      </c>
    </row>
    <row r="9457" spans="1:6" ht="25.5">
      <c r="A9457" s="2">
        <v>9454</v>
      </c>
      <c r="B9457" s="2" t="s">
        <v>9532</v>
      </c>
      <c r="C9457" s="2" t="str">
        <f>"00209643"</f>
        <v>00209643</v>
      </c>
      <c r="D9457" s="2">
        <v>0.1</v>
      </c>
      <c r="E9457" s="2">
        <v>3</v>
      </c>
      <c r="F9457" s="2" t="s">
        <v>6</v>
      </c>
    </row>
    <row r="9458" spans="1:6" ht="25.5">
      <c r="A9458" s="2">
        <v>9455</v>
      </c>
      <c r="B9458" s="2" t="s">
        <v>9533</v>
      </c>
      <c r="C9458" s="2" t="str">
        <f>"1750399X"</f>
        <v>1750399X</v>
      </c>
      <c r="D9458" s="2">
        <v>0.158</v>
      </c>
      <c r="E9458" s="2">
        <v>3</v>
      </c>
      <c r="F9458" s="2" t="s">
        <v>16</v>
      </c>
    </row>
    <row r="9459" spans="1:6" ht="25.5">
      <c r="A9459" s="2">
        <v>9456</v>
      </c>
      <c r="B9459" s="2" t="s">
        <v>9534</v>
      </c>
      <c r="C9459" s="2" t="str">
        <f>"13846647"</f>
        <v>13846647</v>
      </c>
      <c r="D9459" s="2">
        <v>0.112</v>
      </c>
      <c r="E9459" s="2">
        <v>8</v>
      </c>
      <c r="F9459" s="2" t="s">
        <v>75</v>
      </c>
    </row>
    <row r="9460" spans="1:6" ht="25.5">
      <c r="A9460" s="2">
        <v>9457</v>
      </c>
      <c r="B9460" s="2" t="s">
        <v>9535</v>
      </c>
      <c r="C9460" s="2" t="str">
        <f>"1850373X"</f>
        <v>1850373X</v>
      </c>
      <c r="D9460" s="2">
        <v>0.188</v>
      </c>
      <c r="E9460" s="2">
        <v>2</v>
      </c>
      <c r="F9460" s="2" t="s">
        <v>192</v>
      </c>
    </row>
    <row r="9461" spans="1:6" ht="25.5">
      <c r="A9461" s="2">
        <v>9458</v>
      </c>
      <c r="B9461" s="2" t="s">
        <v>9536</v>
      </c>
      <c r="C9461" s="2" t="str">
        <f>"03932451"</f>
        <v>03932451</v>
      </c>
      <c r="D9461" s="2">
        <v>0</v>
      </c>
      <c r="E9461" s="2">
        <v>0</v>
      </c>
      <c r="F9461" s="2" t="s">
        <v>190</v>
      </c>
    </row>
    <row r="9462" spans="1:6" ht="25.5">
      <c r="A9462" s="2">
        <v>9459</v>
      </c>
      <c r="B9462" s="2" t="s">
        <v>9537</v>
      </c>
      <c r="C9462" s="2" t="str">
        <f>"1213807X"</f>
        <v>1213807X</v>
      </c>
      <c r="D9462" s="2">
        <v>0.111</v>
      </c>
      <c r="E9462" s="2">
        <v>2</v>
      </c>
      <c r="F9462" s="2" t="s">
        <v>208</v>
      </c>
    </row>
    <row r="9463" spans="1:6" ht="25.5">
      <c r="A9463" s="2">
        <v>9460</v>
      </c>
      <c r="B9463" s="2" t="s">
        <v>9538</v>
      </c>
      <c r="C9463" s="2" t="str">
        <f>"17555310"</f>
        <v>17555310</v>
      </c>
      <c r="D9463" s="2">
        <v>0.14199999999999999</v>
      </c>
      <c r="E9463" s="2">
        <v>4</v>
      </c>
      <c r="F9463" s="2" t="s">
        <v>16</v>
      </c>
    </row>
    <row r="9464" spans="1:6" ht="25.5">
      <c r="A9464" s="2">
        <v>9461</v>
      </c>
      <c r="B9464" s="2" t="s">
        <v>9539</v>
      </c>
      <c r="C9464" s="2" t="str">
        <f>"22117458"</f>
        <v>22117458</v>
      </c>
      <c r="D9464" s="2">
        <v>0</v>
      </c>
      <c r="E9464" s="2">
        <v>1</v>
      </c>
      <c r="F9464" s="2" t="s">
        <v>75</v>
      </c>
    </row>
    <row r="9465" spans="1:6" ht="25.5">
      <c r="A9465" s="2">
        <v>9462</v>
      </c>
      <c r="B9465" s="2" t="s">
        <v>9540</v>
      </c>
      <c r="C9465" s="2" t="str">
        <f>"17561477"</f>
        <v>17561477</v>
      </c>
      <c r="D9465" s="2">
        <v>0</v>
      </c>
      <c r="E9465" s="2">
        <v>0</v>
      </c>
      <c r="F9465" s="2" t="s">
        <v>16</v>
      </c>
    </row>
    <row r="9466" spans="1:6" ht="25.5">
      <c r="A9466" s="2">
        <v>9463</v>
      </c>
      <c r="B9466" s="2" t="s">
        <v>9541</v>
      </c>
      <c r="C9466" s="2" t="str">
        <f>"15910199"</f>
        <v>15910199</v>
      </c>
      <c r="D9466" s="2">
        <v>0.39900000000000002</v>
      </c>
      <c r="E9466" s="2">
        <v>6</v>
      </c>
      <c r="F9466" s="2" t="s">
        <v>190</v>
      </c>
    </row>
    <row r="9467" spans="1:6" ht="25.5">
      <c r="A9467" s="2">
        <v>9464</v>
      </c>
      <c r="B9467" s="2" t="s">
        <v>9542</v>
      </c>
      <c r="C9467" s="2" t="str">
        <f>"15384810"</f>
        <v>15384810</v>
      </c>
      <c r="D9467" s="2">
        <v>0.245</v>
      </c>
      <c r="E9467" s="2">
        <v>16</v>
      </c>
      <c r="F9467" s="2" t="s">
        <v>16</v>
      </c>
    </row>
    <row r="9468" spans="1:6" ht="25.5">
      <c r="A9468" s="2">
        <v>9465</v>
      </c>
      <c r="B9468" s="2" t="s">
        <v>9543</v>
      </c>
      <c r="C9468" s="2" t="str">
        <f>"1369801X"</f>
        <v>1369801X</v>
      </c>
      <c r="D9468" s="2">
        <v>0.16800000000000001</v>
      </c>
      <c r="E9468" s="2">
        <v>2</v>
      </c>
      <c r="F9468" s="2" t="s">
        <v>6</v>
      </c>
    </row>
    <row r="9469" spans="1:6" ht="25.5">
      <c r="A9469" s="2">
        <v>9466</v>
      </c>
      <c r="B9469" s="2" t="s">
        <v>9544</v>
      </c>
      <c r="C9469" s="2" t="str">
        <f>"14230100"</f>
        <v>14230100</v>
      </c>
      <c r="D9469" s="2">
        <v>0.61799999999999999</v>
      </c>
      <c r="E9469" s="2">
        <v>43</v>
      </c>
      <c r="F9469" s="2" t="s">
        <v>31</v>
      </c>
    </row>
    <row r="9470" spans="1:6" ht="25.5">
      <c r="A9470" s="2">
        <v>9467</v>
      </c>
      <c r="B9470" s="2" t="s">
        <v>9545</v>
      </c>
      <c r="C9470" s="2" t="str">
        <f>"1827000X"</f>
        <v>1827000X</v>
      </c>
      <c r="D9470" s="2">
        <v>0.10299999999999999</v>
      </c>
      <c r="E9470" s="2">
        <v>0</v>
      </c>
      <c r="F9470" s="2" t="s">
        <v>190</v>
      </c>
    </row>
    <row r="9471" spans="1:6" ht="25.5">
      <c r="A9471" s="2">
        <v>9468</v>
      </c>
      <c r="B9471" s="2" t="s">
        <v>9546</v>
      </c>
      <c r="C9471" s="2" t="str">
        <f>"19397291"</f>
        <v>19397291</v>
      </c>
      <c r="D9471" s="2">
        <v>0.47599999999999998</v>
      </c>
      <c r="E9471" s="2">
        <v>11</v>
      </c>
      <c r="F9471" s="2" t="s">
        <v>6</v>
      </c>
    </row>
    <row r="9472" spans="1:6" ht="25.5">
      <c r="A9472" s="2">
        <v>9469</v>
      </c>
      <c r="B9472" s="2" t="s">
        <v>9547</v>
      </c>
      <c r="C9472" s="2" t="str">
        <f>"2229421X"</f>
        <v>2229421X</v>
      </c>
      <c r="D9472" s="2">
        <v>0.1</v>
      </c>
      <c r="E9472" s="2">
        <v>0</v>
      </c>
      <c r="F9472" s="2" t="s">
        <v>488</v>
      </c>
    </row>
    <row r="9473" spans="1:6" ht="25.5">
      <c r="A9473" s="2">
        <v>9470</v>
      </c>
      <c r="B9473" s="2" t="s">
        <v>9548</v>
      </c>
      <c r="C9473" s="2" t="str">
        <f>"14321297"</f>
        <v>14321297</v>
      </c>
      <c r="D9473" s="2">
        <v>5.9749999999999996</v>
      </c>
      <c r="E9473" s="2">
        <v>59</v>
      </c>
      <c r="F9473" s="2" t="s">
        <v>6</v>
      </c>
    </row>
    <row r="9474" spans="1:6" ht="25.5">
      <c r="A9474" s="2">
        <v>9471</v>
      </c>
      <c r="B9474" s="2" t="s">
        <v>9549</v>
      </c>
      <c r="C9474" s="2" t="str">
        <f>"02665611"</f>
        <v>02665611</v>
      </c>
      <c r="D9474" s="2">
        <v>1.163</v>
      </c>
      <c r="E9474" s="2">
        <v>63</v>
      </c>
      <c r="F9474" s="2" t="s">
        <v>16</v>
      </c>
    </row>
    <row r="9475" spans="1:6" ht="25.5">
      <c r="A9475" s="2">
        <v>9472</v>
      </c>
      <c r="B9475" s="2" t="s">
        <v>9550</v>
      </c>
      <c r="C9475" s="2" t="str">
        <f>"19308345"</f>
        <v>19308345</v>
      </c>
      <c r="D9475" s="2">
        <v>0.747</v>
      </c>
      <c r="E9475" s="2">
        <v>8</v>
      </c>
      <c r="F9475" s="2" t="s">
        <v>6</v>
      </c>
    </row>
    <row r="9476" spans="1:6" ht="25.5">
      <c r="A9476" s="2">
        <v>9473</v>
      </c>
      <c r="B9476" s="2" t="s">
        <v>9551</v>
      </c>
      <c r="C9476" s="2" t="str">
        <f>"17415985"</f>
        <v>17415985</v>
      </c>
      <c r="D9476" s="2">
        <v>0.40699999999999997</v>
      </c>
      <c r="E9476" s="2">
        <v>16</v>
      </c>
      <c r="F9476" s="2" t="s">
        <v>16</v>
      </c>
    </row>
    <row r="9477" spans="1:6" ht="25.5">
      <c r="A9477" s="2">
        <v>9474</v>
      </c>
      <c r="B9477" s="2" t="s">
        <v>9552</v>
      </c>
      <c r="C9477" s="2" t="str">
        <f>"10778306"</f>
        <v>10778306</v>
      </c>
      <c r="D9477" s="2">
        <v>0.47199999999999998</v>
      </c>
      <c r="E9477" s="2">
        <v>28</v>
      </c>
      <c r="F9477" s="2" t="s">
        <v>16</v>
      </c>
    </row>
    <row r="9478" spans="1:6" ht="25.5">
      <c r="A9478" s="2">
        <v>9475</v>
      </c>
      <c r="B9478" s="2" t="s">
        <v>9553</v>
      </c>
      <c r="C9478" s="2" t="str">
        <f>"14391104"</f>
        <v>14391104</v>
      </c>
      <c r="D9478" s="2">
        <v>0.44900000000000001</v>
      </c>
      <c r="E9478" s="2">
        <v>23</v>
      </c>
      <c r="F9478" s="2" t="s">
        <v>12</v>
      </c>
    </row>
    <row r="9479" spans="1:6" ht="25.5">
      <c r="A9479" s="2">
        <v>9476</v>
      </c>
      <c r="B9479" s="2" t="s">
        <v>9554</v>
      </c>
      <c r="C9479" s="2" t="str">
        <f>"07924259"</f>
        <v>07924259</v>
      </c>
      <c r="D9479" s="2">
        <v>0.29099999999999998</v>
      </c>
      <c r="E9479" s="2">
        <v>26</v>
      </c>
      <c r="F9479" s="2" t="s">
        <v>16</v>
      </c>
    </row>
    <row r="9480" spans="1:6" ht="25.5">
      <c r="A9480" s="2">
        <v>9477</v>
      </c>
      <c r="B9480" s="2" t="s">
        <v>9555</v>
      </c>
      <c r="C9480" s="2" t="str">
        <f>"14455226"</f>
        <v>14455226</v>
      </c>
      <c r="D9480" s="2">
        <v>0.94</v>
      </c>
      <c r="E9480" s="2">
        <v>28</v>
      </c>
      <c r="F9480" s="2" t="s">
        <v>127</v>
      </c>
    </row>
    <row r="9481" spans="1:6" ht="25.5">
      <c r="A9481" s="2">
        <v>9478</v>
      </c>
      <c r="B9481" s="2" t="s">
        <v>9556</v>
      </c>
      <c r="C9481" s="2" t="str">
        <f>"0187358X"</f>
        <v>0187358X</v>
      </c>
      <c r="D9481" s="2">
        <v>0.16700000000000001</v>
      </c>
      <c r="E9481" s="2">
        <v>2</v>
      </c>
      <c r="F9481" s="2" t="s">
        <v>200</v>
      </c>
    </row>
    <row r="9482" spans="1:6" ht="25.5">
      <c r="A9482" s="2">
        <v>9479</v>
      </c>
      <c r="B9482" s="2" t="s">
        <v>9557</v>
      </c>
      <c r="C9482" s="2" t="str">
        <f>"05355133"</f>
        <v>05355133</v>
      </c>
      <c r="D9482" s="2">
        <v>0.16500000000000001</v>
      </c>
      <c r="E9482" s="2">
        <v>13</v>
      </c>
      <c r="F9482" s="2" t="s">
        <v>40</v>
      </c>
    </row>
    <row r="9483" spans="1:6" ht="25.5">
      <c r="A9483" s="2">
        <v>9480</v>
      </c>
      <c r="B9483" s="2" t="s">
        <v>9558</v>
      </c>
      <c r="C9483" s="2" t="str">
        <f>"01851667"</f>
        <v>01851667</v>
      </c>
      <c r="D9483" s="2">
        <v>0.10199999999999999</v>
      </c>
      <c r="E9483" s="2">
        <v>3</v>
      </c>
      <c r="F9483" s="2" t="s">
        <v>200</v>
      </c>
    </row>
    <row r="9484" spans="1:6" ht="25.5">
      <c r="A9484" s="2">
        <v>9481</v>
      </c>
      <c r="B9484" s="2" t="s">
        <v>9559</v>
      </c>
      <c r="C9484" s="2" t="str">
        <f>"16986989"</f>
        <v>16986989</v>
      </c>
      <c r="D9484" s="2">
        <v>0.12</v>
      </c>
      <c r="E9484" s="2">
        <v>2</v>
      </c>
      <c r="F9484" s="2" t="s">
        <v>351</v>
      </c>
    </row>
    <row r="9485" spans="1:6" ht="25.5">
      <c r="A9485" s="2">
        <v>9482</v>
      </c>
      <c r="B9485" s="2" t="s">
        <v>9560</v>
      </c>
      <c r="C9485" s="2" t="str">
        <f>"11352523"</f>
        <v>11352523</v>
      </c>
      <c r="D9485" s="2">
        <v>0.16700000000000001</v>
      </c>
      <c r="E9485" s="2">
        <v>4</v>
      </c>
      <c r="F9485" s="2" t="s">
        <v>75</v>
      </c>
    </row>
    <row r="9486" spans="1:6" ht="25.5">
      <c r="A9486" s="2">
        <v>9483</v>
      </c>
      <c r="B9486" s="2" t="s">
        <v>9561</v>
      </c>
      <c r="C9486" s="2" t="str">
        <f>"01884611"</f>
        <v>01884611</v>
      </c>
      <c r="D9486" s="2">
        <v>0.11799999999999999</v>
      </c>
      <c r="E9486" s="2">
        <v>5</v>
      </c>
      <c r="F9486" s="2" t="s">
        <v>200</v>
      </c>
    </row>
    <row r="9487" spans="1:6" ht="25.5">
      <c r="A9487" s="2">
        <v>9484</v>
      </c>
      <c r="B9487" s="2" t="s">
        <v>9562</v>
      </c>
      <c r="C9487" s="2" t="str">
        <f>"16957253"</f>
        <v>16957253</v>
      </c>
      <c r="D9487" s="2">
        <v>0.112</v>
      </c>
      <c r="E9487" s="2">
        <v>4</v>
      </c>
      <c r="F9487" s="2" t="s">
        <v>351</v>
      </c>
    </row>
    <row r="9488" spans="1:6" ht="25.5">
      <c r="A9488" s="2">
        <v>9485</v>
      </c>
      <c r="B9488" s="2" t="s">
        <v>9563</v>
      </c>
      <c r="C9488" s="2" t="str">
        <f>"02574306"</f>
        <v>02574306</v>
      </c>
      <c r="D9488" s="2">
        <v>0</v>
      </c>
      <c r="E9488" s="2">
        <v>1</v>
      </c>
      <c r="F9488" s="2" t="s">
        <v>88</v>
      </c>
    </row>
    <row r="9489" spans="1:6" ht="25.5">
      <c r="A9489" s="2">
        <v>9486</v>
      </c>
      <c r="B9489" s="2" t="s">
        <v>9564</v>
      </c>
      <c r="C9489" s="2" t="str">
        <f>"15730646"</f>
        <v>15730646</v>
      </c>
      <c r="D9489" s="2">
        <v>0.90700000000000003</v>
      </c>
      <c r="E9489" s="2">
        <v>56</v>
      </c>
      <c r="F9489" s="2" t="s">
        <v>75</v>
      </c>
    </row>
    <row r="9490" spans="1:6" ht="25.5">
      <c r="A9490" s="2">
        <v>9487</v>
      </c>
      <c r="B9490" s="2" t="s">
        <v>9565</v>
      </c>
      <c r="C9490" s="2" t="str">
        <f>"01460404"</f>
        <v>01460404</v>
      </c>
      <c r="D9490" s="2">
        <v>1.8280000000000001</v>
      </c>
      <c r="E9490" s="2">
        <v>137</v>
      </c>
      <c r="F9490" s="2" t="s">
        <v>6</v>
      </c>
    </row>
    <row r="9491" spans="1:6" ht="25.5">
      <c r="A9491" s="2">
        <v>9488</v>
      </c>
      <c r="B9491" s="2" t="s">
        <v>9566</v>
      </c>
      <c r="C9491" s="2" t="str">
        <f>"00209996"</f>
        <v>00209996</v>
      </c>
      <c r="D9491" s="2">
        <v>2.819</v>
      </c>
      <c r="E9491" s="2">
        <v>72</v>
      </c>
      <c r="F9491" s="2" t="s">
        <v>6</v>
      </c>
    </row>
    <row r="9492" spans="1:6" ht="25.5">
      <c r="A9492" s="2">
        <v>9489</v>
      </c>
      <c r="B9492" s="2" t="s">
        <v>9567</v>
      </c>
      <c r="C9492" s="2" t="str">
        <f>"10293523"</f>
        <v>10293523</v>
      </c>
      <c r="D9492" s="2">
        <v>0.23699999999999999</v>
      </c>
      <c r="E9492" s="2">
        <v>3</v>
      </c>
      <c r="F9492" s="2" t="s">
        <v>410</v>
      </c>
    </row>
    <row r="9493" spans="1:6" ht="25.5">
      <c r="A9493" s="2">
        <v>9490</v>
      </c>
      <c r="B9493" s="2" t="s">
        <v>9568</v>
      </c>
      <c r="C9493" s="2" t="str">
        <f>"18129358"</f>
        <v>18129358</v>
      </c>
      <c r="D9493" s="2">
        <v>0.121</v>
      </c>
      <c r="E9493" s="2">
        <v>2</v>
      </c>
      <c r="F9493" s="2" t="s">
        <v>438</v>
      </c>
    </row>
    <row r="9494" spans="1:6" ht="25.5">
      <c r="A9494" s="2">
        <v>9491</v>
      </c>
      <c r="B9494" s="2" t="s">
        <v>9569</v>
      </c>
      <c r="C9494" s="2" t="str">
        <f>"10712690"</f>
        <v>10712690</v>
      </c>
      <c r="D9494" s="2">
        <v>0.434</v>
      </c>
      <c r="E9494" s="2">
        <v>42</v>
      </c>
      <c r="F9494" s="2" t="s">
        <v>6</v>
      </c>
    </row>
    <row r="9495" spans="1:6" ht="25.5">
      <c r="A9495" s="2">
        <v>9492</v>
      </c>
      <c r="B9495" s="2" t="s">
        <v>9570</v>
      </c>
      <c r="C9495" s="2" t="str">
        <f>"0258851X"</f>
        <v>0258851X</v>
      </c>
      <c r="D9495" s="2">
        <v>0.36799999999999999</v>
      </c>
      <c r="E9495" s="2">
        <v>34</v>
      </c>
      <c r="F9495" s="2" t="s">
        <v>313</v>
      </c>
    </row>
    <row r="9496" spans="1:6" ht="25.5">
      <c r="A9496" s="2">
        <v>9493</v>
      </c>
      <c r="B9496" s="2" t="s">
        <v>9571</v>
      </c>
      <c r="C9496" s="2" t="str">
        <f>"02086425"</f>
        <v>02086425</v>
      </c>
      <c r="D9496" s="2">
        <v>0.216</v>
      </c>
      <c r="E9496" s="2">
        <v>8</v>
      </c>
      <c r="F9496" s="2" t="s">
        <v>169</v>
      </c>
    </row>
    <row r="9497" spans="1:6" ht="25.5">
      <c r="A9497" s="2">
        <v>9494</v>
      </c>
      <c r="B9497" s="2" t="s">
        <v>9572</v>
      </c>
      <c r="C9497" s="2" t="str">
        <f>"16404920"</f>
        <v>16404920</v>
      </c>
      <c r="D9497" s="2">
        <v>0.10100000000000001</v>
      </c>
      <c r="E9497" s="2">
        <v>2</v>
      </c>
      <c r="F9497" s="2" t="s">
        <v>169</v>
      </c>
    </row>
    <row r="9498" spans="1:6" ht="25.5">
      <c r="A9498" s="2">
        <v>9495</v>
      </c>
      <c r="B9498" s="2" t="s">
        <v>9573</v>
      </c>
      <c r="C9498" s="2" t="str">
        <f>"09477047"</f>
        <v>09477047</v>
      </c>
      <c r="D9498" s="2">
        <v>0.52200000000000002</v>
      </c>
      <c r="E9498" s="2">
        <v>25</v>
      </c>
      <c r="F9498" s="2" t="s">
        <v>12</v>
      </c>
    </row>
    <row r="9499" spans="1:6" ht="25.5">
      <c r="A9499" s="2">
        <v>9496</v>
      </c>
      <c r="B9499" s="2" t="s">
        <v>9574</v>
      </c>
      <c r="C9499" s="2" t="str">
        <f>"00210552"</f>
        <v>00210552</v>
      </c>
      <c r="D9499" s="2">
        <v>0.63800000000000001</v>
      </c>
      <c r="E9499" s="2">
        <v>15</v>
      </c>
      <c r="F9499" s="2" t="s">
        <v>6</v>
      </c>
    </row>
    <row r="9500" spans="1:6" ht="25.5">
      <c r="A9500" s="2">
        <v>9497</v>
      </c>
      <c r="B9500" s="2" t="s">
        <v>9575</v>
      </c>
      <c r="C9500" s="2" t="str">
        <f>"07468709"</f>
        <v>07468709</v>
      </c>
      <c r="D9500" s="2">
        <v>0.1</v>
      </c>
      <c r="E9500" s="2">
        <v>2</v>
      </c>
      <c r="F9500" s="2" t="s">
        <v>6</v>
      </c>
    </row>
    <row r="9501" spans="1:6" ht="25.5">
      <c r="A9501" s="2">
        <v>9498</v>
      </c>
      <c r="B9501" s="2" t="s">
        <v>9576</v>
      </c>
      <c r="C9501" s="2" t="str">
        <f>"15415457"</f>
        <v>15415457</v>
      </c>
      <c r="D9501" s="2">
        <v>0.27500000000000002</v>
      </c>
      <c r="E9501" s="2">
        <v>20</v>
      </c>
      <c r="F9501" s="2" t="s">
        <v>6</v>
      </c>
    </row>
    <row r="9502" spans="1:6">
      <c r="A9502" s="2">
        <v>9499</v>
      </c>
      <c r="B9502" s="2" t="s">
        <v>9577</v>
      </c>
      <c r="C9502" s="2" t="str">
        <f>"0"</f>
        <v>0</v>
      </c>
      <c r="D9502" s="2">
        <v>0</v>
      </c>
      <c r="E9502" s="2">
        <v>0</v>
      </c>
      <c r="F9502" s="2" t="s">
        <v>6</v>
      </c>
    </row>
    <row r="9503" spans="1:6" ht="25.5">
      <c r="A9503" s="2">
        <v>9500</v>
      </c>
      <c r="B9503" s="2" t="s">
        <v>9578</v>
      </c>
      <c r="C9503" s="2" t="str">
        <f>"03795462"</f>
        <v>03795462</v>
      </c>
      <c r="D9503" s="2">
        <v>0.221</v>
      </c>
      <c r="E9503" s="2">
        <v>5</v>
      </c>
      <c r="F9503" s="2" t="s">
        <v>488</v>
      </c>
    </row>
    <row r="9504" spans="1:6" ht="25.5">
      <c r="A9504" s="2">
        <v>9501</v>
      </c>
      <c r="B9504" s="2" t="s">
        <v>9579</v>
      </c>
      <c r="C9504" s="2" t="str">
        <f>"18826660"</f>
        <v>18826660</v>
      </c>
      <c r="D9504" s="2">
        <v>0</v>
      </c>
      <c r="E9504" s="2">
        <v>1</v>
      </c>
      <c r="F9504" s="2" t="s">
        <v>131</v>
      </c>
    </row>
    <row r="9505" spans="1:6" ht="25.5">
      <c r="A9505" s="2">
        <v>9502</v>
      </c>
      <c r="B9505" s="2" t="s">
        <v>9580</v>
      </c>
      <c r="C9505" s="2" t="str">
        <f>"18826695"</f>
        <v>18826695</v>
      </c>
      <c r="D9505" s="2">
        <v>0.26100000000000001</v>
      </c>
      <c r="E9505" s="2">
        <v>5</v>
      </c>
      <c r="F9505" s="2" t="s">
        <v>131</v>
      </c>
    </row>
    <row r="9506" spans="1:6" ht="25.5">
      <c r="A9506" s="2">
        <v>9503</v>
      </c>
      <c r="B9506" s="2" t="s">
        <v>9581</v>
      </c>
      <c r="C9506" s="2" t="str">
        <f>"18826687"</f>
        <v>18826687</v>
      </c>
      <c r="D9506" s="2">
        <v>0.24199999999999999</v>
      </c>
      <c r="E9506" s="2">
        <v>4</v>
      </c>
      <c r="F9506" s="2" t="s">
        <v>131</v>
      </c>
    </row>
    <row r="9507" spans="1:6" ht="25.5">
      <c r="A9507" s="2">
        <v>9504</v>
      </c>
      <c r="B9507" s="2" t="s">
        <v>9582</v>
      </c>
      <c r="C9507" s="2" t="str">
        <f>"0019042X"</f>
        <v>0019042X</v>
      </c>
      <c r="D9507" s="2">
        <v>0.91500000000000004</v>
      </c>
      <c r="E9507" s="2">
        <v>10</v>
      </c>
      <c r="F9507" s="2" t="s">
        <v>12</v>
      </c>
    </row>
    <row r="9508" spans="1:6" ht="25.5">
      <c r="A9508" s="2">
        <v>9505</v>
      </c>
      <c r="B9508" s="2" t="s">
        <v>9583</v>
      </c>
      <c r="C9508" s="2" t="str">
        <f>"16098498"</f>
        <v>16098498</v>
      </c>
      <c r="D9508" s="2">
        <v>0.13400000000000001</v>
      </c>
      <c r="E9508" s="2">
        <v>4</v>
      </c>
      <c r="F9508" s="2" t="s">
        <v>75</v>
      </c>
    </row>
    <row r="9509" spans="1:6" ht="25.5">
      <c r="A9509" s="2">
        <v>9506</v>
      </c>
      <c r="B9509" s="2" t="s">
        <v>9584</v>
      </c>
      <c r="C9509" s="2" t="str">
        <f>"1028852X"</f>
        <v>1028852X</v>
      </c>
      <c r="D9509" s="2">
        <v>0.222</v>
      </c>
      <c r="E9509" s="2">
        <v>11</v>
      </c>
      <c r="F9509" s="2" t="s">
        <v>299</v>
      </c>
    </row>
    <row r="9510" spans="1:6" ht="25.5">
      <c r="A9510" s="2">
        <v>9507</v>
      </c>
      <c r="B9510" s="2" t="s">
        <v>9585</v>
      </c>
      <c r="C9510" s="2" t="str">
        <f>"17358868"</f>
        <v>17358868</v>
      </c>
      <c r="D9510" s="2">
        <v>0.14899999999999999</v>
      </c>
      <c r="E9510" s="2">
        <v>2</v>
      </c>
      <c r="F9510" s="2" t="s">
        <v>299</v>
      </c>
    </row>
    <row r="9511" spans="1:6" ht="25.5">
      <c r="A9511" s="2">
        <v>9508</v>
      </c>
      <c r="B9511" s="2" t="s">
        <v>9586</v>
      </c>
      <c r="C9511" s="2" t="str">
        <f>"17357306"</f>
        <v>17357306</v>
      </c>
      <c r="D9511" s="2">
        <v>0.10100000000000001</v>
      </c>
      <c r="E9511" s="2">
        <v>0</v>
      </c>
      <c r="F9511" s="2" t="s">
        <v>299</v>
      </c>
    </row>
    <row r="9512" spans="1:6" ht="25.5">
      <c r="A9512" s="2">
        <v>9509</v>
      </c>
      <c r="B9512" s="2" t="s">
        <v>9587</v>
      </c>
      <c r="C9512" s="2" t="str">
        <f>"17355249"</f>
        <v>17355249</v>
      </c>
      <c r="D9512" s="2">
        <v>0.19500000000000001</v>
      </c>
      <c r="E9512" s="2">
        <v>8</v>
      </c>
      <c r="F9512" s="2" t="s">
        <v>299</v>
      </c>
    </row>
    <row r="9513" spans="1:6" ht="25.5">
      <c r="A9513" s="2">
        <v>9510</v>
      </c>
      <c r="B9513" s="2" t="s">
        <v>9588</v>
      </c>
      <c r="C9513" s="2" t="str">
        <f>"20082517"</f>
        <v>20082517</v>
      </c>
      <c r="D9513" s="2">
        <v>0.23899999999999999</v>
      </c>
      <c r="E9513" s="2">
        <v>5</v>
      </c>
      <c r="F9513" s="2" t="s">
        <v>299</v>
      </c>
    </row>
    <row r="9514" spans="1:6" ht="25.5">
      <c r="A9514" s="2">
        <v>9511</v>
      </c>
      <c r="B9514" s="2" t="s">
        <v>9589</v>
      </c>
      <c r="C9514" s="2" t="str">
        <f>"20083874"</f>
        <v>20083874</v>
      </c>
      <c r="D9514" s="2">
        <v>0.157</v>
      </c>
      <c r="E9514" s="2">
        <v>4</v>
      </c>
      <c r="F9514" s="2" t="s">
        <v>299</v>
      </c>
    </row>
    <row r="9515" spans="1:6" ht="25.5">
      <c r="A9515" s="2">
        <v>9512</v>
      </c>
      <c r="B9515" s="2" t="s">
        <v>9590</v>
      </c>
      <c r="C9515" s="2" t="str">
        <f>"17283043"</f>
        <v>17283043</v>
      </c>
      <c r="D9515" s="2">
        <v>0.218</v>
      </c>
      <c r="E9515" s="2">
        <v>6</v>
      </c>
      <c r="F9515" s="2" t="s">
        <v>299</v>
      </c>
    </row>
    <row r="9516" spans="1:6" ht="25.5">
      <c r="A9516" s="2">
        <v>9513</v>
      </c>
      <c r="B9516" s="2" t="s">
        <v>9591</v>
      </c>
      <c r="C9516" s="2" t="str">
        <f>"20082401"</f>
        <v>20082401</v>
      </c>
      <c r="D9516" s="2">
        <v>0.155</v>
      </c>
      <c r="E9516" s="2">
        <v>3</v>
      </c>
      <c r="F9516" s="2" t="s">
        <v>299</v>
      </c>
    </row>
    <row r="9517" spans="1:6" ht="25.5">
      <c r="A9517" s="2">
        <v>9514</v>
      </c>
      <c r="B9517" s="2" t="s">
        <v>9592</v>
      </c>
      <c r="C9517" s="2" t="str">
        <f>"10219986"</f>
        <v>10219986</v>
      </c>
      <c r="D9517" s="2">
        <v>0.188</v>
      </c>
      <c r="E9517" s="2">
        <v>11</v>
      </c>
      <c r="F9517" s="2" t="s">
        <v>299</v>
      </c>
    </row>
    <row r="9518" spans="1:6" ht="25.5">
      <c r="A9518" s="2">
        <v>9515</v>
      </c>
      <c r="B9518" s="2" t="s">
        <v>9593</v>
      </c>
      <c r="C9518" s="2" t="str">
        <f>"20080700"</f>
        <v>20080700</v>
      </c>
      <c r="D9518" s="2">
        <v>0.13100000000000001</v>
      </c>
      <c r="E9518" s="2">
        <v>3</v>
      </c>
      <c r="F9518" s="2" t="s">
        <v>299</v>
      </c>
    </row>
    <row r="9519" spans="1:6" ht="25.5">
      <c r="A9519" s="2">
        <v>9516</v>
      </c>
      <c r="B9519" s="2" t="s">
        <v>9594</v>
      </c>
      <c r="C9519" s="2" t="str">
        <f>"17355109"</f>
        <v>17355109</v>
      </c>
      <c r="D9519" s="2">
        <v>0.11799999999999999</v>
      </c>
      <c r="E9519" s="2">
        <v>4</v>
      </c>
      <c r="F9519" s="2" t="s">
        <v>299</v>
      </c>
    </row>
    <row r="9520" spans="1:6" ht="25.5">
      <c r="A9520" s="2">
        <v>9517</v>
      </c>
      <c r="B9520" s="2" t="s">
        <v>9595</v>
      </c>
      <c r="C9520" s="2" t="str">
        <f>"0021082X"</f>
        <v>0021082X</v>
      </c>
      <c r="D9520" s="2">
        <v>0.10100000000000001</v>
      </c>
      <c r="E9520" s="2">
        <v>0</v>
      </c>
      <c r="F9520" s="2" t="s">
        <v>299</v>
      </c>
    </row>
    <row r="9521" spans="1:6" ht="25.5">
      <c r="A9521" s="2">
        <v>9518</v>
      </c>
      <c r="B9521" s="2" t="s">
        <v>9596</v>
      </c>
      <c r="C9521" s="2" t="str">
        <f>"17267544"</f>
        <v>17267544</v>
      </c>
      <c r="D9521" s="2">
        <v>0.11</v>
      </c>
      <c r="E9521" s="2">
        <v>4</v>
      </c>
      <c r="F9521" s="2" t="s">
        <v>299</v>
      </c>
    </row>
    <row r="9522" spans="1:6" ht="25.5">
      <c r="A9522" s="2">
        <v>9519</v>
      </c>
      <c r="B9522" s="2" t="s">
        <v>9597</v>
      </c>
      <c r="C9522" s="2" t="str">
        <f>"16820053"</f>
        <v>16820053</v>
      </c>
      <c r="D9522" s="2">
        <v>0.115</v>
      </c>
      <c r="E9522" s="2">
        <v>5</v>
      </c>
      <c r="F9522" s="2" t="s">
        <v>299</v>
      </c>
    </row>
    <row r="9523" spans="1:6" ht="25.5">
      <c r="A9523" s="2">
        <v>9520</v>
      </c>
      <c r="B9523" s="2" t="s">
        <v>9598</v>
      </c>
      <c r="C9523" s="2" t="str">
        <f>"17352827"</f>
        <v>17352827</v>
      </c>
      <c r="D9523" s="2">
        <v>0.248</v>
      </c>
      <c r="E9523" s="2">
        <v>4</v>
      </c>
      <c r="F9523" s="2" t="s">
        <v>299</v>
      </c>
    </row>
    <row r="9524" spans="1:6" ht="25.5">
      <c r="A9524" s="2">
        <v>9521</v>
      </c>
      <c r="B9524" s="2" t="s">
        <v>9599</v>
      </c>
      <c r="C9524" s="2" t="str">
        <f>"16834844"</f>
        <v>16834844</v>
      </c>
      <c r="D9524" s="2">
        <v>0.13900000000000001</v>
      </c>
      <c r="E9524" s="2">
        <v>3</v>
      </c>
      <c r="F9524" s="2" t="s">
        <v>299</v>
      </c>
    </row>
    <row r="9525" spans="1:6" ht="25.5">
      <c r="A9525" s="2">
        <v>9522</v>
      </c>
      <c r="B9525" s="2" t="s">
        <v>9600</v>
      </c>
      <c r="C9525" s="2" t="str">
        <f>"17352746"</f>
        <v>17352746</v>
      </c>
      <c r="D9525" s="2">
        <v>0.38900000000000001</v>
      </c>
      <c r="E9525" s="2">
        <v>10</v>
      </c>
      <c r="F9525" s="2" t="s">
        <v>299</v>
      </c>
    </row>
    <row r="9526" spans="1:6" ht="25.5">
      <c r="A9526" s="2">
        <v>9523</v>
      </c>
      <c r="B9526" s="2" t="s">
        <v>9601</v>
      </c>
      <c r="C9526" s="2" t="str">
        <f>"17357489"</f>
        <v>17357489</v>
      </c>
      <c r="D9526" s="2">
        <v>0.154</v>
      </c>
      <c r="E9526" s="2">
        <v>2</v>
      </c>
      <c r="F9526" s="2" t="s">
        <v>299</v>
      </c>
    </row>
    <row r="9527" spans="1:6" ht="25.5">
      <c r="A9527" s="2">
        <v>9524</v>
      </c>
      <c r="B9527" s="2" t="s">
        <v>9602</v>
      </c>
      <c r="C9527" s="2" t="str">
        <f>"17350654"</f>
        <v>17350654</v>
      </c>
      <c r="D9527" s="2">
        <v>0.42699999999999999</v>
      </c>
      <c r="E9527" s="2">
        <v>9</v>
      </c>
      <c r="F9527" s="2" t="s">
        <v>299</v>
      </c>
    </row>
    <row r="9528" spans="1:6" ht="25.5">
      <c r="A9528" s="2">
        <v>9525</v>
      </c>
      <c r="B9528" s="2" t="s">
        <v>9603</v>
      </c>
      <c r="C9528" s="2" t="str">
        <f>"1735365X"</f>
        <v>1735365X</v>
      </c>
      <c r="D9528" s="2">
        <v>0.188</v>
      </c>
      <c r="E9528" s="2">
        <v>10</v>
      </c>
      <c r="F9528" s="2" t="s">
        <v>299</v>
      </c>
    </row>
    <row r="9529" spans="1:6" ht="25.5">
      <c r="A9529" s="2">
        <v>9526</v>
      </c>
      <c r="B9529" s="2" t="s">
        <v>9604</v>
      </c>
      <c r="C9529" s="2" t="str">
        <f>"1735367X"</f>
        <v>1735367X</v>
      </c>
      <c r="D9529" s="2">
        <v>0.109</v>
      </c>
      <c r="E9529" s="2">
        <v>1</v>
      </c>
      <c r="F9529" s="2" t="s">
        <v>299</v>
      </c>
    </row>
    <row r="9530" spans="1:6" ht="25.5">
      <c r="A9530" s="2">
        <v>9527</v>
      </c>
      <c r="B9530" s="2" t="s">
        <v>9605</v>
      </c>
      <c r="C9530" s="2" t="str">
        <f>"22518231"</f>
        <v>22518231</v>
      </c>
      <c r="D9530" s="2">
        <v>0</v>
      </c>
      <c r="E9530" s="2">
        <v>0</v>
      </c>
      <c r="F9530" s="2" t="s">
        <v>299</v>
      </c>
    </row>
    <row r="9531" spans="1:6" ht="25.5">
      <c r="A9531" s="2">
        <v>9528</v>
      </c>
      <c r="B9531" s="2" t="s">
        <v>9606</v>
      </c>
      <c r="C9531" s="2" t="str">
        <f>"17358604"</f>
        <v>17358604</v>
      </c>
      <c r="D9531" s="2">
        <v>0.28599999999999998</v>
      </c>
      <c r="E9531" s="2">
        <v>9</v>
      </c>
      <c r="F9531" s="2" t="s">
        <v>299</v>
      </c>
    </row>
    <row r="9532" spans="1:6" ht="25.5">
      <c r="A9532" s="2">
        <v>9529</v>
      </c>
      <c r="B9532" s="2" t="s">
        <v>9607</v>
      </c>
      <c r="C9532" s="2" t="str">
        <f>"17350808"</f>
        <v>17350808</v>
      </c>
      <c r="D9532" s="2">
        <v>0.17799999999999999</v>
      </c>
      <c r="E9532" s="2">
        <v>2</v>
      </c>
      <c r="F9532" s="2" t="s">
        <v>299</v>
      </c>
    </row>
    <row r="9533" spans="1:6" ht="25.5">
      <c r="A9533" s="2">
        <v>9530</v>
      </c>
      <c r="B9533" s="2" t="s">
        <v>9608</v>
      </c>
      <c r="C9533" s="2" t="str">
        <f>"20089473"</f>
        <v>20089473</v>
      </c>
      <c r="D9533" s="2">
        <v>0.192</v>
      </c>
      <c r="E9533" s="2">
        <v>2</v>
      </c>
      <c r="F9533" s="2" t="s">
        <v>299</v>
      </c>
    </row>
    <row r="9534" spans="1:6" ht="25.5">
      <c r="A9534" s="2">
        <v>9531</v>
      </c>
      <c r="B9534" s="2" t="s">
        <v>9609</v>
      </c>
      <c r="C9534" s="2" t="str">
        <f>"1735160X"</f>
        <v>1735160X</v>
      </c>
      <c r="D9534" s="2">
        <v>0.12</v>
      </c>
      <c r="E9534" s="2">
        <v>1</v>
      </c>
      <c r="F9534" s="2" t="s">
        <v>299</v>
      </c>
    </row>
    <row r="9535" spans="1:6" ht="25.5">
      <c r="A9535" s="2">
        <v>9532</v>
      </c>
      <c r="B9535" s="2" t="s">
        <v>9610</v>
      </c>
      <c r="C9535" s="2" t="str">
        <f>"02530716"</f>
        <v>02530716</v>
      </c>
      <c r="D9535" s="2">
        <v>0.14000000000000001</v>
      </c>
      <c r="E9535" s="2">
        <v>8</v>
      </c>
      <c r="F9535" s="2" t="s">
        <v>299</v>
      </c>
    </row>
    <row r="9536" spans="1:6" ht="25.5">
      <c r="A9536" s="2">
        <v>9533</v>
      </c>
      <c r="B9536" s="2" t="s">
        <v>9611</v>
      </c>
      <c r="C9536" s="2" t="str">
        <f>"20084447"</f>
        <v>20084447</v>
      </c>
      <c r="D9536" s="2">
        <v>0.155</v>
      </c>
      <c r="E9536" s="2">
        <v>2</v>
      </c>
      <c r="F9536" s="2" t="s">
        <v>299</v>
      </c>
    </row>
    <row r="9537" spans="1:6" ht="25.5">
      <c r="A9537" s="2">
        <v>9534</v>
      </c>
      <c r="B9537" s="2" t="s">
        <v>9612</v>
      </c>
      <c r="C9537" s="2" t="str">
        <f>"16812824"</f>
        <v>16812824</v>
      </c>
      <c r="D9537" s="2">
        <v>0.19900000000000001</v>
      </c>
      <c r="E9537" s="2">
        <v>5</v>
      </c>
      <c r="F9537" s="2" t="s">
        <v>299</v>
      </c>
    </row>
    <row r="9538" spans="1:6" ht="25.5">
      <c r="A9538" s="2">
        <v>9535</v>
      </c>
      <c r="B9538" s="2" t="s">
        <v>9613</v>
      </c>
      <c r="C9538" s="2" t="str">
        <f>"16802993"</f>
        <v>16802993</v>
      </c>
      <c r="D9538" s="2">
        <v>0.13100000000000001</v>
      </c>
      <c r="E9538" s="2">
        <v>2</v>
      </c>
      <c r="F9538" s="2" t="s">
        <v>299</v>
      </c>
    </row>
    <row r="9539" spans="1:6" ht="25.5">
      <c r="A9539" s="2">
        <v>9536</v>
      </c>
      <c r="B9539" s="2" t="s">
        <v>9614</v>
      </c>
      <c r="C9539" s="2" t="str">
        <f>"17354153"</f>
        <v>17354153</v>
      </c>
      <c r="D9539" s="2">
        <v>0.14299999999999999</v>
      </c>
      <c r="E9539" s="2">
        <v>3</v>
      </c>
      <c r="F9539" s="2" t="s">
        <v>299</v>
      </c>
    </row>
    <row r="9540" spans="1:6" ht="25.5">
      <c r="A9540" s="2">
        <v>9537</v>
      </c>
      <c r="B9540" s="2" t="s">
        <v>9615</v>
      </c>
      <c r="C9540" s="2" t="str">
        <f>"22517251"</f>
        <v>22517251</v>
      </c>
      <c r="D9540" s="2">
        <v>0.115</v>
      </c>
      <c r="E9540" s="2">
        <v>1</v>
      </c>
      <c r="F9540" s="2" t="s">
        <v>299</v>
      </c>
    </row>
    <row r="9541" spans="1:6" ht="25.5">
      <c r="A9541" s="2">
        <v>9538</v>
      </c>
      <c r="B9541" s="2" t="s">
        <v>9616</v>
      </c>
      <c r="C9541" s="2" t="str">
        <f>"17357020"</f>
        <v>17357020</v>
      </c>
      <c r="D9541" s="2">
        <v>0.23</v>
      </c>
      <c r="E9541" s="2">
        <v>6</v>
      </c>
      <c r="F9541" s="2" t="s">
        <v>299</v>
      </c>
    </row>
    <row r="9542" spans="1:6" ht="25.5">
      <c r="A9542" s="2">
        <v>9539</v>
      </c>
      <c r="B9542" s="2" t="s">
        <v>9617</v>
      </c>
      <c r="C9542" s="2" t="str">
        <f>"17355303"</f>
        <v>17355303</v>
      </c>
      <c r="D9542" s="2">
        <v>0.111</v>
      </c>
      <c r="E9542" s="2">
        <v>1</v>
      </c>
      <c r="F9542" s="2" t="s">
        <v>299</v>
      </c>
    </row>
    <row r="9543" spans="1:6" ht="25.5">
      <c r="A9543" s="2">
        <v>9540</v>
      </c>
      <c r="B9543" s="2" t="s">
        <v>9618</v>
      </c>
      <c r="C9543" s="2" t="str">
        <f>"10184406"</f>
        <v>10184406</v>
      </c>
      <c r="D9543" s="2">
        <v>0.18099999999999999</v>
      </c>
      <c r="E9543" s="2">
        <v>5</v>
      </c>
      <c r="F9543" s="2" t="s">
        <v>299</v>
      </c>
    </row>
    <row r="9544" spans="1:6" ht="25.5">
      <c r="A9544" s="2">
        <v>9541</v>
      </c>
      <c r="B9544" s="2" t="s">
        <v>9619</v>
      </c>
      <c r="C9544" s="2" t="str">
        <f>"17350328"</f>
        <v>17350328</v>
      </c>
      <c r="D9544" s="2">
        <v>0.26400000000000001</v>
      </c>
      <c r="E9544" s="2">
        <v>8</v>
      </c>
      <c r="F9544" s="2" t="s">
        <v>299</v>
      </c>
    </row>
    <row r="9545" spans="1:6" ht="25.5">
      <c r="A9545" s="2">
        <v>9542</v>
      </c>
      <c r="B9545" s="2" t="s">
        <v>9620</v>
      </c>
      <c r="C9545" s="2" t="str">
        <f>"17352444"</f>
        <v>17352444</v>
      </c>
      <c r="D9545" s="2">
        <v>0.124</v>
      </c>
      <c r="E9545" s="2">
        <v>2</v>
      </c>
      <c r="F9545" s="2" t="s">
        <v>299</v>
      </c>
    </row>
    <row r="9546" spans="1:6" ht="25.5">
      <c r="A9546" s="2">
        <v>9543</v>
      </c>
      <c r="B9546" s="2" t="s">
        <v>9621</v>
      </c>
      <c r="C9546" s="2" t="str">
        <f>"17352657"</f>
        <v>17352657</v>
      </c>
      <c r="D9546" s="2">
        <v>0.17299999999999999</v>
      </c>
      <c r="E9546" s="2">
        <v>11</v>
      </c>
      <c r="F9546" s="2" t="s">
        <v>299</v>
      </c>
    </row>
    <row r="9547" spans="1:6" ht="25.5">
      <c r="A9547" s="2">
        <v>9544</v>
      </c>
      <c r="B9547" s="2" t="s">
        <v>9622</v>
      </c>
      <c r="C9547" s="2" t="str">
        <f>"20082215"</f>
        <v>20082215</v>
      </c>
      <c r="D9547" s="2">
        <v>0.10100000000000001</v>
      </c>
      <c r="E9547" s="2">
        <v>1</v>
      </c>
      <c r="F9547" s="2" t="s">
        <v>299</v>
      </c>
    </row>
    <row r="9548" spans="1:6" ht="25.5">
      <c r="A9548" s="2">
        <v>9545</v>
      </c>
      <c r="B9548" s="2" t="s">
        <v>9623</v>
      </c>
      <c r="C9548" s="2" t="str">
        <f>"17359287"</f>
        <v>17359287</v>
      </c>
      <c r="D9548" s="2">
        <v>0.113</v>
      </c>
      <c r="E9548" s="2">
        <v>3</v>
      </c>
      <c r="F9548" s="2" t="s">
        <v>299</v>
      </c>
    </row>
    <row r="9549" spans="1:6" ht="25.5">
      <c r="A9549" s="2">
        <v>9546</v>
      </c>
      <c r="B9549" s="2" t="s">
        <v>9624</v>
      </c>
      <c r="C9549" s="2" t="str">
        <f>"03044556"</f>
        <v>03044556</v>
      </c>
      <c r="D9549" s="2">
        <v>0.19</v>
      </c>
      <c r="E9549" s="2">
        <v>11</v>
      </c>
      <c r="F9549" s="2" t="s">
        <v>299</v>
      </c>
    </row>
    <row r="9550" spans="1:6" ht="25.5">
      <c r="A9550" s="2">
        <v>9547</v>
      </c>
      <c r="B9550" s="2" t="s">
        <v>9625</v>
      </c>
      <c r="C9550" s="2" t="str">
        <f>"17284562"</f>
        <v>17284562</v>
      </c>
      <c r="D9550" s="2">
        <v>0.248</v>
      </c>
      <c r="E9550" s="2">
        <v>5</v>
      </c>
      <c r="F9550" s="2" t="s">
        <v>299</v>
      </c>
    </row>
    <row r="9551" spans="1:6" ht="25.5">
      <c r="A9551" s="2">
        <v>9548</v>
      </c>
      <c r="B9551" s="2" t="s">
        <v>9626</v>
      </c>
      <c r="C9551" s="2" t="str">
        <f>"17351065"</f>
        <v>17351065</v>
      </c>
      <c r="D9551" s="2">
        <v>0.113</v>
      </c>
      <c r="E9551" s="2">
        <v>3</v>
      </c>
      <c r="F9551" s="2" t="s">
        <v>299</v>
      </c>
    </row>
    <row r="9552" spans="1:6" ht="25.5">
      <c r="A9552" s="2">
        <v>9549</v>
      </c>
      <c r="B9552" s="2" t="s">
        <v>9627</v>
      </c>
      <c r="C9552" s="2" t="str">
        <f>"16806433"</f>
        <v>16806433</v>
      </c>
      <c r="D9552" s="2">
        <v>0.156</v>
      </c>
      <c r="E9552" s="2">
        <v>6</v>
      </c>
      <c r="F9552" s="2" t="s">
        <v>299</v>
      </c>
    </row>
    <row r="9553" spans="1:6" ht="25.5">
      <c r="A9553" s="2">
        <v>9550</v>
      </c>
      <c r="B9553" s="2" t="s">
        <v>9628</v>
      </c>
      <c r="C9553" s="2" t="str">
        <f>"10286276"</f>
        <v>10286276</v>
      </c>
      <c r="D9553" s="2">
        <v>0.13100000000000001</v>
      </c>
      <c r="E9553" s="2">
        <v>5</v>
      </c>
      <c r="F9553" s="2" t="s">
        <v>299</v>
      </c>
    </row>
    <row r="9554" spans="1:6" ht="25.5">
      <c r="A9554" s="2">
        <v>9551</v>
      </c>
      <c r="B9554" s="2" t="s">
        <v>9629</v>
      </c>
      <c r="C9554" s="2" t="str">
        <f>"10286284"</f>
        <v>10286284</v>
      </c>
      <c r="D9554" s="2">
        <v>0.13800000000000001</v>
      </c>
      <c r="E9554" s="2">
        <v>9</v>
      </c>
      <c r="F9554" s="2" t="s">
        <v>299</v>
      </c>
    </row>
    <row r="9555" spans="1:6" ht="25.5">
      <c r="A9555" s="2">
        <v>9552</v>
      </c>
      <c r="B9555" s="2" t="s">
        <v>9630</v>
      </c>
      <c r="C9555" s="2" t="str">
        <f>"22286160"</f>
        <v>22286160</v>
      </c>
      <c r="D9555" s="2">
        <v>0</v>
      </c>
      <c r="E9555" s="2">
        <v>0</v>
      </c>
      <c r="F9555" s="2" t="s">
        <v>299</v>
      </c>
    </row>
    <row r="9556" spans="1:6" ht="25.5">
      <c r="A9556" s="2">
        <v>9553</v>
      </c>
      <c r="B9556" s="2" t="s">
        <v>9631</v>
      </c>
      <c r="C9556" s="2" t="str">
        <f>"22286179"</f>
        <v>22286179</v>
      </c>
      <c r="D9556" s="2">
        <v>0</v>
      </c>
      <c r="E9556" s="2">
        <v>0</v>
      </c>
      <c r="F9556" s="2" t="s">
        <v>299</v>
      </c>
    </row>
    <row r="9557" spans="1:6" ht="25.5">
      <c r="A9557" s="2">
        <v>9554</v>
      </c>
      <c r="B9557" s="2" t="s">
        <v>9632</v>
      </c>
      <c r="C9557" s="2" t="str">
        <f>"22286187"</f>
        <v>22286187</v>
      </c>
      <c r="D9557" s="2">
        <v>0</v>
      </c>
      <c r="E9557" s="2">
        <v>0</v>
      </c>
      <c r="F9557" s="2" t="s">
        <v>299</v>
      </c>
    </row>
    <row r="9558" spans="1:6" ht="25.5">
      <c r="A9558" s="2">
        <v>9555</v>
      </c>
      <c r="B9558" s="2" t="s">
        <v>9633</v>
      </c>
      <c r="C9558" s="2" t="str">
        <f>"17281997"</f>
        <v>17281997</v>
      </c>
      <c r="D9558" s="2">
        <v>0.28199999999999997</v>
      </c>
      <c r="E9558" s="2">
        <v>5</v>
      </c>
      <c r="F9558" s="2" t="s">
        <v>299</v>
      </c>
    </row>
    <row r="9559" spans="1:6" ht="25.5">
      <c r="A9559" s="2">
        <v>9556</v>
      </c>
      <c r="B9559" s="2" t="s">
        <v>9634</v>
      </c>
      <c r="C9559" s="2" t="str">
        <f>"10261265"</f>
        <v>10261265</v>
      </c>
      <c r="D9559" s="2">
        <v>0.40100000000000002</v>
      </c>
      <c r="E9559" s="2">
        <v>20</v>
      </c>
      <c r="F9559" s="2" t="s">
        <v>299</v>
      </c>
    </row>
    <row r="9560" spans="1:6" ht="25.5">
      <c r="A9560" s="2">
        <v>9557</v>
      </c>
      <c r="B9560" s="2" t="s">
        <v>9635</v>
      </c>
      <c r="C9560" s="2" t="str">
        <f>"15614395"</f>
        <v>15614395</v>
      </c>
      <c r="D9560" s="2">
        <v>0.17499999999999999</v>
      </c>
      <c r="E9560" s="2">
        <v>7</v>
      </c>
      <c r="F9560" s="2" t="s">
        <v>1467</v>
      </c>
    </row>
    <row r="9561" spans="1:6" ht="25.5">
      <c r="A9561" s="2">
        <v>9558</v>
      </c>
      <c r="B9561" s="2" t="s">
        <v>9636</v>
      </c>
      <c r="C9561" s="2" t="str">
        <f>"00210862"</f>
        <v>00210862</v>
      </c>
      <c r="D9561" s="2">
        <v>0.10100000000000001</v>
      </c>
      <c r="E9561" s="2">
        <v>2</v>
      </c>
      <c r="F9561" s="2" t="s">
        <v>16</v>
      </c>
    </row>
    <row r="9562" spans="1:6" ht="25.5">
      <c r="A9562" s="2">
        <v>9559</v>
      </c>
      <c r="B9562" s="2" t="s">
        <v>9637</v>
      </c>
      <c r="C9562" s="2" t="str">
        <f>"17831482"</f>
        <v>17831482</v>
      </c>
      <c r="D9562" s="2">
        <v>0.184</v>
      </c>
      <c r="E9562" s="2">
        <v>6</v>
      </c>
      <c r="F9562" s="2" t="s">
        <v>161</v>
      </c>
    </row>
    <row r="9563" spans="1:6" ht="25.5">
      <c r="A9563" s="2">
        <v>9560</v>
      </c>
      <c r="B9563" s="2" t="s">
        <v>9638</v>
      </c>
      <c r="C9563" s="2" t="str">
        <f>"17355133"</f>
        <v>17355133</v>
      </c>
      <c r="D9563" s="2">
        <v>0.10100000000000001</v>
      </c>
      <c r="E9563" s="2">
        <v>0</v>
      </c>
      <c r="F9563" s="2" t="s">
        <v>299</v>
      </c>
    </row>
    <row r="9564" spans="1:6" ht="25.5">
      <c r="A9564" s="2">
        <v>9561</v>
      </c>
      <c r="B9564" s="2" t="s">
        <v>9639</v>
      </c>
      <c r="C9564" s="2" t="str">
        <f>"16073894"</f>
        <v>16073894</v>
      </c>
      <c r="D9564" s="2">
        <v>0.16500000000000001</v>
      </c>
      <c r="E9564" s="2">
        <v>2</v>
      </c>
      <c r="F9564" s="2" t="s">
        <v>1628</v>
      </c>
    </row>
    <row r="9565" spans="1:6" ht="25.5">
      <c r="A9565" s="2">
        <v>9562</v>
      </c>
      <c r="B9565" s="2" t="s">
        <v>9640</v>
      </c>
      <c r="C9565" s="2" t="str">
        <f>"01937758"</f>
        <v>01937758</v>
      </c>
      <c r="D9565" s="2">
        <v>0.66100000000000003</v>
      </c>
      <c r="E9565" s="2">
        <v>19</v>
      </c>
      <c r="F9565" s="2" t="s">
        <v>6</v>
      </c>
    </row>
    <row r="9566" spans="1:6" ht="25.5">
      <c r="A9566" s="2">
        <v>9563</v>
      </c>
      <c r="B9566" s="2" t="s">
        <v>9641</v>
      </c>
      <c r="C9566" s="2" t="str">
        <f>"19590318"</f>
        <v>19590318</v>
      </c>
      <c r="D9566" s="2">
        <v>0.222</v>
      </c>
      <c r="E9566" s="2">
        <v>14</v>
      </c>
      <c r="F9566" s="2" t="s">
        <v>66</v>
      </c>
    </row>
    <row r="9567" spans="1:6" ht="25.5">
      <c r="A9567" s="2">
        <v>9564</v>
      </c>
      <c r="B9567" s="2" t="s">
        <v>9642</v>
      </c>
      <c r="C9567" s="2" t="str">
        <f>"19597568"</f>
        <v>19597568</v>
      </c>
      <c r="D9567" s="2">
        <v>0.1</v>
      </c>
      <c r="E9567" s="2">
        <v>3</v>
      </c>
      <c r="F9567" s="2" t="s">
        <v>66</v>
      </c>
    </row>
    <row r="9568" spans="1:6" ht="25.5">
      <c r="A9568" s="2">
        <v>9565</v>
      </c>
      <c r="B9568" s="2" t="s">
        <v>9643</v>
      </c>
      <c r="C9568" s="2" t="str">
        <f>"11227893"</f>
        <v>11227893</v>
      </c>
      <c r="D9568" s="2">
        <v>0.10100000000000001</v>
      </c>
      <c r="E9568" s="2">
        <v>0</v>
      </c>
      <c r="F9568" s="2" t="s">
        <v>190</v>
      </c>
    </row>
    <row r="9569" spans="1:6" ht="25.5">
      <c r="A9569" s="2">
        <v>9566</v>
      </c>
      <c r="B9569" s="2" t="s">
        <v>9644</v>
      </c>
      <c r="C9569" s="2" t="str">
        <f>"20366329"</f>
        <v>20366329</v>
      </c>
      <c r="D9569" s="2">
        <v>0.1</v>
      </c>
      <c r="E9569" s="2">
        <v>1</v>
      </c>
      <c r="F9569" s="2" t="s">
        <v>190</v>
      </c>
    </row>
    <row r="9570" spans="1:6" ht="25.5">
      <c r="A9570" s="2">
        <v>9567</v>
      </c>
      <c r="B9570" s="2" t="s">
        <v>9645</v>
      </c>
      <c r="C9570" s="2" t="str">
        <f>"03324893"</f>
        <v>03324893</v>
      </c>
      <c r="D9570" s="2">
        <v>0.105</v>
      </c>
      <c r="E9570" s="2">
        <v>3</v>
      </c>
      <c r="F9570" s="2" t="s">
        <v>732</v>
      </c>
    </row>
    <row r="9571" spans="1:6" ht="25.5">
      <c r="A9571" s="2">
        <v>9568</v>
      </c>
      <c r="B9571" s="2" t="s">
        <v>9646</v>
      </c>
      <c r="C9571" s="2" t="str">
        <f>"17474965"</f>
        <v>17474965</v>
      </c>
      <c r="D9571" s="2">
        <v>0.378</v>
      </c>
      <c r="E9571" s="2">
        <v>4</v>
      </c>
      <c r="F9571" s="2" t="s">
        <v>16</v>
      </c>
    </row>
    <row r="9572" spans="1:6" ht="25.5">
      <c r="A9572" s="2">
        <v>9569</v>
      </c>
      <c r="B9572" s="2" t="s">
        <v>9647</v>
      </c>
      <c r="C9572" s="2" t="str">
        <f>"00750778"</f>
        <v>00750778</v>
      </c>
      <c r="D9572" s="2">
        <v>0.219</v>
      </c>
      <c r="E9572" s="2">
        <v>9</v>
      </c>
      <c r="F9572" s="2" t="s">
        <v>16</v>
      </c>
    </row>
    <row r="9573" spans="1:6" ht="25.5">
      <c r="A9573" s="2">
        <v>9570</v>
      </c>
      <c r="B9573" s="2" t="s">
        <v>9648</v>
      </c>
      <c r="C9573" s="2" t="str">
        <f>"00211214"</f>
        <v>00211214</v>
      </c>
      <c r="D9573" s="2">
        <v>0.11</v>
      </c>
      <c r="E9573" s="2">
        <v>4</v>
      </c>
      <c r="F9573" s="2" t="s">
        <v>732</v>
      </c>
    </row>
    <row r="9574" spans="1:6" ht="25.5">
      <c r="A9574" s="2">
        <v>9571</v>
      </c>
      <c r="B9574" s="2" t="s">
        <v>9649</v>
      </c>
      <c r="C9574" s="2" t="str">
        <f>"07916833"</f>
        <v>07916833</v>
      </c>
      <c r="D9574" s="2">
        <v>0.219</v>
      </c>
      <c r="E9574" s="2">
        <v>16</v>
      </c>
      <c r="F9574" s="2" t="s">
        <v>732</v>
      </c>
    </row>
    <row r="9575" spans="1:6" ht="25.5">
      <c r="A9575" s="2">
        <v>9572</v>
      </c>
      <c r="B9575" s="2" t="s">
        <v>9650</v>
      </c>
      <c r="C9575" s="2" t="str">
        <f>"07901763"</f>
        <v>07901763</v>
      </c>
      <c r="D9575" s="2">
        <v>0.153</v>
      </c>
      <c r="E9575" s="2">
        <v>7</v>
      </c>
      <c r="F9575" s="2" t="s">
        <v>732</v>
      </c>
    </row>
    <row r="9576" spans="1:6" ht="25.5">
      <c r="A9576" s="2">
        <v>9573</v>
      </c>
      <c r="B9576" s="2" t="s">
        <v>9651</v>
      </c>
      <c r="C9576" s="2" t="str">
        <f>"00211265"</f>
        <v>00211265</v>
      </c>
      <c r="D9576" s="2">
        <v>0.19900000000000001</v>
      </c>
      <c r="E9576" s="2">
        <v>19</v>
      </c>
      <c r="F9576" s="2" t="s">
        <v>16</v>
      </c>
    </row>
    <row r="9577" spans="1:6" ht="25.5">
      <c r="A9577" s="2">
        <v>9574</v>
      </c>
      <c r="B9577" s="2" t="s">
        <v>9652</v>
      </c>
      <c r="C9577" s="2" t="str">
        <f>"07909667"</f>
        <v>07909667</v>
      </c>
      <c r="D9577" s="2">
        <v>0.217</v>
      </c>
      <c r="E9577" s="2">
        <v>11</v>
      </c>
      <c r="F9577" s="2" t="s">
        <v>732</v>
      </c>
    </row>
    <row r="9578" spans="1:6" ht="25.5">
      <c r="A9578" s="2">
        <v>9575</v>
      </c>
      <c r="B9578" s="2" t="s">
        <v>9653</v>
      </c>
      <c r="C9578" s="2" t="str">
        <f>"03033910"</f>
        <v>03033910</v>
      </c>
      <c r="D9578" s="2">
        <v>0.14399999999999999</v>
      </c>
      <c r="E9578" s="2">
        <v>13</v>
      </c>
      <c r="F9578" s="2" t="s">
        <v>732</v>
      </c>
    </row>
    <row r="9579" spans="1:6" ht="25.5">
      <c r="A9579" s="2">
        <v>9576</v>
      </c>
      <c r="B9579" s="2" t="s">
        <v>9654</v>
      </c>
      <c r="C9579" s="2" t="str">
        <f>"03323102"</f>
        <v>03323102</v>
      </c>
      <c r="D9579" s="2">
        <v>0.16200000000000001</v>
      </c>
      <c r="E9579" s="2">
        <v>19</v>
      </c>
      <c r="F9579" s="2" t="s">
        <v>732</v>
      </c>
    </row>
    <row r="9580" spans="1:6" ht="25.5">
      <c r="A9580" s="2">
        <v>9577</v>
      </c>
      <c r="B9580" s="2" t="s">
        <v>9655</v>
      </c>
      <c r="C9580" s="2" t="str">
        <f>"07907184"</f>
        <v>07907184</v>
      </c>
      <c r="D9580" s="2">
        <v>0.41</v>
      </c>
      <c r="E9580" s="2">
        <v>6</v>
      </c>
      <c r="F9580" s="2" t="s">
        <v>16</v>
      </c>
    </row>
    <row r="9581" spans="1:6" ht="25.5">
      <c r="A9581" s="2">
        <v>9578</v>
      </c>
      <c r="B9581" s="2" t="s">
        <v>9656</v>
      </c>
      <c r="C9581" s="2" t="str">
        <f>"20090072"</f>
        <v>20090072</v>
      </c>
      <c r="D9581" s="2">
        <v>0.14799999999999999</v>
      </c>
      <c r="E9581" s="2">
        <v>2</v>
      </c>
      <c r="F9581" s="2" t="s">
        <v>732</v>
      </c>
    </row>
    <row r="9582" spans="1:6" ht="25.5">
      <c r="A9582" s="2">
        <v>9579</v>
      </c>
      <c r="B9582" s="2" t="s">
        <v>9657</v>
      </c>
      <c r="C9582" s="2" t="str">
        <f>"09670882"</f>
        <v>09670882</v>
      </c>
      <c r="D9582" s="2">
        <v>0.1</v>
      </c>
      <c r="E9582" s="2">
        <v>2</v>
      </c>
      <c r="F9582" s="2" t="s">
        <v>16</v>
      </c>
    </row>
    <row r="9583" spans="1:6" ht="25.5">
      <c r="A9583" s="2">
        <v>9580</v>
      </c>
      <c r="B9583" s="2" t="s">
        <v>9658</v>
      </c>
      <c r="C9583" s="2" t="str">
        <f>"00211400"</f>
        <v>00211400</v>
      </c>
      <c r="D9583" s="2">
        <v>0.14499999999999999</v>
      </c>
      <c r="E9583" s="2">
        <v>2</v>
      </c>
      <c r="F9583" s="2" t="s">
        <v>16</v>
      </c>
    </row>
    <row r="9584" spans="1:6" ht="25.5">
      <c r="A9584" s="2">
        <v>9581</v>
      </c>
      <c r="B9584" s="2" t="s">
        <v>9659</v>
      </c>
      <c r="C9584" s="2" t="str">
        <f>"00211427"</f>
        <v>00211427</v>
      </c>
      <c r="D9584" s="2">
        <v>0.1</v>
      </c>
      <c r="E9584" s="2">
        <v>2</v>
      </c>
      <c r="F9584" s="2" t="s">
        <v>732</v>
      </c>
    </row>
    <row r="9585" spans="1:6" ht="25.5">
      <c r="A9585" s="2">
        <v>9582</v>
      </c>
      <c r="B9585" s="2" t="s">
        <v>9660</v>
      </c>
      <c r="C9585" s="2" t="str">
        <f>"20460481"</f>
        <v>20460481</v>
      </c>
      <c r="D9585" s="2">
        <v>0.155</v>
      </c>
      <c r="E9585" s="2">
        <v>14</v>
      </c>
      <c r="F9585" s="2" t="s">
        <v>16</v>
      </c>
    </row>
    <row r="9586" spans="1:6" ht="25.5">
      <c r="A9586" s="2">
        <v>9583</v>
      </c>
      <c r="B9586" s="2" t="s">
        <v>9661</v>
      </c>
      <c r="C9586" s="2" t="str">
        <f>"15470423"</f>
        <v>15470423</v>
      </c>
      <c r="D9586" s="2">
        <v>0.20399999999999999</v>
      </c>
      <c r="E9586" s="2">
        <v>8</v>
      </c>
      <c r="F9586" s="2" t="s">
        <v>6</v>
      </c>
    </row>
    <row r="9587" spans="1:6" ht="25.5">
      <c r="A9587" s="2">
        <v>9584</v>
      </c>
      <c r="B9587" s="2" t="s">
        <v>9662</v>
      </c>
      <c r="C9587" s="2" t="str">
        <f>"03019233"</f>
        <v>03019233</v>
      </c>
      <c r="D9587" s="2">
        <v>0.44700000000000001</v>
      </c>
      <c r="E9587" s="2">
        <v>24</v>
      </c>
      <c r="F9587" s="2" t="s">
        <v>16</v>
      </c>
    </row>
    <row r="9588" spans="1:6" ht="25.5">
      <c r="A9588" s="2">
        <v>9585</v>
      </c>
      <c r="B9588" s="2" t="s">
        <v>9663</v>
      </c>
      <c r="C9588" s="2" t="str">
        <f>"14137895"</f>
        <v>14137895</v>
      </c>
      <c r="D9588" s="2">
        <v>0.215</v>
      </c>
      <c r="E9588" s="2">
        <v>5</v>
      </c>
      <c r="F9588" s="2" t="s">
        <v>159</v>
      </c>
    </row>
    <row r="9589" spans="1:6" ht="25.5">
      <c r="A9589" s="2">
        <v>9586</v>
      </c>
      <c r="B9589" s="2" t="s">
        <v>9664</v>
      </c>
      <c r="C9589" s="2" t="str">
        <f>"15310361"</f>
        <v>15310361</v>
      </c>
      <c r="D9589" s="2">
        <v>0.41299999999999998</v>
      </c>
      <c r="E9589" s="2">
        <v>18</v>
      </c>
      <c r="F9589" s="2" t="s">
        <v>16</v>
      </c>
    </row>
    <row r="9590" spans="1:6" ht="25.5">
      <c r="A9590" s="2">
        <v>9587</v>
      </c>
      <c r="B9590" s="2" t="s">
        <v>9665</v>
      </c>
      <c r="C9590" s="2" t="str">
        <f>"01686291"</f>
        <v>01686291</v>
      </c>
      <c r="D9590" s="2">
        <v>0.14799999999999999</v>
      </c>
      <c r="E9590" s="2">
        <v>19</v>
      </c>
      <c r="F9590" s="2" t="s">
        <v>75</v>
      </c>
    </row>
    <row r="9591" spans="1:6" ht="25.5">
      <c r="A9591" s="2">
        <v>9588</v>
      </c>
      <c r="B9591" s="2" t="s">
        <v>9666</v>
      </c>
      <c r="C9591" s="2" t="str">
        <f>"14321319"</f>
        <v>14321319</v>
      </c>
      <c r="D9591" s="2">
        <v>1.2230000000000001</v>
      </c>
      <c r="E9591" s="2">
        <v>33</v>
      </c>
      <c r="F9591" s="2" t="s">
        <v>12</v>
      </c>
    </row>
    <row r="9592" spans="1:6" ht="25.5">
      <c r="A9592" s="2">
        <v>9589</v>
      </c>
      <c r="B9592" s="2" t="s">
        <v>9667</v>
      </c>
      <c r="C9592" s="2" t="str">
        <f>"00211699"</f>
        <v>00211699</v>
      </c>
      <c r="D9592" s="2">
        <v>0.10100000000000001</v>
      </c>
      <c r="E9592" s="2">
        <v>2</v>
      </c>
      <c r="F9592" s="2" t="s">
        <v>131</v>
      </c>
    </row>
    <row r="9593" spans="1:6" ht="25.5">
      <c r="A9593" s="2">
        <v>9590</v>
      </c>
      <c r="B9593" s="2" t="s">
        <v>9668</v>
      </c>
      <c r="C9593" s="2" t="str">
        <f>"00190578"</f>
        <v>00190578</v>
      </c>
      <c r="D9593" s="2">
        <v>0.90400000000000003</v>
      </c>
      <c r="E9593" s="2">
        <v>27</v>
      </c>
      <c r="F9593" s="2" t="s">
        <v>6</v>
      </c>
    </row>
    <row r="9594" spans="1:6" ht="25.5">
      <c r="A9594" s="2">
        <v>9591</v>
      </c>
      <c r="B9594" s="2" t="s">
        <v>9669</v>
      </c>
      <c r="C9594" s="2" t="str">
        <f>"19888376"</f>
        <v>19888376</v>
      </c>
      <c r="D9594" s="2">
        <v>0.158</v>
      </c>
      <c r="E9594" s="2">
        <v>1</v>
      </c>
      <c r="F9594" s="2" t="s">
        <v>351</v>
      </c>
    </row>
    <row r="9595" spans="1:6" ht="25.5">
      <c r="A9595" s="2">
        <v>9592</v>
      </c>
      <c r="B9595" s="2" t="s">
        <v>9670</v>
      </c>
      <c r="C9595" s="2" t="str">
        <f>"13003615"</f>
        <v>13003615</v>
      </c>
      <c r="D9595" s="2">
        <v>0.17699999999999999</v>
      </c>
      <c r="E9595" s="2">
        <v>4</v>
      </c>
      <c r="F9595" s="2" t="s">
        <v>345</v>
      </c>
    </row>
    <row r="9596" spans="1:6" ht="25.5">
      <c r="A9596" s="2">
        <v>9593</v>
      </c>
      <c r="B9596" s="2" t="s">
        <v>9671</v>
      </c>
      <c r="C9596" s="2" t="str">
        <f>"09151559"</f>
        <v>09151559</v>
      </c>
      <c r="D9596" s="2">
        <v>1.0860000000000001</v>
      </c>
      <c r="E9596" s="2">
        <v>61</v>
      </c>
      <c r="F9596" s="2" t="s">
        <v>131</v>
      </c>
    </row>
    <row r="9597" spans="1:6" ht="25.5">
      <c r="A9597" s="2">
        <v>9594</v>
      </c>
      <c r="B9597" s="2" t="s">
        <v>9672</v>
      </c>
      <c r="C9597" s="2" t="str">
        <f>"15456994"</f>
        <v>15456994</v>
      </c>
      <c r="D9597" s="2">
        <v>0.55400000000000005</v>
      </c>
      <c r="E9597" s="2">
        <v>17</v>
      </c>
      <c r="F9597" s="2" t="s">
        <v>6</v>
      </c>
    </row>
    <row r="9598" spans="1:6" ht="25.5">
      <c r="A9598" s="2">
        <v>9595</v>
      </c>
      <c r="B9598" s="2" t="s">
        <v>9673</v>
      </c>
      <c r="C9598" s="2" t="str">
        <f>"14699311"</f>
        <v>14699311</v>
      </c>
      <c r="D9598" s="2">
        <v>0.20300000000000001</v>
      </c>
      <c r="E9598" s="2">
        <v>5</v>
      </c>
      <c r="F9598" s="2" t="s">
        <v>16</v>
      </c>
    </row>
    <row r="9599" spans="1:6" ht="25.5">
      <c r="A9599" s="2">
        <v>9596</v>
      </c>
      <c r="B9599" s="2" t="s">
        <v>9674</v>
      </c>
      <c r="C9599" s="2" t="str">
        <f>"15685195"</f>
        <v>15685195</v>
      </c>
      <c r="D9599" s="2">
        <v>0.10100000000000001</v>
      </c>
      <c r="E9599" s="2">
        <v>4</v>
      </c>
      <c r="F9599" s="2" t="s">
        <v>75</v>
      </c>
    </row>
    <row r="9600" spans="1:6" ht="25.5">
      <c r="A9600" s="2">
        <v>9597</v>
      </c>
      <c r="B9600" s="2" t="s">
        <v>9675</v>
      </c>
      <c r="C9600" s="2" t="str">
        <f>"16130928"</f>
        <v>16130928</v>
      </c>
      <c r="D9600" s="2">
        <v>0.10100000000000001</v>
      </c>
      <c r="E9600" s="2">
        <v>4</v>
      </c>
      <c r="F9600" s="2" t="s">
        <v>12</v>
      </c>
    </row>
    <row r="9601" spans="1:6" ht="25.5">
      <c r="A9601" s="2">
        <v>9598</v>
      </c>
      <c r="B9601" s="2" t="s">
        <v>9676</v>
      </c>
      <c r="C9601" s="2" t="str">
        <f>"14401738"</f>
        <v>14401738</v>
      </c>
      <c r="D9601" s="2">
        <v>0.60499999999999998</v>
      </c>
      <c r="E9601" s="2">
        <v>37</v>
      </c>
      <c r="F9601" s="2" t="s">
        <v>16</v>
      </c>
    </row>
    <row r="9602" spans="1:6" ht="25.5">
      <c r="A9602" s="2">
        <v>9599</v>
      </c>
      <c r="B9602" s="2" t="s">
        <v>9677</v>
      </c>
      <c r="C9602" s="2" t="str">
        <f>"17152593"</f>
        <v>17152593</v>
      </c>
      <c r="D9602" s="2">
        <v>0.22900000000000001</v>
      </c>
      <c r="E9602" s="2">
        <v>3</v>
      </c>
      <c r="F9602" s="2" t="s">
        <v>64</v>
      </c>
    </row>
    <row r="9603" spans="1:6" ht="25.5">
      <c r="A9603" s="2">
        <v>9600</v>
      </c>
      <c r="B9603" s="2" t="s">
        <v>9678</v>
      </c>
      <c r="C9603" s="2" t="str">
        <f>"10760962"</f>
        <v>10760962</v>
      </c>
      <c r="D9603" s="2">
        <v>0.10100000000000001</v>
      </c>
      <c r="E9603" s="2">
        <v>1</v>
      </c>
      <c r="F9603" s="2" t="s">
        <v>6</v>
      </c>
    </row>
    <row r="9604" spans="1:6" ht="25.5">
      <c r="A9604" s="2">
        <v>9601</v>
      </c>
      <c r="B9604" s="2" t="s">
        <v>9679</v>
      </c>
      <c r="C9604" s="2" t="str">
        <f>"19382022"</f>
        <v>19382022</v>
      </c>
      <c r="D9604" s="2">
        <v>0.59599999999999997</v>
      </c>
      <c r="E9604" s="2">
        <v>10</v>
      </c>
      <c r="F9604" s="2" t="s">
        <v>6</v>
      </c>
    </row>
    <row r="9605" spans="1:6" ht="25.5">
      <c r="A9605" s="2">
        <v>9602</v>
      </c>
      <c r="B9605" s="2" t="s">
        <v>9680</v>
      </c>
      <c r="C9605" s="2" t="str">
        <f>"17517370"</f>
        <v>17517370</v>
      </c>
      <c r="D9605" s="2">
        <v>3.806</v>
      </c>
      <c r="E9605" s="2">
        <v>49</v>
      </c>
      <c r="F9605" s="2" t="s">
        <v>16</v>
      </c>
    </row>
    <row r="9606" spans="1:6" ht="25.5">
      <c r="A9606" s="2">
        <v>9603</v>
      </c>
      <c r="B9606" s="2" t="s">
        <v>9681</v>
      </c>
      <c r="C9606" s="2" t="str">
        <f>"09593020"</f>
        <v>09593020</v>
      </c>
      <c r="D9606" s="2">
        <v>0.32900000000000001</v>
      </c>
      <c r="E9606" s="2">
        <v>15</v>
      </c>
      <c r="F9606" s="2" t="s">
        <v>75</v>
      </c>
    </row>
    <row r="9607" spans="1:6" ht="25.5">
      <c r="A9607" s="2">
        <v>9604</v>
      </c>
      <c r="B9607" s="2" t="s">
        <v>9682</v>
      </c>
      <c r="C9607" s="2" t="str">
        <f>"10256016"</f>
        <v>10256016</v>
      </c>
      <c r="D9607" s="2">
        <v>0.31</v>
      </c>
      <c r="E9607" s="2">
        <v>22</v>
      </c>
      <c r="F9607" s="2" t="s">
        <v>16</v>
      </c>
    </row>
    <row r="9608" spans="1:6" ht="25.5">
      <c r="A9608" s="2">
        <v>9605</v>
      </c>
      <c r="B9608" s="2" t="s">
        <v>9683</v>
      </c>
      <c r="C9608" s="2" t="str">
        <f>"09242716"</f>
        <v>09242716</v>
      </c>
      <c r="D9608" s="2">
        <v>1.843</v>
      </c>
      <c r="E9608" s="2">
        <v>54</v>
      </c>
      <c r="F9608" s="2" t="s">
        <v>75</v>
      </c>
    </row>
    <row r="9609" spans="1:6" ht="25.5">
      <c r="A9609" s="2">
        <v>9606</v>
      </c>
      <c r="B9609" s="2" t="s">
        <v>9684</v>
      </c>
      <c r="C9609" s="2" t="str">
        <f>"13537121"</f>
        <v>13537121</v>
      </c>
      <c r="D9609" s="2">
        <v>0.153</v>
      </c>
      <c r="E9609" s="2">
        <v>3</v>
      </c>
      <c r="F9609" s="2" t="s">
        <v>16</v>
      </c>
    </row>
    <row r="9610" spans="1:6" ht="25.5">
      <c r="A9610" s="2">
        <v>9607</v>
      </c>
      <c r="B9610" s="2" t="s">
        <v>9685</v>
      </c>
      <c r="C9610" s="2" t="str">
        <f>"07920385"</f>
        <v>07920385</v>
      </c>
      <c r="D9610" s="2">
        <v>0.113</v>
      </c>
      <c r="E9610" s="2">
        <v>1</v>
      </c>
      <c r="F9610" s="2" t="s">
        <v>2065</v>
      </c>
    </row>
    <row r="9611" spans="1:6" ht="25.5">
      <c r="A9611" s="2">
        <v>9608</v>
      </c>
      <c r="B9611" s="2" t="s">
        <v>9686</v>
      </c>
      <c r="C9611" s="2" t="str">
        <f>"00212059"</f>
        <v>00212059</v>
      </c>
      <c r="D9611" s="2">
        <v>0.24</v>
      </c>
      <c r="E9611" s="2">
        <v>6</v>
      </c>
      <c r="F9611" s="2" t="s">
        <v>2065</v>
      </c>
    </row>
    <row r="9612" spans="1:6" ht="25.5">
      <c r="A9612" s="2">
        <v>9609</v>
      </c>
      <c r="B9612" s="2" t="s">
        <v>9687</v>
      </c>
      <c r="C9612" s="2" t="str">
        <f>"0792156X"</f>
        <v>0792156X</v>
      </c>
      <c r="D9612" s="2">
        <v>0.34399999999999997</v>
      </c>
      <c r="E9612" s="2">
        <v>16</v>
      </c>
      <c r="F9612" s="2" t="s">
        <v>2065</v>
      </c>
    </row>
    <row r="9613" spans="1:6" ht="25.5">
      <c r="A9613" s="2">
        <v>9610</v>
      </c>
      <c r="B9613" s="2" t="s">
        <v>9688</v>
      </c>
      <c r="C9613" s="2" t="str">
        <f>"00212148"</f>
        <v>00212148</v>
      </c>
      <c r="D9613" s="2">
        <v>1.34</v>
      </c>
      <c r="E9613" s="2">
        <v>25</v>
      </c>
      <c r="F9613" s="2" t="s">
        <v>12</v>
      </c>
    </row>
    <row r="9614" spans="1:6">
      <c r="A9614" s="2">
        <v>9611</v>
      </c>
      <c r="B9614" s="2" t="s">
        <v>9689</v>
      </c>
      <c r="C9614" s="2" t="str">
        <f>"0"</f>
        <v>0</v>
      </c>
      <c r="D9614" s="2">
        <v>0.221</v>
      </c>
      <c r="E9614" s="2">
        <v>20</v>
      </c>
      <c r="F9614" s="2" t="s">
        <v>2065</v>
      </c>
    </row>
    <row r="9615" spans="1:6" ht="25.5">
      <c r="A9615" s="2">
        <v>9612</v>
      </c>
      <c r="B9615" s="2" t="s">
        <v>9690</v>
      </c>
      <c r="C9615" s="2" t="str">
        <f>"00212172"</f>
        <v>00212172</v>
      </c>
      <c r="D9615" s="2">
        <v>1.1830000000000001</v>
      </c>
      <c r="E9615" s="2">
        <v>30</v>
      </c>
      <c r="F9615" s="2" t="s">
        <v>6</v>
      </c>
    </row>
    <row r="9616" spans="1:6" ht="25.5">
      <c r="A9616" s="2">
        <v>9613</v>
      </c>
      <c r="B9616" s="2" t="s">
        <v>9691</v>
      </c>
      <c r="C9616" s="2" t="str">
        <f>"07929978"</f>
        <v>07929978</v>
      </c>
      <c r="D9616" s="2">
        <v>0.17799999999999999</v>
      </c>
      <c r="E9616" s="2">
        <v>21</v>
      </c>
      <c r="F9616" s="2" t="s">
        <v>2065</v>
      </c>
    </row>
    <row r="9617" spans="1:6" ht="25.5">
      <c r="A9617" s="2">
        <v>9614</v>
      </c>
      <c r="B9617" s="2" t="s">
        <v>9692</v>
      </c>
      <c r="C9617" s="2" t="str">
        <f>"03337308"</f>
        <v>03337308</v>
      </c>
      <c r="D9617" s="2">
        <v>0.36399999999999999</v>
      </c>
      <c r="E9617" s="2">
        <v>20</v>
      </c>
      <c r="F9617" s="2" t="s">
        <v>2065</v>
      </c>
    </row>
    <row r="9618" spans="1:6" ht="25.5">
      <c r="A9618" s="2">
        <v>9615</v>
      </c>
      <c r="B9618" s="2" t="s">
        <v>9693</v>
      </c>
      <c r="C9618" s="2" t="str">
        <f>"03349152"</f>
        <v>03349152</v>
      </c>
      <c r="D9618" s="2">
        <v>0.13600000000000001</v>
      </c>
      <c r="E9618" s="2">
        <v>3</v>
      </c>
      <c r="F9618" s="2" t="s">
        <v>2065</v>
      </c>
    </row>
    <row r="9619" spans="1:6" ht="25.5">
      <c r="A9619" s="2">
        <v>9616</v>
      </c>
      <c r="B9619" s="2" t="s">
        <v>9694</v>
      </c>
      <c r="C9619" s="2" t="str">
        <f>"15651088"</f>
        <v>15651088</v>
      </c>
      <c r="D9619" s="2">
        <v>0.35499999999999998</v>
      </c>
      <c r="E9619" s="2">
        <v>35</v>
      </c>
      <c r="F9619" s="2" t="s">
        <v>2065</v>
      </c>
    </row>
    <row r="9620" spans="1:6">
      <c r="A9620" s="2">
        <v>9617</v>
      </c>
      <c r="B9620" s="2" t="s">
        <v>9695</v>
      </c>
      <c r="C9620" s="2" t="str">
        <f>"0"</f>
        <v>0</v>
      </c>
      <c r="D9620" s="2">
        <v>0.38200000000000001</v>
      </c>
      <c r="E9620" s="2">
        <v>7</v>
      </c>
      <c r="F9620" s="2" t="s">
        <v>6</v>
      </c>
    </row>
    <row r="9621" spans="1:6" ht="25.5">
      <c r="A9621" s="2">
        <v>9618</v>
      </c>
      <c r="B9621" s="2" t="s">
        <v>9696</v>
      </c>
      <c r="C9621" s="2" t="str">
        <f>"15586847"</f>
        <v>15586847</v>
      </c>
      <c r="D9621" s="2">
        <v>0.34200000000000003</v>
      </c>
      <c r="E9621" s="2">
        <v>7</v>
      </c>
      <c r="F9621" s="2" t="s">
        <v>6</v>
      </c>
    </row>
    <row r="9622" spans="1:6" ht="25.5">
      <c r="A9622" s="2">
        <v>9619</v>
      </c>
      <c r="B9622" s="2" t="s">
        <v>9697</v>
      </c>
      <c r="C9622" s="2" t="str">
        <f>"0"</f>
        <v>0</v>
      </c>
      <c r="D9622" s="2">
        <v>0.14199999999999999</v>
      </c>
      <c r="E9622" s="2">
        <v>7</v>
      </c>
      <c r="F9622" s="2" t="s">
        <v>6</v>
      </c>
    </row>
    <row r="9623" spans="1:6" ht="25.5">
      <c r="A9623" s="2">
        <v>9620</v>
      </c>
      <c r="B9623" s="2" t="s">
        <v>9698</v>
      </c>
      <c r="C9623" s="2" t="str">
        <f>"15595609"</f>
        <v>15595609</v>
      </c>
      <c r="D9623" s="2">
        <v>0.105</v>
      </c>
      <c r="E9623" s="2">
        <v>1</v>
      </c>
      <c r="F9623" s="2" t="s">
        <v>6</v>
      </c>
    </row>
    <row r="9624" spans="1:6">
      <c r="A9624" s="2">
        <v>9621</v>
      </c>
      <c r="B9624" s="2" t="s">
        <v>9699</v>
      </c>
      <c r="C9624" s="2" t="str">
        <f>"0"</f>
        <v>0</v>
      </c>
      <c r="D9624" s="2">
        <v>0.10100000000000001</v>
      </c>
      <c r="E9624" s="2">
        <v>2</v>
      </c>
      <c r="F9624" s="2" t="s">
        <v>6</v>
      </c>
    </row>
    <row r="9625" spans="1:6">
      <c r="A9625" s="2">
        <v>9622</v>
      </c>
      <c r="B9625" s="2" t="s">
        <v>9700</v>
      </c>
      <c r="C9625" s="2" t="str">
        <f>"0"</f>
        <v>0</v>
      </c>
      <c r="D9625" s="2">
        <v>0.105</v>
      </c>
      <c r="E9625" s="2">
        <v>2</v>
      </c>
      <c r="F9625" s="2" t="s">
        <v>6</v>
      </c>
    </row>
    <row r="9626" spans="1:6" ht="25.5">
      <c r="A9626" s="2">
        <v>9623</v>
      </c>
      <c r="B9626" s="2" t="s">
        <v>9701</v>
      </c>
      <c r="C9626" s="2" t="str">
        <f>"10132511"</f>
        <v>10132511</v>
      </c>
      <c r="D9626" s="2">
        <v>0.153</v>
      </c>
      <c r="E9626" s="2">
        <v>10</v>
      </c>
      <c r="F9626" s="2" t="s">
        <v>165</v>
      </c>
    </row>
    <row r="9627" spans="1:6" ht="25.5">
      <c r="A9627" s="2">
        <v>9624</v>
      </c>
      <c r="B9627" s="2" t="s">
        <v>9702</v>
      </c>
      <c r="C9627" s="2" t="str">
        <f>"15587983"</f>
        <v>15587983</v>
      </c>
      <c r="D9627" s="2">
        <v>0.308</v>
      </c>
      <c r="E9627" s="2">
        <v>6</v>
      </c>
      <c r="F9627" s="2" t="s">
        <v>6</v>
      </c>
    </row>
    <row r="9628" spans="1:6">
      <c r="A9628" s="2">
        <v>9625</v>
      </c>
      <c r="B9628" s="2" t="s">
        <v>9703</v>
      </c>
      <c r="C9628" s="2" t="str">
        <f>"0"</f>
        <v>0</v>
      </c>
      <c r="D9628" s="2">
        <v>0.109</v>
      </c>
      <c r="E9628" s="2">
        <v>3</v>
      </c>
      <c r="F9628" s="2" t="s">
        <v>6</v>
      </c>
    </row>
    <row r="9629" spans="1:6" ht="25.5">
      <c r="A9629" s="2">
        <v>9626</v>
      </c>
      <c r="B9629" s="2" t="s">
        <v>9704</v>
      </c>
      <c r="C9629" s="2" t="str">
        <f>"01460862"</f>
        <v>01460862</v>
      </c>
      <c r="D9629" s="2">
        <v>0.29399999999999998</v>
      </c>
      <c r="E9629" s="2">
        <v>24</v>
      </c>
      <c r="F9629" s="2" t="s">
        <v>16</v>
      </c>
    </row>
    <row r="9630" spans="1:6" ht="25.5">
      <c r="A9630" s="2">
        <v>9627</v>
      </c>
      <c r="B9630" s="2" t="s">
        <v>9705</v>
      </c>
      <c r="C9630" s="2" t="str">
        <f>"10928987"</f>
        <v>10928987</v>
      </c>
      <c r="D9630" s="2">
        <v>2.327</v>
      </c>
      <c r="E9630" s="2">
        <v>1</v>
      </c>
      <c r="F9630" s="2" t="s">
        <v>6</v>
      </c>
    </row>
    <row r="9631" spans="1:6" ht="25.5">
      <c r="A9631" s="2">
        <v>9628</v>
      </c>
      <c r="B9631" s="2" t="s">
        <v>9706</v>
      </c>
      <c r="C9631" s="2" t="str">
        <f>"03137155"</f>
        <v>03137155</v>
      </c>
      <c r="D9631" s="2">
        <v>0.16200000000000001</v>
      </c>
      <c r="E9631" s="2">
        <v>7</v>
      </c>
      <c r="F9631" s="2" t="s">
        <v>127</v>
      </c>
    </row>
    <row r="9632" spans="1:6" ht="25.5">
      <c r="A9632" s="2">
        <v>9629</v>
      </c>
      <c r="B9632" s="2" t="s">
        <v>9707</v>
      </c>
      <c r="C9632" s="2" t="str">
        <f>"14651874"</f>
        <v>14651874</v>
      </c>
      <c r="D9632" s="2">
        <v>0.11600000000000001</v>
      </c>
      <c r="E9632" s="2">
        <v>3</v>
      </c>
      <c r="F9632" s="2" t="s">
        <v>16</v>
      </c>
    </row>
    <row r="9633" spans="1:6" ht="25.5">
      <c r="A9633" s="2">
        <v>9630</v>
      </c>
      <c r="B9633" s="2" t="s">
        <v>9708</v>
      </c>
      <c r="C9633" s="2" t="str">
        <f>"87568160"</f>
        <v>87568160</v>
      </c>
      <c r="D9633" s="2">
        <v>0.127</v>
      </c>
      <c r="E9633" s="2">
        <v>9</v>
      </c>
      <c r="F9633" s="2" t="s">
        <v>6</v>
      </c>
    </row>
    <row r="9634" spans="1:6" ht="25.5">
      <c r="A9634" s="2">
        <v>9631</v>
      </c>
      <c r="B9634" s="2" t="s">
        <v>9709</v>
      </c>
      <c r="C9634" s="2" t="str">
        <f>"15398323"</f>
        <v>15398323</v>
      </c>
      <c r="D9634" s="2">
        <v>0.11799999999999999</v>
      </c>
      <c r="E9634" s="2">
        <v>2</v>
      </c>
      <c r="F9634" s="2" t="s">
        <v>6</v>
      </c>
    </row>
    <row r="9635" spans="1:6" ht="25.5">
      <c r="A9635" s="2">
        <v>9632</v>
      </c>
      <c r="B9635" s="2" t="s">
        <v>9710</v>
      </c>
      <c r="C9635" s="2" t="str">
        <f>"10964673"</f>
        <v>10964673</v>
      </c>
      <c r="D9635" s="2">
        <v>0.40300000000000002</v>
      </c>
      <c r="E9635" s="2">
        <v>33</v>
      </c>
      <c r="F9635" s="2" t="s">
        <v>16</v>
      </c>
    </row>
    <row r="9636" spans="1:6" ht="25.5">
      <c r="A9636" s="2">
        <v>9633</v>
      </c>
      <c r="B9636" s="2" t="s">
        <v>9711</v>
      </c>
      <c r="C9636" s="2" t="str">
        <f>"07485492"</f>
        <v>07485492</v>
      </c>
      <c r="D9636" s="2">
        <v>0.16800000000000001</v>
      </c>
      <c r="E9636" s="2">
        <v>14</v>
      </c>
      <c r="F9636" s="2" t="s">
        <v>6</v>
      </c>
    </row>
    <row r="9637" spans="1:6" ht="25.5">
      <c r="A9637" s="2">
        <v>9634</v>
      </c>
      <c r="B9637" s="2" t="s">
        <v>9712</v>
      </c>
      <c r="C9637" s="2" t="str">
        <f>"10921206"</f>
        <v>10921206</v>
      </c>
      <c r="D9637" s="2">
        <v>0.42499999999999999</v>
      </c>
      <c r="E9637" s="2">
        <v>5</v>
      </c>
      <c r="F9637" s="2" t="s">
        <v>6</v>
      </c>
    </row>
    <row r="9638" spans="1:6" ht="25.5">
      <c r="A9638" s="2">
        <v>9635</v>
      </c>
      <c r="B9638" s="2" t="s">
        <v>9713</v>
      </c>
      <c r="C9638" s="2" t="str">
        <f>"02502836"</f>
        <v>02502836</v>
      </c>
      <c r="D9638" s="2">
        <v>0.10100000000000001</v>
      </c>
      <c r="E9638" s="2">
        <v>1</v>
      </c>
      <c r="F9638" s="2" t="s">
        <v>345</v>
      </c>
    </row>
    <row r="9639" spans="1:6" ht="25.5">
      <c r="A9639" s="2">
        <v>9636</v>
      </c>
      <c r="B9639" s="2" t="s">
        <v>9714</v>
      </c>
      <c r="C9639" s="2" t="str">
        <f>"13030914"</f>
        <v>13030914</v>
      </c>
      <c r="D9639" s="2">
        <v>0.111</v>
      </c>
      <c r="E9639" s="2">
        <v>4</v>
      </c>
      <c r="F9639" s="2" t="s">
        <v>345</v>
      </c>
    </row>
    <row r="9640" spans="1:6" ht="25.5">
      <c r="A9640" s="2">
        <v>9637</v>
      </c>
      <c r="B9640" s="2" t="s">
        <v>9715</v>
      </c>
      <c r="C9640" s="2" t="str">
        <f>"14514117"</f>
        <v>14514117</v>
      </c>
      <c r="D9640" s="2">
        <v>0.19</v>
      </c>
      <c r="E9640" s="2">
        <v>3</v>
      </c>
      <c r="F9640" s="2" t="s">
        <v>212</v>
      </c>
    </row>
    <row r="9641" spans="1:6" ht="25.5">
      <c r="A9641" s="2">
        <v>9638</v>
      </c>
      <c r="B9641" s="2" t="s">
        <v>9716</v>
      </c>
      <c r="C9641" s="2" t="str">
        <f>"17241677"</f>
        <v>17241677</v>
      </c>
      <c r="D9641" s="2">
        <v>0.1</v>
      </c>
      <c r="E9641" s="2">
        <v>2</v>
      </c>
      <c r="F9641" s="2" t="s">
        <v>190</v>
      </c>
    </row>
    <row r="9642" spans="1:6" ht="25.5">
      <c r="A9642" s="2">
        <v>9639</v>
      </c>
      <c r="B9642" s="2" t="s">
        <v>9717</v>
      </c>
      <c r="C9642" s="2" t="str">
        <f>"11254718"</f>
        <v>11254718</v>
      </c>
      <c r="D9642" s="2">
        <v>0.20100000000000001</v>
      </c>
      <c r="E9642" s="2">
        <v>5</v>
      </c>
      <c r="F9642" s="2" t="s">
        <v>190</v>
      </c>
    </row>
    <row r="9643" spans="1:6" ht="25.5">
      <c r="A9643" s="2">
        <v>9640</v>
      </c>
      <c r="B9643" s="2" t="s">
        <v>9718</v>
      </c>
      <c r="C9643" s="2" t="str">
        <f>"11206373"</f>
        <v>11206373</v>
      </c>
      <c r="D9643" s="2">
        <v>0.1</v>
      </c>
      <c r="E9643" s="2">
        <v>2</v>
      </c>
      <c r="F9643" s="2" t="s">
        <v>190</v>
      </c>
    </row>
    <row r="9644" spans="1:6" ht="25.5">
      <c r="A9644" s="2">
        <v>9641</v>
      </c>
      <c r="B9644" s="2" t="s">
        <v>9719</v>
      </c>
      <c r="C9644" s="2" t="str">
        <f>"11226714"</f>
        <v>11226714</v>
      </c>
      <c r="D9644" s="2">
        <v>0.248</v>
      </c>
      <c r="E9644" s="2">
        <v>19</v>
      </c>
      <c r="F9644" s="2" t="s">
        <v>190</v>
      </c>
    </row>
    <row r="9645" spans="1:6" ht="25.5">
      <c r="A9645" s="2">
        <v>9642</v>
      </c>
      <c r="B9645" s="2" t="s">
        <v>9720</v>
      </c>
      <c r="C9645" s="2" t="str">
        <f>"15944077"</f>
        <v>15944077</v>
      </c>
      <c r="D9645" s="2">
        <v>0.33500000000000002</v>
      </c>
      <c r="E9645" s="2">
        <v>13</v>
      </c>
      <c r="F9645" s="2" t="s">
        <v>190</v>
      </c>
    </row>
    <row r="9646" spans="1:6" ht="25.5">
      <c r="A9646" s="2">
        <v>9643</v>
      </c>
      <c r="B9646" s="2" t="s">
        <v>9721</v>
      </c>
      <c r="C9646" s="2" t="str">
        <f>"20355688"</f>
        <v>20355688</v>
      </c>
      <c r="D9646" s="2">
        <v>0.17399999999999999</v>
      </c>
      <c r="E9646" s="2">
        <v>1</v>
      </c>
      <c r="F9646" s="2" t="s">
        <v>190</v>
      </c>
    </row>
    <row r="9647" spans="1:6" ht="25.5">
      <c r="A9647" s="2">
        <v>9644</v>
      </c>
      <c r="B9647" s="2" t="s">
        <v>9722</v>
      </c>
      <c r="C9647" s="2" t="str">
        <f>"11201770"</f>
        <v>11201770</v>
      </c>
      <c r="D9647" s="2">
        <v>0.26300000000000001</v>
      </c>
      <c r="E9647" s="2">
        <v>22</v>
      </c>
      <c r="F9647" s="2" t="s">
        <v>190</v>
      </c>
    </row>
    <row r="9648" spans="1:6" ht="25.5">
      <c r="A9648" s="2">
        <v>9645</v>
      </c>
      <c r="B9648" s="2" t="s">
        <v>9723</v>
      </c>
      <c r="C9648" s="2" t="str">
        <f>"11218339"</f>
        <v>11218339</v>
      </c>
      <c r="D9648" s="2">
        <v>0.114</v>
      </c>
      <c r="E9648" s="2">
        <v>6</v>
      </c>
      <c r="F9648" s="2" t="s">
        <v>190</v>
      </c>
    </row>
    <row r="9649" spans="1:6" ht="25.5">
      <c r="A9649" s="2">
        <v>9646</v>
      </c>
      <c r="B9649" s="2" t="s">
        <v>9724</v>
      </c>
      <c r="C9649" s="2" t="str">
        <f>"18779344"</f>
        <v>18779344</v>
      </c>
      <c r="D9649" s="2">
        <v>0.109</v>
      </c>
      <c r="E9649" s="2">
        <v>3</v>
      </c>
      <c r="F9649" s="2" t="s">
        <v>190</v>
      </c>
    </row>
    <row r="9650" spans="1:6" ht="25.5">
      <c r="A9650" s="2">
        <v>9647</v>
      </c>
      <c r="B9650" s="2" t="s">
        <v>9725</v>
      </c>
      <c r="C9650" s="2" t="str">
        <f>"18247288"</f>
        <v>18247288</v>
      </c>
      <c r="D9650" s="2">
        <v>0.39200000000000002</v>
      </c>
      <c r="E9650" s="2">
        <v>10</v>
      </c>
      <c r="F9650" s="2" t="s">
        <v>16</v>
      </c>
    </row>
    <row r="9651" spans="1:6" ht="25.5">
      <c r="A9651" s="2">
        <v>9648</v>
      </c>
      <c r="B9651" s="2" t="s">
        <v>9726</v>
      </c>
      <c r="C9651" s="2" t="str">
        <f>"17237815"</f>
        <v>17237815</v>
      </c>
      <c r="D9651" s="2">
        <v>0.19800000000000001</v>
      </c>
      <c r="E9651" s="2">
        <v>6</v>
      </c>
      <c r="F9651" s="2" t="s">
        <v>190</v>
      </c>
    </row>
    <row r="9652" spans="1:6" ht="25.5">
      <c r="A9652" s="2">
        <v>9649</v>
      </c>
      <c r="B9652" s="2" t="s">
        <v>9727</v>
      </c>
      <c r="C9652" s="2" t="str">
        <f>"11268042"</f>
        <v>11268042</v>
      </c>
      <c r="D9652" s="2">
        <v>0.104</v>
      </c>
      <c r="E9652" s="2">
        <v>1</v>
      </c>
      <c r="F9652" s="2" t="s">
        <v>190</v>
      </c>
    </row>
    <row r="9653" spans="1:6" ht="25.5">
      <c r="A9653" s="2">
        <v>9650</v>
      </c>
      <c r="B9653" s="2" t="s">
        <v>9728</v>
      </c>
      <c r="C9653" s="2" t="str">
        <f>"18271847"</f>
        <v>18271847</v>
      </c>
      <c r="D9653" s="2">
        <v>0.113</v>
      </c>
      <c r="E9653" s="2">
        <v>4</v>
      </c>
      <c r="F9653" s="2" t="s">
        <v>190</v>
      </c>
    </row>
    <row r="9654" spans="1:6" ht="25.5">
      <c r="A9654" s="2">
        <v>9651</v>
      </c>
      <c r="B9654" s="2" t="s">
        <v>9729</v>
      </c>
      <c r="C9654" s="2" t="str">
        <f>"11250003"</f>
        <v>11250003</v>
      </c>
      <c r="D9654" s="2">
        <v>0.318</v>
      </c>
      <c r="E9654" s="2">
        <v>20</v>
      </c>
      <c r="F9654" s="2" t="s">
        <v>16</v>
      </c>
    </row>
    <row r="9655" spans="1:6" ht="25.5">
      <c r="A9655" s="2">
        <v>9652</v>
      </c>
      <c r="B9655" s="2" t="s">
        <v>9730</v>
      </c>
      <c r="C9655" s="2" t="str">
        <f>"18272452"</f>
        <v>18272452</v>
      </c>
      <c r="D9655" s="2">
        <v>0.111</v>
      </c>
      <c r="E9655" s="2">
        <v>2</v>
      </c>
      <c r="F9655" s="2" t="s">
        <v>190</v>
      </c>
    </row>
    <row r="9656" spans="1:6" ht="25.5">
      <c r="A9656" s="2">
        <v>9653</v>
      </c>
      <c r="B9656" s="2" t="s">
        <v>9731</v>
      </c>
      <c r="C9656" s="2" t="str">
        <f>"17486181"</f>
        <v>17486181</v>
      </c>
      <c r="D9656" s="2">
        <v>0.16</v>
      </c>
      <c r="E9656" s="2">
        <v>4</v>
      </c>
      <c r="F9656" s="2" t="s">
        <v>16</v>
      </c>
    </row>
    <row r="9657" spans="1:6" ht="25.5">
      <c r="A9657" s="2">
        <v>9654</v>
      </c>
      <c r="B9657" s="2" t="s">
        <v>9732</v>
      </c>
      <c r="C9657" s="2" t="str">
        <f>"14737507"</f>
        <v>14737507</v>
      </c>
      <c r="D9657" s="2">
        <v>0.122</v>
      </c>
      <c r="E9657" s="2">
        <v>1</v>
      </c>
      <c r="F9657" s="2" t="s">
        <v>16</v>
      </c>
    </row>
    <row r="9658" spans="1:6" ht="25.5">
      <c r="A9658" s="2">
        <v>9655</v>
      </c>
      <c r="B9658" s="2" t="s">
        <v>9733</v>
      </c>
      <c r="C9658" s="2" t="str">
        <f>"19783051"</f>
        <v>19783051</v>
      </c>
      <c r="D9658" s="2">
        <v>0.105</v>
      </c>
      <c r="E9658" s="2">
        <v>1</v>
      </c>
      <c r="F9658" s="2" t="s">
        <v>297</v>
      </c>
    </row>
    <row r="9659" spans="1:6" ht="25.5">
      <c r="A9659" s="2">
        <v>9656</v>
      </c>
      <c r="B9659" s="2" t="s">
        <v>9734</v>
      </c>
      <c r="C9659" s="2" t="str">
        <f>"19783086"</f>
        <v>19783086</v>
      </c>
      <c r="D9659" s="2">
        <v>0.10199999999999999</v>
      </c>
      <c r="E9659" s="2">
        <v>1</v>
      </c>
      <c r="F9659" s="2" t="s">
        <v>297</v>
      </c>
    </row>
    <row r="9660" spans="1:6" ht="25.5">
      <c r="A9660" s="2">
        <v>9657</v>
      </c>
      <c r="B9660" s="2" t="s">
        <v>9735</v>
      </c>
      <c r="C9660" s="2" t="str">
        <f>"19783043"</f>
        <v>19783043</v>
      </c>
      <c r="D9660" s="2">
        <v>0.105</v>
      </c>
      <c r="E9660" s="2">
        <v>2</v>
      </c>
      <c r="F9660" s="2" t="s">
        <v>297</v>
      </c>
    </row>
    <row r="9661" spans="1:6" ht="25.5">
      <c r="A9661" s="2">
        <v>9658</v>
      </c>
      <c r="B9661" s="2" t="s">
        <v>9736</v>
      </c>
      <c r="C9661" s="2" t="str">
        <f>"16996887"</f>
        <v>16996887</v>
      </c>
      <c r="D9661" s="2">
        <v>0.20399999999999999</v>
      </c>
      <c r="E9661" s="2">
        <v>4</v>
      </c>
      <c r="F9661" s="2" t="s">
        <v>351</v>
      </c>
    </row>
    <row r="9662" spans="1:6" ht="25.5">
      <c r="A9662" s="2">
        <v>9659</v>
      </c>
      <c r="B9662" s="2" t="s">
        <v>9737</v>
      </c>
      <c r="C9662" s="2" t="str">
        <f>"01628178"</f>
        <v>01628178</v>
      </c>
      <c r="D9662" s="2">
        <v>0.20799999999999999</v>
      </c>
      <c r="E9662" s="2">
        <v>12</v>
      </c>
      <c r="F9662" s="2" t="s">
        <v>6</v>
      </c>
    </row>
    <row r="9663" spans="1:6" ht="25.5">
      <c r="A9663" s="2">
        <v>9660</v>
      </c>
      <c r="B9663" s="2" t="s">
        <v>9738</v>
      </c>
      <c r="C9663" s="2" t="str">
        <f>"20412827"</f>
        <v>20412827</v>
      </c>
      <c r="D9663" s="2">
        <v>0.13</v>
      </c>
      <c r="E9663" s="2">
        <v>2</v>
      </c>
      <c r="F9663" s="2" t="s">
        <v>75</v>
      </c>
    </row>
    <row r="9664" spans="1:6" ht="25.5">
      <c r="A9664" s="2">
        <v>9661</v>
      </c>
      <c r="B9664" s="2" t="s">
        <v>9739</v>
      </c>
      <c r="C9664" s="2" t="str">
        <f>"17831490"</f>
        <v>17831490</v>
      </c>
      <c r="D9664" s="2">
        <v>0.22</v>
      </c>
      <c r="E9664" s="2">
        <v>1</v>
      </c>
      <c r="F9664" s="2" t="s">
        <v>161</v>
      </c>
    </row>
    <row r="9665" spans="1:6" ht="25.5">
      <c r="A9665" s="2">
        <v>9662</v>
      </c>
      <c r="B9665" s="2" t="s">
        <v>9740</v>
      </c>
      <c r="C9665" s="2" t="str">
        <f>"15209202"</f>
        <v>15209202</v>
      </c>
      <c r="D9665" s="2">
        <v>0.53500000000000003</v>
      </c>
      <c r="E9665" s="2">
        <v>24</v>
      </c>
      <c r="F9665" s="2" t="s">
        <v>6</v>
      </c>
    </row>
    <row r="9666" spans="1:6" ht="25.5">
      <c r="A9666" s="2">
        <v>9663</v>
      </c>
      <c r="B9666" s="2" t="s">
        <v>9741</v>
      </c>
      <c r="C9666" s="2" t="str">
        <f>"15216551"</f>
        <v>15216551</v>
      </c>
      <c r="D9666" s="2">
        <v>1.2669999999999999</v>
      </c>
      <c r="E9666" s="2">
        <v>64</v>
      </c>
      <c r="F9666" s="2" t="s">
        <v>6</v>
      </c>
    </row>
    <row r="9667" spans="1:6" ht="25.5">
      <c r="A9667" s="2">
        <v>9664</v>
      </c>
      <c r="B9667" s="2" t="s">
        <v>9742</v>
      </c>
      <c r="C9667" s="2" t="str">
        <f>"09748822"</f>
        <v>09748822</v>
      </c>
      <c r="D9667" s="2">
        <v>0.104</v>
      </c>
      <c r="E9667" s="2">
        <v>0</v>
      </c>
      <c r="F9667" s="2" t="s">
        <v>488</v>
      </c>
    </row>
    <row r="9668" spans="1:6" ht="25.5">
      <c r="A9668" s="2">
        <v>9665</v>
      </c>
      <c r="B9668" s="2" t="s">
        <v>9743</v>
      </c>
      <c r="C9668" s="2" t="str">
        <f>"09733728"</f>
        <v>09733728</v>
      </c>
      <c r="D9668" s="2">
        <v>0.1</v>
      </c>
      <c r="E9668" s="2">
        <v>0</v>
      </c>
      <c r="F9668" s="2" t="s">
        <v>488</v>
      </c>
    </row>
    <row r="9669" spans="1:6" ht="25.5">
      <c r="A9669" s="2">
        <v>9666</v>
      </c>
      <c r="B9669" s="2" t="s">
        <v>9744</v>
      </c>
      <c r="C9669" s="2" t="str">
        <f>"09738517"</f>
        <v>09738517</v>
      </c>
      <c r="D9669" s="2">
        <v>0.1</v>
      </c>
      <c r="E9669" s="2">
        <v>1</v>
      </c>
      <c r="F9669" s="2" t="s">
        <v>488</v>
      </c>
    </row>
    <row r="9670" spans="1:6" ht="25.5">
      <c r="A9670" s="2">
        <v>9667</v>
      </c>
      <c r="B9670" s="2" t="s">
        <v>9745</v>
      </c>
      <c r="C9670" s="2" t="str">
        <f>"07180012"</f>
        <v>07180012</v>
      </c>
      <c r="D9670" s="2">
        <v>0.16300000000000001</v>
      </c>
      <c r="E9670" s="2">
        <v>3</v>
      </c>
      <c r="F9670" s="2" t="s">
        <v>182</v>
      </c>
    </row>
    <row r="9671" spans="1:6" ht="25.5">
      <c r="A9671" s="2">
        <v>9668</v>
      </c>
      <c r="B9671" s="2" t="s">
        <v>9746</v>
      </c>
      <c r="C9671" s="2" t="str">
        <f>"10260862"</f>
        <v>10260862</v>
      </c>
      <c r="D9671" s="2">
        <v>0.105</v>
      </c>
      <c r="E9671" s="2">
        <v>0</v>
      </c>
      <c r="F9671" s="2" t="s">
        <v>3443</v>
      </c>
    </row>
    <row r="9672" spans="1:6" ht="25.5">
      <c r="A9672" s="2">
        <v>9669</v>
      </c>
      <c r="B9672" s="2" t="s">
        <v>9747</v>
      </c>
      <c r="C9672" s="2" t="str">
        <f>"20125763"</f>
        <v>20125763</v>
      </c>
      <c r="D9672" s="2">
        <v>0.109</v>
      </c>
      <c r="E9672" s="2">
        <v>0</v>
      </c>
      <c r="F9672" s="2" t="s">
        <v>3443</v>
      </c>
    </row>
    <row r="9673" spans="1:6" ht="25.5">
      <c r="A9673" s="2">
        <v>9670</v>
      </c>
      <c r="B9673" s="2" t="s">
        <v>9748</v>
      </c>
      <c r="C9673" s="2" t="str">
        <f>"10263470"</f>
        <v>10263470</v>
      </c>
      <c r="D9673" s="2">
        <v>0.11600000000000001</v>
      </c>
      <c r="E9673" s="2">
        <v>8</v>
      </c>
      <c r="F9673" s="2" t="s">
        <v>129</v>
      </c>
    </row>
    <row r="9674" spans="1:6" ht="25.5">
      <c r="A9674" s="2">
        <v>9671</v>
      </c>
      <c r="B9674" s="2" t="s">
        <v>9749</v>
      </c>
      <c r="C9674" s="2" t="str">
        <f>"03732444"</f>
        <v>03732444</v>
      </c>
      <c r="D9674" s="2">
        <v>0.10299999999999999</v>
      </c>
      <c r="E9674" s="2">
        <v>4</v>
      </c>
      <c r="F9674" s="2" t="s">
        <v>129</v>
      </c>
    </row>
    <row r="9675" spans="1:6" ht="25.5">
      <c r="A9675" s="2">
        <v>9672</v>
      </c>
      <c r="B9675" s="2" t="s">
        <v>9750</v>
      </c>
      <c r="C9675" s="2" t="str">
        <f>"03758303"</f>
        <v>03758303</v>
      </c>
      <c r="D9675" s="2">
        <v>0.45700000000000002</v>
      </c>
      <c r="E9675" s="2">
        <v>11</v>
      </c>
      <c r="F9675" s="2" t="s">
        <v>129</v>
      </c>
    </row>
    <row r="9676" spans="1:6" ht="25.5">
      <c r="A9676" s="2">
        <v>9673</v>
      </c>
      <c r="B9676" s="2" t="s">
        <v>9751</v>
      </c>
      <c r="C9676" s="2" t="str">
        <f>"14684810"</f>
        <v>14684810</v>
      </c>
      <c r="D9676" s="2">
        <v>0.39900000000000002</v>
      </c>
      <c r="E9676" s="2">
        <v>11</v>
      </c>
      <c r="F9676" s="2" t="s">
        <v>16</v>
      </c>
    </row>
    <row r="9677" spans="1:6" ht="25.5">
      <c r="A9677" s="2">
        <v>9674</v>
      </c>
      <c r="B9677" s="2" t="s">
        <v>9752</v>
      </c>
      <c r="C9677" s="2" t="str">
        <f>"10693513"</f>
        <v>10693513</v>
      </c>
      <c r="D9677" s="2">
        <v>0.316</v>
      </c>
      <c r="E9677" s="2">
        <v>9</v>
      </c>
      <c r="F9677" s="2" t="s">
        <v>129</v>
      </c>
    </row>
    <row r="9678" spans="1:6" ht="25.5">
      <c r="A9678" s="2">
        <v>9675</v>
      </c>
      <c r="B9678" s="2" t="s">
        <v>9753</v>
      </c>
      <c r="C9678" s="2" t="str">
        <f>"15471896"</f>
        <v>15471896</v>
      </c>
      <c r="D9678" s="2">
        <v>0.129</v>
      </c>
      <c r="E9678" s="2">
        <v>8</v>
      </c>
      <c r="F9678" s="2" t="s">
        <v>6</v>
      </c>
    </row>
    <row r="9679" spans="1:6" ht="25.5">
      <c r="A9679" s="2">
        <v>9676</v>
      </c>
      <c r="B9679" s="2" t="s">
        <v>9754</v>
      </c>
      <c r="C9679" s="2" t="str">
        <f>"07316755"</f>
        <v>07316755</v>
      </c>
      <c r="D9679" s="2">
        <v>0.1</v>
      </c>
      <c r="E9679" s="2">
        <v>3</v>
      </c>
      <c r="F9679" s="2" t="s">
        <v>6</v>
      </c>
    </row>
    <row r="9680" spans="1:6" ht="25.5">
      <c r="A9680" s="2">
        <v>9677</v>
      </c>
      <c r="B9680" s="2" t="s">
        <v>9755</v>
      </c>
      <c r="C9680" s="2" t="str">
        <f>"1936878X"</f>
        <v>1936878X</v>
      </c>
      <c r="D9680" s="2">
        <v>3.194</v>
      </c>
      <c r="E9680" s="2">
        <v>39</v>
      </c>
      <c r="F9680" s="2" t="s">
        <v>6</v>
      </c>
    </row>
    <row r="9681" spans="1:6" ht="25.5">
      <c r="A9681" s="2">
        <v>9678</v>
      </c>
      <c r="B9681" s="2" t="s">
        <v>9756</v>
      </c>
      <c r="C9681" s="2" t="str">
        <f>"19368798"</f>
        <v>19368798</v>
      </c>
      <c r="D9681" s="2">
        <v>4.4039999999999999</v>
      </c>
      <c r="E9681" s="2">
        <v>42</v>
      </c>
      <c r="F9681" s="2" t="s">
        <v>6</v>
      </c>
    </row>
    <row r="9682" spans="1:6" ht="25.5">
      <c r="A9682" s="2">
        <v>9679</v>
      </c>
      <c r="B9682" s="2" t="s">
        <v>9757</v>
      </c>
      <c r="C9682" s="2" t="str">
        <f>"1558349X"</f>
        <v>1558349X</v>
      </c>
      <c r="D9682" s="2">
        <v>0.71899999999999997</v>
      </c>
      <c r="E9682" s="2">
        <v>26</v>
      </c>
      <c r="F9682" s="2" t="s">
        <v>75</v>
      </c>
    </row>
    <row r="9683" spans="1:6" ht="25.5">
      <c r="A9683" s="2">
        <v>9680</v>
      </c>
      <c r="B9683" s="2" t="s">
        <v>9758</v>
      </c>
      <c r="C9683" s="2" t="str">
        <f>"19897251"</f>
        <v>19897251</v>
      </c>
      <c r="D9683" s="2">
        <v>0.36399999999999999</v>
      </c>
      <c r="E9683" s="2">
        <v>3</v>
      </c>
      <c r="F9683" s="2" t="s">
        <v>351</v>
      </c>
    </row>
    <row r="9684" spans="1:6" ht="25.5">
      <c r="A9684" s="2">
        <v>9681</v>
      </c>
      <c r="B9684" s="2" t="s">
        <v>9759</v>
      </c>
      <c r="C9684" s="2" t="str">
        <f>"1810536X"</f>
        <v>1810536X</v>
      </c>
      <c r="D9684" s="2">
        <v>0.10100000000000001</v>
      </c>
      <c r="E9684" s="2">
        <v>1</v>
      </c>
      <c r="F9684" s="2" t="s">
        <v>288</v>
      </c>
    </row>
    <row r="9685" spans="1:6" ht="25.5">
      <c r="A9685" s="2">
        <v>9682</v>
      </c>
      <c r="B9685" s="2" t="s">
        <v>9760</v>
      </c>
      <c r="C9685" s="2" t="str">
        <f>"00214019"</f>
        <v>00214019</v>
      </c>
      <c r="D9685" s="2">
        <v>0.27200000000000002</v>
      </c>
      <c r="E9685" s="2">
        <v>5</v>
      </c>
      <c r="F9685" s="2" t="s">
        <v>12</v>
      </c>
    </row>
    <row r="9686" spans="1:6" ht="25.5">
      <c r="A9686" s="2">
        <v>9683</v>
      </c>
      <c r="B9686" s="2" t="s">
        <v>9761</v>
      </c>
      <c r="C9686" s="2" t="str">
        <f>"00214027"</f>
        <v>00214027</v>
      </c>
      <c r="D9686" s="2">
        <v>0.38100000000000001</v>
      </c>
      <c r="E9686" s="2">
        <v>11</v>
      </c>
      <c r="F9686" s="2" t="s">
        <v>12</v>
      </c>
    </row>
    <row r="9687" spans="1:6" ht="25.5">
      <c r="A9687" s="2">
        <v>9684</v>
      </c>
      <c r="B9687" s="2" t="s">
        <v>9762</v>
      </c>
      <c r="C9687" s="2" t="str">
        <f>"04495233"</f>
        <v>04495233</v>
      </c>
      <c r="D9687" s="2">
        <v>0.10100000000000001</v>
      </c>
      <c r="E9687" s="2">
        <v>1</v>
      </c>
      <c r="F9687" s="2" t="s">
        <v>31</v>
      </c>
    </row>
    <row r="9688" spans="1:6" ht="25.5">
      <c r="A9688" s="2">
        <v>9685</v>
      </c>
      <c r="B9688" s="2" t="s">
        <v>9763</v>
      </c>
      <c r="C9688" s="2" t="str">
        <f>"18608248"</f>
        <v>18608248</v>
      </c>
      <c r="D9688" s="2">
        <v>0.104</v>
      </c>
      <c r="E9688" s="2">
        <v>0</v>
      </c>
      <c r="F9688" s="2" t="s">
        <v>12</v>
      </c>
    </row>
    <row r="9689" spans="1:6" ht="25.5">
      <c r="A9689" s="2">
        <v>9686</v>
      </c>
      <c r="B9689" s="2" t="s">
        <v>9764</v>
      </c>
      <c r="C9689" s="2" t="str">
        <f>"01737600"</f>
        <v>01737600</v>
      </c>
      <c r="D9689" s="2">
        <v>0.13900000000000001</v>
      </c>
      <c r="E9689" s="2">
        <v>7</v>
      </c>
      <c r="F9689" s="2" t="s">
        <v>12</v>
      </c>
    </row>
    <row r="9690" spans="1:6" ht="25.5">
      <c r="A9690" s="2">
        <v>9687</v>
      </c>
      <c r="B9690" s="2" t="s">
        <v>9765</v>
      </c>
      <c r="C9690" s="2" t="str">
        <f>"00752800"</f>
        <v>00752800</v>
      </c>
      <c r="D9690" s="2">
        <v>0.114</v>
      </c>
      <c r="E9690" s="2">
        <v>6</v>
      </c>
      <c r="F9690" s="2" t="s">
        <v>12</v>
      </c>
    </row>
    <row r="9691" spans="1:6" ht="25.5">
      <c r="A9691" s="2">
        <v>9688</v>
      </c>
      <c r="B9691" s="2" t="s">
        <v>9766</v>
      </c>
      <c r="C9691" s="2" t="str">
        <f>"15383598"</f>
        <v>15383598</v>
      </c>
      <c r="D9691" s="2">
        <v>4.843</v>
      </c>
      <c r="E9691" s="2">
        <v>456</v>
      </c>
      <c r="F9691" s="2" t="s">
        <v>6</v>
      </c>
    </row>
    <row r="9692" spans="1:6" ht="25.5">
      <c r="A9692" s="2">
        <v>9689</v>
      </c>
      <c r="B9692" s="2" t="s">
        <v>9767</v>
      </c>
      <c r="C9692" s="2" t="str">
        <f>"00214183"</f>
        <v>00214183</v>
      </c>
      <c r="D9692" s="2">
        <v>0.1</v>
      </c>
      <c r="E9692" s="2">
        <v>2</v>
      </c>
      <c r="F9692" s="2" t="s">
        <v>6</v>
      </c>
    </row>
    <row r="9693" spans="1:6" ht="25.5">
      <c r="A9693" s="2">
        <v>9690</v>
      </c>
      <c r="B9693" s="2" t="s">
        <v>9768</v>
      </c>
      <c r="C9693" s="2" t="str">
        <f>"20052901"</f>
        <v>20052901</v>
      </c>
      <c r="D9693" s="2">
        <v>0.51300000000000001</v>
      </c>
      <c r="E9693" s="2">
        <v>11</v>
      </c>
      <c r="F9693" s="2" t="s">
        <v>274</v>
      </c>
    </row>
    <row r="9694" spans="1:6" ht="25.5">
      <c r="A9694" s="2">
        <v>9691</v>
      </c>
      <c r="B9694" s="2" t="s">
        <v>9769</v>
      </c>
      <c r="C9694" s="2" t="str">
        <f>"0003021X"</f>
        <v>0003021X</v>
      </c>
      <c r="D9694" s="2">
        <v>0.74</v>
      </c>
      <c r="E9694" s="2">
        <v>67</v>
      </c>
      <c r="F9694" s="2" t="s">
        <v>12</v>
      </c>
    </row>
    <row r="9695" spans="1:6" ht="25.5">
      <c r="A9695" s="2">
        <v>9692</v>
      </c>
      <c r="B9695" s="2" t="s">
        <v>9770</v>
      </c>
      <c r="C9695" s="2" t="str">
        <f>"00213551"</f>
        <v>00213551</v>
      </c>
      <c r="D9695" s="2">
        <v>0.23799999999999999</v>
      </c>
      <c r="E9695" s="2">
        <v>17</v>
      </c>
      <c r="F9695" s="2" t="s">
        <v>131</v>
      </c>
    </row>
    <row r="9696" spans="1:6" ht="25.5">
      <c r="A9696" s="2">
        <v>9693</v>
      </c>
      <c r="B9696" s="2" t="s">
        <v>9771</v>
      </c>
      <c r="C9696" s="2" t="str">
        <f>"09221425"</f>
        <v>09221425</v>
      </c>
      <c r="D9696" s="2">
        <v>0.38700000000000001</v>
      </c>
      <c r="E9696" s="2">
        <v>17</v>
      </c>
      <c r="F9696" s="2" t="s">
        <v>75</v>
      </c>
    </row>
    <row r="9697" spans="1:6" ht="25.5">
      <c r="A9697" s="2">
        <v>9694</v>
      </c>
      <c r="B9697" s="2" t="s">
        <v>9772</v>
      </c>
      <c r="C9697" s="2" t="str">
        <f>"18827616"</f>
        <v>18827616</v>
      </c>
      <c r="D9697" s="2">
        <v>0.16500000000000001</v>
      </c>
      <c r="E9697" s="2">
        <v>6</v>
      </c>
      <c r="F9697" s="2" t="s">
        <v>75</v>
      </c>
    </row>
    <row r="9698" spans="1:6" ht="25.5">
      <c r="A9698" s="2">
        <v>9695</v>
      </c>
      <c r="B9698" s="2" t="s">
        <v>9773</v>
      </c>
      <c r="C9698" s="2" t="str">
        <f>"14685876"</f>
        <v>14685876</v>
      </c>
      <c r="D9698" s="2">
        <v>0.23</v>
      </c>
      <c r="E9698" s="2">
        <v>13</v>
      </c>
      <c r="F9698" s="2" t="s">
        <v>16</v>
      </c>
    </row>
    <row r="9699" spans="1:6" ht="25.5">
      <c r="A9699" s="2">
        <v>9696</v>
      </c>
      <c r="B9699" s="2" t="s">
        <v>9774</v>
      </c>
      <c r="C9699" s="2" t="str">
        <f>"03870723"</f>
        <v>03870723</v>
      </c>
      <c r="D9699" s="2">
        <v>0.10199999999999999</v>
      </c>
      <c r="E9699" s="2">
        <v>5</v>
      </c>
      <c r="F9699" s="2" t="s">
        <v>131</v>
      </c>
    </row>
    <row r="9700" spans="1:6" ht="25.5">
      <c r="A9700" s="2">
        <v>9697</v>
      </c>
      <c r="B9700" s="2" t="s">
        <v>9775</v>
      </c>
      <c r="C9700" s="2" t="str">
        <f>"13418963"</f>
        <v>13418963</v>
      </c>
      <c r="D9700" s="2">
        <v>0.12</v>
      </c>
      <c r="E9700" s="2">
        <v>8</v>
      </c>
      <c r="F9700" s="2" t="s">
        <v>131</v>
      </c>
    </row>
    <row r="9701" spans="1:6" ht="25.5">
      <c r="A9701" s="2">
        <v>9698</v>
      </c>
      <c r="B9701" s="2" t="s">
        <v>9776</v>
      </c>
      <c r="C9701" s="2" t="str">
        <f>"00214884"</f>
        <v>00214884</v>
      </c>
      <c r="D9701" s="2">
        <v>0.11700000000000001</v>
      </c>
      <c r="E9701" s="2">
        <v>12</v>
      </c>
      <c r="F9701" s="2" t="s">
        <v>131</v>
      </c>
    </row>
    <row r="9702" spans="1:6" ht="25.5">
      <c r="A9702" s="2">
        <v>9699</v>
      </c>
      <c r="B9702" s="2" t="s">
        <v>9777</v>
      </c>
      <c r="C9702" s="2" t="str">
        <f>"00214892"</f>
        <v>00214892</v>
      </c>
      <c r="D9702" s="2">
        <v>0.127</v>
      </c>
      <c r="E9702" s="2">
        <v>12</v>
      </c>
      <c r="F9702" s="2" t="s">
        <v>131</v>
      </c>
    </row>
    <row r="9703" spans="1:6" ht="25.5">
      <c r="A9703" s="2">
        <v>9700</v>
      </c>
      <c r="B9703" s="2" t="s">
        <v>9778</v>
      </c>
      <c r="C9703" s="2" t="str">
        <f>"03682781"</f>
        <v>03682781</v>
      </c>
      <c r="D9703" s="2">
        <v>0.26600000000000001</v>
      </c>
      <c r="E9703" s="2">
        <v>13</v>
      </c>
      <c r="F9703" s="2" t="s">
        <v>131</v>
      </c>
    </row>
    <row r="9704" spans="1:6" ht="25.5">
      <c r="A9704" s="2">
        <v>9701</v>
      </c>
      <c r="B9704" s="2" t="s">
        <v>9779</v>
      </c>
      <c r="C9704" s="2" t="str">
        <f>"13476068"</f>
        <v>13476068</v>
      </c>
      <c r="D9704" s="2">
        <v>0.40100000000000002</v>
      </c>
      <c r="E9704" s="2">
        <v>14</v>
      </c>
      <c r="F9704" s="2" t="s">
        <v>131</v>
      </c>
    </row>
    <row r="9705" spans="1:6" ht="25.5">
      <c r="A9705" s="2">
        <v>9702</v>
      </c>
      <c r="B9705" s="2" t="s">
        <v>9780</v>
      </c>
      <c r="C9705" s="2" t="str">
        <f>"00214922"</f>
        <v>00214922</v>
      </c>
      <c r="D9705" s="2">
        <v>0.38</v>
      </c>
      <c r="E9705" s="2">
        <v>32</v>
      </c>
      <c r="F9705" s="2" t="s">
        <v>131</v>
      </c>
    </row>
    <row r="9706" spans="1:6" ht="25.5">
      <c r="A9706" s="2">
        <v>9703</v>
      </c>
      <c r="B9706" s="2" t="s">
        <v>9781</v>
      </c>
      <c r="C9706" s="2" t="str">
        <f>"00214930"</f>
        <v>00214930</v>
      </c>
      <c r="D9706" s="2">
        <v>0.10100000000000001</v>
      </c>
      <c r="E9706" s="2">
        <v>5</v>
      </c>
      <c r="F9706" s="2" t="s">
        <v>131</v>
      </c>
    </row>
    <row r="9707" spans="1:6" ht="25.5">
      <c r="A9707" s="2">
        <v>9704</v>
      </c>
      <c r="B9707" s="2" t="s">
        <v>9782</v>
      </c>
      <c r="C9707" s="2" t="str">
        <f>"03850684"</f>
        <v>03850684</v>
      </c>
      <c r="D9707" s="2">
        <v>0.11</v>
      </c>
      <c r="E9707" s="2">
        <v>17</v>
      </c>
      <c r="F9707" s="2" t="s">
        <v>131</v>
      </c>
    </row>
    <row r="9708" spans="1:6" ht="25.5">
      <c r="A9708" s="2">
        <v>9705</v>
      </c>
      <c r="B9708" s="2" t="s">
        <v>9783</v>
      </c>
      <c r="C9708" s="2" t="str">
        <f>"13407007"</f>
        <v>13407007</v>
      </c>
      <c r="D9708" s="2">
        <v>0.14399999999999999</v>
      </c>
      <c r="E9708" s="2">
        <v>11</v>
      </c>
      <c r="F9708" s="2" t="s">
        <v>131</v>
      </c>
    </row>
    <row r="9709" spans="1:6" ht="25.5">
      <c r="A9709" s="2">
        <v>9706</v>
      </c>
      <c r="B9709" s="2" t="s">
        <v>9784</v>
      </c>
      <c r="C9709" s="2" t="str">
        <f>"03853667"</f>
        <v>03853667</v>
      </c>
      <c r="D9709" s="2">
        <v>0.1</v>
      </c>
      <c r="E9709" s="2">
        <v>3</v>
      </c>
      <c r="F9709" s="2" t="s">
        <v>131</v>
      </c>
    </row>
    <row r="9710" spans="1:6" ht="25.5">
      <c r="A9710" s="2">
        <v>9707</v>
      </c>
      <c r="B9710" s="2" t="s">
        <v>9785</v>
      </c>
      <c r="C9710" s="2" t="str">
        <f>"03705633"</f>
        <v>03705633</v>
      </c>
      <c r="D9710" s="2">
        <v>0.1</v>
      </c>
      <c r="E9710" s="2">
        <v>3</v>
      </c>
      <c r="F9710" s="2" t="s">
        <v>131</v>
      </c>
    </row>
    <row r="9711" spans="1:6" ht="25.5">
      <c r="A9711" s="2">
        <v>9708</v>
      </c>
      <c r="B9711" s="2" t="s">
        <v>9786</v>
      </c>
      <c r="C9711" s="2" t="str">
        <f>"14653621"</f>
        <v>14653621</v>
      </c>
      <c r="D9711" s="2">
        <v>0.78900000000000003</v>
      </c>
      <c r="E9711" s="2">
        <v>50</v>
      </c>
      <c r="F9711" s="2" t="s">
        <v>16</v>
      </c>
    </row>
    <row r="9712" spans="1:6" ht="25.5">
      <c r="A9712" s="2">
        <v>9709</v>
      </c>
      <c r="B9712" s="2" t="s">
        <v>9787</v>
      </c>
      <c r="C9712" s="2" t="str">
        <f>"03705579"</f>
        <v>03705579</v>
      </c>
      <c r="D9712" s="2">
        <v>0.104</v>
      </c>
      <c r="E9712" s="2">
        <v>5</v>
      </c>
      <c r="F9712" s="2" t="s">
        <v>131</v>
      </c>
    </row>
    <row r="9713" spans="1:6" ht="25.5">
      <c r="A9713" s="2">
        <v>9710</v>
      </c>
      <c r="B9713" s="2" t="s">
        <v>9788</v>
      </c>
      <c r="C9713" s="2" t="str">
        <f>"03881601"</f>
        <v>03881601</v>
      </c>
      <c r="D9713" s="2">
        <v>0.10199999999999999</v>
      </c>
      <c r="E9713" s="2">
        <v>4</v>
      </c>
      <c r="F9713" s="2" t="s">
        <v>131</v>
      </c>
    </row>
    <row r="9714" spans="1:6" ht="25.5">
      <c r="A9714" s="2">
        <v>9711</v>
      </c>
      <c r="B9714" s="2" t="s">
        <v>9789</v>
      </c>
      <c r="C9714" s="2" t="str">
        <f>"00099252"</f>
        <v>00099252</v>
      </c>
      <c r="D9714" s="2">
        <v>0.10100000000000001</v>
      </c>
      <c r="E9714" s="2">
        <v>4</v>
      </c>
      <c r="F9714" s="2" t="s">
        <v>131</v>
      </c>
    </row>
    <row r="9715" spans="1:6" ht="25.5">
      <c r="A9715" s="2">
        <v>9712</v>
      </c>
      <c r="B9715" s="2" t="s">
        <v>9790</v>
      </c>
      <c r="C9715" s="2" t="str">
        <f>"03852393"</f>
        <v>03852393</v>
      </c>
      <c r="D9715" s="2">
        <v>0.1</v>
      </c>
      <c r="E9715" s="2">
        <v>2</v>
      </c>
      <c r="F9715" s="2" t="s">
        <v>131</v>
      </c>
    </row>
    <row r="9716" spans="1:6" ht="25.5">
      <c r="A9716" s="2">
        <v>9713</v>
      </c>
      <c r="B9716" s="2" t="s">
        <v>9791</v>
      </c>
      <c r="C9716" s="2" t="str">
        <f>"13424327"</f>
        <v>13424327</v>
      </c>
      <c r="D9716" s="2">
        <v>0.11</v>
      </c>
      <c r="E9716" s="2">
        <v>4</v>
      </c>
      <c r="F9716" s="2" t="s">
        <v>131</v>
      </c>
    </row>
    <row r="9717" spans="1:6" ht="25.5">
      <c r="A9717" s="2">
        <v>9714</v>
      </c>
      <c r="B9717" s="2" t="s">
        <v>9792</v>
      </c>
      <c r="C9717" s="2" t="str">
        <f>"13490990"</f>
        <v>13490990</v>
      </c>
      <c r="D9717" s="2">
        <v>0.128</v>
      </c>
      <c r="E9717" s="2">
        <v>12</v>
      </c>
      <c r="F9717" s="2" t="s">
        <v>131</v>
      </c>
    </row>
    <row r="9718" spans="1:6" ht="25.5">
      <c r="A9718" s="2">
        <v>9715</v>
      </c>
      <c r="B9718" s="2" t="s">
        <v>9793</v>
      </c>
      <c r="C9718" s="2" t="str">
        <f>"00215007"</f>
        <v>00215007</v>
      </c>
      <c r="D9718" s="2">
        <v>0.113</v>
      </c>
      <c r="E9718" s="2">
        <v>9</v>
      </c>
      <c r="F9718" s="2" t="s">
        <v>131</v>
      </c>
    </row>
    <row r="9719" spans="1:6" ht="25.5">
      <c r="A9719" s="2">
        <v>9716</v>
      </c>
      <c r="B9719" s="2" t="s">
        <v>9794</v>
      </c>
      <c r="C9719" s="2" t="str">
        <f>"00215015"</f>
        <v>00215015</v>
      </c>
      <c r="D9719" s="2">
        <v>0.221</v>
      </c>
      <c r="E9719" s="2">
        <v>9</v>
      </c>
      <c r="F9719" s="2" t="s">
        <v>131</v>
      </c>
    </row>
    <row r="9720" spans="1:6" ht="25.5">
      <c r="A9720" s="2">
        <v>9717</v>
      </c>
      <c r="B9720" s="2" t="s">
        <v>9795</v>
      </c>
      <c r="C9720" s="2" t="str">
        <f>"03869768"</f>
        <v>03869768</v>
      </c>
      <c r="D9720" s="2">
        <v>0.109</v>
      </c>
      <c r="E9720" s="2">
        <v>7</v>
      </c>
      <c r="F9720" s="2" t="s">
        <v>131</v>
      </c>
    </row>
    <row r="9721" spans="1:6" ht="25.5">
      <c r="A9721" s="2">
        <v>9718</v>
      </c>
      <c r="B9721" s="2" t="s">
        <v>9796</v>
      </c>
      <c r="C9721" s="2" t="str">
        <f>"04466586"</f>
        <v>04466586</v>
      </c>
      <c r="D9721" s="2">
        <v>0.11600000000000001</v>
      </c>
      <c r="E9721" s="2">
        <v>10</v>
      </c>
      <c r="F9721" s="2" t="s">
        <v>131</v>
      </c>
    </row>
    <row r="9722" spans="1:6" ht="25.5">
      <c r="A9722" s="2">
        <v>9719</v>
      </c>
      <c r="B9722" s="2" t="s">
        <v>9797</v>
      </c>
      <c r="C9722" s="2" t="str">
        <f>"03009173"</f>
        <v>03009173</v>
      </c>
      <c r="D9722" s="2">
        <v>0.107</v>
      </c>
      <c r="E9722" s="2">
        <v>12</v>
      </c>
      <c r="F9722" s="2" t="s">
        <v>131</v>
      </c>
    </row>
    <row r="9723" spans="1:6" ht="25.5">
      <c r="A9723" s="2">
        <v>9720</v>
      </c>
      <c r="B9723" s="2" t="s">
        <v>9798</v>
      </c>
      <c r="C9723" s="2" t="str">
        <f>"18818382"</f>
        <v>18818382</v>
      </c>
      <c r="D9723" s="2">
        <v>0.1</v>
      </c>
      <c r="E9723" s="2">
        <v>0</v>
      </c>
      <c r="F9723" s="2" t="s">
        <v>131</v>
      </c>
    </row>
    <row r="9724" spans="1:6" ht="25.5">
      <c r="A9724" s="2">
        <v>9721</v>
      </c>
      <c r="B9724" s="2" t="s">
        <v>9799</v>
      </c>
      <c r="C9724" s="2" t="str">
        <f>"00215082"</f>
        <v>00215082</v>
      </c>
      <c r="D9724" s="2">
        <v>0.151</v>
      </c>
      <c r="E9724" s="2">
        <v>11</v>
      </c>
      <c r="F9724" s="2" t="s">
        <v>131</v>
      </c>
    </row>
    <row r="9725" spans="1:6" ht="25.5">
      <c r="A9725" s="2">
        <v>9722</v>
      </c>
      <c r="B9725" s="2" t="s">
        <v>9800</v>
      </c>
      <c r="C9725" s="2" t="str">
        <f>"13446304"</f>
        <v>13446304</v>
      </c>
      <c r="D9725" s="2">
        <v>0.61</v>
      </c>
      <c r="E9725" s="2">
        <v>30</v>
      </c>
      <c r="F9725" s="2" t="s">
        <v>6</v>
      </c>
    </row>
    <row r="9726" spans="1:6" ht="25.5">
      <c r="A9726" s="2">
        <v>9723</v>
      </c>
      <c r="B9726" s="2" t="s">
        <v>9801</v>
      </c>
      <c r="C9726" s="2" t="str">
        <f>"00471887"</f>
        <v>00471887</v>
      </c>
      <c r="D9726" s="2">
        <v>0.10299999999999999</v>
      </c>
      <c r="E9726" s="2">
        <v>10</v>
      </c>
      <c r="F9726" s="2" t="s">
        <v>131</v>
      </c>
    </row>
    <row r="9727" spans="1:6" ht="25.5">
      <c r="A9727" s="2">
        <v>9724</v>
      </c>
      <c r="B9727" s="2" t="s">
        <v>9802</v>
      </c>
      <c r="C9727" s="2" t="str">
        <f>"13423681"</f>
        <v>13423681</v>
      </c>
      <c r="D9727" s="2">
        <v>0.16500000000000001</v>
      </c>
      <c r="E9727" s="2">
        <v>5</v>
      </c>
      <c r="F9727" s="2" t="s">
        <v>131</v>
      </c>
    </row>
    <row r="9728" spans="1:6" ht="25.5">
      <c r="A9728" s="2">
        <v>9725</v>
      </c>
      <c r="B9728" s="2" t="s">
        <v>9803</v>
      </c>
      <c r="C9728" s="2" t="str">
        <f>"00215104"</f>
        <v>00215104</v>
      </c>
      <c r="D9728" s="2">
        <v>0.108</v>
      </c>
      <c r="E9728" s="2">
        <v>11</v>
      </c>
      <c r="F9728" s="2" t="s">
        <v>131</v>
      </c>
    </row>
    <row r="9729" spans="1:6" ht="25.5">
      <c r="A9729" s="2">
        <v>9726</v>
      </c>
      <c r="B9729" s="2" t="s">
        <v>9804</v>
      </c>
      <c r="C9729" s="2" t="str">
        <f>"03869628"</f>
        <v>03869628</v>
      </c>
      <c r="D9729" s="2">
        <v>0.105</v>
      </c>
      <c r="E9729" s="2">
        <v>5</v>
      </c>
      <c r="F9729" s="2" t="s">
        <v>131</v>
      </c>
    </row>
    <row r="9730" spans="1:6" ht="25.5">
      <c r="A9730" s="2">
        <v>9727</v>
      </c>
      <c r="B9730" s="2" t="s">
        <v>9805</v>
      </c>
      <c r="C9730" s="2" t="str">
        <f>"02892316"</f>
        <v>02892316</v>
      </c>
      <c r="D9730" s="2">
        <v>0.98699999999999999</v>
      </c>
      <c r="E9730" s="2">
        <v>8</v>
      </c>
      <c r="F9730" s="2" t="s">
        <v>131</v>
      </c>
    </row>
    <row r="9731" spans="1:6" ht="25.5">
      <c r="A9731" s="2">
        <v>9728</v>
      </c>
      <c r="B9731" s="2" t="s">
        <v>9806</v>
      </c>
      <c r="C9731" s="2" t="str">
        <f>"09164804"</f>
        <v>09164804</v>
      </c>
      <c r="D9731" s="2">
        <v>0.23599999999999999</v>
      </c>
      <c r="E9731" s="2">
        <v>16</v>
      </c>
      <c r="F9731" s="2" t="s">
        <v>131</v>
      </c>
    </row>
    <row r="9732" spans="1:6" ht="25.5">
      <c r="A9732" s="2">
        <v>9729</v>
      </c>
      <c r="B9732" s="2" t="s">
        <v>9807</v>
      </c>
      <c r="C9732" s="2" t="str">
        <f>"03852385"</f>
        <v>03852385</v>
      </c>
      <c r="D9732" s="2">
        <v>0.109</v>
      </c>
      <c r="E9732" s="2">
        <v>13</v>
      </c>
      <c r="F9732" s="2" t="s">
        <v>131</v>
      </c>
    </row>
    <row r="9733" spans="1:6" ht="25.5">
      <c r="A9733" s="2">
        <v>9730</v>
      </c>
      <c r="B9733" s="2" t="s">
        <v>9808</v>
      </c>
      <c r="C9733" s="2" t="str">
        <f>"13434144"</f>
        <v>13434144</v>
      </c>
      <c r="D9733" s="2">
        <v>0.13700000000000001</v>
      </c>
      <c r="E9733" s="2">
        <v>6</v>
      </c>
      <c r="F9733" s="2" t="s">
        <v>131</v>
      </c>
    </row>
    <row r="9734" spans="1:6" ht="25.5">
      <c r="A9734" s="2">
        <v>9731</v>
      </c>
      <c r="B9734" s="2" t="s">
        <v>9809</v>
      </c>
      <c r="C9734" s="2" t="str">
        <f>"0917950X"</f>
        <v>0917950X</v>
      </c>
      <c r="D9734" s="2">
        <v>0.112</v>
      </c>
      <c r="E9734" s="2">
        <v>5</v>
      </c>
      <c r="F9734" s="2" t="s">
        <v>131</v>
      </c>
    </row>
    <row r="9735" spans="1:6" ht="25.5">
      <c r="A9735" s="2">
        <v>9732</v>
      </c>
      <c r="B9735" s="2" t="s">
        <v>9810</v>
      </c>
      <c r="C9735" s="2" t="str">
        <f>"00215155"</f>
        <v>00215155</v>
      </c>
      <c r="D9735" s="2">
        <v>0.89400000000000002</v>
      </c>
      <c r="E9735" s="2">
        <v>33</v>
      </c>
      <c r="F9735" s="2" t="s">
        <v>131</v>
      </c>
    </row>
    <row r="9736" spans="1:6" ht="25.5">
      <c r="A9736" s="2">
        <v>9733</v>
      </c>
      <c r="B9736" s="2" t="s">
        <v>9811</v>
      </c>
      <c r="C9736" s="2" t="str">
        <f>"0039906X"</f>
        <v>0039906X</v>
      </c>
      <c r="D9736" s="2">
        <v>0.125</v>
      </c>
      <c r="E9736" s="2">
        <v>8</v>
      </c>
      <c r="F9736" s="2" t="s">
        <v>131</v>
      </c>
    </row>
    <row r="9737" spans="1:6" ht="25.5">
      <c r="A9737" s="2">
        <v>9734</v>
      </c>
      <c r="B9737" s="2" t="s">
        <v>9812</v>
      </c>
      <c r="C9737" s="2" t="str">
        <f>"00215228"</f>
        <v>00215228</v>
      </c>
      <c r="D9737" s="2">
        <v>0.1</v>
      </c>
      <c r="E9737" s="2">
        <v>4</v>
      </c>
      <c r="F9737" s="2" t="s">
        <v>131</v>
      </c>
    </row>
    <row r="9738" spans="1:6" ht="25.5">
      <c r="A9738" s="2">
        <v>9735</v>
      </c>
      <c r="B9738" s="2" t="s">
        <v>9813</v>
      </c>
      <c r="C9738" s="2" t="str">
        <f>"14740060"</f>
        <v>14740060</v>
      </c>
      <c r="D9738" s="2">
        <v>0.17299999999999999</v>
      </c>
      <c r="E9738" s="2">
        <v>4</v>
      </c>
      <c r="F9738" s="2" t="s">
        <v>16</v>
      </c>
    </row>
    <row r="9739" spans="1:6" ht="25.5">
      <c r="A9739" s="2">
        <v>9736</v>
      </c>
      <c r="B9739" s="2" t="s">
        <v>9814</v>
      </c>
      <c r="C9739" s="2" t="str">
        <f>"13402544"</f>
        <v>13402544</v>
      </c>
      <c r="D9739" s="2">
        <v>0.10199999999999999</v>
      </c>
      <c r="E9739" s="2">
        <v>11</v>
      </c>
      <c r="F9739" s="2" t="s">
        <v>131</v>
      </c>
    </row>
    <row r="9740" spans="1:6" ht="25.5">
      <c r="A9740" s="2">
        <v>9737</v>
      </c>
      <c r="B9740" s="2" t="s">
        <v>9815</v>
      </c>
      <c r="C9740" s="2" t="str">
        <f>"18671071"</f>
        <v>18671071</v>
      </c>
      <c r="D9740" s="2">
        <v>0.35399999999999998</v>
      </c>
      <c r="E9740" s="2">
        <v>25</v>
      </c>
      <c r="F9740" s="2" t="s">
        <v>131</v>
      </c>
    </row>
    <row r="9741" spans="1:6" ht="25.5">
      <c r="A9741" s="2">
        <v>9738</v>
      </c>
      <c r="B9741" s="2" t="s">
        <v>9816</v>
      </c>
      <c r="C9741" s="2" t="str">
        <f>"03041042"</f>
        <v>03041042</v>
      </c>
      <c r="D9741" s="2">
        <v>0.13900000000000001</v>
      </c>
      <c r="E9741" s="2">
        <v>4</v>
      </c>
      <c r="F9741" s="2" t="s">
        <v>131</v>
      </c>
    </row>
    <row r="9742" spans="1:6" ht="25.5">
      <c r="A9742" s="2">
        <v>9739</v>
      </c>
      <c r="B9742" s="2" t="s">
        <v>9817</v>
      </c>
      <c r="C9742" s="2" t="str">
        <f>"00215252"</f>
        <v>00215252</v>
      </c>
      <c r="D9742" s="2">
        <v>0.107</v>
      </c>
      <c r="E9742" s="2">
        <v>8</v>
      </c>
      <c r="F9742" s="2" t="s">
        <v>131</v>
      </c>
    </row>
    <row r="9743" spans="1:6" ht="25.5">
      <c r="A9743" s="2">
        <v>9740</v>
      </c>
      <c r="B9743" s="2" t="s">
        <v>9818</v>
      </c>
      <c r="C9743" s="2" t="str">
        <f>"00215287"</f>
        <v>00215287</v>
      </c>
      <c r="D9743" s="2">
        <v>0.14199999999999999</v>
      </c>
      <c r="E9743" s="2">
        <v>12</v>
      </c>
      <c r="F9743" s="2" t="s">
        <v>131</v>
      </c>
    </row>
    <row r="9744" spans="1:6" ht="25.5">
      <c r="A9744" s="2">
        <v>9741</v>
      </c>
      <c r="B9744" s="2" t="s">
        <v>9819</v>
      </c>
      <c r="C9744" s="2" t="str">
        <f>"00471917"</f>
        <v>00471917</v>
      </c>
      <c r="D9744" s="2">
        <v>0.21099999999999999</v>
      </c>
      <c r="E9744" s="2">
        <v>13</v>
      </c>
      <c r="F9744" s="2" t="s">
        <v>131</v>
      </c>
    </row>
    <row r="9745" spans="1:6" ht="25.5">
      <c r="A9745" s="2">
        <v>9742</v>
      </c>
      <c r="B9745" s="2" t="s">
        <v>9820</v>
      </c>
      <c r="C9745" s="2" t="str">
        <f>"13497979"</f>
        <v>13497979</v>
      </c>
      <c r="D9745" s="2">
        <v>0.13800000000000001</v>
      </c>
      <c r="E9745" s="2">
        <v>2</v>
      </c>
      <c r="F9745" s="2" t="s">
        <v>131</v>
      </c>
    </row>
    <row r="9746" spans="1:6" ht="25.5">
      <c r="A9746" s="2">
        <v>9743</v>
      </c>
      <c r="B9746" s="2" t="s">
        <v>9821</v>
      </c>
      <c r="C9746" s="2" t="str">
        <f>"03863603"</f>
        <v>03863603</v>
      </c>
      <c r="D9746" s="2">
        <v>0.114</v>
      </c>
      <c r="E9746" s="2">
        <v>10</v>
      </c>
      <c r="F9746" s="2" t="s">
        <v>131</v>
      </c>
    </row>
    <row r="9747" spans="1:6" ht="25.5">
      <c r="A9747" s="2">
        <v>9744</v>
      </c>
      <c r="B9747" s="2" t="s">
        <v>9822</v>
      </c>
      <c r="C9747" s="2" t="str">
        <f>"14685884"</f>
        <v>14685884</v>
      </c>
      <c r="D9747" s="2">
        <v>0.20699999999999999</v>
      </c>
      <c r="E9747" s="2">
        <v>15</v>
      </c>
      <c r="F9747" s="2" t="s">
        <v>16</v>
      </c>
    </row>
    <row r="9748" spans="1:6" ht="25.5">
      <c r="A9748" s="2">
        <v>9745</v>
      </c>
      <c r="B9748" s="2" t="s">
        <v>9823</v>
      </c>
      <c r="C9748" s="2" t="str">
        <f>"04488938"</f>
        <v>04488938</v>
      </c>
      <c r="D9748" s="2">
        <v>0.1</v>
      </c>
      <c r="E9748" s="2">
        <v>2</v>
      </c>
      <c r="F9748" s="2" t="s">
        <v>131</v>
      </c>
    </row>
    <row r="9749" spans="1:6" ht="25.5">
      <c r="A9749" s="2">
        <v>9746</v>
      </c>
      <c r="B9749" s="2" t="s">
        <v>9824</v>
      </c>
      <c r="C9749" s="2" t="str">
        <f>"10371397"</f>
        <v>10371397</v>
      </c>
      <c r="D9749" s="2">
        <v>0.13400000000000001</v>
      </c>
      <c r="E9749" s="2">
        <v>2</v>
      </c>
      <c r="F9749" s="2" t="s">
        <v>16</v>
      </c>
    </row>
    <row r="9750" spans="1:6" ht="25.5">
      <c r="A9750" s="2">
        <v>9747</v>
      </c>
      <c r="B9750" s="2" t="s">
        <v>9825</v>
      </c>
      <c r="C9750" s="2" t="str">
        <f>"09555803"</f>
        <v>09555803</v>
      </c>
      <c r="D9750" s="2">
        <v>0.14000000000000001</v>
      </c>
      <c r="E9750" s="2">
        <v>2</v>
      </c>
      <c r="F9750" s="2" t="s">
        <v>16</v>
      </c>
    </row>
    <row r="9751" spans="1:6" ht="25.5">
      <c r="A9751" s="2">
        <v>9748</v>
      </c>
      <c r="B9751" s="2" t="s">
        <v>9826</v>
      </c>
      <c r="C9751" s="2" t="str">
        <f>"09101004"</f>
        <v>09101004</v>
      </c>
      <c r="D9751" s="2">
        <v>0.10100000000000001</v>
      </c>
      <c r="E9751" s="2">
        <v>3</v>
      </c>
      <c r="F9751" s="2" t="s">
        <v>131</v>
      </c>
    </row>
    <row r="9752" spans="1:6" ht="25.5">
      <c r="A9752" s="2">
        <v>9749</v>
      </c>
      <c r="B9752" s="2" t="s">
        <v>9827</v>
      </c>
      <c r="C9752" s="2" t="str">
        <f>"13457942"</f>
        <v>13457942</v>
      </c>
      <c r="D9752" s="2">
        <v>0.17799999999999999</v>
      </c>
      <c r="E9752" s="2">
        <v>3</v>
      </c>
      <c r="F9752" s="2" t="s">
        <v>131</v>
      </c>
    </row>
    <row r="9753" spans="1:6" ht="25.5">
      <c r="A9753" s="2">
        <v>9750</v>
      </c>
      <c r="B9753" s="2" t="s">
        <v>9828</v>
      </c>
      <c r="C9753" s="2" t="str">
        <f>"09167005"</f>
        <v>09167005</v>
      </c>
      <c r="D9753" s="2">
        <v>0.316</v>
      </c>
      <c r="E9753" s="2">
        <v>16</v>
      </c>
      <c r="F9753" s="2" t="s">
        <v>131</v>
      </c>
    </row>
    <row r="9754" spans="1:6" ht="25.5">
      <c r="A9754" s="2">
        <v>9751</v>
      </c>
      <c r="B9754" s="2" t="s">
        <v>9829</v>
      </c>
      <c r="C9754" s="2" t="str">
        <f>"00302813"</f>
        <v>00302813</v>
      </c>
      <c r="D9754" s="2">
        <v>0.1</v>
      </c>
      <c r="E9754" s="2">
        <v>3</v>
      </c>
      <c r="F9754" s="2" t="s">
        <v>131</v>
      </c>
    </row>
    <row r="9755" spans="1:6" ht="25.5">
      <c r="A9755" s="2">
        <v>9752</v>
      </c>
      <c r="B9755" s="2" t="s">
        <v>9830</v>
      </c>
      <c r="C9755" s="2" t="str">
        <f>"17427932"</f>
        <v>17427932</v>
      </c>
      <c r="D9755" s="2">
        <v>0.19900000000000001</v>
      </c>
      <c r="E9755" s="2">
        <v>4</v>
      </c>
      <c r="F9755" s="2" t="s">
        <v>127</v>
      </c>
    </row>
    <row r="9756" spans="1:6" ht="25.5">
      <c r="A9756" s="2">
        <v>9753</v>
      </c>
      <c r="B9756" s="2" t="s">
        <v>9831</v>
      </c>
      <c r="C9756" s="2" t="str">
        <f>"13468650"</f>
        <v>13468650</v>
      </c>
      <c r="D9756" s="2">
        <v>0.124</v>
      </c>
      <c r="E9756" s="2">
        <v>6</v>
      </c>
      <c r="F9756" s="2" t="s">
        <v>131</v>
      </c>
    </row>
    <row r="9757" spans="1:6" ht="25.5">
      <c r="A9757" s="2">
        <v>9754</v>
      </c>
      <c r="B9757" s="2" t="s">
        <v>9832</v>
      </c>
      <c r="C9757" s="2" t="str">
        <f>"15253961"</f>
        <v>15253961</v>
      </c>
      <c r="D9757" s="2">
        <v>1.343</v>
      </c>
      <c r="E9757" s="2">
        <v>39</v>
      </c>
      <c r="F9757" s="2" t="s">
        <v>6</v>
      </c>
    </row>
    <row r="9758" spans="1:6" ht="25.5">
      <c r="A9758" s="2">
        <v>9755</v>
      </c>
      <c r="B9758" s="2" t="s">
        <v>9833</v>
      </c>
      <c r="C9758" s="2" t="str">
        <f>"03135934"</f>
        <v>03135934</v>
      </c>
      <c r="D9758" s="2">
        <v>0.1</v>
      </c>
      <c r="E9758" s="2">
        <v>1</v>
      </c>
      <c r="F9758" s="2" t="s">
        <v>127</v>
      </c>
    </row>
    <row r="9759" spans="1:6" ht="25.5">
      <c r="A9759" s="2">
        <v>9756</v>
      </c>
      <c r="B9759" s="2" t="s">
        <v>9834</v>
      </c>
      <c r="C9759" s="2" t="str">
        <f>"15571289"</f>
        <v>15571289</v>
      </c>
      <c r="D9759" s="2">
        <v>0.19600000000000001</v>
      </c>
      <c r="E9759" s="2">
        <v>7</v>
      </c>
      <c r="F9759" s="2" t="s">
        <v>6</v>
      </c>
    </row>
    <row r="9760" spans="1:6" ht="25.5">
      <c r="A9760" s="2">
        <v>9757</v>
      </c>
      <c r="B9760" s="2" t="s">
        <v>9835</v>
      </c>
      <c r="C9760" s="2" t="str">
        <f>"13183222"</f>
        <v>13183222</v>
      </c>
      <c r="D9760" s="2">
        <v>0.34899999999999998</v>
      </c>
      <c r="E9760" s="2">
        <v>13</v>
      </c>
      <c r="F9760" s="2" t="s">
        <v>154</v>
      </c>
    </row>
    <row r="9761" spans="1:6" ht="25.5">
      <c r="A9761" s="2">
        <v>9758</v>
      </c>
      <c r="B9761" s="2" t="s">
        <v>9836</v>
      </c>
      <c r="C9761" s="2" t="str">
        <f>"00215597"</f>
        <v>00215597</v>
      </c>
      <c r="D9761" s="2">
        <v>0.106</v>
      </c>
      <c r="E9761" s="2">
        <v>0</v>
      </c>
      <c r="F9761" s="2" t="s">
        <v>241</v>
      </c>
    </row>
    <row r="9762" spans="1:6" ht="25.5">
      <c r="A9762" s="2">
        <v>9759</v>
      </c>
      <c r="B9762" s="2" t="s">
        <v>9837</v>
      </c>
      <c r="C9762" s="2" t="str">
        <f>"17494079"</f>
        <v>17494079</v>
      </c>
      <c r="D9762" s="2">
        <v>0.10199999999999999</v>
      </c>
      <c r="E9762" s="2">
        <v>1</v>
      </c>
      <c r="F9762" s="2" t="s">
        <v>16</v>
      </c>
    </row>
    <row r="9763" spans="1:6" ht="25.5">
      <c r="A9763" s="2">
        <v>9760</v>
      </c>
      <c r="B9763" s="2" t="s">
        <v>9838</v>
      </c>
      <c r="C9763" s="2" t="str">
        <f>"0007084X"</f>
        <v>0007084X</v>
      </c>
      <c r="D9763" s="2">
        <v>0.32300000000000001</v>
      </c>
      <c r="E9763" s="2">
        <v>14</v>
      </c>
      <c r="F9763" s="2" t="s">
        <v>16</v>
      </c>
    </row>
    <row r="9764" spans="1:6" ht="38.25">
      <c r="A9764" s="2">
        <v>9761</v>
      </c>
      <c r="B9764" s="2" t="s">
        <v>9839</v>
      </c>
      <c r="C9764" s="2" t="str">
        <f>"17802393"</f>
        <v>17802393</v>
      </c>
      <c r="D9764" s="2">
        <v>0.128</v>
      </c>
      <c r="E9764" s="2">
        <v>14</v>
      </c>
      <c r="F9764" s="2" t="s">
        <v>161</v>
      </c>
    </row>
    <row r="9765" spans="1:6" ht="25.5">
      <c r="A9765" s="2">
        <v>9762</v>
      </c>
      <c r="B9765" s="2" t="s">
        <v>9840</v>
      </c>
      <c r="C9765" s="2" t="str">
        <f>"13085735"</f>
        <v>13085735</v>
      </c>
      <c r="D9765" s="2">
        <v>0.32900000000000001</v>
      </c>
      <c r="E9765" s="2">
        <v>6</v>
      </c>
      <c r="F9765" s="2" t="s">
        <v>345</v>
      </c>
    </row>
    <row r="9766" spans="1:6" ht="25.5">
      <c r="A9766" s="2">
        <v>9763</v>
      </c>
      <c r="B9766" s="2" t="s">
        <v>9841</v>
      </c>
      <c r="C9766" s="2" t="str">
        <f>"15470083"</f>
        <v>15470083</v>
      </c>
      <c r="D9766" s="2">
        <v>0.10100000000000001</v>
      </c>
      <c r="E9766" s="2">
        <v>7</v>
      </c>
      <c r="F9766" s="2" t="s">
        <v>6</v>
      </c>
    </row>
    <row r="9767" spans="1:6" ht="25.5">
      <c r="A9767" s="2">
        <v>9764</v>
      </c>
      <c r="B9767" s="2" t="s">
        <v>9842</v>
      </c>
      <c r="C9767" s="2" t="str">
        <f>"16100387"</f>
        <v>16100387</v>
      </c>
      <c r="D9767" s="2">
        <v>0.53400000000000003</v>
      </c>
      <c r="E9767" s="2">
        <v>27</v>
      </c>
      <c r="F9767" s="2" t="s">
        <v>16</v>
      </c>
    </row>
    <row r="9768" spans="1:6" ht="25.5">
      <c r="A9768" s="2">
        <v>9765</v>
      </c>
      <c r="B9768" s="2" t="s">
        <v>9843</v>
      </c>
      <c r="C9768" s="2" t="str">
        <f>"10169172"</f>
        <v>10169172</v>
      </c>
      <c r="D9768" s="2">
        <v>0.124</v>
      </c>
      <c r="E9768" s="2">
        <v>1</v>
      </c>
      <c r="F9768" s="2" t="s">
        <v>345</v>
      </c>
    </row>
    <row r="9769" spans="1:6" ht="25.5">
      <c r="A9769" s="2">
        <v>9766</v>
      </c>
      <c r="B9769" s="2" t="s">
        <v>9844</v>
      </c>
      <c r="C9769" s="2" t="str">
        <f>"10906487"</f>
        <v>10906487</v>
      </c>
      <c r="D9769" s="2">
        <v>0.91800000000000004</v>
      </c>
      <c r="E9769" s="2">
        <v>49</v>
      </c>
      <c r="F9769" s="2" t="s">
        <v>129</v>
      </c>
    </row>
    <row r="9770" spans="1:6" ht="25.5">
      <c r="A9770" s="2">
        <v>9767</v>
      </c>
      <c r="B9770" s="2" t="s">
        <v>9845</v>
      </c>
      <c r="C9770" s="2" t="str">
        <f>"15728579"</f>
        <v>15728579</v>
      </c>
      <c r="D9770" s="2">
        <v>0.14099999999999999</v>
      </c>
      <c r="E9770" s="2">
        <v>5</v>
      </c>
      <c r="F9770" s="2" t="s">
        <v>75</v>
      </c>
    </row>
    <row r="9771" spans="1:6" ht="25.5">
      <c r="A9771" s="2">
        <v>9768</v>
      </c>
      <c r="B9771" s="2" t="s">
        <v>9846</v>
      </c>
      <c r="C9771" s="2" t="str">
        <f>"00216682"</f>
        <v>00216682</v>
      </c>
      <c r="D9771" s="2">
        <v>0.10100000000000001</v>
      </c>
      <c r="E9771" s="2">
        <v>1</v>
      </c>
      <c r="F9771" s="2" t="s">
        <v>6</v>
      </c>
    </row>
    <row r="9772" spans="1:6" ht="25.5">
      <c r="A9772" s="2">
        <v>9769</v>
      </c>
      <c r="B9772" s="2" t="s">
        <v>9847</v>
      </c>
      <c r="C9772" s="2" t="str">
        <f>"13317202"</f>
        <v>13317202</v>
      </c>
      <c r="D9772" s="2">
        <v>0.10100000000000001</v>
      </c>
      <c r="E9772" s="2">
        <v>1</v>
      </c>
      <c r="F9772" s="2" t="s">
        <v>149</v>
      </c>
    </row>
    <row r="9773" spans="1:6" ht="25.5">
      <c r="A9773" s="2">
        <v>9770</v>
      </c>
      <c r="B9773" s="2" t="s">
        <v>9848</v>
      </c>
      <c r="C9773" s="2" t="str">
        <f>"00216941"</f>
        <v>00216941</v>
      </c>
      <c r="D9773" s="2">
        <v>0</v>
      </c>
      <c r="E9773" s="2">
        <v>0</v>
      </c>
      <c r="F9773" s="2" t="s">
        <v>169</v>
      </c>
    </row>
    <row r="9774" spans="1:6" ht="25.5">
      <c r="A9774" s="2">
        <v>9771</v>
      </c>
      <c r="B9774" s="2" t="s">
        <v>9849</v>
      </c>
      <c r="C9774" s="2" t="str">
        <f>"13480677"</f>
        <v>13480677</v>
      </c>
      <c r="D9774" s="2">
        <v>0.1</v>
      </c>
      <c r="E9774" s="2">
        <v>2</v>
      </c>
      <c r="F9774" s="2" t="s">
        <v>131</v>
      </c>
    </row>
    <row r="9775" spans="1:6" ht="25.5">
      <c r="A9775" s="2">
        <v>9772</v>
      </c>
      <c r="B9775" s="2" t="s">
        <v>9850</v>
      </c>
      <c r="C9775" s="2" t="str">
        <f>"16717775"</f>
        <v>16717775</v>
      </c>
      <c r="D9775" s="2">
        <v>0.27600000000000002</v>
      </c>
      <c r="E9775" s="2">
        <v>10</v>
      </c>
      <c r="F9775" s="2" t="s">
        <v>46</v>
      </c>
    </row>
    <row r="9776" spans="1:6" ht="25.5">
      <c r="A9776" s="2">
        <v>9773</v>
      </c>
      <c r="B9776" s="2" t="s">
        <v>9851</v>
      </c>
      <c r="C9776" s="2" t="str">
        <f>"10079629"</f>
        <v>10079629</v>
      </c>
      <c r="D9776" s="2">
        <v>0.218</v>
      </c>
      <c r="E9776" s="2">
        <v>9</v>
      </c>
      <c r="F9776" s="2" t="s">
        <v>46</v>
      </c>
    </row>
    <row r="9777" spans="1:6" ht="25.5">
      <c r="A9777" s="2">
        <v>9774</v>
      </c>
      <c r="B9777" s="2" t="s">
        <v>9852</v>
      </c>
      <c r="C9777" s="2" t="str">
        <f>"10006869"</f>
        <v>10006869</v>
      </c>
      <c r="D9777" s="2">
        <v>0.54300000000000004</v>
      </c>
      <c r="E9777" s="2">
        <v>16</v>
      </c>
      <c r="F9777" s="2" t="s">
        <v>46</v>
      </c>
    </row>
    <row r="9778" spans="1:6" ht="25.5">
      <c r="A9778" s="2">
        <v>9775</v>
      </c>
      <c r="B9778" s="2" t="s">
        <v>9853</v>
      </c>
      <c r="C9778" s="2" t="str">
        <f>"10096744"</f>
        <v>10096744</v>
      </c>
      <c r="D9778" s="2">
        <v>0.3</v>
      </c>
      <c r="E9778" s="2">
        <v>9</v>
      </c>
      <c r="F9778" s="2" t="s">
        <v>46</v>
      </c>
    </row>
    <row r="9779" spans="1:6" ht="25.5">
      <c r="A9779" s="2">
        <v>9776</v>
      </c>
      <c r="B9779" s="2" t="s">
        <v>9854</v>
      </c>
      <c r="C9779" s="2" t="str">
        <f>"10093443"</f>
        <v>10093443</v>
      </c>
      <c r="D9779" s="2">
        <v>0.20599999999999999</v>
      </c>
      <c r="E9779" s="2">
        <v>5</v>
      </c>
      <c r="F9779" s="2" t="s">
        <v>46</v>
      </c>
    </row>
    <row r="9780" spans="1:6" ht="25.5">
      <c r="A9780" s="2">
        <v>9777</v>
      </c>
      <c r="B9780" s="2" t="s">
        <v>9855</v>
      </c>
      <c r="C9780" s="2" t="str">
        <f>"02545861"</f>
        <v>02545861</v>
      </c>
      <c r="D9780" s="2">
        <v>0.14899999999999999</v>
      </c>
      <c r="E9780" s="2">
        <v>14</v>
      </c>
      <c r="F9780" s="2" t="s">
        <v>46</v>
      </c>
    </row>
    <row r="9781" spans="1:6" ht="25.5">
      <c r="A9781" s="2">
        <v>9778</v>
      </c>
      <c r="B9781" s="2" t="s">
        <v>9856</v>
      </c>
      <c r="C9781" s="2" t="str">
        <f>"10001158"</f>
        <v>10001158</v>
      </c>
      <c r="D9781" s="2">
        <v>0.106</v>
      </c>
      <c r="E9781" s="2">
        <v>8</v>
      </c>
      <c r="F9781" s="2" t="s">
        <v>46</v>
      </c>
    </row>
    <row r="9782" spans="1:6" ht="25.5">
      <c r="A9782" s="2">
        <v>9779</v>
      </c>
      <c r="B9782" s="2" t="s">
        <v>9857</v>
      </c>
      <c r="C9782" s="2" t="str">
        <f>"16715888"</f>
        <v>16715888</v>
      </c>
      <c r="D9782" s="2">
        <v>0.28199999999999997</v>
      </c>
      <c r="E9782" s="2">
        <v>6</v>
      </c>
      <c r="F9782" s="2" t="s">
        <v>46</v>
      </c>
    </row>
    <row r="9783" spans="1:6" ht="25.5">
      <c r="A9783" s="2">
        <v>9780</v>
      </c>
      <c r="B9783" s="2" t="s">
        <v>9858</v>
      </c>
      <c r="C9783" s="2" t="str">
        <f>"16715497"</f>
        <v>16715497</v>
      </c>
      <c r="D9783" s="2">
        <v>0.26</v>
      </c>
      <c r="E9783" s="2">
        <v>11</v>
      </c>
      <c r="F9783" s="2" t="s">
        <v>46</v>
      </c>
    </row>
    <row r="9784" spans="1:6" ht="25.5">
      <c r="A9784" s="2">
        <v>9781</v>
      </c>
      <c r="B9784" s="2" t="s">
        <v>9859</v>
      </c>
      <c r="C9784" s="2" t="str">
        <f>"00187216"</f>
        <v>00187216</v>
      </c>
      <c r="D9784" s="2">
        <v>0.123</v>
      </c>
      <c r="E9784" s="2">
        <v>4</v>
      </c>
      <c r="F9784" s="2" t="s">
        <v>131</v>
      </c>
    </row>
    <row r="9785" spans="1:6" ht="25.5">
      <c r="A9785" s="2">
        <v>9782</v>
      </c>
      <c r="B9785" s="2" t="s">
        <v>9860</v>
      </c>
      <c r="C9785" s="2" t="str">
        <f>"1006852X"</f>
        <v>1006852X</v>
      </c>
      <c r="D9785" s="2">
        <v>0.193</v>
      </c>
      <c r="E9785" s="2">
        <v>4</v>
      </c>
      <c r="F9785" s="2" t="s">
        <v>46</v>
      </c>
    </row>
    <row r="9786" spans="1:6" ht="25.5">
      <c r="A9786" s="2">
        <v>9783</v>
      </c>
      <c r="B9786" s="2" t="s">
        <v>9861</v>
      </c>
      <c r="C9786" s="2" t="str">
        <f>"02546051"</f>
        <v>02546051</v>
      </c>
      <c r="D9786" s="2">
        <v>0.128</v>
      </c>
      <c r="E9786" s="2">
        <v>8</v>
      </c>
      <c r="F9786" s="2" t="s">
        <v>46</v>
      </c>
    </row>
    <row r="9787" spans="1:6" ht="25.5">
      <c r="A9787" s="2">
        <v>9784</v>
      </c>
      <c r="B9787" s="2" t="s">
        <v>9862</v>
      </c>
      <c r="C9787" s="2" t="str">
        <f>"04121961"</f>
        <v>04121961</v>
      </c>
      <c r="D9787" s="2">
        <v>0.44</v>
      </c>
      <c r="E9787" s="2">
        <v>19</v>
      </c>
      <c r="F9787" s="2" t="s">
        <v>46</v>
      </c>
    </row>
    <row r="9788" spans="1:6" ht="25.5">
      <c r="A9788" s="2">
        <v>9785</v>
      </c>
      <c r="B9788" s="2" t="s">
        <v>9863</v>
      </c>
      <c r="C9788" s="2" t="str">
        <f>"10020446"</f>
        <v>10020446</v>
      </c>
      <c r="D9788" s="2">
        <v>0.29799999999999999</v>
      </c>
      <c r="E9788" s="2">
        <v>13</v>
      </c>
      <c r="F9788" s="2" t="s">
        <v>46</v>
      </c>
    </row>
    <row r="9789" spans="1:6" ht="25.5">
      <c r="A9789" s="2">
        <v>9786</v>
      </c>
      <c r="B9789" s="2" t="s">
        <v>9864</v>
      </c>
      <c r="C9789" s="2" t="str">
        <f>"10039775"</f>
        <v>10039775</v>
      </c>
      <c r="D9789" s="2">
        <v>0.24299999999999999</v>
      </c>
      <c r="E9789" s="2">
        <v>17</v>
      </c>
      <c r="F9789" s="2" t="s">
        <v>46</v>
      </c>
    </row>
    <row r="9790" spans="1:6" ht="25.5">
      <c r="A9790" s="2">
        <v>9787</v>
      </c>
      <c r="B9790" s="2" t="s">
        <v>9865</v>
      </c>
      <c r="C9790" s="2" t="str">
        <f>"10065911"</f>
        <v>10065911</v>
      </c>
      <c r="D9790" s="2">
        <v>0.33500000000000002</v>
      </c>
      <c r="E9790" s="2">
        <v>20</v>
      </c>
      <c r="F9790" s="2" t="s">
        <v>46</v>
      </c>
    </row>
    <row r="9791" spans="1:6" ht="25.5">
      <c r="A9791" s="2">
        <v>9788</v>
      </c>
      <c r="B9791" s="2" t="s">
        <v>9866</v>
      </c>
      <c r="C9791" s="2" t="str">
        <f>"02544164"</f>
        <v>02544164</v>
      </c>
      <c r="D9791" s="2">
        <v>0.45600000000000002</v>
      </c>
      <c r="E9791" s="2">
        <v>32</v>
      </c>
      <c r="F9791" s="2" t="s">
        <v>46</v>
      </c>
    </row>
    <row r="9792" spans="1:6" ht="25.5">
      <c r="A9792" s="2">
        <v>9789</v>
      </c>
      <c r="B9792" s="2" t="s">
        <v>9867</v>
      </c>
      <c r="C9792" s="2" t="str">
        <f>"10001239"</f>
        <v>10001239</v>
      </c>
      <c r="D9792" s="2">
        <v>0.27800000000000002</v>
      </c>
      <c r="E9792" s="2">
        <v>20</v>
      </c>
      <c r="F9792" s="2" t="s">
        <v>46</v>
      </c>
    </row>
    <row r="9793" spans="1:6" ht="25.5">
      <c r="A9793" s="2">
        <v>9790</v>
      </c>
      <c r="B9793" s="2" t="s">
        <v>9868</v>
      </c>
      <c r="C9793" s="2" t="str">
        <f>"10074708"</f>
        <v>10074708</v>
      </c>
      <c r="D9793" s="2">
        <v>0.34</v>
      </c>
      <c r="E9793" s="2">
        <v>12</v>
      </c>
      <c r="F9793" s="2" t="s">
        <v>46</v>
      </c>
    </row>
    <row r="9794" spans="1:6" ht="25.5">
      <c r="A9794" s="2">
        <v>9791</v>
      </c>
      <c r="B9794" s="2" t="s">
        <v>9869</v>
      </c>
      <c r="C9794" s="2" t="str">
        <f>"1001246X"</f>
        <v>1001246X</v>
      </c>
      <c r="D9794" s="2">
        <v>0.24099999999999999</v>
      </c>
      <c r="E9794" s="2">
        <v>8</v>
      </c>
      <c r="F9794" s="2" t="s">
        <v>46</v>
      </c>
    </row>
    <row r="9795" spans="1:6" ht="25.5">
      <c r="A9795" s="2">
        <v>9792</v>
      </c>
      <c r="B9795" s="2" t="s">
        <v>9870</v>
      </c>
      <c r="C9795" s="2" t="str">
        <f>"05776686"</f>
        <v>05776686</v>
      </c>
      <c r="D9795" s="2">
        <v>0.45600000000000002</v>
      </c>
      <c r="E9795" s="2">
        <v>22</v>
      </c>
      <c r="F9795" s="2" t="s">
        <v>46</v>
      </c>
    </row>
    <row r="9796" spans="1:6" ht="25.5">
      <c r="A9796" s="2">
        <v>9793</v>
      </c>
      <c r="B9796" s="2" t="s">
        <v>9871</v>
      </c>
      <c r="C9796" s="2" t="str">
        <f>"10019669"</f>
        <v>10019669</v>
      </c>
      <c r="D9796" s="2">
        <v>0.24</v>
      </c>
      <c r="E9796" s="2">
        <v>11</v>
      </c>
      <c r="F9796" s="2" t="s">
        <v>46</v>
      </c>
    </row>
    <row r="9797" spans="1:6" ht="25.5">
      <c r="A9797" s="2">
        <v>9794</v>
      </c>
      <c r="B9797" s="2" t="s">
        <v>9872</v>
      </c>
      <c r="C9797" s="2" t="str">
        <f>"09718834"</f>
        <v>09718834</v>
      </c>
      <c r="D9797" s="2">
        <v>0.10100000000000001</v>
      </c>
      <c r="E9797" s="2">
        <v>6</v>
      </c>
      <c r="F9797" s="2" t="s">
        <v>488</v>
      </c>
    </row>
    <row r="9798" spans="1:6" ht="25.5">
      <c r="A9798" s="2">
        <v>9795</v>
      </c>
      <c r="B9798" s="2" t="s">
        <v>9873</v>
      </c>
      <c r="C9798" s="2" t="str">
        <f>"09721177"</f>
        <v>09721177</v>
      </c>
      <c r="D9798" s="2">
        <v>0.107</v>
      </c>
      <c r="E9798" s="2">
        <v>6</v>
      </c>
      <c r="F9798" s="2" t="s">
        <v>488</v>
      </c>
    </row>
    <row r="9799" spans="1:6" ht="25.5">
      <c r="A9799" s="2">
        <v>9796</v>
      </c>
      <c r="B9799" s="2" t="s">
        <v>9874</v>
      </c>
      <c r="C9799" s="2" t="str">
        <f>"14241277"</f>
        <v>14241277</v>
      </c>
      <c r="D9799" s="2">
        <v>0.63300000000000001</v>
      </c>
      <c r="E9799" s="2">
        <v>4</v>
      </c>
      <c r="F9799" s="2" t="s">
        <v>16</v>
      </c>
    </row>
    <row r="9800" spans="1:6" ht="25.5">
      <c r="A9800" s="2">
        <v>9797</v>
      </c>
      <c r="B9800" s="2" t="s">
        <v>9875</v>
      </c>
      <c r="C9800" s="2" t="str">
        <f>"09724958"</f>
        <v>09724958</v>
      </c>
      <c r="D9800" s="2">
        <v>0.10100000000000001</v>
      </c>
      <c r="E9800" s="2">
        <v>2</v>
      </c>
      <c r="F9800" s="2" t="s">
        <v>488</v>
      </c>
    </row>
    <row r="9801" spans="1:6" ht="25.5">
      <c r="A9801" s="2">
        <v>9798</v>
      </c>
      <c r="B9801" s="2" t="s">
        <v>9876</v>
      </c>
      <c r="C9801" s="2" t="str">
        <f>"08936188"</f>
        <v>08936188</v>
      </c>
      <c r="D9801" s="2">
        <v>0.16400000000000001</v>
      </c>
      <c r="E9801" s="2">
        <v>5</v>
      </c>
      <c r="F9801" s="2" t="s">
        <v>6</v>
      </c>
    </row>
    <row r="9802" spans="1:6" ht="25.5">
      <c r="A9802" s="2">
        <v>9799</v>
      </c>
      <c r="B9802" s="2" t="s">
        <v>9877</v>
      </c>
      <c r="C9802" s="2" t="str">
        <f>"15490815"</f>
        <v>15490815</v>
      </c>
      <c r="D9802" s="2">
        <v>0.16800000000000001</v>
      </c>
      <c r="E9802" s="2">
        <v>3</v>
      </c>
      <c r="F9802" s="2" t="s">
        <v>6</v>
      </c>
    </row>
    <row r="9803" spans="1:6" ht="25.5">
      <c r="A9803" s="2">
        <v>9800</v>
      </c>
      <c r="B9803" s="2" t="s">
        <v>9878</v>
      </c>
      <c r="C9803" s="2" t="str">
        <f>"15629449"</f>
        <v>15629449</v>
      </c>
      <c r="D9803" s="2">
        <v>0.16300000000000001</v>
      </c>
      <c r="E9803" s="2">
        <v>3</v>
      </c>
      <c r="F9803" s="2" t="s">
        <v>288</v>
      </c>
    </row>
    <row r="9804" spans="1:6" ht="25.5">
      <c r="A9804" s="2">
        <v>9801</v>
      </c>
      <c r="B9804" s="2" t="s">
        <v>9879</v>
      </c>
      <c r="C9804" s="2" t="str">
        <f>"15526909"</f>
        <v>15526909</v>
      </c>
      <c r="D9804" s="2">
        <v>0.499</v>
      </c>
      <c r="E9804" s="2">
        <v>37</v>
      </c>
      <c r="F9804" s="2" t="s">
        <v>16</v>
      </c>
    </row>
    <row r="9805" spans="1:6" ht="25.5">
      <c r="A9805" s="2">
        <v>9802</v>
      </c>
      <c r="B9805" s="2" t="s">
        <v>9880</v>
      </c>
      <c r="C9805" s="2" t="str">
        <f>"15580202"</f>
        <v>15580202</v>
      </c>
      <c r="D9805" s="2">
        <v>0.10199999999999999</v>
      </c>
      <c r="E9805" s="2">
        <v>1</v>
      </c>
      <c r="F9805" s="2" t="s">
        <v>6</v>
      </c>
    </row>
    <row r="9806" spans="1:6" ht="25.5">
      <c r="A9806" s="2">
        <v>9803</v>
      </c>
      <c r="B9806" s="2" t="s">
        <v>9881</v>
      </c>
      <c r="C9806" s="2" t="str">
        <f>"02705214"</f>
        <v>02705214</v>
      </c>
      <c r="D9806" s="2">
        <v>0.122</v>
      </c>
      <c r="E9806" s="2">
        <v>18</v>
      </c>
      <c r="F9806" s="2" t="s">
        <v>6</v>
      </c>
    </row>
    <row r="9807" spans="1:6" ht="25.5">
      <c r="A9807" s="2">
        <v>9804</v>
      </c>
      <c r="B9807" s="2" t="s">
        <v>9882</v>
      </c>
      <c r="C9807" s="2" t="str">
        <f>"10421882"</f>
        <v>10421882</v>
      </c>
      <c r="D9807" s="2">
        <v>0.1</v>
      </c>
      <c r="E9807" s="2">
        <v>1</v>
      </c>
      <c r="F9807" s="2" t="s">
        <v>6</v>
      </c>
    </row>
    <row r="9808" spans="1:6" ht="25.5">
      <c r="A9808" s="2">
        <v>9805</v>
      </c>
      <c r="B9808" s="2" t="s">
        <v>9883</v>
      </c>
      <c r="C9808" s="2" t="str">
        <f>"1297319X"</f>
        <v>1297319X</v>
      </c>
      <c r="D9808" s="2">
        <v>0.69</v>
      </c>
      <c r="E9808" s="2">
        <v>43</v>
      </c>
      <c r="F9808" s="2" t="s">
        <v>66</v>
      </c>
    </row>
    <row r="9809" spans="1:6" ht="25.5">
      <c r="A9809" s="2">
        <v>9806</v>
      </c>
      <c r="B9809" s="2" t="s">
        <v>9884</v>
      </c>
      <c r="C9809" s="2" t="str">
        <f>"15537250"</f>
        <v>15537250</v>
      </c>
      <c r="D9809" s="2">
        <v>0.95599999999999996</v>
      </c>
      <c r="E9809" s="2">
        <v>48</v>
      </c>
      <c r="F9809" s="2" t="s">
        <v>6</v>
      </c>
    </row>
    <row r="9810" spans="1:6" ht="25.5">
      <c r="A9810" s="2">
        <v>9807</v>
      </c>
      <c r="B9810" s="2" t="s">
        <v>9885</v>
      </c>
      <c r="C9810" s="2" t="str">
        <f>"10444017"</f>
        <v>10444017</v>
      </c>
      <c r="D9810" s="2">
        <v>0.11600000000000001</v>
      </c>
      <c r="E9810" s="2">
        <v>6</v>
      </c>
      <c r="F9810" s="2" t="s">
        <v>6</v>
      </c>
    </row>
    <row r="9811" spans="1:6" ht="25.5">
      <c r="A9811" s="2">
        <v>9808</v>
      </c>
      <c r="B9811" s="2" t="s">
        <v>9886</v>
      </c>
      <c r="C9811" s="2" t="str">
        <f>"15345181"</f>
        <v>15345181</v>
      </c>
      <c r="D9811" s="2">
        <v>0.104</v>
      </c>
      <c r="E9811" s="2">
        <v>3</v>
      </c>
      <c r="F9811" s="2" t="s">
        <v>6</v>
      </c>
    </row>
    <row r="9812" spans="1:6" ht="25.5">
      <c r="A9812" s="2">
        <v>9809</v>
      </c>
      <c r="B9812" s="2" t="s">
        <v>9887</v>
      </c>
      <c r="C9812" s="2" t="str">
        <f>"19381301"</f>
        <v>19381301</v>
      </c>
      <c r="D9812" s="2">
        <v>0</v>
      </c>
      <c r="E9812" s="2">
        <v>0</v>
      </c>
      <c r="F9812" s="2" t="s">
        <v>6</v>
      </c>
    </row>
    <row r="9813" spans="1:6" ht="25.5">
      <c r="A9813" s="2">
        <v>9810</v>
      </c>
      <c r="B9813" s="2" t="s">
        <v>9888</v>
      </c>
      <c r="C9813" s="2" t="str">
        <f>"10474838"</f>
        <v>10474838</v>
      </c>
      <c r="D9813" s="2">
        <v>0.70199999999999996</v>
      </c>
      <c r="E9813" s="2">
        <v>51</v>
      </c>
      <c r="F9813" s="2" t="s">
        <v>6</v>
      </c>
    </row>
    <row r="9814" spans="1:6" ht="25.5">
      <c r="A9814" s="2">
        <v>9811</v>
      </c>
      <c r="B9814" s="2" t="s">
        <v>9889</v>
      </c>
      <c r="C9814" s="2" t="str">
        <f>"1539073X"</f>
        <v>1539073X</v>
      </c>
      <c r="D9814" s="2">
        <v>0.184</v>
      </c>
      <c r="E9814" s="2">
        <v>9</v>
      </c>
      <c r="F9814" s="2" t="s">
        <v>6</v>
      </c>
    </row>
    <row r="9815" spans="1:6" ht="25.5">
      <c r="A9815" s="2">
        <v>9812</v>
      </c>
      <c r="B9815" s="2" t="s">
        <v>9890</v>
      </c>
      <c r="C9815" s="2" t="str">
        <f>"19956665"</f>
        <v>19956665</v>
      </c>
      <c r="D9815" s="2">
        <v>0.111</v>
      </c>
      <c r="E9815" s="2">
        <v>1</v>
      </c>
      <c r="F9815" s="2" t="s">
        <v>557</v>
      </c>
    </row>
    <row r="9816" spans="1:6" ht="25.5">
      <c r="A9816" s="2">
        <v>9813</v>
      </c>
      <c r="B9816" s="2" t="s">
        <v>9891</v>
      </c>
      <c r="C9816" s="2" t="str">
        <f>"19957157"</f>
        <v>19957157</v>
      </c>
      <c r="D9816" s="2">
        <v>0.13900000000000001</v>
      </c>
      <c r="E9816" s="2">
        <v>3</v>
      </c>
      <c r="F9816" s="2" t="s">
        <v>557</v>
      </c>
    </row>
    <row r="9817" spans="1:6" ht="25.5">
      <c r="A9817" s="2">
        <v>9814</v>
      </c>
      <c r="B9817" s="2" t="s">
        <v>9892</v>
      </c>
      <c r="C9817" s="2" t="str">
        <f>"04469283"</f>
        <v>04469283</v>
      </c>
      <c r="D9817" s="2">
        <v>0.1</v>
      </c>
      <c r="E9817" s="2">
        <v>2</v>
      </c>
      <c r="F9817" s="2" t="s">
        <v>557</v>
      </c>
    </row>
    <row r="9818" spans="1:6" ht="25.5">
      <c r="A9818" s="2">
        <v>9815</v>
      </c>
      <c r="B9818" s="2" t="s">
        <v>9893</v>
      </c>
      <c r="C9818" s="2" t="str">
        <f>"21758239"</f>
        <v>21758239</v>
      </c>
      <c r="D9818" s="2">
        <v>0.16300000000000001</v>
      </c>
      <c r="E9818" s="2">
        <v>3</v>
      </c>
      <c r="F9818" s="2" t="s">
        <v>159</v>
      </c>
    </row>
    <row r="9819" spans="1:6" ht="25.5">
      <c r="A9819" s="2">
        <v>9816</v>
      </c>
      <c r="B9819" s="2" t="s">
        <v>9894</v>
      </c>
      <c r="C9819" s="2" t="str">
        <f>"16762444"</f>
        <v>16762444</v>
      </c>
      <c r="D9819" s="2">
        <v>0.13900000000000001</v>
      </c>
      <c r="E9819" s="2">
        <v>6</v>
      </c>
      <c r="F9819" s="2" t="s">
        <v>159</v>
      </c>
    </row>
    <row r="9820" spans="1:6" ht="25.5">
      <c r="A9820" s="2">
        <v>9817</v>
      </c>
      <c r="B9820" s="2" t="s">
        <v>9895</v>
      </c>
      <c r="C9820" s="2" t="str">
        <f>"18063756"</f>
        <v>18063756</v>
      </c>
      <c r="D9820" s="2">
        <v>0.45100000000000001</v>
      </c>
      <c r="E9820" s="2">
        <v>16</v>
      </c>
      <c r="F9820" s="2" t="s">
        <v>159</v>
      </c>
    </row>
    <row r="9821" spans="1:6" ht="25.5">
      <c r="A9821" s="2">
        <v>9818</v>
      </c>
      <c r="B9821" s="2" t="s">
        <v>9896</v>
      </c>
      <c r="C9821" s="2" t="str">
        <f>"00472085"</f>
        <v>00472085</v>
      </c>
      <c r="D9821" s="2">
        <v>0.22</v>
      </c>
      <c r="E9821" s="2">
        <v>11</v>
      </c>
      <c r="F9821" s="2" t="s">
        <v>159</v>
      </c>
    </row>
    <row r="9822" spans="1:6" ht="25.5">
      <c r="A9822" s="2">
        <v>9819</v>
      </c>
      <c r="B9822" s="2" t="s">
        <v>9897</v>
      </c>
      <c r="C9822" s="2" t="str">
        <f>"15175693"</f>
        <v>15175693</v>
      </c>
      <c r="D9822" s="2">
        <v>0.113</v>
      </c>
      <c r="E9822" s="2">
        <v>4</v>
      </c>
      <c r="F9822" s="2" t="s">
        <v>159</v>
      </c>
    </row>
    <row r="9823" spans="1:6" ht="25.5">
      <c r="A9823" s="2">
        <v>9820</v>
      </c>
      <c r="B9823" s="2" t="s">
        <v>9898</v>
      </c>
      <c r="C9823" s="2" t="str">
        <f>"21796491"</f>
        <v>21796491</v>
      </c>
      <c r="D9823" s="2">
        <v>0.254</v>
      </c>
      <c r="E9823" s="2">
        <v>9</v>
      </c>
      <c r="F9823" s="2" t="s">
        <v>159</v>
      </c>
    </row>
    <row r="9824" spans="1:6" ht="25.5">
      <c r="A9824" s="2">
        <v>9821</v>
      </c>
      <c r="B9824" s="2" t="s">
        <v>9899</v>
      </c>
      <c r="C9824" s="2" t="str">
        <f>"00217557"</f>
        <v>00217557</v>
      </c>
      <c r="D9824" s="2">
        <v>0.42399999999999999</v>
      </c>
      <c r="E9824" s="2">
        <v>27</v>
      </c>
      <c r="F9824" s="2" t="s">
        <v>159</v>
      </c>
    </row>
    <row r="9825" spans="1:6" ht="25.5">
      <c r="A9825" s="2">
        <v>9822</v>
      </c>
      <c r="B9825" s="2" t="s">
        <v>9900</v>
      </c>
      <c r="C9825" s="2" t="str">
        <f>"16777301"</f>
        <v>16777301</v>
      </c>
      <c r="D9825" s="2">
        <v>0.152</v>
      </c>
      <c r="E9825" s="2">
        <v>8</v>
      </c>
      <c r="F9825" s="2" t="s">
        <v>159</v>
      </c>
    </row>
    <row r="9826" spans="1:6" ht="25.5">
      <c r="A9826" s="2">
        <v>9823</v>
      </c>
      <c r="B9826" s="2" t="s">
        <v>9901</v>
      </c>
      <c r="C9826" s="2" t="str">
        <f>"19543212"</f>
        <v>19543212</v>
      </c>
      <c r="D9826" s="2">
        <v>0.16300000000000001</v>
      </c>
      <c r="E9826" s="2">
        <v>2</v>
      </c>
      <c r="F9826" s="2" t="s">
        <v>66</v>
      </c>
    </row>
    <row r="9827" spans="1:6" ht="25.5">
      <c r="A9827" s="2">
        <v>9824</v>
      </c>
      <c r="B9827" s="2" t="s">
        <v>9902</v>
      </c>
      <c r="C9827" s="2" t="str">
        <f>"19650825"</f>
        <v>19650825</v>
      </c>
      <c r="D9827" s="2">
        <v>0.11600000000000001</v>
      </c>
      <c r="E9827" s="2">
        <v>1</v>
      </c>
      <c r="F9827" s="2" t="s">
        <v>66</v>
      </c>
    </row>
    <row r="9828" spans="1:6" ht="25.5">
      <c r="A9828" s="2">
        <v>9825</v>
      </c>
      <c r="B9828" s="2" t="s">
        <v>9903</v>
      </c>
      <c r="C9828" s="2" t="str">
        <f>"17831504"</f>
        <v>17831504</v>
      </c>
      <c r="D9828" s="2">
        <v>0.123</v>
      </c>
      <c r="E9828" s="2">
        <v>4</v>
      </c>
      <c r="F9828" s="2" t="s">
        <v>161</v>
      </c>
    </row>
    <row r="9829" spans="1:6" ht="25.5">
      <c r="A9829" s="2">
        <v>9826</v>
      </c>
      <c r="B9829" s="2" t="s">
        <v>9904</v>
      </c>
      <c r="C9829" s="2" t="str">
        <f>"00217670"</f>
        <v>00217670</v>
      </c>
      <c r="D9829" s="2">
        <v>1.7789999999999999</v>
      </c>
      <c r="E9829" s="2">
        <v>29</v>
      </c>
      <c r="F9829" s="2" t="s">
        <v>6</v>
      </c>
    </row>
    <row r="9830" spans="1:6" ht="25.5">
      <c r="A9830" s="2">
        <v>9827</v>
      </c>
      <c r="B9830" s="2" t="s">
        <v>9905</v>
      </c>
      <c r="C9830" s="2" t="str">
        <f>"18787878"</f>
        <v>18787878</v>
      </c>
      <c r="D9830" s="2">
        <v>0.19400000000000001</v>
      </c>
      <c r="E9830" s="2">
        <v>14</v>
      </c>
      <c r="F9830" s="2" t="s">
        <v>66</v>
      </c>
    </row>
    <row r="9831" spans="1:6" ht="25.5">
      <c r="A9831" s="2">
        <v>9828</v>
      </c>
      <c r="B9831" s="2" t="s">
        <v>9906</v>
      </c>
      <c r="C9831" s="2" t="str">
        <f>"02940736"</f>
        <v>02940736</v>
      </c>
      <c r="D9831" s="2">
        <v>0.187</v>
      </c>
      <c r="E9831" s="2">
        <v>11</v>
      </c>
      <c r="F9831" s="2" t="s">
        <v>66</v>
      </c>
    </row>
    <row r="9832" spans="1:6" ht="25.5">
      <c r="A9832" s="2">
        <v>9829</v>
      </c>
      <c r="B9832" s="2" t="s">
        <v>9907</v>
      </c>
      <c r="C9832" s="2" t="str">
        <f>"03682315"</f>
        <v>03682315</v>
      </c>
      <c r="D9832" s="2">
        <v>0.20799999999999999</v>
      </c>
      <c r="E9832" s="2">
        <v>25</v>
      </c>
      <c r="F9832" s="2" t="s">
        <v>66</v>
      </c>
    </row>
    <row r="9833" spans="1:6" ht="25.5">
      <c r="A9833" s="2">
        <v>9830</v>
      </c>
      <c r="B9833" s="2" t="s">
        <v>9908</v>
      </c>
      <c r="C9833" s="2" t="str">
        <f>"02496208"</f>
        <v>02496208</v>
      </c>
      <c r="D9833" s="2">
        <v>0.123</v>
      </c>
      <c r="E9833" s="2">
        <v>6</v>
      </c>
      <c r="F9833" s="2" t="s">
        <v>66</v>
      </c>
    </row>
    <row r="9834" spans="1:6" ht="25.5">
      <c r="A9834" s="2">
        <v>9831</v>
      </c>
      <c r="B9834" s="2" t="s">
        <v>9909</v>
      </c>
      <c r="C9834" s="2" t="str">
        <f>"11565233"</f>
        <v>11565233</v>
      </c>
      <c r="D9834" s="2">
        <v>0.28000000000000003</v>
      </c>
      <c r="E9834" s="2">
        <v>15</v>
      </c>
      <c r="F9834" s="2" t="s">
        <v>66</v>
      </c>
    </row>
    <row r="9835" spans="1:6" ht="25.5">
      <c r="A9835" s="2">
        <v>9832</v>
      </c>
      <c r="B9835" s="2" t="s">
        <v>9910</v>
      </c>
      <c r="C9835" s="2" t="str">
        <f>"09877983"</f>
        <v>09877983</v>
      </c>
      <c r="D9835" s="2">
        <v>0.10299999999999999</v>
      </c>
      <c r="E9835" s="2">
        <v>6</v>
      </c>
      <c r="F9835" s="2" t="s">
        <v>66</v>
      </c>
    </row>
    <row r="9836" spans="1:6" ht="25.5">
      <c r="A9836" s="2">
        <v>9833</v>
      </c>
      <c r="B9836" s="2" t="s">
        <v>9911</v>
      </c>
      <c r="C9836" s="2" t="str">
        <f>"02911981"</f>
        <v>02911981</v>
      </c>
      <c r="D9836" s="2">
        <v>0.11899999999999999</v>
      </c>
      <c r="E9836" s="2">
        <v>11</v>
      </c>
      <c r="F9836" s="2" t="s">
        <v>66</v>
      </c>
    </row>
    <row r="9837" spans="1:6" ht="25.5">
      <c r="A9837" s="2">
        <v>9834</v>
      </c>
      <c r="B9837" s="2" t="s">
        <v>9912</v>
      </c>
      <c r="C9837" s="2" t="str">
        <f>"00472166"</f>
        <v>00472166</v>
      </c>
      <c r="D9837" s="2">
        <v>0.11600000000000001</v>
      </c>
      <c r="E9837" s="2">
        <v>10</v>
      </c>
      <c r="F9837" s="2" t="s">
        <v>161</v>
      </c>
    </row>
    <row r="9838" spans="1:6" ht="25.5">
      <c r="A9838" s="2">
        <v>9835</v>
      </c>
      <c r="B9838" s="2" t="s">
        <v>9913</v>
      </c>
      <c r="C9838" s="2" t="str">
        <f>"02210363"</f>
        <v>02210363</v>
      </c>
      <c r="D9838" s="2">
        <v>0.161</v>
      </c>
      <c r="E9838" s="2">
        <v>22</v>
      </c>
      <c r="F9838" s="2" t="s">
        <v>190</v>
      </c>
    </row>
    <row r="9839" spans="1:6" ht="25.5">
      <c r="A9839" s="2">
        <v>9836</v>
      </c>
      <c r="B9839" s="2" t="s">
        <v>9914</v>
      </c>
      <c r="C9839" s="2" t="str">
        <f>"0242648X"</f>
        <v>0242648X</v>
      </c>
      <c r="D9839" s="2">
        <v>0.185</v>
      </c>
      <c r="E9839" s="2">
        <v>2</v>
      </c>
      <c r="F9839" s="2" t="s">
        <v>66</v>
      </c>
    </row>
    <row r="9840" spans="1:6" ht="25.5">
      <c r="A9840" s="2">
        <v>9837</v>
      </c>
      <c r="B9840" s="2" t="s">
        <v>9915</v>
      </c>
      <c r="C9840" s="2" t="str">
        <f>"22106545"</f>
        <v>22106545</v>
      </c>
      <c r="D9840" s="2">
        <v>0.111</v>
      </c>
      <c r="E9840" s="2">
        <v>4</v>
      </c>
      <c r="F9840" s="2" t="s">
        <v>66</v>
      </c>
    </row>
    <row r="9841" spans="1:6" ht="25.5">
      <c r="A9841" s="2">
        <v>9838</v>
      </c>
      <c r="B9841" s="2" t="s">
        <v>9916</v>
      </c>
      <c r="C9841" s="2" t="str">
        <f>"03980499"</f>
        <v>03980499</v>
      </c>
      <c r="D9841" s="2">
        <v>0.185</v>
      </c>
      <c r="E9841" s="2">
        <v>17</v>
      </c>
      <c r="F9841" s="2" t="s">
        <v>66</v>
      </c>
    </row>
    <row r="9842" spans="1:6" ht="25.5">
      <c r="A9842" s="2">
        <v>9839</v>
      </c>
      <c r="B9842" s="2" t="s">
        <v>9917</v>
      </c>
      <c r="C9842" s="2" t="str">
        <f>"00217824"</f>
        <v>00217824</v>
      </c>
      <c r="D9842" s="2">
        <v>2.0649999999999999</v>
      </c>
      <c r="E9842" s="2">
        <v>36</v>
      </c>
      <c r="F9842" s="2" t="s">
        <v>190</v>
      </c>
    </row>
    <row r="9843" spans="1:6" ht="25.5">
      <c r="A9843" s="2">
        <v>9840</v>
      </c>
      <c r="B9843" s="2" t="s">
        <v>9918</v>
      </c>
      <c r="C9843" s="2" t="str">
        <f>"12975354"</f>
        <v>12975354</v>
      </c>
      <c r="D9843" s="2">
        <v>0.1</v>
      </c>
      <c r="E9843" s="2">
        <v>1</v>
      </c>
      <c r="F9843" s="2" t="s">
        <v>66</v>
      </c>
    </row>
    <row r="9844" spans="1:6" ht="25.5">
      <c r="A9844" s="2">
        <v>9841</v>
      </c>
      <c r="B9844" s="2" t="s">
        <v>9919</v>
      </c>
      <c r="C9844" s="2" t="str">
        <f>"12467405"</f>
        <v>12467405</v>
      </c>
      <c r="D9844" s="2">
        <v>0.39400000000000002</v>
      </c>
      <c r="E9844" s="2">
        <v>2</v>
      </c>
      <c r="F9844" s="2" t="s">
        <v>66</v>
      </c>
    </row>
    <row r="9845" spans="1:6" ht="25.5">
      <c r="A9845" s="2">
        <v>9842</v>
      </c>
      <c r="B9845" s="2" t="s">
        <v>9920</v>
      </c>
      <c r="C9845" s="2" t="str">
        <f>"11551704"</f>
        <v>11551704</v>
      </c>
      <c r="D9845" s="2">
        <v>0.14799999999999999</v>
      </c>
      <c r="E9845" s="2">
        <v>5</v>
      </c>
      <c r="F9845" s="2" t="s">
        <v>66</v>
      </c>
    </row>
    <row r="9846" spans="1:6" ht="25.5">
      <c r="A9846" s="2">
        <v>9843</v>
      </c>
      <c r="B9846" s="2" t="s">
        <v>9921</v>
      </c>
      <c r="C9846" s="2" t="str">
        <f>"0762915X"</f>
        <v>0762915X</v>
      </c>
      <c r="D9846" s="2">
        <v>0.123</v>
      </c>
      <c r="E9846" s="2">
        <v>5</v>
      </c>
      <c r="F9846" s="2" t="s">
        <v>66</v>
      </c>
    </row>
    <row r="9847" spans="1:6" ht="25.5">
      <c r="A9847" s="2">
        <v>9844</v>
      </c>
      <c r="B9847" s="2" t="s">
        <v>9922</v>
      </c>
      <c r="C9847" s="2" t="str">
        <f>"12696935"</f>
        <v>12696935</v>
      </c>
      <c r="D9847" s="2">
        <v>0.124</v>
      </c>
      <c r="E9847" s="2">
        <v>13</v>
      </c>
      <c r="F9847" s="2" t="s">
        <v>66</v>
      </c>
    </row>
    <row r="9848" spans="1:6" ht="25.5">
      <c r="A9848" s="2">
        <v>9845</v>
      </c>
      <c r="B9848" s="2" t="s">
        <v>9923</v>
      </c>
      <c r="C9848" s="2" t="str">
        <f>"22114238"</f>
        <v>22114238</v>
      </c>
      <c r="D9848" s="2">
        <v>0.10299999999999999</v>
      </c>
      <c r="E9848" s="2">
        <v>0</v>
      </c>
      <c r="F9848" s="2" t="s">
        <v>75</v>
      </c>
    </row>
    <row r="9849" spans="1:6" ht="25.5">
      <c r="A9849" s="2">
        <v>9846</v>
      </c>
      <c r="B9849" s="2" t="s">
        <v>9924</v>
      </c>
      <c r="C9849" s="2" t="str">
        <f>"10236368"</f>
        <v>10236368</v>
      </c>
      <c r="D9849" s="2">
        <v>0.126</v>
      </c>
      <c r="E9849" s="2">
        <v>5</v>
      </c>
      <c r="F9849" s="2" t="s">
        <v>66</v>
      </c>
    </row>
    <row r="9850" spans="1:6" ht="25.5">
      <c r="A9850" s="2">
        <v>9847</v>
      </c>
      <c r="B9850" s="2" t="s">
        <v>9925</v>
      </c>
      <c r="C9850" s="2" t="str">
        <f>"14797585"</f>
        <v>14797585</v>
      </c>
      <c r="D9850" s="2">
        <v>0.14099999999999999</v>
      </c>
      <c r="E9850" s="2">
        <v>6</v>
      </c>
      <c r="F9850" s="2" t="s">
        <v>16</v>
      </c>
    </row>
    <row r="9851" spans="1:6" ht="25.5">
      <c r="A9851" s="2">
        <v>9848</v>
      </c>
      <c r="B9851" s="2" t="s">
        <v>9926</v>
      </c>
      <c r="C9851" s="2" t="str">
        <f>"18620019"</f>
        <v>18620019</v>
      </c>
      <c r="D9851" s="2">
        <v>0.254</v>
      </c>
      <c r="E9851" s="2">
        <v>5</v>
      </c>
      <c r="F9851" s="2" t="s">
        <v>12</v>
      </c>
    </row>
    <row r="9852" spans="1:6" ht="25.5">
      <c r="A9852" s="2">
        <v>9849</v>
      </c>
      <c r="B9852" s="2" t="s">
        <v>9927</v>
      </c>
      <c r="C9852" s="2" t="str">
        <f>"15728587"</f>
        <v>15728587</v>
      </c>
      <c r="D9852" s="2">
        <v>0.14099999999999999</v>
      </c>
      <c r="E9852" s="2">
        <v>6</v>
      </c>
      <c r="F9852" s="2" t="s">
        <v>75</v>
      </c>
    </row>
    <row r="9853" spans="1:6" ht="25.5">
      <c r="A9853" s="2">
        <v>9850</v>
      </c>
      <c r="B9853" s="2" t="s">
        <v>9928</v>
      </c>
      <c r="C9853" s="2" t="str">
        <f>"14338157"</f>
        <v>14338157</v>
      </c>
      <c r="D9853" s="2">
        <v>0.124</v>
      </c>
      <c r="E9853" s="2">
        <v>3</v>
      </c>
      <c r="F9853" s="2" t="s">
        <v>12</v>
      </c>
    </row>
    <row r="9854" spans="1:6" ht="25.5">
      <c r="A9854" s="2">
        <v>9851</v>
      </c>
      <c r="B9854" s="2" t="s">
        <v>9929</v>
      </c>
      <c r="C9854" s="2" t="str">
        <f>"17469678"</f>
        <v>17469678</v>
      </c>
      <c r="D9854" s="2">
        <v>0.13</v>
      </c>
      <c r="E9854" s="2">
        <v>1</v>
      </c>
      <c r="F9854" s="2" t="s">
        <v>16</v>
      </c>
    </row>
    <row r="9855" spans="1:6" ht="25.5">
      <c r="A9855" s="2">
        <v>9852</v>
      </c>
      <c r="B9855" s="2" t="s">
        <v>9930</v>
      </c>
      <c r="C9855" s="2" t="str">
        <f>"10622551"</f>
        <v>10622551</v>
      </c>
      <c r="D9855" s="2">
        <v>0.38400000000000001</v>
      </c>
      <c r="E9855" s="2">
        <v>13</v>
      </c>
      <c r="F9855" s="2" t="s">
        <v>6</v>
      </c>
    </row>
    <row r="9856" spans="1:6" ht="25.5">
      <c r="A9856" s="2">
        <v>9853</v>
      </c>
      <c r="B9856" s="2" t="s">
        <v>9931</v>
      </c>
      <c r="C9856" s="2" t="str">
        <f>"16171381"</f>
        <v>16171381</v>
      </c>
      <c r="D9856" s="2">
        <v>0.65500000000000003</v>
      </c>
      <c r="E9856" s="2">
        <v>21</v>
      </c>
      <c r="F9856" s="2" t="s">
        <v>12</v>
      </c>
    </row>
    <row r="9857" spans="1:6" ht="25.5">
      <c r="A9857" s="2">
        <v>9854</v>
      </c>
      <c r="B9857" s="2" t="s">
        <v>9932</v>
      </c>
      <c r="C9857" s="2" t="str">
        <f>"15554155"</f>
        <v>15554155</v>
      </c>
      <c r="D9857" s="2">
        <v>0.13300000000000001</v>
      </c>
      <c r="E9857" s="2">
        <v>6</v>
      </c>
      <c r="F9857" s="2" t="s">
        <v>6</v>
      </c>
    </row>
    <row r="9858" spans="1:6" ht="25.5">
      <c r="A9858" s="2">
        <v>9855</v>
      </c>
      <c r="B9858" s="2" t="s">
        <v>9933</v>
      </c>
      <c r="C9858" s="2" t="str">
        <f>"15389049"</f>
        <v>15389049</v>
      </c>
      <c r="D9858" s="2">
        <v>0.32900000000000001</v>
      </c>
      <c r="E9858" s="2">
        <v>22</v>
      </c>
      <c r="F9858" s="2" t="s">
        <v>6</v>
      </c>
    </row>
    <row r="9859" spans="1:6" ht="25.5">
      <c r="A9859" s="2">
        <v>9856</v>
      </c>
      <c r="B9859" s="2" t="s">
        <v>9934</v>
      </c>
      <c r="C9859" s="2" t="str">
        <f>"00218251"</f>
        <v>00218251</v>
      </c>
      <c r="D9859" s="2">
        <v>1.67</v>
      </c>
      <c r="E9859" s="2">
        <v>39</v>
      </c>
      <c r="F9859" s="2" t="s">
        <v>6</v>
      </c>
    </row>
    <row r="9860" spans="1:6" ht="25.5">
      <c r="A9860" s="2">
        <v>9857</v>
      </c>
      <c r="B9860" s="2" t="s">
        <v>9935</v>
      </c>
      <c r="C9860" s="2" t="str">
        <f>"01933922"</f>
        <v>01933922</v>
      </c>
      <c r="D9860" s="2">
        <v>0.31900000000000001</v>
      </c>
      <c r="E9860" s="2">
        <v>3</v>
      </c>
      <c r="F9860" s="2" t="s">
        <v>16</v>
      </c>
    </row>
    <row r="9861" spans="1:6" ht="25.5">
      <c r="A9861" s="2">
        <v>9858</v>
      </c>
      <c r="B9861" s="2" t="s">
        <v>9936</v>
      </c>
      <c r="C9861" s="2" t="str">
        <f>"15390136"</f>
        <v>15390136</v>
      </c>
      <c r="D9861" s="2">
        <v>0.44500000000000001</v>
      </c>
      <c r="E9861" s="2">
        <v>22</v>
      </c>
      <c r="F9861" s="2" t="s">
        <v>16</v>
      </c>
    </row>
    <row r="9862" spans="1:6" ht="25.5">
      <c r="A9862" s="2">
        <v>9859</v>
      </c>
      <c r="B9862" s="2" t="s">
        <v>9937</v>
      </c>
      <c r="C9862" s="2" t="str">
        <f>"03796205"</f>
        <v>03796205</v>
      </c>
      <c r="D9862" s="2">
        <v>0.104</v>
      </c>
      <c r="E9862" s="2">
        <v>2</v>
      </c>
      <c r="F9862" s="2" t="s">
        <v>410</v>
      </c>
    </row>
    <row r="9863" spans="1:6" ht="25.5">
      <c r="A9863" s="2">
        <v>9860</v>
      </c>
      <c r="B9863" s="2" t="s">
        <v>9938</v>
      </c>
      <c r="C9863" s="2" t="str">
        <f>"01623532"</f>
        <v>01623532</v>
      </c>
      <c r="D9863" s="2">
        <v>0.23899999999999999</v>
      </c>
      <c r="E9863" s="2">
        <v>15</v>
      </c>
      <c r="F9863" s="2" t="s">
        <v>6</v>
      </c>
    </row>
    <row r="9864" spans="1:6" ht="25.5">
      <c r="A9864" s="2">
        <v>9861</v>
      </c>
      <c r="B9864" s="2" t="s">
        <v>9939</v>
      </c>
      <c r="C9864" s="2" t="str">
        <f>"00218286"</f>
        <v>00218286</v>
      </c>
      <c r="D9864" s="2">
        <v>0.156</v>
      </c>
      <c r="E9864" s="2">
        <v>5</v>
      </c>
      <c r="F9864" s="2" t="s">
        <v>16</v>
      </c>
    </row>
    <row r="9865" spans="1:6" ht="25.5">
      <c r="A9865" s="2">
        <v>9862</v>
      </c>
      <c r="B9865" s="2" t="s">
        <v>9940</v>
      </c>
      <c r="C9865" s="2" t="str">
        <f>"16129776"</f>
        <v>16129776</v>
      </c>
      <c r="D9865" s="2">
        <v>0.10299999999999999</v>
      </c>
      <c r="E9865" s="2">
        <v>0</v>
      </c>
      <c r="F9865" s="2" t="s">
        <v>12</v>
      </c>
    </row>
    <row r="9866" spans="1:6">
      <c r="A9866" s="2">
        <v>9863</v>
      </c>
      <c r="B9866" s="2" t="s">
        <v>9941</v>
      </c>
      <c r="C9866" s="2" t="str">
        <f>"0"</f>
        <v>0</v>
      </c>
      <c r="D9866" s="2">
        <v>0.1</v>
      </c>
      <c r="E9866" s="2">
        <v>1</v>
      </c>
      <c r="F9866" s="2" t="s">
        <v>6</v>
      </c>
    </row>
    <row r="9867" spans="1:6" ht="25.5">
      <c r="A9867" s="2">
        <v>9864</v>
      </c>
      <c r="B9867" s="2" t="s">
        <v>9942</v>
      </c>
      <c r="C9867" s="2" t="str">
        <f>"00218294"</f>
        <v>00218294</v>
      </c>
      <c r="D9867" s="2">
        <v>1.016</v>
      </c>
      <c r="E9867" s="2">
        <v>33</v>
      </c>
      <c r="F9867" s="2" t="s">
        <v>6</v>
      </c>
    </row>
    <row r="9868" spans="1:6" ht="25.5">
      <c r="A9868" s="2">
        <v>9865</v>
      </c>
      <c r="B9868" s="2" t="s">
        <v>9943</v>
      </c>
      <c r="C9868" s="2" t="str">
        <f>"00472212"</f>
        <v>00472212</v>
      </c>
      <c r="D9868" s="2">
        <v>0.248</v>
      </c>
      <c r="E9868" s="2">
        <v>6</v>
      </c>
      <c r="F9868" s="2" t="s">
        <v>75</v>
      </c>
    </row>
    <row r="9869" spans="1:6" ht="25.5">
      <c r="A9869" s="2">
        <v>9866</v>
      </c>
      <c r="B9869" s="2" t="s">
        <v>9944</v>
      </c>
      <c r="C9869" s="2" t="str">
        <f>"19301189"</f>
        <v>19301189</v>
      </c>
      <c r="D9869" s="2">
        <v>0.17299999999999999</v>
      </c>
      <c r="E9869" s="2">
        <v>1</v>
      </c>
      <c r="F9869" s="2" t="s">
        <v>6</v>
      </c>
    </row>
    <row r="9870" spans="1:6" ht="25.5">
      <c r="A9870" s="2">
        <v>9867</v>
      </c>
      <c r="B9870" s="2" t="s">
        <v>9945</v>
      </c>
      <c r="C9870" s="2" t="str">
        <f>"15830039"</f>
        <v>15830039</v>
      </c>
      <c r="D9870" s="2">
        <v>0.36299999999999999</v>
      </c>
      <c r="E9870" s="2">
        <v>6</v>
      </c>
      <c r="F9870" s="2" t="s">
        <v>19</v>
      </c>
    </row>
    <row r="9871" spans="1:6" ht="25.5">
      <c r="A9871" s="2">
        <v>9868</v>
      </c>
      <c r="B9871" s="2" t="s">
        <v>9946</v>
      </c>
      <c r="C9871" s="2" t="str">
        <f>"17455197"</f>
        <v>17455197</v>
      </c>
      <c r="D9871" s="2">
        <v>0.111</v>
      </c>
      <c r="E9871" s="2">
        <v>4</v>
      </c>
      <c r="F9871" s="2" t="s">
        <v>75</v>
      </c>
    </row>
    <row r="9872" spans="1:6" ht="25.5">
      <c r="A9872" s="2">
        <v>9869</v>
      </c>
      <c r="B9872" s="2" t="s">
        <v>9947</v>
      </c>
      <c r="C9872" s="2" t="str">
        <f>"17455294"</f>
        <v>17455294</v>
      </c>
      <c r="D9872" s="2">
        <v>0.16300000000000001</v>
      </c>
      <c r="E9872" s="2">
        <v>5</v>
      </c>
      <c r="F9872" s="2" t="s">
        <v>16</v>
      </c>
    </row>
    <row r="9873" spans="1:6" ht="25.5">
      <c r="A9873" s="2">
        <v>9870</v>
      </c>
      <c r="B9873" s="2" t="s">
        <v>9948</v>
      </c>
      <c r="C9873" s="2" t="str">
        <f>"14766728"</f>
        <v>14766728</v>
      </c>
      <c r="D9873" s="2">
        <v>0.29199999999999998</v>
      </c>
      <c r="E9873" s="2">
        <v>7</v>
      </c>
      <c r="F9873" s="2" t="s">
        <v>16</v>
      </c>
    </row>
    <row r="9874" spans="1:6" ht="25.5">
      <c r="A9874" s="2">
        <v>9871</v>
      </c>
      <c r="B9874" s="2" t="s">
        <v>9949</v>
      </c>
      <c r="C9874" s="2" t="str">
        <f>"17455286"</f>
        <v>17455286</v>
      </c>
      <c r="D9874" s="2">
        <v>0.126</v>
      </c>
      <c r="E9874" s="2">
        <v>5</v>
      </c>
      <c r="F9874" s="2" t="s">
        <v>16</v>
      </c>
    </row>
    <row r="9875" spans="1:6" ht="25.5">
      <c r="A9875" s="2">
        <v>9872</v>
      </c>
      <c r="B9875" s="2" t="s">
        <v>9950</v>
      </c>
      <c r="C9875" s="2" t="str">
        <f>"14685914"</f>
        <v>14685914</v>
      </c>
      <c r="D9875" s="2">
        <v>0.50900000000000001</v>
      </c>
      <c r="E9875" s="2">
        <v>23</v>
      </c>
      <c r="F9875" s="2" t="s">
        <v>16</v>
      </c>
    </row>
    <row r="9876" spans="1:6" ht="25.5">
      <c r="A9876" s="2">
        <v>9873</v>
      </c>
      <c r="B9876" s="2" t="s">
        <v>9951</v>
      </c>
      <c r="C9876" s="2" t="str">
        <f>"15443175"</f>
        <v>15443175</v>
      </c>
      <c r="D9876" s="2">
        <v>0.14499999999999999</v>
      </c>
      <c r="E9876" s="2">
        <v>9</v>
      </c>
      <c r="F9876" s="2" t="s">
        <v>6</v>
      </c>
    </row>
    <row r="9877" spans="1:6" ht="25.5">
      <c r="A9877" s="2">
        <v>9874</v>
      </c>
      <c r="B9877" s="2" t="s">
        <v>9952</v>
      </c>
      <c r="C9877" s="2" t="str">
        <f>"02677806"</f>
        <v>02677806</v>
      </c>
      <c r="D9877" s="2">
        <v>0.1</v>
      </c>
      <c r="E9877" s="2">
        <v>1</v>
      </c>
      <c r="F9877" s="2" t="s">
        <v>16</v>
      </c>
    </row>
    <row r="9878" spans="1:6" ht="25.5">
      <c r="A9878" s="2">
        <v>9875</v>
      </c>
      <c r="B9878" s="2" t="s">
        <v>9953</v>
      </c>
      <c r="C9878" s="2" t="str">
        <f>"17730597"</f>
        <v>17730597</v>
      </c>
      <c r="D9878" s="2">
        <v>0.22900000000000001</v>
      </c>
      <c r="E9878" s="2">
        <v>21</v>
      </c>
      <c r="F9878" s="2" t="s">
        <v>66</v>
      </c>
    </row>
    <row r="9879" spans="1:6" ht="25.5">
      <c r="A9879" s="2">
        <v>9876</v>
      </c>
      <c r="B9879" s="2" t="s">
        <v>9954</v>
      </c>
      <c r="C9879" s="2" t="str">
        <f>"17286271"</f>
        <v>17286271</v>
      </c>
      <c r="D9879" s="2">
        <v>0.11</v>
      </c>
      <c r="E9879" s="2">
        <v>3</v>
      </c>
      <c r="F9879" s="2" t="s">
        <v>288</v>
      </c>
    </row>
    <row r="9880" spans="1:6" ht="25.5">
      <c r="A9880" s="2">
        <v>9877</v>
      </c>
      <c r="B9880" s="2" t="s">
        <v>9955</v>
      </c>
      <c r="C9880" s="2" t="str">
        <f>"09414223"</f>
        <v>09414223</v>
      </c>
      <c r="D9880" s="2">
        <v>0.1</v>
      </c>
      <c r="E9880" s="2">
        <v>4</v>
      </c>
      <c r="F9880" s="2" t="s">
        <v>12</v>
      </c>
    </row>
    <row r="9881" spans="1:6" ht="25.5">
      <c r="A9881" s="2">
        <v>9878</v>
      </c>
      <c r="B9881" s="2" t="s">
        <v>9956</v>
      </c>
      <c r="C9881" s="2" t="str">
        <f>"18674313"</f>
        <v>18674313</v>
      </c>
      <c r="D9881" s="2">
        <v>0.128</v>
      </c>
      <c r="E9881" s="2">
        <v>3</v>
      </c>
      <c r="F9881" s="2" t="s">
        <v>12</v>
      </c>
    </row>
    <row r="9882" spans="1:6" ht="25.5">
      <c r="A9882" s="2">
        <v>9879</v>
      </c>
      <c r="B9882" s="2" t="s">
        <v>9957</v>
      </c>
      <c r="C9882" s="2" t="str">
        <f>"03449327"</f>
        <v>03449327</v>
      </c>
      <c r="D9882" s="2">
        <v>0.108</v>
      </c>
      <c r="E9882" s="2">
        <v>6</v>
      </c>
      <c r="F9882" s="2" t="s">
        <v>12</v>
      </c>
    </row>
    <row r="9883" spans="1:6" ht="25.5">
      <c r="A9883" s="2">
        <v>9880</v>
      </c>
      <c r="B9883" s="2" t="s">
        <v>9958</v>
      </c>
      <c r="C9883" s="2" t="str">
        <f>"00754102"</f>
        <v>00754102</v>
      </c>
      <c r="D9883" s="2">
        <v>2.0670000000000002</v>
      </c>
      <c r="E9883" s="2">
        <v>37</v>
      </c>
      <c r="F9883" s="2" t="s">
        <v>12</v>
      </c>
    </row>
    <row r="9884" spans="1:6" ht="25.5">
      <c r="A9884" s="2">
        <v>9881</v>
      </c>
      <c r="B9884" s="2" t="s">
        <v>9959</v>
      </c>
      <c r="C9884" s="2" t="str">
        <f>"02582384"</f>
        <v>02582384</v>
      </c>
      <c r="D9884" s="2">
        <v>0.13300000000000001</v>
      </c>
      <c r="E9884" s="2">
        <v>4</v>
      </c>
      <c r="F9884" s="2" t="s">
        <v>288</v>
      </c>
    </row>
    <row r="9885" spans="1:6" ht="25.5">
      <c r="A9885" s="2">
        <v>9882</v>
      </c>
      <c r="B9885" s="2" t="s">
        <v>9960</v>
      </c>
      <c r="C9885" s="2" t="str">
        <f>"15632873"</f>
        <v>15632873</v>
      </c>
      <c r="D9885" s="2">
        <v>0.1</v>
      </c>
      <c r="E9885" s="2">
        <v>3</v>
      </c>
      <c r="F9885" s="2" t="s">
        <v>288</v>
      </c>
    </row>
    <row r="9886" spans="1:6" ht="25.5">
      <c r="A9886" s="2">
        <v>9883</v>
      </c>
      <c r="B9886" s="2" t="s">
        <v>9961</v>
      </c>
      <c r="C9886" s="2" t="str">
        <f>"19976690"</f>
        <v>19976690</v>
      </c>
      <c r="D9886" s="2">
        <v>0.109</v>
      </c>
      <c r="E9886" s="2">
        <v>3</v>
      </c>
      <c r="F9886" s="2" t="s">
        <v>288</v>
      </c>
    </row>
    <row r="9887" spans="1:6" ht="25.5">
      <c r="A9887" s="2">
        <v>9884</v>
      </c>
      <c r="B9887" s="2" t="s">
        <v>9962</v>
      </c>
      <c r="C9887" s="2" t="str">
        <f>"10282327"</f>
        <v>10282327</v>
      </c>
      <c r="D9887" s="2">
        <v>0.115</v>
      </c>
      <c r="E9887" s="2">
        <v>5</v>
      </c>
      <c r="F9887" s="2" t="s">
        <v>288</v>
      </c>
    </row>
    <row r="9888" spans="1:6" ht="25.5">
      <c r="A9888" s="2">
        <v>9885</v>
      </c>
      <c r="B9888" s="2" t="s">
        <v>9963</v>
      </c>
      <c r="C9888" s="2" t="str">
        <f>"10240098"</f>
        <v>10240098</v>
      </c>
      <c r="D9888" s="2">
        <v>0.106</v>
      </c>
      <c r="E9888" s="2">
        <v>7</v>
      </c>
      <c r="F9888" s="2" t="s">
        <v>288</v>
      </c>
    </row>
    <row r="9889" spans="1:6" ht="25.5">
      <c r="A9889" s="2">
        <v>9886</v>
      </c>
      <c r="B9889" s="2" t="s">
        <v>9964</v>
      </c>
      <c r="C9889" s="2" t="str">
        <f>"01735322"</f>
        <v>01735322</v>
      </c>
      <c r="D9889" s="2">
        <v>0.14399999999999999</v>
      </c>
      <c r="E9889" s="2">
        <v>2</v>
      </c>
      <c r="F9889" s="2" t="s">
        <v>12</v>
      </c>
    </row>
    <row r="9890" spans="1:6" ht="25.5">
      <c r="A9890" s="2">
        <v>9887</v>
      </c>
      <c r="B9890" s="2" t="s">
        <v>9965</v>
      </c>
      <c r="C9890" s="2" t="str">
        <f>"10237763"</f>
        <v>10237763</v>
      </c>
      <c r="D9890" s="2">
        <v>0.14899999999999999</v>
      </c>
      <c r="E9890" s="2">
        <v>5</v>
      </c>
      <c r="F9890" s="2" t="s">
        <v>288</v>
      </c>
    </row>
    <row r="9891" spans="1:6" ht="25.5">
      <c r="A9891" s="2">
        <v>9888</v>
      </c>
      <c r="B9891" s="2" t="s">
        <v>9966</v>
      </c>
      <c r="C9891" s="2" t="str">
        <f>"16081587"</f>
        <v>16081587</v>
      </c>
      <c r="D9891" s="2">
        <v>0.11600000000000001</v>
      </c>
      <c r="E9891" s="2">
        <v>4</v>
      </c>
      <c r="F9891" s="2" t="s">
        <v>288</v>
      </c>
    </row>
    <row r="9892" spans="1:6" ht="25.5">
      <c r="A9892" s="2">
        <v>9889</v>
      </c>
      <c r="B9892" s="2" t="s">
        <v>9967</v>
      </c>
      <c r="C9892" s="2" t="str">
        <f>"00218375"</f>
        <v>00218375</v>
      </c>
      <c r="D9892" s="2">
        <v>0.64400000000000002</v>
      </c>
      <c r="E9892" s="2">
        <v>27</v>
      </c>
      <c r="F9892" s="2" t="s">
        <v>12</v>
      </c>
    </row>
    <row r="9893" spans="1:6" ht="25.5">
      <c r="A9893" s="2">
        <v>9890</v>
      </c>
      <c r="B9893" s="2" t="s">
        <v>9968</v>
      </c>
      <c r="C9893" s="2" t="str">
        <f>"14324334"</f>
        <v>14324334</v>
      </c>
      <c r="D9893" s="2">
        <v>0.1</v>
      </c>
      <c r="E9893" s="2">
        <v>1</v>
      </c>
      <c r="F9893" s="2" t="s">
        <v>12</v>
      </c>
    </row>
    <row r="9894" spans="1:6" ht="25.5">
      <c r="A9894" s="2">
        <v>9891</v>
      </c>
      <c r="B9894" s="2" t="s">
        <v>9969</v>
      </c>
      <c r="C9894" s="2" t="str">
        <f>"18109292"</f>
        <v>18109292</v>
      </c>
      <c r="D9894" s="2">
        <v>0.121</v>
      </c>
      <c r="E9894" s="2">
        <v>9</v>
      </c>
      <c r="F9894" s="2" t="s">
        <v>288</v>
      </c>
    </row>
    <row r="9895" spans="1:6" ht="25.5">
      <c r="A9895" s="2">
        <v>9892</v>
      </c>
      <c r="B9895" s="2" t="s">
        <v>9970</v>
      </c>
      <c r="C9895" s="2" t="str">
        <f>"16809424"</f>
        <v>16809424</v>
      </c>
      <c r="D9895" s="2">
        <v>0.107</v>
      </c>
      <c r="E9895" s="2">
        <v>4</v>
      </c>
      <c r="F9895" s="2" t="s">
        <v>288</v>
      </c>
    </row>
    <row r="9896" spans="1:6" ht="25.5">
      <c r="A9896" s="2">
        <v>9893</v>
      </c>
      <c r="B9896" s="2" t="s">
        <v>9971</v>
      </c>
      <c r="C9896" s="2" t="str">
        <f>"16615751"</f>
        <v>16615751</v>
      </c>
      <c r="D9896" s="2">
        <v>0.27100000000000002</v>
      </c>
      <c r="E9896" s="2">
        <v>12</v>
      </c>
      <c r="F9896" s="2" t="s">
        <v>31</v>
      </c>
    </row>
    <row r="9897" spans="1:6" ht="25.5">
      <c r="A9897" s="2">
        <v>9894</v>
      </c>
      <c r="B9897" s="2" t="s">
        <v>9972</v>
      </c>
      <c r="C9897" s="2" t="str">
        <f>"17729904"</f>
        <v>17729904</v>
      </c>
      <c r="D9897" s="2">
        <v>0.58599999999999997</v>
      </c>
      <c r="E9897" s="2">
        <v>14</v>
      </c>
      <c r="F9897" s="2" t="s">
        <v>66</v>
      </c>
    </row>
    <row r="9898" spans="1:6" ht="25.5">
      <c r="A9898" s="2">
        <v>9895</v>
      </c>
      <c r="B9898" s="2" t="s">
        <v>9973</v>
      </c>
      <c r="C9898" s="2" t="str">
        <f>"09723560"</f>
        <v>09723560</v>
      </c>
      <c r="D9898" s="2">
        <v>0.129</v>
      </c>
      <c r="E9898" s="2">
        <v>6</v>
      </c>
      <c r="F9898" s="2" t="s">
        <v>488</v>
      </c>
    </row>
    <row r="9899" spans="1:6" ht="25.5">
      <c r="A9899" s="2">
        <v>9896</v>
      </c>
      <c r="B9899" s="2" t="s">
        <v>9974</v>
      </c>
      <c r="C9899" s="2" t="str">
        <f>"11450762"</f>
        <v>11450762</v>
      </c>
      <c r="D9899" s="2">
        <v>0.10100000000000001</v>
      </c>
      <c r="E9899" s="2">
        <v>4</v>
      </c>
      <c r="F9899" s="2" t="s">
        <v>66</v>
      </c>
    </row>
    <row r="9900" spans="1:6" ht="25.5">
      <c r="A9900" s="2">
        <v>9897</v>
      </c>
      <c r="B9900" s="2" t="s">
        <v>9975</v>
      </c>
      <c r="C9900" s="2" t="str">
        <f>"11510285"</f>
        <v>11510285</v>
      </c>
      <c r="D9900" s="2">
        <v>0.43099999999999999</v>
      </c>
      <c r="E9900" s="2">
        <v>20</v>
      </c>
      <c r="F9900" s="2" t="s">
        <v>66</v>
      </c>
    </row>
    <row r="9901" spans="1:6" ht="25.5">
      <c r="A9901" s="2">
        <v>9898</v>
      </c>
      <c r="B9901" s="2" t="s">
        <v>9976</v>
      </c>
      <c r="C9901" s="2" t="str">
        <f>"0971071X"</f>
        <v>0971071X</v>
      </c>
      <c r="D9901" s="2">
        <v>0.10299999999999999</v>
      </c>
      <c r="E9901" s="2">
        <v>2</v>
      </c>
      <c r="F9901" s="2" t="s">
        <v>488</v>
      </c>
    </row>
    <row r="9902" spans="1:6" ht="25.5">
      <c r="A9902" s="2">
        <v>9899</v>
      </c>
      <c r="B9902" s="2" t="s">
        <v>9977</v>
      </c>
      <c r="C9902" s="2" t="str">
        <f>"17413001"</f>
        <v>17413001</v>
      </c>
      <c r="D9902" s="2">
        <v>0.70899999999999996</v>
      </c>
      <c r="E9902" s="2">
        <v>18</v>
      </c>
      <c r="F9902" s="2" t="s">
        <v>16</v>
      </c>
    </row>
    <row r="9903" spans="1:6" ht="25.5">
      <c r="A9903" s="2">
        <v>9900</v>
      </c>
      <c r="B9903" s="2" t="s">
        <v>9978</v>
      </c>
      <c r="C9903" s="2" t="str">
        <f>"10776990"</f>
        <v>10776990</v>
      </c>
      <c r="D9903" s="2">
        <v>0.76600000000000001</v>
      </c>
      <c r="E9903" s="2">
        <v>38</v>
      </c>
      <c r="F9903" s="2" t="s">
        <v>6</v>
      </c>
    </row>
    <row r="9904" spans="1:6" ht="25.5">
      <c r="A9904" s="2">
        <v>9901</v>
      </c>
      <c r="B9904" s="2" t="s">
        <v>9979</v>
      </c>
      <c r="C9904" s="2" t="str">
        <f>"14699699"</f>
        <v>14699699</v>
      </c>
      <c r="D9904" s="2">
        <v>1.1639999999999999</v>
      </c>
      <c r="E9904" s="2">
        <v>5</v>
      </c>
      <c r="F9904" s="2" t="s">
        <v>16</v>
      </c>
    </row>
    <row r="9905" spans="1:6" ht="25.5">
      <c r="A9905" s="2">
        <v>9902</v>
      </c>
      <c r="B9905" s="2" t="s">
        <v>9980</v>
      </c>
      <c r="C9905" s="2" t="str">
        <f>"00239852"</f>
        <v>00239852</v>
      </c>
      <c r="D9905" s="2">
        <v>0.154</v>
      </c>
      <c r="E9905" s="2">
        <v>11</v>
      </c>
      <c r="F9905" s="2" t="s">
        <v>9981</v>
      </c>
    </row>
    <row r="9906" spans="1:6" ht="25.5">
      <c r="A9906" s="2">
        <v>9903</v>
      </c>
      <c r="B9906" s="2" t="s">
        <v>9982</v>
      </c>
      <c r="C9906" s="2" t="str">
        <f>"10918531"</f>
        <v>10918531</v>
      </c>
      <c r="D9906" s="2">
        <v>0.59299999999999997</v>
      </c>
      <c r="E9906" s="2">
        <v>38</v>
      </c>
      <c r="F9906" s="2" t="s">
        <v>6</v>
      </c>
    </row>
    <row r="9907" spans="1:6" ht="25.5">
      <c r="A9907" s="2">
        <v>9904</v>
      </c>
      <c r="B9907" s="2" t="s">
        <v>9983</v>
      </c>
      <c r="C9907" s="2" t="str">
        <f>"15732835"</f>
        <v>15732835</v>
      </c>
      <c r="D9907" s="2">
        <v>1.732</v>
      </c>
      <c r="E9907" s="2">
        <v>83</v>
      </c>
      <c r="F9907" s="2" t="s">
        <v>6</v>
      </c>
    </row>
    <row r="9908" spans="1:6" ht="25.5">
      <c r="A9908" s="2">
        <v>9905</v>
      </c>
      <c r="B9908" s="2" t="s">
        <v>9984</v>
      </c>
      <c r="C9908" s="2" t="str">
        <f>"0021843X"</f>
        <v>0021843X</v>
      </c>
      <c r="D9908" s="2">
        <v>3.044</v>
      </c>
      <c r="E9908" s="2">
        <v>123</v>
      </c>
      <c r="F9908" s="2" t="s">
        <v>6</v>
      </c>
    </row>
    <row r="9909" spans="1:6" ht="25.5">
      <c r="A9909" s="2">
        <v>9906</v>
      </c>
      <c r="B9909" s="2" t="s">
        <v>9985</v>
      </c>
      <c r="C9909" s="2" t="str">
        <f>"15701727"</f>
        <v>15701727</v>
      </c>
      <c r="D9909" s="2">
        <v>0.255</v>
      </c>
      <c r="E9909" s="2">
        <v>6</v>
      </c>
      <c r="F9909" s="2" t="s">
        <v>75</v>
      </c>
    </row>
    <row r="9910" spans="1:6" ht="25.5">
      <c r="A9910" s="2">
        <v>9907</v>
      </c>
      <c r="B9910" s="2" t="s">
        <v>9986</v>
      </c>
      <c r="C9910" s="2" t="str">
        <f>"00991333"</f>
        <v>00991333</v>
      </c>
      <c r="D9910" s="2">
        <v>1.577</v>
      </c>
      <c r="E9910" s="2">
        <v>31</v>
      </c>
      <c r="F9910" s="2" t="s">
        <v>75</v>
      </c>
    </row>
    <row r="9911" spans="1:6" ht="25.5">
      <c r="A9911" s="2">
        <v>9908</v>
      </c>
      <c r="B9911" s="2" t="s">
        <v>9987</v>
      </c>
      <c r="C9911" s="2" t="str">
        <f>"15367975"</f>
        <v>15367975</v>
      </c>
      <c r="D9911" s="2">
        <v>0.252</v>
      </c>
      <c r="E9911" s="2">
        <v>3</v>
      </c>
      <c r="F9911" s="2" t="s">
        <v>16</v>
      </c>
    </row>
    <row r="9912" spans="1:6" ht="25.5">
      <c r="A9912" s="2">
        <v>9909</v>
      </c>
      <c r="B9912" s="2" t="s">
        <v>9988</v>
      </c>
      <c r="C9912" s="2" t="str">
        <f>"01654101"</f>
        <v>01654101</v>
      </c>
      <c r="D9912" s="2">
        <v>5.2279999999999998</v>
      </c>
      <c r="E9912" s="2">
        <v>78</v>
      </c>
      <c r="F9912" s="2" t="s">
        <v>75</v>
      </c>
    </row>
    <row r="9913" spans="1:6" ht="25.5">
      <c r="A9913" s="2">
        <v>9910</v>
      </c>
      <c r="B9913" s="2" t="s">
        <v>9989</v>
      </c>
      <c r="C9913" s="2" t="str">
        <f>"18325912"</f>
        <v>18325912</v>
      </c>
      <c r="D9913" s="2">
        <v>0.14799999999999999</v>
      </c>
      <c r="E9913" s="2">
        <v>2</v>
      </c>
      <c r="F9913" s="2" t="s">
        <v>16</v>
      </c>
    </row>
    <row r="9914" spans="1:6" ht="25.5">
      <c r="A9914" s="2">
        <v>9911</v>
      </c>
      <c r="B9914" s="2" t="s">
        <v>9990</v>
      </c>
      <c r="C9914" s="2" t="str">
        <f>"02784254"</f>
        <v>02784254</v>
      </c>
      <c r="D9914" s="2">
        <v>0.73699999999999999</v>
      </c>
      <c r="E9914" s="2">
        <v>32</v>
      </c>
      <c r="F9914" s="2" t="s">
        <v>6</v>
      </c>
    </row>
    <row r="9915" spans="1:6" ht="25.5">
      <c r="A9915" s="2">
        <v>9912</v>
      </c>
      <c r="B9915" s="2" t="s">
        <v>9991</v>
      </c>
      <c r="C9915" s="2" t="str">
        <f>"0148558X"</f>
        <v>0148558X</v>
      </c>
      <c r="D9915" s="2">
        <v>0.41299999999999998</v>
      </c>
      <c r="E9915" s="2">
        <v>12</v>
      </c>
      <c r="F9915" s="2" t="s">
        <v>6</v>
      </c>
    </row>
    <row r="9916" spans="1:6" ht="25.5">
      <c r="A9916" s="2">
        <v>9913</v>
      </c>
      <c r="B9916" s="2" t="s">
        <v>9992</v>
      </c>
      <c r="C9916" s="2" t="str">
        <f>"07485751"</f>
        <v>07485751</v>
      </c>
      <c r="D9916" s="2">
        <v>0.26100000000000001</v>
      </c>
      <c r="E9916" s="2">
        <v>16</v>
      </c>
      <c r="F9916" s="2" t="s">
        <v>75</v>
      </c>
    </row>
    <row r="9917" spans="1:6" ht="25.5">
      <c r="A9917" s="2">
        <v>9914</v>
      </c>
      <c r="B9917" s="2" t="s">
        <v>9993</v>
      </c>
      <c r="C9917" s="2" t="str">
        <f>"1475679X"</f>
        <v>1475679X</v>
      </c>
      <c r="D9917" s="2">
        <v>3.6680000000000001</v>
      </c>
      <c r="E9917" s="2">
        <v>77</v>
      </c>
      <c r="F9917" s="2" t="s">
        <v>16</v>
      </c>
    </row>
    <row r="9918" spans="1:6" ht="25.5">
      <c r="A9918" s="2">
        <v>9915</v>
      </c>
      <c r="B9918" s="2" t="s">
        <v>9994</v>
      </c>
      <c r="C9918" s="2" t="str">
        <f>"19447884"</f>
        <v>19447884</v>
      </c>
      <c r="D9918" s="2">
        <v>2.3460000000000001</v>
      </c>
      <c r="E9918" s="2">
        <v>105</v>
      </c>
      <c r="F9918" s="2" t="s">
        <v>6</v>
      </c>
    </row>
    <row r="9919" spans="1:6" ht="25.5">
      <c r="A9919" s="2">
        <v>9916</v>
      </c>
      <c r="B9919" s="2" t="s">
        <v>9995</v>
      </c>
      <c r="C9919" s="2" t="str">
        <f>"19930399"</f>
        <v>19930399</v>
      </c>
      <c r="D9919" s="2">
        <v>0.19</v>
      </c>
      <c r="E9919" s="2">
        <v>5</v>
      </c>
      <c r="F9919" s="2" t="s">
        <v>46</v>
      </c>
    </row>
    <row r="9920" spans="1:6" ht="25.5">
      <c r="A9920" s="2">
        <v>9917</v>
      </c>
      <c r="B9920" s="2" t="s">
        <v>9996</v>
      </c>
      <c r="C9920" s="2" t="str">
        <f>"22115587"</f>
        <v>22115587</v>
      </c>
      <c r="D9920" s="2">
        <v>0.10199999999999999</v>
      </c>
      <c r="E9920" s="2">
        <v>0</v>
      </c>
      <c r="F9920" s="2" t="s">
        <v>75</v>
      </c>
    </row>
    <row r="9921" spans="1:6" ht="25.5">
      <c r="A9921" s="2">
        <v>9918</v>
      </c>
      <c r="B9921" s="2" t="s">
        <v>9997</v>
      </c>
      <c r="C9921" s="2" t="str">
        <f>"19353227"</f>
        <v>19353227</v>
      </c>
      <c r="D9921" s="2">
        <v>0.63600000000000001</v>
      </c>
      <c r="E9921" s="2">
        <v>11</v>
      </c>
      <c r="F9921" s="2" t="s">
        <v>6</v>
      </c>
    </row>
    <row r="9922" spans="1:6" ht="25.5">
      <c r="A9922" s="2">
        <v>9919</v>
      </c>
      <c r="B9922" s="2" t="s">
        <v>9998</v>
      </c>
      <c r="C9922" s="2" t="str">
        <f>"10553835"</f>
        <v>10553835</v>
      </c>
      <c r="D9922" s="2">
        <v>0.151</v>
      </c>
      <c r="E9922" s="2">
        <v>2</v>
      </c>
      <c r="F9922" s="2" t="s">
        <v>6</v>
      </c>
    </row>
    <row r="9923" spans="1:6" ht="25.5">
      <c r="A9923" s="2">
        <v>9920</v>
      </c>
      <c r="B9923" s="2" t="s">
        <v>9999</v>
      </c>
      <c r="C9923" s="2" t="str">
        <f>"10884602"</f>
        <v>10884602</v>
      </c>
      <c r="D9923" s="2">
        <v>0.16400000000000001</v>
      </c>
      <c r="E9923" s="2">
        <v>9</v>
      </c>
      <c r="F9923" s="2" t="s">
        <v>16</v>
      </c>
    </row>
    <row r="9924" spans="1:6" ht="25.5">
      <c r="A9924" s="2">
        <v>9921</v>
      </c>
      <c r="B9924" s="2" t="s">
        <v>10000</v>
      </c>
      <c r="C9924" s="2" t="str">
        <f>"10550887"</f>
        <v>10550887</v>
      </c>
      <c r="D9924" s="2">
        <v>0.69899999999999995</v>
      </c>
      <c r="E9924" s="2">
        <v>40</v>
      </c>
      <c r="F9924" s="2" t="s">
        <v>16</v>
      </c>
    </row>
    <row r="9925" spans="1:6" ht="25.5">
      <c r="A9925" s="2">
        <v>9922</v>
      </c>
      <c r="B9925" s="2" t="s">
        <v>10001</v>
      </c>
      <c r="C9925" s="2" t="str">
        <f>"1563518X"</f>
        <v>1563518X</v>
      </c>
      <c r="D9925" s="2">
        <v>0.439</v>
      </c>
      <c r="E9925" s="2">
        <v>28</v>
      </c>
      <c r="F9925" s="2" t="s">
        <v>16</v>
      </c>
    </row>
    <row r="9926" spans="1:6" ht="25.5">
      <c r="A9926" s="2">
        <v>9923</v>
      </c>
      <c r="B9926" s="2" t="s">
        <v>10002</v>
      </c>
      <c r="C9926" s="2" t="str">
        <f>"15685616"</f>
        <v>15685616</v>
      </c>
      <c r="D9926" s="2">
        <v>0.41199999999999998</v>
      </c>
      <c r="E9926" s="2">
        <v>38</v>
      </c>
      <c r="F9926" s="2" t="s">
        <v>16</v>
      </c>
    </row>
    <row r="9927" spans="1:6" ht="25.5">
      <c r="A9927" s="2">
        <v>9924</v>
      </c>
      <c r="B9927" s="2" t="s">
        <v>10003</v>
      </c>
      <c r="C9927" s="2" t="str">
        <f>"14615185"</f>
        <v>14615185</v>
      </c>
      <c r="D9927" s="2">
        <v>0.47599999999999998</v>
      </c>
      <c r="E9927" s="2">
        <v>42</v>
      </c>
      <c r="F9927" s="2" t="s">
        <v>6</v>
      </c>
    </row>
    <row r="9928" spans="1:6" ht="25.5">
      <c r="A9928" s="2">
        <v>9925</v>
      </c>
      <c r="B9928" s="2" t="s">
        <v>10004</v>
      </c>
      <c r="C9928" s="2" t="str">
        <f>"10959254"</f>
        <v>10959254</v>
      </c>
      <c r="D9928" s="2">
        <v>1.101</v>
      </c>
      <c r="E9928" s="2">
        <v>60</v>
      </c>
      <c r="F9928" s="2" t="s">
        <v>6</v>
      </c>
    </row>
    <row r="9929" spans="1:6" ht="25.5">
      <c r="A9929" s="2">
        <v>9926</v>
      </c>
      <c r="B9929" s="2" t="s">
        <v>10005</v>
      </c>
      <c r="C9929" s="2" t="str">
        <f>"10813004"</f>
        <v>10813004</v>
      </c>
      <c r="D9929" s="2">
        <v>0.69599999999999995</v>
      </c>
      <c r="E9929" s="2">
        <v>20</v>
      </c>
      <c r="F9929" s="2" t="s">
        <v>6</v>
      </c>
    </row>
    <row r="9930" spans="1:6" ht="25.5">
      <c r="A9930" s="2">
        <v>9927</v>
      </c>
      <c r="B9930" s="2" t="s">
        <v>10006</v>
      </c>
      <c r="C9930" s="2" t="str">
        <f>"1054139X"</f>
        <v>1054139X</v>
      </c>
      <c r="D9930" s="2">
        <v>1.244</v>
      </c>
      <c r="E9930" s="2">
        <v>86</v>
      </c>
      <c r="F9930" s="2" t="s">
        <v>6</v>
      </c>
    </row>
    <row r="9931" spans="1:6" ht="25.5">
      <c r="A9931" s="2">
        <v>9928</v>
      </c>
      <c r="B9931" s="2" t="s">
        <v>10007</v>
      </c>
      <c r="C9931" s="2" t="str">
        <f>"07435584"</f>
        <v>07435584</v>
      </c>
      <c r="D9931" s="2">
        <v>0.61799999999999999</v>
      </c>
      <c r="E9931" s="2">
        <v>49</v>
      </c>
      <c r="F9931" s="2" t="s">
        <v>6</v>
      </c>
    </row>
    <row r="9932" spans="1:6" ht="25.5">
      <c r="A9932" s="2">
        <v>9929</v>
      </c>
      <c r="B9932" s="2" t="s">
        <v>10008</v>
      </c>
      <c r="C9932" s="2" t="str">
        <f>"15733440"</f>
        <v>15733440</v>
      </c>
      <c r="D9932" s="2">
        <v>0.32900000000000001</v>
      </c>
      <c r="E9932" s="2">
        <v>21</v>
      </c>
      <c r="F9932" s="2" t="s">
        <v>6</v>
      </c>
    </row>
    <row r="9933" spans="1:6" ht="25.5">
      <c r="A9933" s="2">
        <v>9930</v>
      </c>
      <c r="B9933" s="2" t="s">
        <v>10009</v>
      </c>
      <c r="C9933" s="2" t="str">
        <f>"14668203"</f>
        <v>14668203</v>
      </c>
      <c r="D9933" s="2">
        <v>0.34100000000000003</v>
      </c>
      <c r="E9933" s="2">
        <v>4</v>
      </c>
      <c r="F9933" s="2" t="s">
        <v>16</v>
      </c>
    </row>
    <row r="9934" spans="1:6" ht="25.5">
      <c r="A9934" s="2">
        <v>9931</v>
      </c>
      <c r="B9934" s="2" t="s">
        <v>10010</v>
      </c>
      <c r="C9934" s="2" t="str">
        <f>"18838014"</f>
        <v>18838014</v>
      </c>
      <c r="D9934" s="2">
        <v>0.23799999999999999</v>
      </c>
      <c r="E9934" s="2">
        <v>7</v>
      </c>
      <c r="F9934" s="2" t="s">
        <v>131</v>
      </c>
    </row>
    <row r="9935" spans="1:6" ht="25.5">
      <c r="A9935" s="2">
        <v>9932</v>
      </c>
      <c r="B9935" s="2" t="s">
        <v>10011</v>
      </c>
      <c r="C9935" s="2" t="str">
        <f>"13468014"</f>
        <v>13468014</v>
      </c>
      <c r="D9935" s="2">
        <v>0.752</v>
      </c>
      <c r="E9935" s="2">
        <v>16</v>
      </c>
      <c r="F9935" s="2" t="s">
        <v>131</v>
      </c>
    </row>
    <row r="9936" spans="1:6" ht="25.5">
      <c r="A9936" s="2">
        <v>9933</v>
      </c>
      <c r="B9936" s="2" t="s">
        <v>10012</v>
      </c>
      <c r="C9936" s="2" t="str">
        <f>"02196867"</f>
        <v>02196867</v>
      </c>
      <c r="D9936" s="2">
        <v>0.11899999999999999</v>
      </c>
      <c r="E9936" s="2">
        <v>8</v>
      </c>
      <c r="F9936" s="2" t="s">
        <v>543</v>
      </c>
    </row>
    <row r="9937" spans="1:6" ht="25.5">
      <c r="A9937" s="2">
        <v>9934</v>
      </c>
      <c r="B9937" s="2" t="s">
        <v>10013</v>
      </c>
      <c r="C9937" s="2" t="str">
        <f>"10709789"</f>
        <v>10709789</v>
      </c>
      <c r="D9937" s="2">
        <v>0.23</v>
      </c>
      <c r="E9937" s="2">
        <v>14</v>
      </c>
      <c r="F9937" s="2" t="s">
        <v>6</v>
      </c>
    </row>
    <row r="9938" spans="1:6" ht="25.5">
      <c r="A9938" s="2">
        <v>9935</v>
      </c>
      <c r="B9938" s="2" t="s">
        <v>10014</v>
      </c>
      <c r="C9938" s="2" t="str">
        <f>"21567581"</f>
        <v>21567581</v>
      </c>
      <c r="D9938" s="2">
        <v>0.189</v>
      </c>
      <c r="E9938" s="2">
        <v>2</v>
      </c>
      <c r="F9938" s="2" t="s">
        <v>6</v>
      </c>
    </row>
    <row r="9939" spans="1:6" ht="25.5">
      <c r="A9939" s="2">
        <v>9936</v>
      </c>
      <c r="B9939" s="2" t="s">
        <v>10015</v>
      </c>
      <c r="C9939" s="2" t="str">
        <f>"13652648"</f>
        <v>13652648</v>
      </c>
      <c r="D9939" s="2">
        <v>0.91</v>
      </c>
      <c r="E9939" s="2">
        <v>86</v>
      </c>
      <c r="F9939" s="2" t="s">
        <v>16</v>
      </c>
    </row>
    <row r="9940" spans="1:6" ht="25.5">
      <c r="A9940" s="2">
        <v>9937</v>
      </c>
      <c r="B9940" s="2" t="s">
        <v>10016</v>
      </c>
      <c r="C9940" s="2" t="str">
        <f>"12038407"</f>
        <v>12038407</v>
      </c>
      <c r="D9940" s="2">
        <v>0.35399999999999998</v>
      </c>
      <c r="E9940" s="2">
        <v>12</v>
      </c>
      <c r="F9940" s="2" t="s">
        <v>64</v>
      </c>
    </row>
    <row r="9941" spans="1:6" ht="25.5">
      <c r="A9941" s="2">
        <v>9938</v>
      </c>
      <c r="B9941" s="2" t="s">
        <v>10017</v>
      </c>
      <c r="C9941" s="2" t="str">
        <f>"20901232"</f>
        <v>20901232</v>
      </c>
      <c r="D9941" s="2">
        <v>0.313</v>
      </c>
      <c r="E9941" s="2">
        <v>6</v>
      </c>
      <c r="F9941" s="2" t="s">
        <v>75</v>
      </c>
    </row>
    <row r="9942" spans="1:6" ht="25.5">
      <c r="A9942" s="2">
        <v>9939</v>
      </c>
      <c r="B9942" s="2" t="s">
        <v>10018</v>
      </c>
      <c r="C9942" s="2" t="str">
        <f>"1943023X"</f>
        <v>1943023X</v>
      </c>
      <c r="D9942" s="2">
        <v>0.14399999999999999</v>
      </c>
      <c r="E9942" s="2">
        <v>2</v>
      </c>
      <c r="F9942" s="2" t="s">
        <v>6</v>
      </c>
    </row>
    <row r="9943" spans="1:6" ht="25.5">
      <c r="A9943" s="2">
        <v>9940</v>
      </c>
      <c r="B9943" s="2" t="s">
        <v>10019</v>
      </c>
      <c r="C9943" s="2" t="str">
        <f>"01976729"</f>
        <v>01976729</v>
      </c>
      <c r="D9943" s="2">
        <v>0.501</v>
      </c>
      <c r="E9943" s="2">
        <v>16</v>
      </c>
      <c r="F9943" s="2" t="s">
        <v>16</v>
      </c>
    </row>
    <row r="9944" spans="1:6" ht="25.5">
      <c r="A9944" s="2">
        <v>9941</v>
      </c>
      <c r="B9944" s="2" t="s">
        <v>10020</v>
      </c>
      <c r="C9944" s="2" t="str">
        <f>"02537214"</f>
        <v>02537214</v>
      </c>
      <c r="D9944" s="2">
        <v>0.126</v>
      </c>
      <c r="E9944" s="2">
        <v>7</v>
      </c>
      <c r="F9944" s="2" t="s">
        <v>488</v>
      </c>
    </row>
    <row r="9945" spans="1:6" ht="25.5">
      <c r="A9945" s="2">
        <v>9942</v>
      </c>
      <c r="B9945" s="2" t="s">
        <v>10021</v>
      </c>
      <c r="C9945" s="2" t="str">
        <f>"19422466"</f>
        <v>19422466</v>
      </c>
      <c r="D9945" s="2">
        <v>0.126</v>
      </c>
      <c r="E9945" s="2">
        <v>2</v>
      </c>
      <c r="F9945" s="2" t="s">
        <v>6</v>
      </c>
    </row>
    <row r="9946" spans="1:6" ht="25.5">
      <c r="A9946" s="2">
        <v>9943</v>
      </c>
      <c r="B9946" s="2" t="s">
        <v>10022</v>
      </c>
      <c r="C9946" s="2" t="str">
        <f>"17540402"</f>
        <v>17540402</v>
      </c>
      <c r="D9946" s="2">
        <v>0.189</v>
      </c>
      <c r="E9946" s="2">
        <v>2</v>
      </c>
      <c r="F9946" s="2" t="s">
        <v>6</v>
      </c>
    </row>
    <row r="9947" spans="1:6" ht="25.5">
      <c r="A9947" s="2">
        <v>9944</v>
      </c>
      <c r="B9947" s="2" t="s">
        <v>10023</v>
      </c>
      <c r="C9947" s="2" t="str">
        <f>"00913367"</f>
        <v>00913367</v>
      </c>
      <c r="D9947" s="2">
        <v>1.143</v>
      </c>
      <c r="E9947" s="2">
        <v>46</v>
      </c>
      <c r="F9947" s="2" t="s">
        <v>6</v>
      </c>
    </row>
    <row r="9948" spans="1:6" ht="25.5">
      <c r="A9948" s="2">
        <v>9945</v>
      </c>
      <c r="B9948" s="2" t="s">
        <v>10024</v>
      </c>
      <c r="C9948" s="2" t="str">
        <f>"17401909"</f>
        <v>17401909</v>
      </c>
      <c r="D9948" s="2">
        <v>0.49099999999999999</v>
      </c>
      <c r="E9948" s="2">
        <v>44</v>
      </c>
      <c r="F9948" s="2" t="s">
        <v>16</v>
      </c>
    </row>
    <row r="9949" spans="1:6" ht="25.5">
      <c r="A9949" s="2">
        <v>9946</v>
      </c>
      <c r="B9949" s="2" t="s">
        <v>10025</v>
      </c>
      <c r="C9949" s="2" t="str">
        <f>"19907710"</f>
        <v>19907710</v>
      </c>
      <c r="D9949" s="2">
        <v>0.221</v>
      </c>
      <c r="E9949" s="2">
        <v>4</v>
      </c>
      <c r="F9949" s="2" t="s">
        <v>46</v>
      </c>
    </row>
    <row r="9950" spans="1:6" ht="25.5">
      <c r="A9950" s="2">
        <v>9947</v>
      </c>
      <c r="B9950" s="2" t="s">
        <v>10026</v>
      </c>
      <c r="C9950" s="2" t="str">
        <f>"19412711"</f>
        <v>19412711</v>
      </c>
      <c r="D9950" s="2">
        <v>0.98399999999999999</v>
      </c>
      <c r="E9950" s="2">
        <v>40</v>
      </c>
      <c r="F9950" s="2" t="s">
        <v>6</v>
      </c>
    </row>
    <row r="9951" spans="1:6" ht="25.5">
      <c r="A9951" s="2">
        <v>9948</v>
      </c>
      <c r="B9951" s="2" t="s">
        <v>10027</v>
      </c>
      <c r="C9951" s="2" t="str">
        <f>"00218502"</f>
        <v>00218502</v>
      </c>
      <c r="D9951" s="2">
        <v>1.107</v>
      </c>
      <c r="E9951" s="2">
        <v>66</v>
      </c>
      <c r="F9951" s="2" t="s">
        <v>16</v>
      </c>
    </row>
    <row r="9952" spans="1:6" ht="25.5">
      <c r="A9952" s="2">
        <v>9949</v>
      </c>
      <c r="B9952" s="2" t="s">
        <v>10028</v>
      </c>
      <c r="C9952" s="2" t="str">
        <f>"15429423"</f>
        <v>15429423</v>
      </c>
      <c r="D9952" s="2">
        <v>0.31900000000000001</v>
      </c>
      <c r="E9952" s="2">
        <v>17</v>
      </c>
      <c r="F9952" s="2" t="s">
        <v>6</v>
      </c>
    </row>
    <row r="9953" spans="1:6" ht="25.5">
      <c r="A9953" s="2">
        <v>9950</v>
      </c>
      <c r="B9953" s="2" t="s">
        <v>10029</v>
      </c>
      <c r="C9953" s="2" t="str">
        <f>"08931321"</f>
        <v>08931321</v>
      </c>
      <c r="D9953" s="2">
        <v>0.35399999999999998</v>
      </c>
      <c r="E9953" s="2">
        <v>25</v>
      </c>
      <c r="F9953" s="2" t="s">
        <v>6</v>
      </c>
    </row>
    <row r="9954" spans="1:6" ht="25.5">
      <c r="A9954" s="2">
        <v>9951</v>
      </c>
      <c r="B9954" s="2" t="s">
        <v>10030</v>
      </c>
      <c r="C9954" s="2" t="str">
        <f>"2236577X"</f>
        <v>2236577X</v>
      </c>
      <c r="D9954" s="2">
        <v>0</v>
      </c>
      <c r="E9954" s="2">
        <v>0</v>
      </c>
      <c r="F9954" s="2" t="s">
        <v>159</v>
      </c>
    </row>
    <row r="9955" spans="1:6" ht="25.5">
      <c r="A9955" s="2">
        <v>9952</v>
      </c>
      <c r="B9955" s="2" t="s">
        <v>10031</v>
      </c>
      <c r="C9955" s="2" t="str">
        <f>"21759146"</f>
        <v>21759146</v>
      </c>
      <c r="D9955" s="2">
        <v>0.22600000000000001</v>
      </c>
      <c r="E9955" s="2">
        <v>3</v>
      </c>
      <c r="F9955" s="2" t="s">
        <v>159</v>
      </c>
    </row>
    <row r="9956" spans="1:6" ht="25.5">
      <c r="A9956" s="2">
        <v>9953</v>
      </c>
      <c r="B9956" s="2" t="s">
        <v>10032</v>
      </c>
      <c r="C9956" s="2" t="str">
        <f>"15437809"</f>
        <v>15437809</v>
      </c>
      <c r="D9956" s="2">
        <v>0.13100000000000001</v>
      </c>
      <c r="E9956" s="2">
        <v>6</v>
      </c>
      <c r="F9956" s="2" t="s">
        <v>6</v>
      </c>
    </row>
    <row r="9957" spans="1:6" ht="25.5">
      <c r="A9957" s="2">
        <v>9954</v>
      </c>
      <c r="B9957" s="2" t="s">
        <v>10033</v>
      </c>
      <c r="C9957" s="2" t="str">
        <f>"15406245"</f>
        <v>15406245</v>
      </c>
      <c r="D9957" s="2">
        <v>0.255</v>
      </c>
      <c r="E9957" s="2">
        <v>13</v>
      </c>
      <c r="F9957" s="2" t="s">
        <v>16</v>
      </c>
    </row>
    <row r="9958" spans="1:6" ht="25.5">
      <c r="A9958" s="2">
        <v>9955</v>
      </c>
      <c r="B9958" s="2" t="s">
        <v>10034</v>
      </c>
      <c r="C9958" s="2" t="str">
        <f>"20004214"</f>
        <v>20004214</v>
      </c>
      <c r="D9958" s="2">
        <v>0</v>
      </c>
      <c r="E9958" s="2">
        <v>1</v>
      </c>
      <c r="F9958" s="2" t="s">
        <v>151</v>
      </c>
    </row>
    <row r="9959" spans="1:6" ht="25.5">
      <c r="A9959" s="2">
        <v>9956</v>
      </c>
      <c r="B9959" s="2" t="s">
        <v>10035</v>
      </c>
      <c r="C9959" s="2" t="str">
        <f>"01650327"</f>
        <v>01650327</v>
      </c>
      <c r="D9959" s="2">
        <v>1.53</v>
      </c>
      <c r="E9959" s="2">
        <v>106</v>
      </c>
      <c r="F9959" s="2" t="s">
        <v>75</v>
      </c>
    </row>
    <row r="9960" spans="1:6" ht="25.5">
      <c r="A9960" s="2">
        <v>9957</v>
      </c>
      <c r="B9960" s="2" t="s">
        <v>10036</v>
      </c>
      <c r="C9960" s="2" t="str">
        <f>"15591646"</f>
        <v>15591646</v>
      </c>
      <c r="D9960" s="2">
        <v>0.20599999999999999</v>
      </c>
      <c r="E9960" s="2">
        <v>5</v>
      </c>
      <c r="F9960" s="2" t="s">
        <v>6</v>
      </c>
    </row>
    <row r="9961" spans="1:6" ht="25.5">
      <c r="A9961" s="2">
        <v>9958</v>
      </c>
      <c r="B9961" s="2" t="s">
        <v>10037</v>
      </c>
      <c r="C9961" s="2" t="str">
        <f>"16121651"</f>
        <v>16121651</v>
      </c>
      <c r="D9961" s="2">
        <v>0.94599999999999995</v>
      </c>
      <c r="E9961" s="2">
        <v>10</v>
      </c>
      <c r="F9961" s="2" t="s">
        <v>12</v>
      </c>
    </row>
    <row r="9962" spans="1:6" ht="25.5">
      <c r="A9962" s="2">
        <v>9959</v>
      </c>
      <c r="B9962" s="2" t="s">
        <v>10038</v>
      </c>
      <c r="C9962" s="2" t="str">
        <f>"15229076"</f>
        <v>15229076</v>
      </c>
      <c r="D9962" s="2">
        <v>0.23799999999999999</v>
      </c>
      <c r="E9962" s="2">
        <v>6</v>
      </c>
      <c r="F9962" s="2" t="s">
        <v>16</v>
      </c>
    </row>
    <row r="9963" spans="1:6" ht="25.5">
      <c r="A9963" s="2">
        <v>9960</v>
      </c>
      <c r="B9963" s="2" t="s">
        <v>10039</v>
      </c>
      <c r="C9963" s="2" t="str">
        <f>"13696815"</f>
        <v>13696815</v>
      </c>
      <c r="D9963" s="2">
        <v>0.22</v>
      </c>
      <c r="E9963" s="2">
        <v>3</v>
      </c>
      <c r="F9963" s="2" t="s">
        <v>16</v>
      </c>
    </row>
    <row r="9964" spans="1:6" ht="25.5">
      <c r="A9964" s="2">
        <v>9961</v>
      </c>
      <c r="B9964" s="2" t="s">
        <v>10040</v>
      </c>
      <c r="C9964" s="2" t="str">
        <f>"1464343X"</f>
        <v>1464343X</v>
      </c>
      <c r="D9964" s="2">
        <v>0.59599999999999997</v>
      </c>
      <c r="E9964" s="2">
        <v>39</v>
      </c>
      <c r="F9964" s="2" t="s">
        <v>16</v>
      </c>
    </row>
    <row r="9965" spans="1:6" ht="25.5">
      <c r="A9965" s="2">
        <v>9962</v>
      </c>
      <c r="B9965" s="2" t="s">
        <v>10041</v>
      </c>
      <c r="C9965" s="2" t="str">
        <f>"14643723"</f>
        <v>14643723</v>
      </c>
      <c r="D9965" s="2">
        <v>0.747</v>
      </c>
      <c r="E9965" s="2">
        <v>20</v>
      </c>
      <c r="F9965" s="2" t="s">
        <v>16</v>
      </c>
    </row>
    <row r="9966" spans="1:6" ht="25.5">
      <c r="A9966" s="2">
        <v>9963</v>
      </c>
      <c r="B9966" s="2" t="s">
        <v>10042</v>
      </c>
      <c r="C9966" s="2" t="str">
        <f>"14695138"</f>
        <v>14695138</v>
      </c>
      <c r="D9966" s="2">
        <v>0.45</v>
      </c>
      <c r="E9966" s="2">
        <v>14</v>
      </c>
      <c r="F9966" s="2" t="s">
        <v>16</v>
      </c>
    </row>
    <row r="9967" spans="1:6" ht="25.5">
      <c r="A9967" s="2">
        <v>9964</v>
      </c>
      <c r="B9967" s="2" t="s">
        <v>10043</v>
      </c>
      <c r="C9967" s="2" t="str">
        <f>"16133811"</f>
        <v>16133811</v>
      </c>
      <c r="D9967" s="2">
        <v>0.151</v>
      </c>
      <c r="E9967" s="2">
        <v>5</v>
      </c>
      <c r="F9967" s="2" t="s">
        <v>12</v>
      </c>
    </row>
    <row r="9968" spans="1:6" ht="25.5">
      <c r="A9968" s="2">
        <v>9965</v>
      </c>
      <c r="B9968" s="2" t="s">
        <v>10044</v>
      </c>
      <c r="C9968" s="2" t="str">
        <f>"00218553"</f>
        <v>00218553</v>
      </c>
      <c r="D9968" s="2">
        <v>0.11700000000000001</v>
      </c>
      <c r="E9968" s="2">
        <v>3</v>
      </c>
      <c r="F9968" s="2" t="s">
        <v>16</v>
      </c>
    </row>
    <row r="9969" spans="1:6" ht="25.5">
      <c r="A9969" s="2">
        <v>9966</v>
      </c>
      <c r="B9969" s="2" t="s">
        <v>10045</v>
      </c>
      <c r="C9969" s="2" t="str">
        <f>"2040199X"</f>
        <v>2040199X</v>
      </c>
      <c r="D9969" s="2">
        <v>0.10299999999999999</v>
      </c>
      <c r="E9969" s="2">
        <v>1</v>
      </c>
      <c r="F9969" s="2" t="s">
        <v>16</v>
      </c>
    </row>
    <row r="9970" spans="1:6" ht="25.5">
      <c r="A9970" s="2">
        <v>9967</v>
      </c>
      <c r="B9970" s="2" t="s">
        <v>10046</v>
      </c>
      <c r="C9970" s="2" t="str">
        <f>"20428715"</f>
        <v>20428715</v>
      </c>
      <c r="D9970" s="2">
        <v>0.35499999999999998</v>
      </c>
      <c r="E9970" s="2">
        <v>4</v>
      </c>
      <c r="F9970" s="2" t="s">
        <v>16</v>
      </c>
    </row>
    <row r="9971" spans="1:6" ht="25.5">
      <c r="A9971" s="2">
        <v>9968</v>
      </c>
      <c r="B9971" s="2" t="s">
        <v>10047</v>
      </c>
      <c r="C9971" s="2" t="str">
        <f>"1545083X"</f>
        <v>1545083X</v>
      </c>
      <c r="D9971" s="2">
        <v>0.49199999999999999</v>
      </c>
      <c r="E9971" s="2">
        <v>20</v>
      </c>
      <c r="F9971" s="2" t="s">
        <v>16</v>
      </c>
    </row>
    <row r="9972" spans="1:6" ht="25.5">
      <c r="A9972" s="2">
        <v>9969</v>
      </c>
      <c r="B9972" s="2" t="s">
        <v>10048</v>
      </c>
      <c r="C9972" s="2" t="str">
        <f>"08982643"</f>
        <v>08982643</v>
      </c>
      <c r="D9972" s="2">
        <v>0.66900000000000004</v>
      </c>
      <c r="E9972" s="2">
        <v>41</v>
      </c>
      <c r="F9972" s="2" t="s">
        <v>6</v>
      </c>
    </row>
    <row r="9973" spans="1:6" ht="25.5">
      <c r="A9973" s="2">
        <v>9970</v>
      </c>
      <c r="B9973" s="2" t="s">
        <v>10049</v>
      </c>
      <c r="C9973" s="2" t="str">
        <f>"1543267X"</f>
        <v>1543267X</v>
      </c>
      <c r="D9973" s="2">
        <v>0.73699999999999999</v>
      </c>
      <c r="E9973" s="2">
        <v>32</v>
      </c>
      <c r="F9973" s="2" t="s">
        <v>6</v>
      </c>
    </row>
    <row r="9974" spans="1:6" ht="25.5">
      <c r="A9974" s="2">
        <v>9971</v>
      </c>
      <c r="B9974" s="2" t="s">
        <v>10050</v>
      </c>
      <c r="C9974" s="2" t="str">
        <f>"15450821"</f>
        <v>15450821</v>
      </c>
      <c r="D9974" s="2">
        <v>0.34799999999999998</v>
      </c>
      <c r="E9974" s="2">
        <v>14</v>
      </c>
      <c r="F9974" s="2" t="s">
        <v>16</v>
      </c>
    </row>
    <row r="9975" spans="1:6" ht="25.5">
      <c r="A9975" s="2">
        <v>9972</v>
      </c>
      <c r="B9975" s="2" t="s">
        <v>10051</v>
      </c>
      <c r="C9975" s="2" t="str">
        <f>"20902212"</f>
        <v>20902212</v>
      </c>
      <c r="D9975" s="2">
        <v>0.53300000000000003</v>
      </c>
      <c r="E9975" s="2">
        <v>7</v>
      </c>
      <c r="F9975" s="2" t="s">
        <v>6</v>
      </c>
    </row>
    <row r="9976" spans="1:6" ht="25.5">
      <c r="A9976" s="2">
        <v>9973</v>
      </c>
      <c r="B9976" s="2" t="s">
        <v>10052</v>
      </c>
      <c r="C9976" s="2" t="str">
        <f>"08904065"</f>
        <v>08904065</v>
      </c>
      <c r="D9976" s="2">
        <v>0.78</v>
      </c>
      <c r="E9976" s="2">
        <v>28</v>
      </c>
      <c r="F9976" s="2" t="s">
        <v>75</v>
      </c>
    </row>
    <row r="9977" spans="1:6" ht="25.5">
      <c r="A9977" s="2">
        <v>9974</v>
      </c>
      <c r="B9977" s="2" t="s">
        <v>10053</v>
      </c>
      <c r="C9977" s="2" t="str">
        <f>"14710366"</f>
        <v>14710366</v>
      </c>
      <c r="D9977" s="2">
        <v>0.93700000000000006</v>
      </c>
      <c r="E9977" s="2">
        <v>22</v>
      </c>
      <c r="F9977" s="2" t="s">
        <v>16</v>
      </c>
    </row>
    <row r="9978" spans="1:6" ht="25.5">
      <c r="A9978" s="2">
        <v>9975</v>
      </c>
      <c r="B9978" s="2" t="s">
        <v>10054</v>
      </c>
      <c r="C9978" s="2" t="str">
        <f>"11877863"</f>
        <v>11877863</v>
      </c>
      <c r="D9978" s="2">
        <v>0.45500000000000002</v>
      </c>
      <c r="E9978" s="2">
        <v>21</v>
      </c>
      <c r="F9978" s="2" t="s">
        <v>75</v>
      </c>
    </row>
    <row r="9979" spans="1:6" ht="25.5">
      <c r="A9979" s="2">
        <v>9976</v>
      </c>
      <c r="B9979" s="2" t="s">
        <v>10055</v>
      </c>
      <c r="C9979" s="2" t="str">
        <f>"00218561"</f>
        <v>00218561</v>
      </c>
      <c r="D9979" s="2">
        <v>1.248</v>
      </c>
      <c r="E9979" s="2">
        <v>161</v>
      </c>
      <c r="F9979" s="2" t="s">
        <v>6</v>
      </c>
    </row>
    <row r="9980" spans="1:6" ht="25.5">
      <c r="A9980" s="2">
        <v>9977</v>
      </c>
      <c r="B9980" s="2" t="s">
        <v>10056</v>
      </c>
      <c r="C9980" s="2" t="str">
        <f>"15420485"</f>
        <v>15420485</v>
      </c>
      <c r="D9980" s="2">
        <v>0.27100000000000002</v>
      </c>
      <c r="E9980" s="2">
        <v>10</v>
      </c>
      <c r="F9980" s="2" t="s">
        <v>6</v>
      </c>
    </row>
    <row r="9981" spans="1:6" ht="25.5">
      <c r="A9981" s="2">
        <v>9978</v>
      </c>
      <c r="B9981" s="2" t="s">
        <v>10057</v>
      </c>
      <c r="C9981" s="2" t="str">
        <f>"15404722"</f>
        <v>15404722</v>
      </c>
      <c r="D9981" s="2">
        <v>0.21299999999999999</v>
      </c>
      <c r="E9981" s="2">
        <v>4</v>
      </c>
      <c r="F9981" s="2" t="s">
        <v>6</v>
      </c>
    </row>
    <row r="9982" spans="1:6" ht="25.5">
      <c r="A9982" s="2">
        <v>9979</v>
      </c>
      <c r="B9982" s="2" t="s">
        <v>10058</v>
      </c>
      <c r="C9982" s="2" t="str">
        <f>"10685502"</f>
        <v>10685502</v>
      </c>
      <c r="D9982" s="2">
        <v>0.69499999999999995</v>
      </c>
      <c r="E9982" s="2">
        <v>25</v>
      </c>
      <c r="F9982" s="2" t="s">
        <v>6</v>
      </c>
    </row>
    <row r="9983" spans="1:6" ht="25.5">
      <c r="A9983" s="2">
        <v>9980</v>
      </c>
      <c r="B9983" s="2" t="s">
        <v>10059</v>
      </c>
      <c r="C9983" s="2" t="str">
        <f>"15372693"</f>
        <v>15372693</v>
      </c>
      <c r="D9983" s="2">
        <v>0.57099999999999995</v>
      </c>
      <c r="E9983" s="2">
        <v>32</v>
      </c>
      <c r="F9983" s="2" t="s">
        <v>6</v>
      </c>
    </row>
    <row r="9984" spans="1:6" ht="25.5">
      <c r="A9984" s="2">
        <v>9981</v>
      </c>
      <c r="B9984" s="2" t="s">
        <v>10060</v>
      </c>
      <c r="C9984" s="2" t="str">
        <f>"14779552"</f>
        <v>14779552</v>
      </c>
      <c r="D9984" s="2">
        <v>1.2130000000000001</v>
      </c>
      <c r="E9984" s="2">
        <v>31</v>
      </c>
      <c r="F9984" s="2" t="s">
        <v>16</v>
      </c>
    </row>
    <row r="9985" spans="1:6" ht="25.5">
      <c r="A9985" s="2">
        <v>9982</v>
      </c>
      <c r="B9985" s="2" t="s">
        <v>10061</v>
      </c>
      <c r="C9985" s="2" t="str">
        <f>"17508622"</f>
        <v>17508622</v>
      </c>
      <c r="D9985" s="2">
        <v>0.29799999999999999</v>
      </c>
      <c r="E9985" s="2">
        <v>4</v>
      </c>
      <c r="F9985" s="2" t="s">
        <v>16</v>
      </c>
    </row>
    <row r="9986" spans="1:6" ht="25.5">
      <c r="A9986" s="2">
        <v>9983</v>
      </c>
      <c r="B9986" s="2" t="s">
        <v>10062</v>
      </c>
      <c r="C9986" s="2" t="str">
        <f>"19347235"</f>
        <v>19347235</v>
      </c>
      <c r="D9986" s="2">
        <v>0.106</v>
      </c>
      <c r="E9986" s="2">
        <v>2</v>
      </c>
      <c r="F9986" s="2" t="s">
        <v>6</v>
      </c>
    </row>
    <row r="9987" spans="1:6" ht="25.5">
      <c r="A9987" s="2">
        <v>9984</v>
      </c>
      <c r="B9987" s="2" t="s">
        <v>10063</v>
      </c>
      <c r="C9987" s="2" t="str">
        <f>"14695146"</f>
        <v>14695146</v>
      </c>
      <c r="D9987" s="2">
        <v>0.73</v>
      </c>
      <c r="E9987" s="2">
        <v>40</v>
      </c>
      <c r="F9987" s="2" t="s">
        <v>16</v>
      </c>
    </row>
    <row r="9988" spans="1:6" ht="25.5">
      <c r="A9988" s="2">
        <v>9985</v>
      </c>
      <c r="B9988" s="2" t="s">
        <v>10064</v>
      </c>
      <c r="C9988" s="2" t="str">
        <f>"16807073"</f>
        <v>16807073</v>
      </c>
      <c r="D9988" s="2">
        <v>0.32700000000000001</v>
      </c>
      <c r="E9988" s="2">
        <v>7</v>
      </c>
      <c r="F9988" s="2" t="s">
        <v>299</v>
      </c>
    </row>
    <row r="9989" spans="1:6" ht="25.5">
      <c r="A9989" s="2">
        <v>9986</v>
      </c>
      <c r="B9989" s="2" t="s">
        <v>10065</v>
      </c>
      <c r="C9989" s="2" t="str">
        <f>"16129830"</f>
        <v>16129830</v>
      </c>
      <c r="D9989" s="2">
        <v>0.126</v>
      </c>
      <c r="E9989" s="2">
        <v>6</v>
      </c>
      <c r="F9989" s="2" t="s">
        <v>12</v>
      </c>
    </row>
    <row r="9990" spans="1:6" ht="25.5">
      <c r="A9990" s="2">
        <v>9987</v>
      </c>
      <c r="B9990" s="2" t="s">
        <v>10066</v>
      </c>
      <c r="C9990" s="2" t="str">
        <f>"0041994X"</f>
        <v>0041994X</v>
      </c>
      <c r="D9990" s="2">
        <v>0.10100000000000001</v>
      </c>
      <c r="E9990" s="2">
        <v>6</v>
      </c>
      <c r="F9990" s="2" t="s">
        <v>2724</v>
      </c>
    </row>
    <row r="9991" spans="1:6" ht="25.5">
      <c r="A9991" s="2">
        <v>9988</v>
      </c>
      <c r="B9991" s="2" t="s">
        <v>10067</v>
      </c>
      <c r="C9991" s="2" t="str">
        <f>"15450813"</f>
        <v>15450813</v>
      </c>
      <c r="D9991" s="2">
        <v>0.51700000000000002</v>
      </c>
      <c r="E9991" s="2">
        <v>11</v>
      </c>
      <c r="F9991" s="2" t="s">
        <v>6</v>
      </c>
    </row>
    <row r="9992" spans="1:6" ht="25.5">
      <c r="A9992" s="2">
        <v>9989</v>
      </c>
      <c r="B9992" s="2" t="s">
        <v>10068</v>
      </c>
      <c r="C9992" s="2" t="str">
        <f>"09721665"</f>
        <v>09721665</v>
      </c>
      <c r="D9992" s="2">
        <v>0.105</v>
      </c>
      <c r="E9992" s="2">
        <v>3</v>
      </c>
      <c r="F9992" s="2" t="s">
        <v>488</v>
      </c>
    </row>
    <row r="9993" spans="1:6" ht="25.5">
      <c r="A9993" s="2">
        <v>9990</v>
      </c>
      <c r="B9993" s="2" t="s">
        <v>10069</v>
      </c>
      <c r="C9993" s="2" t="str">
        <f>"18125417"</f>
        <v>18125417</v>
      </c>
      <c r="D9993" s="2">
        <v>0.26</v>
      </c>
      <c r="E9993" s="2">
        <v>9</v>
      </c>
      <c r="F9993" s="2" t="s">
        <v>43</v>
      </c>
    </row>
    <row r="9994" spans="1:6" ht="25.5">
      <c r="A9994" s="2">
        <v>9991</v>
      </c>
      <c r="B9994" s="2" t="s">
        <v>10070</v>
      </c>
      <c r="C9994" s="2" t="str">
        <f>"09312250"</f>
        <v>09312250</v>
      </c>
      <c r="D9994" s="2">
        <v>0.84699999999999998</v>
      </c>
      <c r="E9994" s="2">
        <v>34</v>
      </c>
      <c r="F9994" s="2" t="s">
        <v>16</v>
      </c>
    </row>
    <row r="9995" spans="1:6" ht="25.5">
      <c r="A9995" s="2">
        <v>9992</v>
      </c>
      <c r="B9995" s="2" t="s">
        <v>10071</v>
      </c>
      <c r="C9995" s="2" t="str">
        <f>"00218669"</f>
        <v>00218669</v>
      </c>
      <c r="D9995" s="2">
        <v>0.69699999999999995</v>
      </c>
      <c r="E9995" s="2">
        <v>48</v>
      </c>
      <c r="F9995" s="2" t="s">
        <v>6</v>
      </c>
    </row>
    <row r="9996" spans="1:6" ht="25.5">
      <c r="A9996" s="2">
        <v>9993</v>
      </c>
      <c r="B9996" s="2" t="s">
        <v>10072</v>
      </c>
      <c r="C9996" s="2" t="str">
        <f>"09696997"</f>
        <v>09696997</v>
      </c>
      <c r="D9996" s="2">
        <v>0.84</v>
      </c>
      <c r="E9996" s="2">
        <v>30</v>
      </c>
      <c r="F9996" s="2" t="s">
        <v>16</v>
      </c>
    </row>
    <row r="9997" spans="1:6" ht="25.5">
      <c r="A9997" s="2">
        <v>9994</v>
      </c>
      <c r="B9997" s="2" t="s">
        <v>10073</v>
      </c>
      <c r="C9997" s="2" t="str">
        <f>"00901482"</f>
        <v>00901482</v>
      </c>
      <c r="D9997" s="2">
        <v>0.16700000000000001</v>
      </c>
      <c r="E9997" s="2">
        <v>15</v>
      </c>
      <c r="F9997" s="2" t="s">
        <v>6</v>
      </c>
    </row>
    <row r="9998" spans="1:6" ht="25.5">
      <c r="A9998" s="2">
        <v>9995</v>
      </c>
      <c r="B9998" s="2" t="s">
        <v>10074</v>
      </c>
      <c r="C9998" s="2" t="str">
        <f>"1090266X"</f>
        <v>1090266X</v>
      </c>
      <c r="D9998" s="2">
        <v>1.129</v>
      </c>
      <c r="E9998" s="2">
        <v>41</v>
      </c>
      <c r="F9998" s="2" t="s">
        <v>6</v>
      </c>
    </row>
    <row r="9999" spans="1:6" ht="25.5">
      <c r="A9999" s="2">
        <v>9996</v>
      </c>
      <c r="B9999" s="2" t="s">
        <v>10075</v>
      </c>
      <c r="C9999" s="2" t="str">
        <f>"09725946"</f>
        <v>09725946</v>
      </c>
      <c r="D9999" s="2">
        <v>0.10199999999999999</v>
      </c>
      <c r="E9999" s="2">
        <v>2</v>
      </c>
      <c r="F9999" s="2" t="s">
        <v>488</v>
      </c>
    </row>
    <row r="10000" spans="1:6" ht="25.5">
      <c r="A10000" s="2">
        <v>9997</v>
      </c>
      <c r="B10000" s="2" t="s">
        <v>10076</v>
      </c>
      <c r="C10000" s="2" t="str">
        <f>"02194988"</f>
        <v>02194988</v>
      </c>
      <c r="D10000" s="2">
        <v>0.51500000000000001</v>
      </c>
      <c r="E10000" s="2">
        <v>7</v>
      </c>
      <c r="F10000" s="2" t="s">
        <v>543</v>
      </c>
    </row>
    <row r="10001" spans="1:6" ht="25.5">
      <c r="A10001" s="2">
        <v>9998</v>
      </c>
      <c r="B10001" s="2" t="s">
        <v>10077</v>
      </c>
      <c r="C10001" s="2" t="str">
        <f>"15729192"</f>
        <v>15729192</v>
      </c>
      <c r="D10001" s="2">
        <v>1.004</v>
      </c>
      <c r="E10001" s="2">
        <v>22</v>
      </c>
      <c r="F10001" s="2" t="s">
        <v>75</v>
      </c>
    </row>
    <row r="10002" spans="1:6" ht="25.5">
      <c r="A10002" s="2">
        <v>9999</v>
      </c>
      <c r="B10002" s="2" t="s">
        <v>10078</v>
      </c>
      <c r="C10002" s="2" t="str">
        <f>"15347486"</f>
        <v>15347486</v>
      </c>
      <c r="D10002" s="2">
        <v>2.25</v>
      </c>
      <c r="E10002" s="2">
        <v>23</v>
      </c>
      <c r="F10002" s="2" t="s">
        <v>6</v>
      </c>
    </row>
    <row r="10003" spans="1:6" ht="25.5">
      <c r="A10003" s="2">
        <v>10000</v>
      </c>
      <c r="B10003" s="2" t="s">
        <v>10079</v>
      </c>
      <c r="C10003" s="2" t="str">
        <f>"10976825"</f>
        <v>10976825</v>
      </c>
      <c r="D10003" s="2">
        <v>3.911</v>
      </c>
      <c r="E10003" s="2">
        <v>182</v>
      </c>
      <c r="F10003" s="2" t="s">
        <v>6</v>
      </c>
    </row>
    <row r="10004" spans="1:6" ht="25.5">
      <c r="A10004" s="2">
        <v>10001</v>
      </c>
      <c r="B10004" s="2" t="s">
        <v>10080</v>
      </c>
      <c r="C10004" s="2" t="str">
        <f>"00907421"</f>
        <v>00907421</v>
      </c>
      <c r="D10004" s="2">
        <v>0.308</v>
      </c>
      <c r="E10004" s="2">
        <v>17</v>
      </c>
      <c r="F10004" s="2" t="s">
        <v>6</v>
      </c>
    </row>
    <row r="10005" spans="1:6" ht="25.5">
      <c r="A10005" s="2">
        <v>10002</v>
      </c>
      <c r="B10005" s="2" t="s">
        <v>10081</v>
      </c>
      <c r="C10005" s="2" t="str">
        <f>"09258388"</f>
        <v>09258388</v>
      </c>
      <c r="D10005" s="2">
        <v>1.1579999999999999</v>
      </c>
      <c r="E10005" s="2">
        <v>99</v>
      </c>
      <c r="F10005" s="2" t="s">
        <v>75</v>
      </c>
    </row>
    <row r="10006" spans="1:6" ht="25.5">
      <c r="A10006" s="2">
        <v>10003</v>
      </c>
      <c r="B10006" s="2" t="s">
        <v>10082</v>
      </c>
      <c r="C10006" s="2" t="str">
        <f>"10755535"</f>
        <v>10755535</v>
      </c>
      <c r="D10006" s="2">
        <v>0.51300000000000001</v>
      </c>
      <c r="E10006" s="2">
        <v>53</v>
      </c>
      <c r="F10006" s="2" t="s">
        <v>6</v>
      </c>
    </row>
    <row r="10007" spans="1:6" ht="25.5">
      <c r="A10007" s="2">
        <v>10004</v>
      </c>
      <c r="B10007" s="2" t="s">
        <v>10083</v>
      </c>
      <c r="C10007" s="2" t="str">
        <f>"15203255"</f>
        <v>15203255</v>
      </c>
      <c r="D10007" s="2">
        <v>0.35899999999999999</v>
      </c>
      <c r="E10007" s="2">
        <v>5</v>
      </c>
      <c r="F10007" s="2" t="s">
        <v>6</v>
      </c>
    </row>
    <row r="10008" spans="1:6" ht="25.5">
      <c r="A10008" s="2">
        <v>10005</v>
      </c>
      <c r="B10008" s="2" t="s">
        <v>10084</v>
      </c>
      <c r="C10008" s="2" t="str">
        <f>"13872877"</f>
        <v>13872877</v>
      </c>
      <c r="D10008" s="2">
        <v>1.373</v>
      </c>
      <c r="E10008" s="2">
        <v>62</v>
      </c>
      <c r="F10008" s="2" t="s">
        <v>75</v>
      </c>
    </row>
    <row r="10009" spans="1:6" ht="25.5">
      <c r="A10009" s="2">
        <v>10006</v>
      </c>
      <c r="B10009" s="2" t="s">
        <v>10085</v>
      </c>
      <c r="C10009" s="2" t="str">
        <f>"18685137"</f>
        <v>18685137</v>
      </c>
      <c r="D10009" s="2">
        <v>0.623</v>
      </c>
      <c r="E10009" s="2">
        <v>7</v>
      </c>
      <c r="F10009" s="2" t="s">
        <v>12</v>
      </c>
    </row>
    <row r="10010" spans="1:6" ht="25.5">
      <c r="A10010" s="2">
        <v>10007</v>
      </c>
      <c r="B10010" s="2" t="s">
        <v>10086</v>
      </c>
      <c r="C10010" s="2" t="str">
        <f>"18761364"</f>
        <v>18761364</v>
      </c>
      <c r="D10010" s="2">
        <v>0.78300000000000003</v>
      </c>
      <c r="E10010" s="2">
        <v>9</v>
      </c>
      <c r="F10010" s="2" t="s">
        <v>75</v>
      </c>
    </row>
    <row r="10011" spans="1:6" ht="25.5">
      <c r="A10011" s="2">
        <v>10008</v>
      </c>
      <c r="B10011" s="2" t="s">
        <v>10087</v>
      </c>
      <c r="C10011" s="2" t="str">
        <f>"01489917"</f>
        <v>01489917</v>
      </c>
      <c r="D10011" s="2">
        <v>0.64</v>
      </c>
      <c r="E10011" s="2">
        <v>23</v>
      </c>
      <c r="F10011" s="2" t="s">
        <v>6</v>
      </c>
    </row>
    <row r="10012" spans="1:6" ht="25.5">
      <c r="A10012" s="2">
        <v>10009</v>
      </c>
      <c r="B10012" s="2" t="s">
        <v>10088</v>
      </c>
      <c r="C10012" s="2" t="str">
        <f>"07448481"</f>
        <v>07448481</v>
      </c>
      <c r="D10012" s="2">
        <v>0.60699999999999998</v>
      </c>
      <c r="E10012" s="2">
        <v>53</v>
      </c>
      <c r="F10012" s="2" t="s">
        <v>16</v>
      </c>
    </row>
    <row r="10013" spans="1:6" ht="25.5">
      <c r="A10013" s="2">
        <v>10010</v>
      </c>
      <c r="B10013" s="2" t="s">
        <v>10089</v>
      </c>
      <c r="C10013" s="2" t="str">
        <f>"01911813"</f>
        <v>01911813</v>
      </c>
      <c r="D10013" s="2">
        <v>0.104</v>
      </c>
      <c r="E10013" s="2">
        <v>1</v>
      </c>
      <c r="F10013" s="2" t="s">
        <v>6</v>
      </c>
    </row>
    <row r="10014" spans="1:6" ht="25.5">
      <c r="A10014" s="2">
        <v>10011</v>
      </c>
      <c r="B10014" s="2" t="s">
        <v>10090</v>
      </c>
      <c r="C10014" s="2" t="str">
        <f>"02785927"</f>
        <v>02785927</v>
      </c>
      <c r="D10014" s="2">
        <v>0.17599999999999999</v>
      </c>
      <c r="E10014" s="2">
        <v>6</v>
      </c>
      <c r="F10014" s="2" t="s">
        <v>6</v>
      </c>
    </row>
    <row r="10015" spans="1:6" ht="25.5">
      <c r="A10015" s="2">
        <v>10012</v>
      </c>
      <c r="B10015" s="2" t="s">
        <v>10091</v>
      </c>
      <c r="C10015" s="2" t="str">
        <f>"15351882"</f>
        <v>15351882</v>
      </c>
      <c r="D10015" s="2">
        <v>0.13700000000000001</v>
      </c>
      <c r="E10015" s="2">
        <v>9</v>
      </c>
      <c r="F10015" s="2" t="s">
        <v>6</v>
      </c>
    </row>
    <row r="10016" spans="1:6" ht="25.5">
      <c r="A10016" s="2">
        <v>10013</v>
      </c>
      <c r="B10016" s="2" t="s">
        <v>10092</v>
      </c>
      <c r="C10016" s="2" t="str">
        <f>"00218723"</f>
        <v>00218723</v>
      </c>
      <c r="D10016" s="2">
        <v>0.17499999999999999</v>
      </c>
      <c r="E10016" s="2">
        <v>19</v>
      </c>
      <c r="F10016" s="2" t="s">
        <v>6</v>
      </c>
    </row>
    <row r="10017" spans="1:6" ht="25.5">
      <c r="A10017" s="2">
        <v>10014</v>
      </c>
      <c r="B10017" s="2" t="s">
        <v>10093</v>
      </c>
      <c r="C10017" s="2" t="str">
        <f>"14695154"</f>
        <v>14695154</v>
      </c>
      <c r="D10017" s="2">
        <v>0.129</v>
      </c>
      <c r="E10017" s="2">
        <v>5</v>
      </c>
      <c r="F10017" s="2" t="s">
        <v>16</v>
      </c>
    </row>
    <row r="10018" spans="1:6" ht="25.5">
      <c r="A10018" s="2">
        <v>10015</v>
      </c>
      <c r="B10018" s="2" t="s">
        <v>10094</v>
      </c>
      <c r="C10018" s="2" t="str">
        <f>"09709185"</f>
        <v>09709185</v>
      </c>
      <c r="D10018" s="2">
        <v>0.16</v>
      </c>
      <c r="E10018" s="2">
        <v>5</v>
      </c>
      <c r="F10018" s="2" t="s">
        <v>488</v>
      </c>
    </row>
    <row r="10019" spans="1:6" ht="25.5">
      <c r="A10019" s="2">
        <v>10016</v>
      </c>
      <c r="B10019" s="2" t="s">
        <v>10095</v>
      </c>
      <c r="C10019" s="2" t="str">
        <f>"09725954"</f>
        <v>09725954</v>
      </c>
      <c r="D10019" s="2">
        <v>0.13200000000000001</v>
      </c>
      <c r="E10019" s="2">
        <v>2</v>
      </c>
      <c r="F10019" s="2" t="s">
        <v>488</v>
      </c>
    </row>
    <row r="10020" spans="1:6" ht="25.5">
      <c r="A10020" s="2">
        <v>10017</v>
      </c>
      <c r="B10020" s="2" t="s">
        <v>10096</v>
      </c>
      <c r="C10020" s="2" t="str">
        <f>"01652370"</f>
        <v>01652370</v>
      </c>
      <c r="D10020" s="2">
        <v>1.2549999999999999</v>
      </c>
      <c r="E10020" s="2">
        <v>64</v>
      </c>
      <c r="F10020" s="2" t="s">
        <v>75</v>
      </c>
    </row>
    <row r="10021" spans="1:6" ht="25.5">
      <c r="A10021" s="2">
        <v>10018</v>
      </c>
      <c r="B10021" s="2" t="s">
        <v>10097</v>
      </c>
      <c r="C10021" s="2" t="str">
        <f>"02679477"</f>
        <v>02679477</v>
      </c>
      <c r="D10021" s="2">
        <v>1.0580000000000001</v>
      </c>
      <c r="E10021" s="2">
        <v>78</v>
      </c>
      <c r="F10021" s="2" t="s">
        <v>16</v>
      </c>
    </row>
    <row r="10022" spans="1:6" ht="25.5">
      <c r="A10022" s="2">
        <v>10019</v>
      </c>
      <c r="B10022" s="2" t="s">
        <v>10098</v>
      </c>
      <c r="C10022" s="2" t="str">
        <f>"16083199"</f>
        <v>16083199</v>
      </c>
      <c r="D10022" s="2">
        <v>0.32200000000000001</v>
      </c>
      <c r="E10022" s="2">
        <v>17</v>
      </c>
      <c r="F10022" s="2" t="s">
        <v>129</v>
      </c>
    </row>
    <row r="10023" spans="1:6" ht="25.5">
      <c r="A10023" s="2">
        <v>10020</v>
      </c>
      <c r="B10023" s="2" t="s">
        <v>10099</v>
      </c>
      <c r="C10023" s="2" t="str">
        <f>"20908873"</f>
        <v>20908873</v>
      </c>
      <c r="D10023" s="2">
        <v>0.126</v>
      </c>
      <c r="E10023" s="2">
        <v>11</v>
      </c>
      <c r="F10023" s="2" t="s">
        <v>6</v>
      </c>
    </row>
    <row r="10024" spans="1:6" ht="25.5">
      <c r="A10024" s="2">
        <v>10021</v>
      </c>
      <c r="B10024" s="2" t="s">
        <v>10100</v>
      </c>
      <c r="C10024" s="2" t="str">
        <f>"00218774"</f>
        <v>00218774</v>
      </c>
      <c r="D10024" s="2">
        <v>0.28899999999999998</v>
      </c>
      <c r="E10024" s="2">
        <v>11</v>
      </c>
      <c r="F10024" s="2" t="s">
        <v>16</v>
      </c>
    </row>
    <row r="10025" spans="1:6" ht="25.5">
      <c r="A10025" s="2">
        <v>10022</v>
      </c>
      <c r="B10025" s="2" t="s">
        <v>10101</v>
      </c>
      <c r="C10025" s="2" t="str">
        <f>"01464760"</f>
        <v>01464760</v>
      </c>
      <c r="D10025" s="2">
        <v>0.77800000000000002</v>
      </c>
      <c r="E10025" s="2">
        <v>49</v>
      </c>
      <c r="F10025" s="2" t="s">
        <v>6</v>
      </c>
    </row>
    <row r="10026" spans="1:6" ht="25.5">
      <c r="A10026" s="2">
        <v>10023</v>
      </c>
      <c r="B10026" s="2" t="s">
        <v>10102</v>
      </c>
      <c r="C10026" s="2" t="str">
        <f>"14697580"</f>
        <v>14697580</v>
      </c>
      <c r="D10026" s="2">
        <v>0.90300000000000002</v>
      </c>
      <c r="E10026" s="2">
        <v>71</v>
      </c>
      <c r="F10026" s="2" t="s">
        <v>16</v>
      </c>
    </row>
    <row r="10027" spans="1:6" ht="25.5">
      <c r="A10027" s="2">
        <v>10024</v>
      </c>
      <c r="B10027" s="2" t="s">
        <v>10103</v>
      </c>
      <c r="C10027" s="2" t="str">
        <f>"15692116"</f>
        <v>15692116</v>
      </c>
      <c r="D10027" s="2">
        <v>0.16</v>
      </c>
      <c r="E10027" s="2">
        <v>3</v>
      </c>
      <c r="F10027" s="2" t="s">
        <v>75</v>
      </c>
    </row>
    <row r="10028" spans="1:6" ht="25.5">
      <c r="A10028" s="2">
        <v>10025</v>
      </c>
      <c r="B10028" s="2" t="s">
        <v>10104</v>
      </c>
      <c r="C10028" s="2" t="str">
        <f>"01963635"</f>
        <v>01963635</v>
      </c>
      <c r="D10028" s="2">
        <v>0.77800000000000002</v>
      </c>
      <c r="E10028" s="2">
        <v>72</v>
      </c>
      <c r="F10028" s="2" t="s">
        <v>6</v>
      </c>
    </row>
    <row r="10029" spans="1:6" ht="25.5">
      <c r="A10029" s="2">
        <v>10026</v>
      </c>
      <c r="B10029" s="2" t="s">
        <v>10105</v>
      </c>
      <c r="C10029" s="2" t="str">
        <f>"14388359"</f>
        <v>14388359</v>
      </c>
      <c r="D10029" s="2">
        <v>0.39700000000000002</v>
      </c>
      <c r="E10029" s="2">
        <v>21</v>
      </c>
      <c r="F10029" s="2" t="s">
        <v>131</v>
      </c>
    </row>
    <row r="10030" spans="1:6" ht="25.5">
      <c r="A10030" s="2">
        <v>10027</v>
      </c>
      <c r="B10030" s="2" t="s">
        <v>10106</v>
      </c>
      <c r="C10030" s="2" t="str">
        <f>"12301388"</f>
        <v>12301388</v>
      </c>
      <c r="D10030" s="2">
        <v>0.35199999999999998</v>
      </c>
      <c r="E10030" s="2">
        <v>18</v>
      </c>
      <c r="F10030" s="2" t="s">
        <v>169</v>
      </c>
    </row>
    <row r="10031" spans="1:6" ht="25.5">
      <c r="A10031" s="2">
        <v>10028</v>
      </c>
      <c r="B10031" s="2" t="s">
        <v>10107</v>
      </c>
      <c r="C10031" s="2" t="str">
        <f>"10187081"</f>
        <v>10187081</v>
      </c>
      <c r="D10031" s="2">
        <v>0.26200000000000001</v>
      </c>
      <c r="E10031" s="2">
        <v>5</v>
      </c>
      <c r="F10031" s="2" t="s">
        <v>43</v>
      </c>
    </row>
    <row r="10032" spans="1:6" ht="25.5">
      <c r="A10032" s="2">
        <v>10029</v>
      </c>
      <c r="B10032" s="2" t="s">
        <v>10108</v>
      </c>
      <c r="C10032" s="2" t="str">
        <f>"16805593"</f>
        <v>16805593</v>
      </c>
      <c r="D10032" s="2">
        <v>0.22700000000000001</v>
      </c>
      <c r="E10032" s="2">
        <v>10</v>
      </c>
      <c r="F10032" s="2" t="s">
        <v>43</v>
      </c>
    </row>
    <row r="10033" spans="1:6" ht="25.5">
      <c r="A10033" s="2">
        <v>10030</v>
      </c>
      <c r="B10033" s="2" t="s">
        <v>10109</v>
      </c>
      <c r="C10033" s="2" t="str">
        <f>"14390388"</f>
        <v>14390388</v>
      </c>
      <c r="D10033" s="2">
        <v>0.82</v>
      </c>
      <c r="E10033" s="2">
        <v>31</v>
      </c>
      <c r="F10033" s="2" t="s">
        <v>16</v>
      </c>
    </row>
    <row r="10034" spans="1:6" ht="25.5">
      <c r="A10034" s="2">
        <v>10031</v>
      </c>
      <c r="B10034" s="2" t="s">
        <v>10110</v>
      </c>
      <c r="C10034" s="2" t="str">
        <f>"13652656"</f>
        <v>13652656</v>
      </c>
      <c r="D10034" s="2">
        <v>2.6059999999999999</v>
      </c>
      <c r="E10034" s="2">
        <v>94</v>
      </c>
      <c r="F10034" s="2" t="s">
        <v>16</v>
      </c>
    </row>
    <row r="10035" spans="1:6" ht="25.5">
      <c r="A10035" s="2">
        <v>10032</v>
      </c>
      <c r="B10035" s="2" t="s">
        <v>10111</v>
      </c>
      <c r="C10035" s="2" t="str">
        <f>"14390396"</f>
        <v>14390396</v>
      </c>
      <c r="D10035" s="2">
        <v>0.5</v>
      </c>
      <c r="E10035" s="2">
        <v>25</v>
      </c>
      <c r="F10035" s="2" t="s">
        <v>16</v>
      </c>
    </row>
    <row r="10036" spans="1:6" ht="25.5">
      <c r="A10036" s="2">
        <v>10033</v>
      </c>
      <c r="B10036" s="2" t="s">
        <v>10112</v>
      </c>
      <c r="C10036" s="2" t="str">
        <f>"15253163"</f>
        <v>15253163</v>
      </c>
      <c r="D10036" s="2">
        <v>1.252</v>
      </c>
      <c r="E10036" s="2">
        <v>87</v>
      </c>
      <c r="F10036" s="2" t="s">
        <v>6</v>
      </c>
    </row>
    <row r="10037" spans="1:6" ht="25.5">
      <c r="A10037" s="2">
        <v>10034</v>
      </c>
      <c r="B10037" s="2" t="s">
        <v>10113</v>
      </c>
      <c r="C10037" s="2" t="str">
        <f>"10902686"</f>
        <v>10902686</v>
      </c>
      <c r="D10037" s="2">
        <v>0.95599999999999996</v>
      </c>
      <c r="E10037" s="2">
        <v>31</v>
      </c>
      <c r="F10037" s="2" t="s">
        <v>6</v>
      </c>
    </row>
    <row r="10038" spans="1:6" ht="25.5">
      <c r="A10038" s="2">
        <v>10035</v>
      </c>
      <c r="B10038" s="2" t="s">
        <v>10114</v>
      </c>
      <c r="C10038" s="2" t="str">
        <f>"00917710"</f>
        <v>00917710</v>
      </c>
      <c r="D10038" s="2">
        <v>0.56100000000000005</v>
      </c>
      <c r="E10038" s="2">
        <v>18</v>
      </c>
      <c r="F10038" s="2" t="s">
        <v>6</v>
      </c>
    </row>
    <row r="10039" spans="1:6" ht="25.5">
      <c r="A10039" s="2">
        <v>10036</v>
      </c>
      <c r="B10039" s="2" t="s">
        <v>10115</v>
      </c>
      <c r="C10039" s="2" t="str">
        <f>"18274765"</f>
        <v>18274765</v>
      </c>
      <c r="D10039" s="2">
        <v>0.45200000000000001</v>
      </c>
      <c r="E10039" s="2">
        <v>8</v>
      </c>
      <c r="F10039" s="2" t="s">
        <v>190</v>
      </c>
    </row>
    <row r="10040" spans="1:6" ht="25.5">
      <c r="A10040" s="2">
        <v>10037</v>
      </c>
      <c r="B10040" s="2" t="s">
        <v>10116</v>
      </c>
      <c r="C10040" s="2" t="str">
        <f>"00218820"</f>
        <v>00218820</v>
      </c>
      <c r="D10040" s="2">
        <v>0.755</v>
      </c>
      <c r="E10040" s="2">
        <v>49</v>
      </c>
      <c r="F10040" s="2" t="s">
        <v>131</v>
      </c>
    </row>
    <row r="10041" spans="1:6" ht="25.5">
      <c r="A10041" s="2">
        <v>10038</v>
      </c>
      <c r="B10041" s="2" t="s">
        <v>10117</v>
      </c>
      <c r="C10041" s="2" t="str">
        <f>"14602091"</f>
        <v>14602091</v>
      </c>
      <c r="D10041" s="2">
        <v>1.8140000000000001</v>
      </c>
      <c r="E10041" s="2">
        <v>122</v>
      </c>
      <c r="F10041" s="2" t="s">
        <v>16</v>
      </c>
    </row>
    <row r="10042" spans="1:6" ht="25.5">
      <c r="A10042" s="2">
        <v>10039</v>
      </c>
      <c r="B10042" s="2" t="s">
        <v>10118</v>
      </c>
      <c r="C10042" s="2" t="str">
        <f>"19485964"</f>
        <v>19485964</v>
      </c>
      <c r="D10042" s="2">
        <v>0.183</v>
      </c>
      <c r="E10042" s="2">
        <v>3</v>
      </c>
      <c r="F10042" s="2" t="s">
        <v>6</v>
      </c>
    </row>
    <row r="10043" spans="1:6" ht="25.5">
      <c r="A10043" s="2">
        <v>10040</v>
      </c>
      <c r="B10043" s="2" t="s">
        <v>10119</v>
      </c>
      <c r="C10043" s="2" t="str">
        <f>"08876185"</f>
        <v>08876185</v>
      </c>
      <c r="D10043" s="2">
        <v>1.5549999999999999</v>
      </c>
      <c r="E10043" s="2">
        <v>60</v>
      </c>
      <c r="F10043" s="2" t="s">
        <v>16</v>
      </c>
    </row>
    <row r="10044" spans="1:6" ht="25.5">
      <c r="A10044" s="2">
        <v>10041</v>
      </c>
      <c r="B10044" s="2" t="s">
        <v>10120</v>
      </c>
      <c r="C10044" s="2" t="str">
        <f>"10603271"</f>
        <v>10603271</v>
      </c>
      <c r="D10044" s="2">
        <v>0.49199999999999999</v>
      </c>
      <c r="E10044" s="2">
        <v>56</v>
      </c>
      <c r="F10044" s="2" t="s">
        <v>6</v>
      </c>
    </row>
    <row r="10045" spans="1:6" ht="25.5">
      <c r="A10045" s="2">
        <v>10042</v>
      </c>
      <c r="B10045" s="2" t="s">
        <v>10121</v>
      </c>
      <c r="C10045" s="2" t="str">
        <f>"00218839"</f>
        <v>00218839</v>
      </c>
      <c r="D10045" s="2">
        <v>0.81</v>
      </c>
      <c r="E10045" s="2">
        <v>23</v>
      </c>
      <c r="F10045" s="2" t="s">
        <v>16</v>
      </c>
    </row>
    <row r="10046" spans="1:6" ht="25.5">
      <c r="A10046" s="2">
        <v>10043</v>
      </c>
      <c r="B10046" s="2" t="s">
        <v>10122</v>
      </c>
      <c r="C10046" s="2" t="str">
        <f>"16434439"</f>
        <v>16434439</v>
      </c>
      <c r="D10046" s="2">
        <v>0.193</v>
      </c>
      <c r="E10046" s="2">
        <v>5</v>
      </c>
      <c r="F10046" s="2" t="s">
        <v>169</v>
      </c>
    </row>
    <row r="10047" spans="1:6" ht="25.5">
      <c r="A10047" s="2">
        <v>10044</v>
      </c>
      <c r="B10047" s="2" t="s">
        <v>10123</v>
      </c>
      <c r="C10047" s="2" t="str">
        <f>"09675426"</f>
        <v>09675426</v>
      </c>
      <c r="D10047" s="2">
        <v>0.13</v>
      </c>
      <c r="E10047" s="2">
        <v>2</v>
      </c>
      <c r="F10047" s="2" t="s">
        <v>16</v>
      </c>
    </row>
    <row r="10048" spans="1:6" ht="25.5">
      <c r="A10048" s="2">
        <v>10045</v>
      </c>
      <c r="B10048" s="2" t="s">
        <v>10124</v>
      </c>
      <c r="C10048" s="2" t="str">
        <f>"14256908"</f>
        <v>14256908</v>
      </c>
      <c r="D10048" s="2">
        <v>0.28299999999999997</v>
      </c>
      <c r="E10048" s="2">
        <v>9</v>
      </c>
      <c r="F10048" s="2" t="s">
        <v>12</v>
      </c>
    </row>
    <row r="10049" spans="1:6" ht="25.5">
      <c r="A10049" s="2">
        <v>10046</v>
      </c>
      <c r="B10049" s="2" t="s">
        <v>10125</v>
      </c>
      <c r="C10049" s="2" t="str">
        <f>"19904797"</f>
        <v>19904797</v>
      </c>
      <c r="D10049" s="2">
        <v>0.14499999999999999</v>
      </c>
      <c r="E10049" s="2">
        <v>4</v>
      </c>
      <c r="F10049" s="2" t="s">
        <v>129</v>
      </c>
    </row>
    <row r="10050" spans="1:6" ht="25.5">
      <c r="A10050" s="2">
        <v>10047</v>
      </c>
      <c r="B10050" s="2" t="s">
        <v>10126</v>
      </c>
      <c r="C10050" s="2" t="str">
        <f>"09712119"</f>
        <v>09712119</v>
      </c>
      <c r="D10050" s="2">
        <v>0.20599999999999999</v>
      </c>
      <c r="E10050" s="2">
        <v>13</v>
      </c>
      <c r="F10050" s="2" t="s">
        <v>488</v>
      </c>
    </row>
    <row r="10051" spans="1:6" ht="25.5">
      <c r="A10051" s="2">
        <v>10048</v>
      </c>
      <c r="B10051" s="2" t="s">
        <v>10127</v>
      </c>
      <c r="C10051" s="2" t="str">
        <f>"10888705"</f>
        <v>10888705</v>
      </c>
      <c r="D10051" s="2">
        <v>0.36</v>
      </c>
      <c r="E10051" s="2">
        <v>18</v>
      </c>
      <c r="F10051" s="2" t="s">
        <v>16</v>
      </c>
    </row>
    <row r="10052" spans="1:6" ht="25.5">
      <c r="A10052" s="2">
        <v>10049</v>
      </c>
      <c r="B10052" s="2" t="s">
        <v>10128</v>
      </c>
      <c r="C10052" s="2" t="str">
        <f>"15450805"</f>
        <v>15450805</v>
      </c>
      <c r="D10052" s="2">
        <v>0.19500000000000001</v>
      </c>
      <c r="E10052" s="2">
        <v>15</v>
      </c>
      <c r="F10052" s="2" t="s">
        <v>6</v>
      </c>
    </row>
    <row r="10053" spans="1:6" ht="25.5">
      <c r="A10053" s="2">
        <v>10050</v>
      </c>
      <c r="B10053" s="2" t="s">
        <v>10129</v>
      </c>
      <c r="C10053" s="2" t="str">
        <f>"00218863"</f>
        <v>00218863</v>
      </c>
      <c r="D10053" s="2">
        <v>0.64900000000000002</v>
      </c>
      <c r="E10053" s="2">
        <v>31</v>
      </c>
      <c r="F10053" s="2" t="s">
        <v>6</v>
      </c>
    </row>
    <row r="10054" spans="1:6" ht="25.5">
      <c r="A10054" s="2">
        <v>10051</v>
      </c>
      <c r="B10054" s="2" t="s">
        <v>10130</v>
      </c>
      <c r="C10054" s="2" t="str">
        <f>"00218855"</f>
        <v>00218855</v>
      </c>
      <c r="D10054" s="2">
        <v>0.58199999999999996</v>
      </c>
      <c r="E10054" s="2">
        <v>48</v>
      </c>
      <c r="F10054" s="2" t="s">
        <v>6</v>
      </c>
    </row>
    <row r="10055" spans="1:6" ht="25.5">
      <c r="A10055" s="2">
        <v>10052</v>
      </c>
      <c r="B10055" s="2" t="s">
        <v>10131</v>
      </c>
      <c r="C10055" s="2" t="str">
        <f>"10712089"</f>
        <v>10712089</v>
      </c>
      <c r="D10055" s="2">
        <v>0.23599999999999999</v>
      </c>
      <c r="E10055" s="2">
        <v>15</v>
      </c>
      <c r="F10055" s="2" t="s">
        <v>6</v>
      </c>
    </row>
    <row r="10056" spans="1:6" ht="25.5">
      <c r="A10056" s="2">
        <v>10053</v>
      </c>
      <c r="B10056" s="2" t="s">
        <v>10132</v>
      </c>
      <c r="C10056" s="2" t="str">
        <f>"19760442"</f>
        <v>19760442</v>
      </c>
      <c r="D10056" s="2">
        <v>0.24199999999999999</v>
      </c>
      <c r="E10056" s="2">
        <v>5</v>
      </c>
      <c r="F10056" s="2" t="s">
        <v>274</v>
      </c>
    </row>
    <row r="10057" spans="1:6" ht="25.5">
      <c r="A10057" s="2">
        <v>10054</v>
      </c>
      <c r="B10057" s="2" t="s">
        <v>10133</v>
      </c>
      <c r="C10057" s="2" t="str">
        <f>"13071130"</f>
        <v>13071130</v>
      </c>
      <c r="D10057" s="2">
        <v>0.113</v>
      </c>
      <c r="E10057" s="2">
        <v>3</v>
      </c>
      <c r="F10057" s="2" t="s">
        <v>345</v>
      </c>
    </row>
    <row r="10058" spans="1:6" ht="25.5">
      <c r="A10058" s="2">
        <v>10055</v>
      </c>
      <c r="B10058" s="2" t="s">
        <v>10134</v>
      </c>
      <c r="C10058" s="2" t="str">
        <f>"17226899"</f>
        <v>17226899</v>
      </c>
      <c r="D10058" s="2">
        <v>0.33700000000000002</v>
      </c>
      <c r="E10058" s="2">
        <v>14</v>
      </c>
      <c r="F10058" s="2" t="s">
        <v>190</v>
      </c>
    </row>
    <row r="10059" spans="1:6" ht="25.5">
      <c r="A10059" s="2">
        <v>10056</v>
      </c>
      <c r="B10059" s="2" t="s">
        <v>10135</v>
      </c>
      <c r="C10059" s="2" t="str">
        <f>"22808000"</f>
        <v>22808000</v>
      </c>
      <c r="D10059" s="2">
        <v>0</v>
      </c>
      <c r="E10059" s="2">
        <v>1</v>
      </c>
      <c r="F10059" s="2" t="s">
        <v>190</v>
      </c>
    </row>
    <row r="10060" spans="1:6" ht="25.5">
      <c r="A10060" s="2">
        <v>10057</v>
      </c>
      <c r="B10060" s="2" t="s">
        <v>10136</v>
      </c>
      <c r="C10060" s="2" t="str">
        <f>"15432688"</f>
        <v>15432688</v>
      </c>
      <c r="D10060" s="2">
        <v>0.499</v>
      </c>
      <c r="E10060" s="2">
        <v>33</v>
      </c>
      <c r="F10060" s="2" t="s">
        <v>6</v>
      </c>
    </row>
    <row r="10061" spans="1:6" ht="25.5">
      <c r="A10061" s="2">
        <v>10058</v>
      </c>
      <c r="B10061" s="2" t="s">
        <v>10137</v>
      </c>
      <c r="C10061" s="2" t="str">
        <f>"12140287"</f>
        <v>12140287</v>
      </c>
      <c r="D10061" s="2">
        <v>0.30299999999999999</v>
      </c>
      <c r="E10061" s="2">
        <v>12</v>
      </c>
      <c r="F10061" s="2" t="s">
        <v>208</v>
      </c>
    </row>
    <row r="10062" spans="1:6" ht="25.5">
      <c r="A10062" s="2">
        <v>10059</v>
      </c>
      <c r="B10062" s="2" t="s">
        <v>10138</v>
      </c>
      <c r="C10062" s="2" t="str">
        <f>"16139216"</f>
        <v>16139216</v>
      </c>
      <c r="D10062" s="2">
        <v>0.20699999999999999</v>
      </c>
      <c r="E10062" s="2">
        <v>22</v>
      </c>
      <c r="F10062" s="2" t="s">
        <v>12</v>
      </c>
    </row>
    <row r="10063" spans="1:6" ht="25.5">
      <c r="A10063" s="2">
        <v>10060</v>
      </c>
      <c r="B10063" s="2" t="s">
        <v>10139</v>
      </c>
      <c r="C10063" s="2" t="str">
        <f>"08927626"</f>
        <v>08927626</v>
      </c>
      <c r="D10063" s="2">
        <v>0.156</v>
      </c>
      <c r="E10063" s="2">
        <v>6</v>
      </c>
      <c r="F10063" s="2" t="s">
        <v>6</v>
      </c>
    </row>
    <row r="10064" spans="1:6" ht="25.5">
      <c r="A10064" s="2">
        <v>10061</v>
      </c>
      <c r="B10064" s="2" t="s">
        <v>10140</v>
      </c>
      <c r="C10064" s="2" t="str">
        <f>"15269914"</f>
        <v>15269914</v>
      </c>
      <c r="D10064" s="2">
        <v>0.36</v>
      </c>
      <c r="E10064" s="2">
        <v>23</v>
      </c>
      <c r="F10064" s="2" t="s">
        <v>6</v>
      </c>
    </row>
    <row r="10065" spans="1:6" ht="25.5">
      <c r="A10065" s="2">
        <v>10062</v>
      </c>
      <c r="B10065" s="2" t="s">
        <v>10141</v>
      </c>
      <c r="C10065" s="2" t="str">
        <f>"00909882"</f>
        <v>00909882</v>
      </c>
      <c r="D10065" s="2">
        <v>0.44900000000000001</v>
      </c>
      <c r="E10065" s="2">
        <v>26</v>
      </c>
      <c r="F10065" s="2" t="s">
        <v>6</v>
      </c>
    </row>
    <row r="10066" spans="1:6" ht="25.5">
      <c r="A10066" s="2">
        <v>10063</v>
      </c>
      <c r="B10066" s="2" t="s">
        <v>10142</v>
      </c>
      <c r="C10066" s="2" t="str">
        <f>"03928543"</f>
        <v>03928543</v>
      </c>
      <c r="D10066" s="2">
        <v>0.123</v>
      </c>
      <c r="E10066" s="2">
        <v>7</v>
      </c>
      <c r="F10066" s="2" t="s">
        <v>190</v>
      </c>
    </row>
    <row r="10067" spans="1:6" ht="25.5">
      <c r="A10067" s="2">
        <v>10064</v>
      </c>
      <c r="B10067" s="2" t="s">
        <v>10143</v>
      </c>
      <c r="C10067" s="2" t="str">
        <f>"16005767"</f>
        <v>16005767</v>
      </c>
      <c r="D10067" s="2">
        <v>2.2639999999999998</v>
      </c>
      <c r="E10067" s="2">
        <v>99</v>
      </c>
      <c r="F10067" s="2" t="s">
        <v>16</v>
      </c>
    </row>
    <row r="10068" spans="1:6" ht="25.5">
      <c r="A10068" s="2">
        <v>10065</v>
      </c>
      <c r="B10068" s="2" t="s">
        <v>10144</v>
      </c>
      <c r="C10068" s="2" t="str">
        <f>"01933973"</f>
        <v>01933973</v>
      </c>
      <c r="D10068" s="2">
        <v>1.2030000000000001</v>
      </c>
      <c r="E10068" s="2">
        <v>40</v>
      </c>
      <c r="F10068" s="2" t="s">
        <v>75</v>
      </c>
    </row>
    <row r="10069" spans="1:6" ht="25.5">
      <c r="A10069" s="2">
        <v>10066</v>
      </c>
      <c r="B10069" s="2" t="s">
        <v>10145</v>
      </c>
      <c r="C10069" s="2" t="str">
        <f>"13652664"</f>
        <v>13652664</v>
      </c>
      <c r="D10069" s="2">
        <v>2.5609999999999999</v>
      </c>
      <c r="E10069" s="2">
        <v>102</v>
      </c>
      <c r="F10069" s="2" t="s">
        <v>16</v>
      </c>
    </row>
    <row r="10070" spans="1:6" ht="25.5">
      <c r="A10070" s="2">
        <v>10067</v>
      </c>
      <c r="B10070" s="2" t="s">
        <v>10146</v>
      </c>
      <c r="C10070" s="2" t="str">
        <f>"10991255"</f>
        <v>10991255</v>
      </c>
      <c r="D10070" s="2">
        <v>2.915</v>
      </c>
      <c r="E10070" s="2">
        <v>54</v>
      </c>
      <c r="F10070" s="2" t="s">
        <v>16</v>
      </c>
    </row>
    <row r="10071" spans="1:6" ht="25.5">
      <c r="A10071" s="2">
        <v>10068</v>
      </c>
      <c r="B10071" s="2" t="s">
        <v>10147</v>
      </c>
      <c r="C10071" s="2" t="str">
        <f>"16676726"</f>
        <v>16676726</v>
      </c>
      <c r="D10071" s="2">
        <v>0.33600000000000002</v>
      </c>
      <c r="E10071" s="2">
        <v>7</v>
      </c>
      <c r="F10071" s="2" t="s">
        <v>16</v>
      </c>
    </row>
    <row r="10072" spans="1:6" ht="25.5">
      <c r="A10072" s="2">
        <v>10069</v>
      </c>
      <c r="B10072" s="2" t="s">
        <v>10148</v>
      </c>
      <c r="C10072" s="2" t="str">
        <f>"18436110"</f>
        <v>18436110</v>
      </c>
      <c r="D10072" s="2">
        <v>0.19</v>
      </c>
      <c r="E10072" s="2">
        <v>3</v>
      </c>
      <c r="F10072" s="2" t="s">
        <v>19</v>
      </c>
    </row>
    <row r="10073" spans="1:6" ht="25.5">
      <c r="A10073" s="2">
        <v>10070</v>
      </c>
      <c r="B10073" s="2" t="s">
        <v>10149</v>
      </c>
      <c r="C10073" s="2" t="str">
        <f>"15728838"</f>
        <v>15728838</v>
      </c>
      <c r="D10073" s="2">
        <v>0.64</v>
      </c>
      <c r="E10073" s="2">
        <v>72</v>
      </c>
      <c r="F10073" s="2" t="s">
        <v>75</v>
      </c>
    </row>
    <row r="10074" spans="1:6" ht="25.5">
      <c r="A10074" s="2">
        <v>10071</v>
      </c>
      <c r="B10074" s="2" t="s">
        <v>10150</v>
      </c>
      <c r="C10074" s="2" t="str">
        <f>"14390418"</f>
        <v>14390418</v>
      </c>
      <c r="D10074" s="2">
        <v>0.69699999999999995</v>
      </c>
      <c r="E10074" s="2">
        <v>31</v>
      </c>
      <c r="F10074" s="2" t="s">
        <v>16</v>
      </c>
    </row>
    <row r="10075" spans="1:6" ht="25.5">
      <c r="A10075" s="2">
        <v>10072</v>
      </c>
      <c r="B10075" s="2" t="s">
        <v>10151</v>
      </c>
      <c r="C10075" s="2" t="str">
        <f>"15414183"</f>
        <v>15414183</v>
      </c>
      <c r="D10075" s="2">
        <v>0.115</v>
      </c>
      <c r="E10075" s="2">
        <v>9</v>
      </c>
      <c r="F10075" s="2" t="s">
        <v>6</v>
      </c>
    </row>
    <row r="10076" spans="1:6" ht="25.5">
      <c r="A10076" s="2">
        <v>10073</v>
      </c>
      <c r="B10076" s="2" t="s">
        <v>10152</v>
      </c>
      <c r="C10076" s="2" t="str">
        <f>"17353645"</f>
        <v>17353645</v>
      </c>
      <c r="D10076" s="2">
        <v>0.40799999999999997</v>
      </c>
      <c r="E10076" s="2">
        <v>6</v>
      </c>
      <c r="F10076" s="2" t="s">
        <v>299</v>
      </c>
    </row>
    <row r="10077" spans="1:6" ht="25.5">
      <c r="A10077" s="2">
        <v>10074</v>
      </c>
      <c r="B10077" s="2" t="s">
        <v>10153</v>
      </c>
      <c r="C10077" s="2" t="str">
        <f>"12341983"</f>
        <v>12341983</v>
      </c>
      <c r="D10077" s="2">
        <v>0.52600000000000002</v>
      </c>
      <c r="E10077" s="2">
        <v>27</v>
      </c>
      <c r="F10077" s="2" t="s">
        <v>12</v>
      </c>
    </row>
    <row r="10078" spans="1:6" ht="25.5">
      <c r="A10078" s="2">
        <v>10075</v>
      </c>
      <c r="B10078" s="2" t="s">
        <v>10154</v>
      </c>
      <c r="C10078" s="2" t="str">
        <f>"09269851"</f>
        <v>09269851</v>
      </c>
      <c r="D10078" s="2">
        <v>0.86399999999999999</v>
      </c>
      <c r="E10078" s="2">
        <v>41</v>
      </c>
      <c r="F10078" s="2" t="s">
        <v>75</v>
      </c>
    </row>
    <row r="10079" spans="1:6" ht="25.5">
      <c r="A10079" s="2">
        <v>10076</v>
      </c>
      <c r="B10079" s="2" t="s">
        <v>10155</v>
      </c>
      <c r="C10079" s="2" t="str">
        <f>"07334648"</f>
        <v>07334648</v>
      </c>
      <c r="D10079" s="2">
        <v>0.56399999999999995</v>
      </c>
      <c r="E10079" s="2">
        <v>26</v>
      </c>
      <c r="F10079" s="2" t="s">
        <v>6</v>
      </c>
    </row>
    <row r="10080" spans="1:6" ht="25.5">
      <c r="A10080" s="2">
        <v>10077</v>
      </c>
      <c r="B10080" s="2" t="s">
        <v>10156</v>
      </c>
      <c r="C10080" s="2" t="str">
        <f>"09721045"</f>
        <v>09721045</v>
      </c>
      <c r="D10080" s="2">
        <v>0.10199999999999999</v>
      </c>
      <c r="E10080" s="2">
        <v>2</v>
      </c>
      <c r="F10080" s="2" t="s">
        <v>488</v>
      </c>
    </row>
    <row r="10081" spans="1:6" ht="25.5">
      <c r="A10081" s="2">
        <v>10078</v>
      </c>
      <c r="B10081" s="2" t="s">
        <v>10157</v>
      </c>
      <c r="C10081" s="2" t="str">
        <f>"14390426"</f>
        <v>14390426</v>
      </c>
      <c r="D10081" s="2">
        <v>0.42699999999999999</v>
      </c>
      <c r="E10081" s="2">
        <v>33</v>
      </c>
      <c r="F10081" s="2" t="s">
        <v>16</v>
      </c>
    </row>
    <row r="10082" spans="1:6" ht="25.5">
      <c r="A10082" s="2">
        <v>10079</v>
      </c>
      <c r="B10082" s="2" t="s">
        <v>10158</v>
      </c>
      <c r="C10082" s="2" t="str">
        <f>"15708683"</f>
        <v>15708683</v>
      </c>
      <c r="D10082" s="2">
        <v>1.079</v>
      </c>
      <c r="E10082" s="2">
        <v>17</v>
      </c>
      <c r="F10082" s="2" t="s">
        <v>75</v>
      </c>
    </row>
    <row r="10083" spans="1:6" ht="25.5">
      <c r="A10083" s="2">
        <v>10080</v>
      </c>
      <c r="B10083" s="2" t="s">
        <v>10159</v>
      </c>
      <c r="C10083" s="2" t="str">
        <f>"16870042"</f>
        <v>16870042</v>
      </c>
      <c r="D10083" s="2">
        <v>0.22700000000000001</v>
      </c>
      <c r="E10083" s="2">
        <v>13</v>
      </c>
      <c r="F10083" s="2" t="s">
        <v>6</v>
      </c>
    </row>
    <row r="10084" spans="1:6" ht="25.5">
      <c r="A10084" s="2">
        <v>10081</v>
      </c>
      <c r="B10084" s="2" t="s">
        <v>10160</v>
      </c>
      <c r="C10084" s="2" t="str">
        <f>"15985865"</f>
        <v>15985865</v>
      </c>
      <c r="D10084" s="2">
        <v>0.45100000000000001</v>
      </c>
      <c r="E10084" s="2">
        <v>18</v>
      </c>
      <c r="F10084" s="2" t="s">
        <v>12</v>
      </c>
    </row>
    <row r="10085" spans="1:6" ht="25.5">
      <c r="A10085" s="2">
        <v>10082</v>
      </c>
      <c r="B10085" s="2" t="s">
        <v>10161</v>
      </c>
      <c r="C10085" s="2" t="str">
        <f>"00218928"</f>
        <v>00218928</v>
      </c>
      <c r="D10085" s="2">
        <v>0.29799999999999999</v>
      </c>
      <c r="E10085" s="2">
        <v>11</v>
      </c>
      <c r="F10085" s="2" t="s">
        <v>75</v>
      </c>
    </row>
    <row r="10086" spans="1:6" ht="25.5">
      <c r="A10086" s="2">
        <v>10083</v>
      </c>
      <c r="B10086" s="2" t="s">
        <v>10162</v>
      </c>
      <c r="C10086" s="2" t="str">
        <f>"15297713"</f>
        <v>15297713</v>
      </c>
      <c r="D10086" s="2">
        <v>0.16200000000000001</v>
      </c>
      <c r="E10086" s="2">
        <v>20</v>
      </c>
      <c r="F10086" s="2" t="s">
        <v>6</v>
      </c>
    </row>
    <row r="10087" spans="1:6" ht="25.5">
      <c r="A10087" s="2">
        <v>10084</v>
      </c>
      <c r="B10087" s="2" t="s">
        <v>10163</v>
      </c>
      <c r="C10087" s="2" t="str">
        <f>"15738620"</f>
        <v>15738620</v>
      </c>
      <c r="D10087" s="2">
        <v>0.125</v>
      </c>
      <c r="E10087" s="2">
        <v>10</v>
      </c>
      <c r="F10087" s="2" t="s">
        <v>129</v>
      </c>
    </row>
    <row r="10088" spans="1:6" ht="25.5">
      <c r="A10088" s="2">
        <v>10085</v>
      </c>
      <c r="B10088" s="2" t="s">
        <v>10164</v>
      </c>
      <c r="C10088" s="2" t="str">
        <f>"00218936"</f>
        <v>00218936</v>
      </c>
      <c r="D10088" s="2">
        <v>0.55400000000000005</v>
      </c>
      <c r="E10088" s="2">
        <v>60</v>
      </c>
      <c r="F10088" s="2" t="s">
        <v>6</v>
      </c>
    </row>
    <row r="10089" spans="1:6" ht="25.5">
      <c r="A10089" s="2">
        <v>10086</v>
      </c>
      <c r="B10089" s="2" t="s">
        <v>10165</v>
      </c>
      <c r="C10089" s="2" t="str">
        <f>"15588424"</f>
        <v>15588424</v>
      </c>
      <c r="D10089" s="2">
        <v>1.4870000000000001</v>
      </c>
      <c r="E10089" s="2">
        <v>73</v>
      </c>
      <c r="F10089" s="2" t="s">
        <v>6</v>
      </c>
    </row>
    <row r="10090" spans="1:6" ht="25.5">
      <c r="A10090" s="2">
        <v>10087</v>
      </c>
      <c r="B10090" s="2" t="s">
        <v>10166</v>
      </c>
      <c r="C10090" s="2" t="str">
        <f>"13652672"</f>
        <v>13652672</v>
      </c>
      <c r="D10090" s="2">
        <v>0.82399999999999995</v>
      </c>
      <c r="E10090" s="2">
        <v>86</v>
      </c>
      <c r="F10090" s="2" t="s">
        <v>16</v>
      </c>
    </row>
    <row r="10091" spans="1:6" ht="25.5">
      <c r="A10091" s="2">
        <v>10088</v>
      </c>
      <c r="B10091" s="2" t="s">
        <v>10167</v>
      </c>
      <c r="C10091" s="2" t="str">
        <f>"19585780"</f>
        <v>19585780</v>
      </c>
      <c r="D10091" s="2">
        <v>0.28199999999999997</v>
      </c>
      <c r="E10091" s="2">
        <v>2</v>
      </c>
      <c r="F10091" s="2" t="s">
        <v>6</v>
      </c>
    </row>
    <row r="10092" spans="1:6" ht="25.5">
      <c r="A10092" s="2">
        <v>10089</v>
      </c>
      <c r="B10092" s="2" t="s">
        <v>10168</v>
      </c>
      <c r="C10092" s="2" t="str">
        <f>"16787765"</f>
        <v>16787765</v>
      </c>
      <c r="D10092" s="2">
        <v>0.38800000000000001</v>
      </c>
      <c r="E10092" s="2">
        <v>12</v>
      </c>
      <c r="F10092" s="2" t="s">
        <v>159</v>
      </c>
    </row>
    <row r="10093" spans="1:6" ht="25.5">
      <c r="A10093" s="2">
        <v>10090</v>
      </c>
      <c r="B10093" s="2" t="s">
        <v>10169</v>
      </c>
      <c r="C10093" s="2" t="str">
        <f>"15577244"</f>
        <v>15577244</v>
      </c>
      <c r="D10093" s="2">
        <v>0.105</v>
      </c>
      <c r="E10093" s="2">
        <v>0</v>
      </c>
      <c r="F10093" s="2" t="s">
        <v>6</v>
      </c>
    </row>
    <row r="10094" spans="1:6" ht="25.5">
      <c r="A10094" s="2">
        <v>10091</v>
      </c>
      <c r="B10094" s="2" t="s">
        <v>10170</v>
      </c>
      <c r="C10094" s="2" t="str">
        <f>"15735176"</f>
        <v>15735176</v>
      </c>
      <c r="D10094" s="2">
        <v>0.81799999999999995</v>
      </c>
      <c r="E10094" s="2">
        <v>47</v>
      </c>
      <c r="F10094" s="2" t="s">
        <v>75</v>
      </c>
    </row>
    <row r="10095" spans="1:6" ht="25.5">
      <c r="A10095" s="2">
        <v>10092</v>
      </c>
      <c r="B10095" s="2" t="s">
        <v>10171</v>
      </c>
      <c r="C10095" s="2" t="str">
        <f>"10897550"</f>
        <v>10897550</v>
      </c>
      <c r="D10095" s="2">
        <v>0.99</v>
      </c>
      <c r="E10095" s="2">
        <v>207</v>
      </c>
      <c r="F10095" s="2" t="s">
        <v>6</v>
      </c>
    </row>
    <row r="10096" spans="1:6" ht="25.5">
      <c r="A10096" s="2">
        <v>10093</v>
      </c>
      <c r="B10096" s="2" t="s">
        <v>10172</v>
      </c>
      <c r="C10096" s="2" t="str">
        <f>"87507587"</f>
        <v>87507587</v>
      </c>
      <c r="D10096" s="2">
        <v>1.39</v>
      </c>
      <c r="E10096" s="2">
        <v>147</v>
      </c>
      <c r="F10096" s="2" t="s">
        <v>6</v>
      </c>
    </row>
    <row r="10097" spans="1:6" ht="25.5">
      <c r="A10097" s="2">
        <v>10094</v>
      </c>
      <c r="B10097" s="2" t="s">
        <v>10173</v>
      </c>
      <c r="C10097" s="2" t="str">
        <f>"10974628"</f>
        <v>10974628</v>
      </c>
      <c r="D10097" s="2">
        <v>0.59499999999999997</v>
      </c>
      <c r="E10097" s="2">
        <v>101</v>
      </c>
      <c r="F10097" s="2" t="s">
        <v>6</v>
      </c>
    </row>
    <row r="10098" spans="1:6" ht="25.5">
      <c r="A10098" s="2">
        <v>10095</v>
      </c>
      <c r="B10098" s="2" t="s">
        <v>10174</v>
      </c>
      <c r="C10098" s="2" t="str">
        <f>"15370437"</f>
        <v>15370437</v>
      </c>
      <c r="D10098" s="2">
        <v>0.623</v>
      </c>
      <c r="E10098" s="2">
        <v>33</v>
      </c>
      <c r="F10098" s="2" t="s">
        <v>6</v>
      </c>
    </row>
    <row r="10099" spans="1:6" ht="25.5">
      <c r="A10099" s="2">
        <v>10096</v>
      </c>
      <c r="B10099" s="2" t="s">
        <v>10175</v>
      </c>
      <c r="C10099" s="2" t="str">
        <f>"00219002"</f>
        <v>00219002</v>
      </c>
      <c r="D10099" s="2">
        <v>0.79400000000000004</v>
      </c>
      <c r="E10099" s="2">
        <v>34</v>
      </c>
      <c r="F10099" s="2" t="s">
        <v>16</v>
      </c>
    </row>
    <row r="10100" spans="1:6" ht="25.5">
      <c r="A10100" s="2">
        <v>10097</v>
      </c>
      <c r="B10100" s="2" t="s">
        <v>10176</v>
      </c>
      <c r="C10100" s="2" t="str">
        <f>"00219010"</f>
        <v>00219010</v>
      </c>
      <c r="D10100" s="2">
        <v>4.827</v>
      </c>
      <c r="E10100" s="2">
        <v>139</v>
      </c>
      <c r="F10100" s="2" t="s">
        <v>6</v>
      </c>
    </row>
    <row r="10101" spans="1:6" ht="25.5">
      <c r="A10101" s="2">
        <v>10098</v>
      </c>
      <c r="B10101" s="2" t="s">
        <v>10177</v>
      </c>
      <c r="C10101" s="2" t="str">
        <f>"19313195"</f>
        <v>19313195</v>
      </c>
      <c r="D10101" s="2">
        <v>0.48</v>
      </c>
      <c r="E10101" s="2">
        <v>14</v>
      </c>
      <c r="F10101" s="2" t="s">
        <v>6</v>
      </c>
    </row>
    <row r="10102" spans="1:6" ht="25.5">
      <c r="A10102" s="2">
        <v>10099</v>
      </c>
      <c r="B10102" s="2" t="s">
        <v>10178</v>
      </c>
      <c r="C10102" s="2" t="str">
        <f>"1537064X"</f>
        <v>1537064X</v>
      </c>
      <c r="D10102" s="2">
        <v>0.14599999999999999</v>
      </c>
      <c r="E10102" s="2">
        <v>13</v>
      </c>
      <c r="F10102" s="2" t="s">
        <v>6</v>
      </c>
    </row>
    <row r="10103" spans="1:6" ht="25.5">
      <c r="A10103" s="2">
        <v>10100</v>
      </c>
      <c r="B10103" s="2" t="s">
        <v>10179</v>
      </c>
      <c r="C10103" s="2" t="str">
        <f>"16656423"</f>
        <v>16656423</v>
      </c>
      <c r="D10103" s="2">
        <v>0.219</v>
      </c>
      <c r="E10103" s="2">
        <v>4</v>
      </c>
      <c r="F10103" s="2" t="s">
        <v>200</v>
      </c>
    </row>
    <row r="10104" spans="1:6" ht="25.5">
      <c r="A10104" s="2">
        <v>10101</v>
      </c>
      <c r="B10104" s="2" t="s">
        <v>10180</v>
      </c>
      <c r="C10104" s="2" t="str">
        <f>"14683148"</f>
        <v>14683148</v>
      </c>
      <c r="D10104" s="2">
        <v>0.872</v>
      </c>
      <c r="E10104" s="2">
        <v>32</v>
      </c>
      <c r="F10104" s="2" t="s">
        <v>16</v>
      </c>
    </row>
    <row r="10105" spans="1:6" ht="25.5">
      <c r="A10105" s="2">
        <v>10102</v>
      </c>
      <c r="B10105" s="2" t="s">
        <v>10181</v>
      </c>
      <c r="C10105" s="2" t="str">
        <f>"22113681"</f>
        <v>22113681</v>
      </c>
      <c r="D10105" s="2">
        <v>0</v>
      </c>
      <c r="E10105" s="2">
        <v>4</v>
      </c>
      <c r="F10105" s="2" t="s">
        <v>75</v>
      </c>
    </row>
    <row r="10106" spans="1:6" ht="25.5">
      <c r="A10106" s="2">
        <v>10103</v>
      </c>
      <c r="B10106" s="2" t="s">
        <v>10182</v>
      </c>
      <c r="C10106" s="2" t="str">
        <f>"15377911"</f>
        <v>15377911</v>
      </c>
      <c r="D10106" s="2">
        <v>0.315</v>
      </c>
      <c r="E10106" s="2">
        <v>8</v>
      </c>
      <c r="F10106" s="2" t="s">
        <v>16</v>
      </c>
    </row>
    <row r="10107" spans="1:6" ht="25.5">
      <c r="A10107" s="2">
        <v>10104</v>
      </c>
      <c r="B10107" s="2" t="s">
        <v>10183</v>
      </c>
      <c r="C10107" s="2" t="str">
        <f>"18125662"</f>
        <v>18125662</v>
      </c>
      <c r="D10107" s="2">
        <v>0.35099999999999998</v>
      </c>
      <c r="E10107" s="2">
        <v>16</v>
      </c>
      <c r="F10107" s="2" t="s">
        <v>43</v>
      </c>
    </row>
    <row r="10108" spans="1:6" ht="25.5">
      <c r="A10108" s="2">
        <v>10105</v>
      </c>
      <c r="B10108" s="2" t="s">
        <v>10184</v>
      </c>
      <c r="C10108" s="2" t="str">
        <f>"1816157X"</f>
        <v>1816157X</v>
      </c>
      <c r="D10108" s="2">
        <v>0.16800000000000001</v>
      </c>
      <c r="E10108" s="2">
        <v>8</v>
      </c>
      <c r="F10108" s="2" t="s">
        <v>43</v>
      </c>
    </row>
    <row r="10109" spans="1:6" ht="25.5">
      <c r="A10109" s="2">
        <v>10106</v>
      </c>
      <c r="B10109" s="2" t="s">
        <v>10185</v>
      </c>
      <c r="C10109" s="2" t="str">
        <f>"19361629"</f>
        <v>19361629</v>
      </c>
      <c r="D10109" s="2">
        <v>0.17100000000000001</v>
      </c>
      <c r="E10109" s="2">
        <v>3</v>
      </c>
      <c r="F10109" s="2" t="s">
        <v>16</v>
      </c>
    </row>
    <row r="10110" spans="1:6" ht="25.5">
      <c r="A10110" s="2">
        <v>10107</v>
      </c>
      <c r="B10110" s="2" t="s">
        <v>10186</v>
      </c>
      <c r="C10110" s="2" t="str">
        <f>"15591816"</f>
        <v>15591816</v>
      </c>
      <c r="D10110" s="2">
        <v>0.53200000000000003</v>
      </c>
      <c r="E10110" s="2">
        <v>59</v>
      </c>
      <c r="F10110" s="2" t="s">
        <v>16</v>
      </c>
    </row>
    <row r="10111" spans="1:6" ht="25.5">
      <c r="A10111" s="2">
        <v>10108</v>
      </c>
      <c r="B10111" s="2" t="s">
        <v>10187</v>
      </c>
      <c r="C10111" s="2" t="str">
        <f>"19367244"</f>
        <v>19367244</v>
      </c>
      <c r="D10111" s="2">
        <v>0.109</v>
      </c>
      <c r="E10111" s="2">
        <v>2</v>
      </c>
      <c r="F10111" s="2" t="s">
        <v>6</v>
      </c>
    </row>
    <row r="10112" spans="1:6" ht="25.5">
      <c r="A10112" s="2">
        <v>10109</v>
      </c>
      <c r="B10112" s="2" t="s">
        <v>10188</v>
      </c>
      <c r="C10112" s="2" t="str">
        <f>"15738647"</f>
        <v>15738647</v>
      </c>
      <c r="D10112" s="2">
        <v>0.17399999999999999</v>
      </c>
      <c r="E10112" s="2">
        <v>10</v>
      </c>
      <c r="F10112" s="2" t="s">
        <v>12</v>
      </c>
    </row>
    <row r="10113" spans="1:6" ht="25.5">
      <c r="A10113" s="2">
        <v>10110</v>
      </c>
      <c r="B10113" s="2" t="s">
        <v>10189</v>
      </c>
      <c r="C10113" s="2" t="str">
        <f>"10413200"</f>
        <v>10413200</v>
      </c>
      <c r="D10113" s="2">
        <v>0.872</v>
      </c>
      <c r="E10113" s="2">
        <v>36</v>
      </c>
      <c r="F10113" s="2" t="s">
        <v>16</v>
      </c>
    </row>
    <row r="10114" spans="1:6" ht="25.5">
      <c r="A10114" s="2">
        <v>10111</v>
      </c>
      <c r="B10114" s="2" t="s">
        <v>10190</v>
      </c>
      <c r="C10114" s="2" t="str">
        <f>"13600532"</f>
        <v>13600532</v>
      </c>
      <c r="D10114" s="2">
        <v>0.40699999999999997</v>
      </c>
      <c r="E10114" s="2">
        <v>28</v>
      </c>
      <c r="F10114" s="2" t="s">
        <v>6</v>
      </c>
    </row>
    <row r="10115" spans="1:6" ht="25.5">
      <c r="A10115" s="2">
        <v>10112</v>
      </c>
      <c r="B10115" s="2" t="s">
        <v>10191</v>
      </c>
      <c r="C10115" s="2" t="str">
        <f>"10292659"</f>
        <v>10292659</v>
      </c>
      <c r="D10115" s="2">
        <v>0.13100000000000001</v>
      </c>
      <c r="E10115" s="2">
        <v>7</v>
      </c>
      <c r="F10115" s="2" t="s">
        <v>16</v>
      </c>
    </row>
    <row r="10116" spans="1:6" ht="25.5">
      <c r="A10116" s="2">
        <v>10113</v>
      </c>
      <c r="B10116" s="2" t="s">
        <v>10192</v>
      </c>
      <c r="C10116" s="2" t="str">
        <f>"10991263"</f>
        <v>10991263</v>
      </c>
      <c r="D10116" s="2">
        <v>0.68899999999999995</v>
      </c>
      <c r="E10116" s="2">
        <v>47</v>
      </c>
      <c r="F10116" s="2" t="s">
        <v>16</v>
      </c>
    </row>
    <row r="10117" spans="1:6" ht="25.5">
      <c r="A10117" s="2">
        <v>10114</v>
      </c>
      <c r="B10117" s="2" t="s">
        <v>10193</v>
      </c>
      <c r="C10117" s="2" t="str">
        <f>"00219045"</f>
        <v>00219045</v>
      </c>
      <c r="D10117" s="2">
        <v>0.97299999999999998</v>
      </c>
      <c r="E10117" s="2">
        <v>31</v>
      </c>
      <c r="F10117" s="2" t="s">
        <v>6</v>
      </c>
    </row>
    <row r="10118" spans="1:6" ht="25.5">
      <c r="A10118" s="2">
        <v>10115</v>
      </c>
      <c r="B10118" s="2" t="s">
        <v>10194</v>
      </c>
      <c r="C10118" s="2" t="str">
        <f>"15488667"</f>
        <v>15488667</v>
      </c>
      <c r="D10118" s="2">
        <v>0.57799999999999996</v>
      </c>
      <c r="E10118" s="2">
        <v>34</v>
      </c>
      <c r="F10118" s="2" t="s">
        <v>6</v>
      </c>
    </row>
    <row r="10119" spans="1:6" ht="25.5">
      <c r="A10119" s="2">
        <v>10116</v>
      </c>
      <c r="B10119" s="2" t="s">
        <v>10195</v>
      </c>
      <c r="C10119" s="2" t="str">
        <f>"10498850"</f>
        <v>10498850</v>
      </c>
      <c r="D10119" s="2">
        <v>0.38100000000000001</v>
      </c>
      <c r="E10119" s="2">
        <v>15</v>
      </c>
      <c r="F10119" s="2" t="s">
        <v>6</v>
      </c>
    </row>
    <row r="10120" spans="1:6" ht="25.5">
      <c r="A10120" s="2">
        <v>10117</v>
      </c>
      <c r="B10120" s="2" t="s">
        <v>10196</v>
      </c>
      <c r="C10120" s="2" t="str">
        <f>"01466623"</f>
        <v>01466623</v>
      </c>
      <c r="D10120" s="2">
        <v>0.39</v>
      </c>
      <c r="E10120" s="2">
        <v>19</v>
      </c>
      <c r="F10120" s="2" t="s">
        <v>6</v>
      </c>
    </row>
    <row r="10121" spans="1:6" ht="25.5">
      <c r="A10121" s="2">
        <v>10118</v>
      </c>
      <c r="B10121" s="2" t="s">
        <v>10197</v>
      </c>
      <c r="C10121" s="2" t="str">
        <f>"1570064X"</f>
        <v>1570064X</v>
      </c>
      <c r="D10121" s="2">
        <v>0.128</v>
      </c>
      <c r="E10121" s="2">
        <v>4</v>
      </c>
      <c r="F10121" s="2" t="s">
        <v>75</v>
      </c>
    </row>
    <row r="10122" spans="1:6" ht="25.5">
      <c r="A10122" s="2">
        <v>10119</v>
      </c>
      <c r="B10122" s="2" t="s">
        <v>10198</v>
      </c>
      <c r="C10122" s="2" t="str">
        <f>"01618202"</f>
        <v>01618202</v>
      </c>
      <c r="D10122" s="2">
        <v>0.41099999999999998</v>
      </c>
      <c r="E10122" s="2">
        <v>32</v>
      </c>
      <c r="F10122" s="2" t="s">
        <v>6</v>
      </c>
    </row>
    <row r="10123" spans="1:6" ht="25.5">
      <c r="A10123" s="2">
        <v>10120</v>
      </c>
      <c r="B10123" s="2" t="s">
        <v>10199</v>
      </c>
      <c r="C10123" s="2" t="str">
        <f>"10725369"</f>
        <v>10725369</v>
      </c>
      <c r="D10123" s="2">
        <v>0.72299999999999998</v>
      </c>
      <c r="E10123" s="2">
        <v>23</v>
      </c>
      <c r="F10123" s="2" t="s">
        <v>6</v>
      </c>
    </row>
    <row r="10124" spans="1:6" ht="25.5">
      <c r="A10124" s="2">
        <v>10121</v>
      </c>
      <c r="B10124" s="2" t="s">
        <v>10200</v>
      </c>
      <c r="C10124" s="2" t="str">
        <f>"15737756"</f>
        <v>15737756</v>
      </c>
      <c r="D10124" s="2">
        <v>1.208</v>
      </c>
      <c r="E10124" s="2">
        <v>25</v>
      </c>
      <c r="F10124" s="2" t="s">
        <v>6</v>
      </c>
    </row>
    <row r="10125" spans="1:6" ht="25.5">
      <c r="A10125" s="2">
        <v>10122</v>
      </c>
      <c r="B10125" s="2" t="s">
        <v>10201</v>
      </c>
      <c r="C10125" s="2" t="str">
        <f>"10959238"</f>
        <v>10959238</v>
      </c>
      <c r="D10125" s="2">
        <v>1.373</v>
      </c>
      <c r="E10125" s="2">
        <v>57</v>
      </c>
      <c r="F10125" s="2" t="s">
        <v>6</v>
      </c>
    </row>
    <row r="10126" spans="1:6" ht="25.5">
      <c r="A10126" s="2">
        <v>10123</v>
      </c>
      <c r="B10126" s="2" t="s">
        <v>10202</v>
      </c>
      <c r="C10126" s="2" t="str">
        <f>"07380895"</f>
        <v>07380895</v>
      </c>
      <c r="D10126" s="2">
        <v>0.20200000000000001</v>
      </c>
      <c r="E10126" s="2">
        <v>13</v>
      </c>
      <c r="F10126" s="2" t="s">
        <v>6</v>
      </c>
    </row>
    <row r="10127" spans="1:6" ht="25.5">
      <c r="A10127" s="2">
        <v>10124</v>
      </c>
      <c r="B10127" s="2" t="s">
        <v>10203</v>
      </c>
      <c r="C10127" s="2" t="str">
        <f>"13556207"</f>
        <v>13556207</v>
      </c>
      <c r="D10127" s="2">
        <v>0.1</v>
      </c>
      <c r="E10127" s="2">
        <v>2</v>
      </c>
      <c r="F10127" s="2" t="s">
        <v>6</v>
      </c>
    </row>
    <row r="10128" spans="1:6" ht="25.5">
      <c r="A10128" s="2">
        <v>10125</v>
      </c>
      <c r="B10128" s="2" t="s">
        <v>10204</v>
      </c>
      <c r="C10128" s="2" t="str">
        <f>"1531314X"</f>
        <v>1531314X</v>
      </c>
      <c r="D10128" s="2">
        <v>0.11600000000000001</v>
      </c>
      <c r="E10128" s="2">
        <v>8</v>
      </c>
      <c r="F10128" s="2" t="s">
        <v>16</v>
      </c>
    </row>
    <row r="10129" spans="1:6" ht="25.5">
      <c r="A10129" s="2">
        <v>10126</v>
      </c>
      <c r="B10129" s="2" t="s">
        <v>10205</v>
      </c>
      <c r="C10129" s="2" t="str">
        <f>"10760431"</f>
        <v>10760431</v>
      </c>
      <c r="D10129" s="2">
        <v>0.27200000000000002</v>
      </c>
      <c r="E10129" s="2">
        <v>16</v>
      </c>
      <c r="F10129" s="2" t="s">
        <v>6</v>
      </c>
    </row>
    <row r="10130" spans="1:6" ht="25.5">
      <c r="A10130" s="2">
        <v>10127</v>
      </c>
      <c r="B10130" s="2" t="s">
        <v>10206</v>
      </c>
      <c r="C10130" s="2" t="str">
        <f>"14664410"</f>
        <v>14664410</v>
      </c>
      <c r="D10130" s="2">
        <v>0.311</v>
      </c>
      <c r="E10130" s="2">
        <v>6</v>
      </c>
      <c r="F10130" s="2" t="s">
        <v>16</v>
      </c>
    </row>
    <row r="10131" spans="1:6" ht="25.5">
      <c r="A10131" s="2">
        <v>10128</v>
      </c>
      <c r="B10131" s="2" t="s">
        <v>10207</v>
      </c>
      <c r="C10131" s="2" t="str">
        <f>"16068238"</f>
        <v>16068238</v>
      </c>
      <c r="D10131" s="2">
        <v>0.10199999999999999</v>
      </c>
      <c r="E10131" s="2">
        <v>0</v>
      </c>
      <c r="F10131" s="2" t="s">
        <v>46</v>
      </c>
    </row>
    <row r="10132" spans="1:6" ht="25.5">
      <c r="A10132" s="2">
        <v>10129</v>
      </c>
      <c r="B10132" s="2" t="s">
        <v>10208</v>
      </c>
      <c r="C10132" s="2" t="str">
        <f>"20297955"</f>
        <v>20297955</v>
      </c>
      <c r="D10132" s="2">
        <v>0</v>
      </c>
      <c r="E10132" s="2">
        <v>1</v>
      </c>
      <c r="F10132" s="2" t="s">
        <v>16</v>
      </c>
    </row>
    <row r="10133" spans="1:6" ht="25.5">
      <c r="A10133" s="2">
        <v>10130</v>
      </c>
      <c r="B10133" s="2" t="s">
        <v>10209</v>
      </c>
      <c r="C10133" s="2" t="str">
        <f>"15332756"</f>
        <v>15332756</v>
      </c>
      <c r="D10133" s="2">
        <v>0.44600000000000001</v>
      </c>
      <c r="E10133" s="2">
        <v>5</v>
      </c>
      <c r="F10133" s="2" t="s">
        <v>16</v>
      </c>
    </row>
    <row r="10134" spans="1:6" ht="25.5">
      <c r="A10134" s="2">
        <v>10131</v>
      </c>
      <c r="B10134" s="2" t="s">
        <v>10210</v>
      </c>
      <c r="C10134" s="2" t="str">
        <f>"1095922X"</f>
        <v>1095922X</v>
      </c>
      <c r="D10134" s="2">
        <v>0.82399999999999995</v>
      </c>
      <c r="E10134" s="2">
        <v>58</v>
      </c>
      <c r="F10134" s="2" t="s">
        <v>6</v>
      </c>
    </row>
    <row r="10135" spans="1:6" ht="25.5">
      <c r="A10135" s="2">
        <v>10132</v>
      </c>
      <c r="B10135" s="2" t="s">
        <v>10211</v>
      </c>
      <c r="C10135" s="2" t="str">
        <f>"16746767"</f>
        <v>16746767</v>
      </c>
      <c r="D10135" s="2">
        <v>0.217</v>
      </c>
      <c r="E10135" s="2">
        <v>3</v>
      </c>
      <c r="F10135" s="2" t="s">
        <v>46</v>
      </c>
    </row>
    <row r="10136" spans="1:6" ht="25.5">
      <c r="A10136" s="2">
        <v>10133</v>
      </c>
      <c r="B10136" s="2" t="s">
        <v>10212</v>
      </c>
      <c r="C10136" s="2" t="str">
        <f>"18832148"</f>
        <v>18832148</v>
      </c>
      <c r="D10136" s="2">
        <v>0</v>
      </c>
      <c r="E10136" s="2">
        <v>1</v>
      </c>
      <c r="F10136" s="2" t="s">
        <v>75</v>
      </c>
    </row>
    <row r="10137" spans="1:6" ht="25.5">
      <c r="A10137" s="2">
        <v>10134</v>
      </c>
      <c r="B10137" s="2" t="s">
        <v>10213</v>
      </c>
      <c r="C10137" s="2" t="str">
        <f>"15328406"</f>
        <v>15328406</v>
      </c>
      <c r="D10137" s="2">
        <v>1.496</v>
      </c>
      <c r="E10137" s="2">
        <v>74</v>
      </c>
      <c r="F10137" s="2" t="s">
        <v>16</v>
      </c>
    </row>
    <row r="10138" spans="1:6" ht="25.5">
      <c r="A10138" s="2">
        <v>10135</v>
      </c>
      <c r="B10138" s="2" t="s">
        <v>10214</v>
      </c>
      <c r="C10138" s="2" t="str">
        <f>"19945450"</f>
        <v>19945450</v>
      </c>
      <c r="D10138" s="2">
        <v>0.86299999999999999</v>
      </c>
      <c r="E10138" s="2">
        <v>6</v>
      </c>
      <c r="F10138" s="2" t="s">
        <v>43</v>
      </c>
    </row>
    <row r="10139" spans="1:6" ht="25.5">
      <c r="A10139" s="2">
        <v>10136</v>
      </c>
      <c r="B10139" s="2" t="s">
        <v>10215</v>
      </c>
      <c r="C10139" s="2" t="str">
        <f>"10769757"</f>
        <v>10769757</v>
      </c>
      <c r="D10139" s="2">
        <v>2.4780000000000002</v>
      </c>
      <c r="E10139" s="2">
        <v>67</v>
      </c>
      <c r="F10139" s="2" t="s">
        <v>6</v>
      </c>
    </row>
    <row r="10140" spans="1:6" ht="25.5">
      <c r="A10140" s="2">
        <v>10137</v>
      </c>
      <c r="B10140" s="2" t="s">
        <v>10216</v>
      </c>
      <c r="C10140" s="2" t="str">
        <f>"16190904"</f>
        <v>16190904</v>
      </c>
      <c r="D10140" s="2">
        <v>0.53</v>
      </c>
      <c r="E10140" s="2">
        <v>21</v>
      </c>
      <c r="F10140" s="2" t="s">
        <v>131</v>
      </c>
    </row>
    <row r="10141" spans="1:6" ht="25.5">
      <c r="A10141" s="2">
        <v>10138</v>
      </c>
      <c r="B10141" s="2" t="s">
        <v>10217</v>
      </c>
      <c r="C10141" s="2" t="str">
        <f>"14607425"</f>
        <v>14607425</v>
      </c>
      <c r="D10141" s="2">
        <v>0.38700000000000001</v>
      </c>
      <c r="E10141" s="2">
        <v>23</v>
      </c>
      <c r="F10141" s="2" t="s">
        <v>16</v>
      </c>
    </row>
    <row r="10142" spans="1:6" ht="25.5">
      <c r="A10142" s="2">
        <v>10139</v>
      </c>
      <c r="B10142" s="2" t="s">
        <v>10218</v>
      </c>
      <c r="C10142" s="2" t="str">
        <f>"10632921"</f>
        <v>10632921</v>
      </c>
      <c r="D10142" s="2">
        <v>0.19400000000000001</v>
      </c>
      <c r="E10142" s="2">
        <v>6</v>
      </c>
      <c r="F10142" s="2" t="s">
        <v>16</v>
      </c>
    </row>
    <row r="10143" spans="1:6" ht="25.5">
      <c r="A10143" s="2">
        <v>10140</v>
      </c>
      <c r="B10143" s="2" t="s">
        <v>10219</v>
      </c>
      <c r="C10143" s="2" t="str">
        <f>"00219096"</f>
        <v>00219096</v>
      </c>
      <c r="D10143" s="2">
        <v>0.29299999999999998</v>
      </c>
      <c r="E10143" s="2">
        <v>11</v>
      </c>
      <c r="F10143" s="2" t="s">
        <v>16</v>
      </c>
    </row>
    <row r="10144" spans="1:6" ht="25.5">
      <c r="A10144" s="2">
        <v>10141</v>
      </c>
      <c r="B10144" s="2" t="s">
        <v>10220</v>
      </c>
      <c r="C10144" s="2" t="str">
        <f>"13467581"</f>
        <v>13467581</v>
      </c>
      <c r="D10144" s="2">
        <v>0.16700000000000001</v>
      </c>
      <c r="E10144" s="2">
        <v>4</v>
      </c>
      <c r="F10144" s="2" t="s">
        <v>131</v>
      </c>
    </row>
    <row r="10145" spans="1:6" ht="25.5">
      <c r="A10145" s="2">
        <v>10142</v>
      </c>
      <c r="B10145" s="2" t="s">
        <v>10221</v>
      </c>
      <c r="C10145" s="2" t="str">
        <f>"13679120"</f>
        <v>13679120</v>
      </c>
      <c r="D10145" s="2">
        <v>1.1479999999999999</v>
      </c>
      <c r="E10145" s="2">
        <v>53</v>
      </c>
      <c r="F10145" s="2" t="s">
        <v>16</v>
      </c>
    </row>
    <row r="10146" spans="1:6" ht="25.5">
      <c r="A10146" s="2">
        <v>10143</v>
      </c>
      <c r="B10146" s="2" t="s">
        <v>10222</v>
      </c>
      <c r="C10146" s="2" t="str">
        <f>"10490078"</f>
        <v>10490078</v>
      </c>
      <c r="D10146" s="2">
        <v>0.47699999999999998</v>
      </c>
      <c r="E10146" s="2">
        <v>21</v>
      </c>
      <c r="F10146" s="2" t="s">
        <v>75</v>
      </c>
    </row>
    <row r="10147" spans="1:6" ht="25.5">
      <c r="A10147" s="2">
        <v>10144</v>
      </c>
      <c r="B10147" s="2" t="s">
        <v>10223</v>
      </c>
      <c r="C10147" s="2" t="str">
        <f>"14772213"</f>
        <v>14772213</v>
      </c>
      <c r="D10147" s="2">
        <v>0.42699999999999999</v>
      </c>
      <c r="E10147" s="2">
        <v>19</v>
      </c>
      <c r="F10147" s="2" t="s">
        <v>16</v>
      </c>
    </row>
    <row r="10148" spans="1:6" ht="25.5">
      <c r="A10148" s="2">
        <v>10145</v>
      </c>
      <c r="B10148" s="2" t="s">
        <v>10224</v>
      </c>
      <c r="C10148" s="2" t="str">
        <f>"15699838"</f>
        <v>15699838</v>
      </c>
      <c r="D10148" s="2">
        <v>0.22500000000000001</v>
      </c>
      <c r="E10148" s="2">
        <v>6</v>
      </c>
      <c r="F10148" s="2" t="s">
        <v>75</v>
      </c>
    </row>
    <row r="10149" spans="1:6" ht="25.5">
      <c r="A10149" s="2">
        <v>10146</v>
      </c>
      <c r="B10149" s="2" t="s">
        <v>10225</v>
      </c>
      <c r="C10149" s="2" t="str">
        <f>"17516242"</f>
        <v>17516242</v>
      </c>
      <c r="D10149" s="2">
        <v>0.13800000000000001</v>
      </c>
      <c r="E10149" s="2">
        <v>2</v>
      </c>
      <c r="F10149" s="2" t="s">
        <v>16</v>
      </c>
    </row>
    <row r="10150" spans="1:6" ht="25.5">
      <c r="A10150" s="2">
        <v>10147</v>
      </c>
      <c r="B10150" s="2" t="s">
        <v>10226</v>
      </c>
      <c r="C10150" s="2" t="str">
        <f>"00219118"</f>
        <v>00219118</v>
      </c>
      <c r="D10150" s="2">
        <v>0.34200000000000003</v>
      </c>
      <c r="E10150" s="2">
        <v>17</v>
      </c>
      <c r="F10150" s="2" t="s">
        <v>16</v>
      </c>
    </row>
    <row r="10151" spans="1:6" ht="25.5">
      <c r="A10151" s="2">
        <v>10148</v>
      </c>
      <c r="B10151" s="2" t="s">
        <v>10227</v>
      </c>
      <c r="C10151" s="2" t="str">
        <f>"15286940"</f>
        <v>15286940</v>
      </c>
      <c r="D10151" s="2">
        <v>0.14699999999999999</v>
      </c>
      <c r="E10151" s="2">
        <v>5</v>
      </c>
      <c r="F10151" s="2" t="s">
        <v>16</v>
      </c>
    </row>
    <row r="10152" spans="1:6" ht="25.5">
      <c r="A10152" s="2">
        <v>10149</v>
      </c>
      <c r="B10152" s="2" t="s">
        <v>10228</v>
      </c>
      <c r="C10152" s="2" t="str">
        <f>"12268615"</f>
        <v>12268615</v>
      </c>
      <c r="D10152" s="2">
        <v>0.378</v>
      </c>
      <c r="E10152" s="2">
        <v>14</v>
      </c>
      <c r="F10152" s="2" t="s">
        <v>75</v>
      </c>
    </row>
    <row r="10153" spans="1:6" ht="25.5">
      <c r="A10153" s="2">
        <v>10150</v>
      </c>
      <c r="B10153" s="2" t="s">
        <v>10229</v>
      </c>
      <c r="C10153" s="2" t="str">
        <f>"17383102"</f>
        <v>17383102</v>
      </c>
      <c r="D10153" s="2">
        <v>0.113</v>
      </c>
      <c r="E10153" s="2">
        <v>1</v>
      </c>
      <c r="F10153" s="2" t="s">
        <v>274</v>
      </c>
    </row>
    <row r="10154" spans="1:6" ht="25.5">
      <c r="A10154" s="2">
        <v>10151</v>
      </c>
      <c r="B10154" s="2" t="s">
        <v>10230</v>
      </c>
      <c r="C10154" s="2" t="str">
        <f>"14708272"</f>
        <v>14708272</v>
      </c>
      <c r="D10154" s="2">
        <v>0.182</v>
      </c>
      <c r="E10154" s="2">
        <v>3</v>
      </c>
      <c r="F10154" s="2" t="s">
        <v>16</v>
      </c>
    </row>
    <row r="10155" spans="1:6" ht="25.5">
      <c r="A10155" s="2">
        <v>10152</v>
      </c>
      <c r="B10155" s="2" t="s">
        <v>10231</v>
      </c>
      <c r="C10155" s="2" t="str">
        <f>"10580468"</f>
        <v>10580468</v>
      </c>
      <c r="D10155" s="2">
        <v>0.85899999999999999</v>
      </c>
      <c r="E10155" s="2">
        <v>48</v>
      </c>
      <c r="F10155" s="2" t="s">
        <v>6</v>
      </c>
    </row>
    <row r="10156" spans="1:6" ht="25.5">
      <c r="A10156" s="2">
        <v>10153</v>
      </c>
      <c r="B10156" s="2" t="s">
        <v>10232</v>
      </c>
      <c r="C10156" s="2" t="str">
        <f>"20428723"</f>
        <v>20428723</v>
      </c>
      <c r="D10156" s="2">
        <v>0.27300000000000002</v>
      </c>
      <c r="E10156" s="2">
        <v>2</v>
      </c>
      <c r="F10156" s="2" t="s">
        <v>16</v>
      </c>
    </row>
    <row r="10157" spans="1:6" ht="25.5">
      <c r="A10157" s="2">
        <v>10154</v>
      </c>
      <c r="B10157" s="2" t="s">
        <v>10233</v>
      </c>
      <c r="C10157" s="2" t="str">
        <f>"15324303"</f>
        <v>15324303</v>
      </c>
      <c r="D10157" s="2">
        <v>0.748</v>
      </c>
      <c r="E10157" s="2">
        <v>48</v>
      </c>
      <c r="F10157" s="2" t="s">
        <v>16</v>
      </c>
    </row>
    <row r="10158" spans="1:6" ht="25.5">
      <c r="A10158" s="2">
        <v>10155</v>
      </c>
      <c r="B10158" s="2" t="s">
        <v>10234</v>
      </c>
      <c r="C10158" s="2" t="str">
        <f>"11786965"</f>
        <v>11786965</v>
      </c>
      <c r="D10158" s="2">
        <v>0.22900000000000001</v>
      </c>
      <c r="E10158" s="2">
        <v>4</v>
      </c>
      <c r="F10158" s="2" t="s">
        <v>503</v>
      </c>
    </row>
    <row r="10159" spans="1:6">
      <c r="A10159" s="2">
        <v>10156</v>
      </c>
      <c r="B10159" s="2" t="s">
        <v>10235</v>
      </c>
      <c r="C10159" s="2" t="str">
        <f>"0"</f>
        <v>0</v>
      </c>
      <c r="D10159" s="2">
        <v>0.19700000000000001</v>
      </c>
      <c r="E10159" s="2">
        <v>12</v>
      </c>
      <c r="F10159" s="2" t="s">
        <v>6</v>
      </c>
    </row>
    <row r="10160" spans="1:6" ht="25.5">
      <c r="A10160" s="2">
        <v>10157</v>
      </c>
      <c r="B10160" s="2" t="s">
        <v>10236</v>
      </c>
      <c r="C10160" s="2" t="str">
        <f>"20935587"</f>
        <v>20935587</v>
      </c>
      <c r="D10160" s="2">
        <v>0.21099999999999999</v>
      </c>
      <c r="E10160" s="2">
        <v>3</v>
      </c>
      <c r="F10160" s="2" t="s">
        <v>274</v>
      </c>
    </row>
    <row r="10161" spans="1:6" ht="25.5">
      <c r="A10161" s="2">
        <v>10158</v>
      </c>
      <c r="B10161" s="2" t="s">
        <v>10237</v>
      </c>
      <c r="C10161" s="2" t="str">
        <f>"02506335"</f>
        <v>02506335</v>
      </c>
      <c r="D10161" s="2">
        <v>0.23400000000000001</v>
      </c>
      <c r="E10161" s="2">
        <v>17</v>
      </c>
      <c r="F10161" s="2" t="s">
        <v>488</v>
      </c>
    </row>
    <row r="10162" spans="1:6" ht="25.5">
      <c r="A10162" s="2">
        <v>10159</v>
      </c>
      <c r="B10162" s="2" t="s">
        <v>10238</v>
      </c>
      <c r="C10162" s="2" t="str">
        <f>"10928235"</f>
        <v>10928235</v>
      </c>
      <c r="D10162" s="2">
        <v>0.311</v>
      </c>
      <c r="E10162" s="2">
        <v>26</v>
      </c>
      <c r="F10162" s="2" t="s">
        <v>6</v>
      </c>
    </row>
    <row r="10163" spans="1:6" ht="25.5">
      <c r="A10163" s="2">
        <v>10160</v>
      </c>
      <c r="B10163" s="2" t="s">
        <v>10239</v>
      </c>
      <c r="C10163" s="2" t="str">
        <f>"18803873"</f>
        <v>18803873</v>
      </c>
      <c r="D10163" s="2">
        <v>1.042</v>
      </c>
      <c r="E10163" s="2">
        <v>45</v>
      </c>
      <c r="F10163" s="2" t="s">
        <v>131</v>
      </c>
    </row>
    <row r="10164" spans="1:6" ht="25.5">
      <c r="A10164" s="2">
        <v>10161</v>
      </c>
      <c r="B10164" s="2" t="s">
        <v>10240</v>
      </c>
      <c r="C10164" s="2" t="str">
        <f>"10626050"</f>
        <v>10626050</v>
      </c>
      <c r="D10164" s="2">
        <v>1.0309999999999999</v>
      </c>
      <c r="E10164" s="2">
        <v>49</v>
      </c>
      <c r="F10164" s="2" t="s">
        <v>6</v>
      </c>
    </row>
    <row r="10165" spans="1:6" ht="25.5">
      <c r="A10165" s="2">
        <v>10162</v>
      </c>
      <c r="B10165" s="2" t="s">
        <v>10241</v>
      </c>
      <c r="C10165" s="2" t="str">
        <f>"15200426"</f>
        <v>15200426</v>
      </c>
      <c r="D10165" s="2">
        <v>1.6479999999999999</v>
      </c>
      <c r="E10165" s="2">
        <v>71</v>
      </c>
      <c r="F10165" s="2" t="s">
        <v>6</v>
      </c>
    </row>
    <row r="10166" spans="1:6" ht="25.5">
      <c r="A10166" s="2">
        <v>10163</v>
      </c>
      <c r="B10166" s="2" t="s">
        <v>10242</v>
      </c>
      <c r="C10166" s="2" t="str">
        <f>"13646826"</f>
        <v>13646826</v>
      </c>
      <c r="D10166" s="2">
        <v>0.95499999999999996</v>
      </c>
      <c r="E10166" s="2">
        <v>56</v>
      </c>
      <c r="F10166" s="2" t="s">
        <v>16</v>
      </c>
    </row>
    <row r="10167" spans="1:6" ht="25.5">
      <c r="A10167" s="2">
        <v>10164</v>
      </c>
      <c r="B10167" s="2" t="s">
        <v>10243</v>
      </c>
      <c r="C10167" s="2" t="str">
        <f>"15730662"</f>
        <v>15730662</v>
      </c>
      <c r="D10167" s="2">
        <v>0.80200000000000005</v>
      </c>
      <c r="E10167" s="2">
        <v>52</v>
      </c>
      <c r="F10167" s="2" t="s">
        <v>75</v>
      </c>
    </row>
    <row r="10168" spans="1:6" ht="25.5">
      <c r="A10168" s="2">
        <v>10165</v>
      </c>
      <c r="B10168" s="2" t="s">
        <v>10244</v>
      </c>
      <c r="C10168" s="2" t="str">
        <f>"19416911"</f>
        <v>19416911</v>
      </c>
      <c r="D10168" s="2">
        <v>0.16500000000000001</v>
      </c>
      <c r="E10168" s="2">
        <v>4</v>
      </c>
      <c r="F10168" s="2" t="s">
        <v>6</v>
      </c>
    </row>
    <row r="10169" spans="1:6" ht="25.5">
      <c r="A10169" s="2">
        <v>10166</v>
      </c>
      <c r="B10169" s="2" t="s">
        <v>10245</v>
      </c>
      <c r="C10169" s="2" t="str">
        <f>"10870547"</f>
        <v>10870547</v>
      </c>
      <c r="D10169" s="2">
        <v>1.038</v>
      </c>
      <c r="E10169" s="2">
        <v>37</v>
      </c>
      <c r="F10169" s="2" t="s">
        <v>6</v>
      </c>
    </row>
    <row r="10170" spans="1:6" ht="25.5">
      <c r="A10170" s="2">
        <v>10167</v>
      </c>
      <c r="B10170" s="2" t="s">
        <v>10246</v>
      </c>
      <c r="C10170" s="2" t="str">
        <f>"01565826"</f>
        <v>01565826</v>
      </c>
      <c r="D10170" s="2">
        <v>0.14099999999999999</v>
      </c>
      <c r="E10170" s="2">
        <v>4</v>
      </c>
      <c r="F10170" s="2" t="s">
        <v>127</v>
      </c>
    </row>
    <row r="10171" spans="1:6" ht="25.5">
      <c r="A10171" s="2">
        <v>10168</v>
      </c>
      <c r="B10171" s="2" t="s">
        <v>10247</v>
      </c>
      <c r="C10171" s="2" t="str">
        <f>"14443058"</f>
        <v>14443058</v>
      </c>
      <c r="D10171" s="2">
        <v>0.154</v>
      </c>
      <c r="E10171" s="2">
        <v>2</v>
      </c>
      <c r="F10171" s="2" t="s">
        <v>16</v>
      </c>
    </row>
    <row r="10172" spans="1:6" ht="25.5">
      <c r="A10172" s="2">
        <v>10169</v>
      </c>
      <c r="B10172" s="2" t="s">
        <v>10248</v>
      </c>
      <c r="C10172" s="2" t="str">
        <f>"01623257"</f>
        <v>01623257</v>
      </c>
      <c r="D10172" s="2">
        <v>1.476</v>
      </c>
      <c r="E10172" s="2">
        <v>83</v>
      </c>
      <c r="F10172" s="2" t="s">
        <v>6</v>
      </c>
    </row>
    <row r="10173" spans="1:6" ht="25.5">
      <c r="A10173" s="2">
        <v>10170</v>
      </c>
      <c r="B10173" s="2" t="s">
        <v>10249</v>
      </c>
      <c r="C10173" s="2" t="str">
        <f>"10959157"</f>
        <v>10959157</v>
      </c>
      <c r="D10173" s="2">
        <v>1.532</v>
      </c>
      <c r="E10173" s="2">
        <v>68</v>
      </c>
      <c r="F10173" s="2" t="s">
        <v>6</v>
      </c>
    </row>
    <row r="10174" spans="1:6" ht="25.5">
      <c r="A10174" s="2">
        <v>10171</v>
      </c>
      <c r="B10174" s="2" t="s">
        <v>10250</v>
      </c>
      <c r="C10174" s="2" t="str">
        <f>"15730670"</f>
        <v>15730670</v>
      </c>
      <c r="D10174" s="2">
        <v>1.5760000000000001</v>
      </c>
      <c r="E10174" s="2">
        <v>31</v>
      </c>
      <c r="F10174" s="2" t="s">
        <v>75</v>
      </c>
    </row>
    <row r="10175" spans="1:6" ht="25.5">
      <c r="A10175" s="2">
        <v>10172</v>
      </c>
      <c r="B10175" s="2" t="s">
        <v>10251</v>
      </c>
      <c r="C10175" s="2" t="str">
        <f>"10642315"</f>
        <v>10642315</v>
      </c>
      <c r="D10175" s="2">
        <v>0.14799999999999999</v>
      </c>
      <c r="E10175" s="2">
        <v>6</v>
      </c>
      <c r="F10175" s="2" t="s">
        <v>6</v>
      </c>
    </row>
    <row r="10176" spans="1:6" ht="25.5">
      <c r="A10176" s="2">
        <v>10173</v>
      </c>
      <c r="B10176" s="2" t="s">
        <v>10252</v>
      </c>
      <c r="C10176" s="2" t="str">
        <f>"1600048X"</f>
        <v>1600048X</v>
      </c>
      <c r="D10176" s="2">
        <v>1.0660000000000001</v>
      </c>
      <c r="E10176" s="2">
        <v>50</v>
      </c>
      <c r="F10176" s="2" t="s">
        <v>16</v>
      </c>
    </row>
    <row r="10177" spans="1:6" ht="25.5">
      <c r="A10177" s="2">
        <v>10174</v>
      </c>
      <c r="B10177" s="2" t="s">
        <v>10253</v>
      </c>
      <c r="C10177" s="2" t="str">
        <f>"10826742"</f>
        <v>10826742</v>
      </c>
      <c r="D10177" s="2">
        <v>0.376</v>
      </c>
      <c r="E10177" s="2">
        <v>17</v>
      </c>
      <c r="F10177" s="2" t="s">
        <v>6</v>
      </c>
    </row>
    <row r="10178" spans="1:6" ht="25.5">
      <c r="A10178" s="2">
        <v>10175</v>
      </c>
      <c r="B10178" s="2" t="s">
        <v>10254</v>
      </c>
      <c r="C10178" s="2" t="str">
        <f>"15261018"</f>
        <v>15261018</v>
      </c>
      <c r="D10178" s="2">
        <v>0.10199999999999999</v>
      </c>
      <c r="E10178" s="2">
        <v>5</v>
      </c>
      <c r="F10178" s="2" t="s">
        <v>6</v>
      </c>
    </row>
    <row r="10179" spans="1:6" ht="25.5">
      <c r="A10179" s="2">
        <v>10176</v>
      </c>
      <c r="B10179" s="2" t="s">
        <v>10255</v>
      </c>
      <c r="C10179" s="2" t="str">
        <f>"10259589"</f>
        <v>10259589</v>
      </c>
      <c r="D10179" s="2">
        <v>0.14399999999999999</v>
      </c>
      <c r="E10179" s="2">
        <v>13</v>
      </c>
      <c r="F10179" s="2" t="s">
        <v>43</v>
      </c>
    </row>
    <row r="10180" spans="1:6" ht="25.5">
      <c r="A10180" s="2">
        <v>10177</v>
      </c>
      <c r="B10180" s="2" t="s">
        <v>10256</v>
      </c>
      <c r="C10180" s="2" t="str">
        <f>"15614107"</f>
        <v>15614107</v>
      </c>
      <c r="D10180" s="2">
        <v>0.13100000000000001</v>
      </c>
      <c r="E10180" s="2">
        <v>1</v>
      </c>
      <c r="F10180" s="2" t="s">
        <v>299</v>
      </c>
    </row>
    <row r="10181" spans="1:6" ht="25.5">
      <c r="A10181" s="2">
        <v>10178</v>
      </c>
      <c r="B10181" s="2" t="s">
        <v>10257</v>
      </c>
      <c r="C10181" s="2" t="str">
        <f>"10538127"</f>
        <v>10538127</v>
      </c>
      <c r="D10181" s="2">
        <v>0.33200000000000002</v>
      </c>
      <c r="E10181" s="2">
        <v>12</v>
      </c>
      <c r="F10181" s="2" t="s">
        <v>75</v>
      </c>
    </row>
    <row r="10182" spans="1:6" ht="25.5">
      <c r="A10182" s="2">
        <v>10179</v>
      </c>
      <c r="B10182" s="2" t="s">
        <v>10258</v>
      </c>
      <c r="C10182" s="2" t="str">
        <f>"10985530"</f>
        <v>10985530</v>
      </c>
      <c r="D10182" s="2">
        <v>1.722</v>
      </c>
      <c r="E10182" s="2">
        <v>164</v>
      </c>
      <c r="F10182" s="2" t="s">
        <v>6</v>
      </c>
    </row>
    <row r="10183" spans="1:6" ht="25.5">
      <c r="A10183" s="2">
        <v>10180</v>
      </c>
      <c r="B10183" s="2" t="s">
        <v>10259</v>
      </c>
      <c r="C10183" s="2" t="str">
        <f>"15982467"</f>
        <v>15982467</v>
      </c>
      <c r="D10183" s="2">
        <v>0.153</v>
      </c>
      <c r="E10183" s="2">
        <v>5</v>
      </c>
      <c r="F10183" s="2" t="s">
        <v>274</v>
      </c>
    </row>
    <row r="10184" spans="1:6" ht="25.5">
      <c r="A10184" s="2">
        <v>10181</v>
      </c>
      <c r="B10184" s="2" t="s">
        <v>10260</v>
      </c>
      <c r="C10184" s="2" t="str">
        <f>"19448961"</f>
        <v>19448961</v>
      </c>
      <c r="D10184" s="2">
        <v>0.17399999999999999</v>
      </c>
      <c r="E10184" s="2">
        <v>4</v>
      </c>
      <c r="F10184" s="2" t="s">
        <v>16</v>
      </c>
    </row>
    <row r="10185" spans="1:6" ht="25.5">
      <c r="A10185" s="2">
        <v>10182</v>
      </c>
      <c r="B10185" s="2" t="s">
        <v>10261</v>
      </c>
      <c r="C10185" s="2" t="str">
        <f>"16483898"</f>
        <v>16483898</v>
      </c>
      <c r="D10185" s="2">
        <v>0.216</v>
      </c>
      <c r="E10185" s="2">
        <v>4</v>
      </c>
      <c r="F10185" s="2" t="s">
        <v>426</v>
      </c>
    </row>
    <row r="10186" spans="1:6" ht="25.5">
      <c r="A10186" s="2">
        <v>10183</v>
      </c>
      <c r="B10186" s="2" t="s">
        <v>10262</v>
      </c>
      <c r="C10186" s="2" t="str">
        <f>"01629778"</f>
        <v>01629778</v>
      </c>
      <c r="D10186" s="2">
        <v>0.36199999999999999</v>
      </c>
      <c r="E10186" s="2">
        <v>9</v>
      </c>
      <c r="F10186" s="2" t="s">
        <v>16</v>
      </c>
    </row>
    <row r="10187" spans="1:6" ht="25.5">
      <c r="A10187" s="2">
        <v>10184</v>
      </c>
      <c r="B10187" s="2" t="s">
        <v>10263</v>
      </c>
      <c r="C10187" s="2" t="str">
        <f>"00219207"</f>
        <v>00219207</v>
      </c>
      <c r="D10187" s="2">
        <v>0.104</v>
      </c>
      <c r="E10187" s="2">
        <v>3</v>
      </c>
      <c r="F10187" s="2" t="s">
        <v>6</v>
      </c>
    </row>
    <row r="10188" spans="1:6" ht="25.5">
      <c r="A10188" s="2">
        <v>10185</v>
      </c>
      <c r="B10188" s="2" t="s">
        <v>10264</v>
      </c>
      <c r="C10188" s="2" t="str">
        <f>"03784266"</f>
        <v>03784266</v>
      </c>
      <c r="D10188" s="2">
        <v>1.3480000000000001</v>
      </c>
      <c r="E10188" s="2">
        <v>69</v>
      </c>
      <c r="F10188" s="2" t="s">
        <v>75</v>
      </c>
    </row>
    <row r="10189" spans="1:6" ht="25.5">
      <c r="A10189" s="2">
        <v>10186</v>
      </c>
      <c r="B10189" s="2" t="s">
        <v>10265</v>
      </c>
      <c r="C10189" s="2" t="str">
        <f>"17456452"</f>
        <v>17456452</v>
      </c>
      <c r="D10189" s="2">
        <v>0.215</v>
      </c>
      <c r="E10189" s="2">
        <v>3</v>
      </c>
      <c r="F10189" s="2" t="s">
        <v>16</v>
      </c>
    </row>
    <row r="10190" spans="1:6" ht="25.5">
      <c r="A10190" s="2">
        <v>10187</v>
      </c>
      <c r="B10190" s="2" t="s">
        <v>10266</v>
      </c>
      <c r="C10190" s="2" t="str">
        <f>"07926855"</f>
        <v>07926855</v>
      </c>
      <c r="D10190" s="2">
        <v>0.26800000000000002</v>
      </c>
      <c r="E10190" s="2">
        <v>23</v>
      </c>
      <c r="F10190" s="2" t="s">
        <v>2065</v>
      </c>
    </row>
    <row r="10191" spans="1:6" ht="25.5">
      <c r="A10191" s="2">
        <v>10188</v>
      </c>
      <c r="B10191" s="2" t="s">
        <v>10267</v>
      </c>
      <c r="C10191" s="2" t="str">
        <f>"15214028"</f>
        <v>15214028</v>
      </c>
      <c r="D10191" s="2">
        <v>0.52400000000000002</v>
      </c>
      <c r="E10191" s="2">
        <v>29</v>
      </c>
      <c r="F10191" s="2" t="s">
        <v>12</v>
      </c>
    </row>
    <row r="10192" spans="1:6" ht="25.5">
      <c r="A10192" s="2">
        <v>10189</v>
      </c>
      <c r="B10192" s="2" t="s">
        <v>10268</v>
      </c>
      <c r="C10192" s="2" t="str">
        <f>"10990771"</f>
        <v>10990771</v>
      </c>
      <c r="D10192" s="2">
        <v>0.89400000000000002</v>
      </c>
      <c r="E10192" s="2">
        <v>42</v>
      </c>
      <c r="F10192" s="2" t="s">
        <v>16</v>
      </c>
    </row>
    <row r="10193" spans="1:6" ht="25.5">
      <c r="A10193" s="2">
        <v>10190</v>
      </c>
      <c r="B10193" s="2" t="s">
        <v>10269</v>
      </c>
      <c r="C10193" s="2" t="str">
        <f>"10530819"</f>
        <v>10530819</v>
      </c>
      <c r="D10193" s="2">
        <v>0.54900000000000004</v>
      </c>
      <c r="E10193" s="2">
        <v>21</v>
      </c>
      <c r="F10193" s="2" t="s">
        <v>6</v>
      </c>
    </row>
    <row r="10194" spans="1:6" ht="25.5">
      <c r="A10194" s="2">
        <v>10191</v>
      </c>
      <c r="B10194" s="2" t="s">
        <v>10270</v>
      </c>
      <c r="C10194" s="2" t="str">
        <f>"15427579"</f>
        <v>15427579</v>
      </c>
      <c r="D10194" s="2">
        <v>0.19</v>
      </c>
      <c r="E10194" s="2">
        <v>2</v>
      </c>
      <c r="F10194" s="2" t="s">
        <v>16</v>
      </c>
    </row>
    <row r="10195" spans="1:6" ht="25.5">
      <c r="A10195" s="2">
        <v>10192</v>
      </c>
      <c r="B10195" s="2" t="s">
        <v>10271</v>
      </c>
      <c r="C10195" s="2" t="str">
        <f>"15563308"</f>
        <v>15563308</v>
      </c>
      <c r="D10195" s="2">
        <v>0.39900000000000002</v>
      </c>
      <c r="E10195" s="2">
        <v>32</v>
      </c>
      <c r="F10195" s="2" t="s">
        <v>6</v>
      </c>
    </row>
    <row r="10196" spans="1:6" ht="25.5">
      <c r="A10196" s="2">
        <v>10193</v>
      </c>
      <c r="B10196" s="2" t="s">
        <v>10272</v>
      </c>
      <c r="C10196" s="2" t="str">
        <f>"15733521"</f>
        <v>15733521</v>
      </c>
      <c r="D10196" s="2">
        <v>1.4319999999999999</v>
      </c>
      <c r="E10196" s="2">
        <v>56</v>
      </c>
      <c r="F10196" s="2" t="s">
        <v>6</v>
      </c>
    </row>
    <row r="10197" spans="1:6" ht="25.5">
      <c r="A10197" s="2">
        <v>10194</v>
      </c>
      <c r="B10197" s="2" t="s">
        <v>10273</v>
      </c>
      <c r="C10197" s="2" t="str">
        <f>"00057916"</f>
        <v>00057916</v>
      </c>
      <c r="D10197" s="2">
        <v>1.2589999999999999</v>
      </c>
      <c r="E10197" s="2">
        <v>38</v>
      </c>
      <c r="F10197" s="2" t="s">
        <v>16</v>
      </c>
    </row>
    <row r="10198" spans="1:6" ht="25.5">
      <c r="A10198" s="2">
        <v>10195</v>
      </c>
      <c r="B10198" s="2" t="s">
        <v>10274</v>
      </c>
      <c r="C10198" s="2" t="str">
        <f>"10010564"</f>
        <v>10010564</v>
      </c>
      <c r="D10198" s="2">
        <v>0.112</v>
      </c>
      <c r="E10198" s="2">
        <v>2</v>
      </c>
      <c r="F10198" s="2" t="s">
        <v>46</v>
      </c>
    </row>
    <row r="10199" spans="1:6" ht="25.5">
      <c r="A10199" s="2">
        <v>10196</v>
      </c>
      <c r="B10199" s="2" t="s">
        <v>10275</v>
      </c>
      <c r="C10199" s="2" t="str">
        <f>"10040579"</f>
        <v>10040579</v>
      </c>
      <c r="D10199" s="2">
        <v>0.182</v>
      </c>
      <c r="E10199" s="2">
        <v>10</v>
      </c>
      <c r="F10199" s="2" t="s">
        <v>46</v>
      </c>
    </row>
    <row r="10200" spans="1:6" ht="25.5">
      <c r="A10200" s="2">
        <v>10197</v>
      </c>
      <c r="B10200" s="2" t="s">
        <v>10276</v>
      </c>
      <c r="C10200" s="2" t="str">
        <f>"13617672"</f>
        <v>13617672</v>
      </c>
      <c r="D10200" s="2">
        <v>0.151</v>
      </c>
      <c r="E10200" s="2">
        <v>3</v>
      </c>
      <c r="F10200" s="2" t="s">
        <v>16</v>
      </c>
    </row>
    <row r="10201" spans="1:6" ht="25.5">
      <c r="A10201" s="2">
        <v>10198</v>
      </c>
      <c r="B10201" s="2" t="s">
        <v>10277</v>
      </c>
      <c r="C10201" s="2" t="str">
        <f>"00219231"</f>
        <v>00219231</v>
      </c>
      <c r="D10201" s="2">
        <v>0.34300000000000003</v>
      </c>
      <c r="E10201" s="2">
        <v>8</v>
      </c>
      <c r="F10201" s="2" t="s">
        <v>6</v>
      </c>
    </row>
    <row r="10202" spans="1:6" ht="25.5">
      <c r="A10202" s="2">
        <v>10199</v>
      </c>
      <c r="B10202" s="2" t="s">
        <v>10278</v>
      </c>
      <c r="C10202" s="2" t="str">
        <f>"15308030"</f>
        <v>15308030</v>
      </c>
      <c r="D10202" s="2">
        <v>0.746</v>
      </c>
      <c r="E10202" s="2">
        <v>25</v>
      </c>
      <c r="F10202" s="2" t="s">
        <v>16</v>
      </c>
    </row>
    <row r="10203" spans="1:6" ht="25.5">
      <c r="A10203" s="2">
        <v>10200</v>
      </c>
      <c r="B10203" s="2" t="s">
        <v>10279</v>
      </c>
      <c r="C10203" s="2" t="str">
        <f>"15566579"</f>
        <v>15566579</v>
      </c>
      <c r="D10203" s="2">
        <v>0.42399999999999999</v>
      </c>
      <c r="E10203" s="2">
        <v>12</v>
      </c>
      <c r="F10203" s="2" t="s">
        <v>6</v>
      </c>
    </row>
    <row r="10204" spans="1:6" ht="25.5">
      <c r="A10204" s="2">
        <v>10201</v>
      </c>
      <c r="B10204" s="2" t="s">
        <v>10280</v>
      </c>
      <c r="C10204" s="2" t="str">
        <f>"10990461"</f>
        <v>10990461</v>
      </c>
      <c r="D10204" s="2">
        <v>0.47699999999999998</v>
      </c>
      <c r="E10204" s="2">
        <v>36</v>
      </c>
      <c r="F10204" s="2" t="s">
        <v>6</v>
      </c>
    </row>
    <row r="10205" spans="1:6" ht="25.5">
      <c r="A10205" s="2">
        <v>10202</v>
      </c>
      <c r="B10205" s="2" t="s">
        <v>10281</v>
      </c>
      <c r="C10205" s="2" t="str">
        <f>"0021924X"</f>
        <v>0021924X</v>
      </c>
      <c r="D10205" s="2">
        <v>1.127</v>
      </c>
      <c r="E10205" s="2">
        <v>82</v>
      </c>
      <c r="F10205" s="2" t="s">
        <v>16</v>
      </c>
    </row>
    <row r="10206" spans="1:6" ht="25.5">
      <c r="A10206" s="2">
        <v>10203</v>
      </c>
      <c r="B10206" s="2" t="s">
        <v>10282</v>
      </c>
      <c r="C10206" s="2" t="str">
        <f>"15736989"</f>
        <v>15736989</v>
      </c>
      <c r="D10206" s="2">
        <v>0.86499999999999999</v>
      </c>
      <c r="E10206" s="2">
        <v>14</v>
      </c>
      <c r="F10206" s="2" t="s">
        <v>75</v>
      </c>
    </row>
    <row r="10207" spans="1:6" ht="25.5">
      <c r="A10207" s="2">
        <v>10204</v>
      </c>
      <c r="B10207" s="2" t="s">
        <v>10283</v>
      </c>
      <c r="C10207" s="2" t="str">
        <f>"15736881"</f>
        <v>15736881</v>
      </c>
      <c r="D10207" s="2">
        <v>0.82699999999999996</v>
      </c>
      <c r="E10207" s="2">
        <v>73</v>
      </c>
      <c r="F10207" s="2" t="s">
        <v>6</v>
      </c>
    </row>
    <row r="10208" spans="1:6" ht="25.5">
      <c r="A10208" s="2">
        <v>10205</v>
      </c>
      <c r="B10208" s="2" t="s">
        <v>10284</v>
      </c>
      <c r="C10208" s="2" t="str">
        <f>"11767529"</f>
        <v>11767529</v>
      </c>
      <c r="D10208" s="2">
        <v>0.25800000000000001</v>
      </c>
      <c r="E10208" s="2">
        <v>7</v>
      </c>
      <c r="F10208" s="2" t="s">
        <v>75</v>
      </c>
    </row>
    <row r="10209" spans="1:6" ht="25.5">
      <c r="A10209" s="2">
        <v>10206</v>
      </c>
      <c r="B10209" s="2" t="s">
        <v>10285</v>
      </c>
      <c r="C10209" s="2" t="str">
        <f>"13652699"</f>
        <v>13652699</v>
      </c>
      <c r="D10209" s="2">
        <v>2.1179999999999999</v>
      </c>
      <c r="E10209" s="2">
        <v>89</v>
      </c>
      <c r="F10209" s="2" t="s">
        <v>16</v>
      </c>
    </row>
    <row r="10210" spans="1:6" ht="25.5">
      <c r="A10210" s="2">
        <v>10207</v>
      </c>
      <c r="B10210" s="2" t="s">
        <v>10286</v>
      </c>
      <c r="C10210" s="2" t="str">
        <f>"02197200"</f>
        <v>02197200</v>
      </c>
      <c r="D10210" s="2">
        <v>0.51700000000000002</v>
      </c>
      <c r="E10210" s="2">
        <v>28</v>
      </c>
      <c r="F10210" s="2" t="s">
        <v>543</v>
      </c>
    </row>
    <row r="10211" spans="1:6" ht="25.5">
      <c r="A10211" s="2">
        <v>10208</v>
      </c>
      <c r="B10211" s="2" t="s">
        <v>10287</v>
      </c>
      <c r="C10211" s="2" t="str">
        <f>"1083351X"</f>
        <v>1083351X</v>
      </c>
      <c r="D10211" s="2">
        <v>2.7229999999999999</v>
      </c>
      <c r="E10211" s="2">
        <v>372</v>
      </c>
      <c r="F10211" s="2" t="s">
        <v>6</v>
      </c>
    </row>
    <row r="10212" spans="1:6" ht="25.5">
      <c r="A10212" s="2">
        <v>10209</v>
      </c>
      <c r="B10212" s="2" t="s">
        <v>10288</v>
      </c>
      <c r="C10212" s="2" t="str">
        <f>"17513766"</f>
        <v>17513766</v>
      </c>
      <c r="D10212" s="2">
        <v>0.49199999999999999</v>
      </c>
      <c r="E10212" s="2">
        <v>9</v>
      </c>
      <c r="F10212" s="2" t="s">
        <v>16</v>
      </c>
    </row>
    <row r="10213" spans="1:6" ht="25.5">
      <c r="A10213" s="2">
        <v>10210</v>
      </c>
      <c r="B10213" s="2" t="s">
        <v>10289</v>
      </c>
      <c r="C10213" s="2" t="str">
        <f>"00219266"</f>
        <v>00219266</v>
      </c>
      <c r="D10213" s="2">
        <v>0.20699999999999999</v>
      </c>
      <c r="E10213" s="2">
        <v>21</v>
      </c>
      <c r="F10213" s="2" t="s">
        <v>16</v>
      </c>
    </row>
    <row r="10214" spans="1:6" ht="25.5">
      <c r="A10214" s="2">
        <v>10211</v>
      </c>
      <c r="B10214" s="2" t="s">
        <v>10290</v>
      </c>
      <c r="C10214" s="2" t="str">
        <f>"17541611"</f>
        <v>17541611</v>
      </c>
      <c r="D10214" s="2">
        <v>2.0219999999999998</v>
      </c>
      <c r="E10214" s="2">
        <v>14</v>
      </c>
      <c r="F10214" s="2" t="s">
        <v>16</v>
      </c>
    </row>
    <row r="10215" spans="1:6" ht="25.5">
      <c r="A10215" s="2">
        <v>10212</v>
      </c>
      <c r="B10215" s="2" t="s">
        <v>10291</v>
      </c>
      <c r="C10215" s="2" t="str">
        <f>"14321327"</f>
        <v>14321327</v>
      </c>
      <c r="D10215" s="2">
        <v>0.94799999999999995</v>
      </c>
      <c r="E10215" s="2">
        <v>72</v>
      </c>
      <c r="F10215" s="2" t="s">
        <v>12</v>
      </c>
    </row>
    <row r="10216" spans="1:6" ht="25.5">
      <c r="A10216" s="2">
        <v>10213</v>
      </c>
      <c r="B10216" s="2" t="s">
        <v>10292</v>
      </c>
      <c r="C10216" s="2" t="str">
        <f>"13472194"</f>
        <v>13472194</v>
      </c>
      <c r="D10216" s="2">
        <v>0.111</v>
      </c>
      <c r="E10216" s="2">
        <v>1</v>
      </c>
      <c r="F10216" s="2" t="s">
        <v>131</v>
      </c>
    </row>
    <row r="10217" spans="1:6" ht="25.5">
      <c r="A10217" s="2">
        <v>10214</v>
      </c>
      <c r="B10217" s="2" t="s">
        <v>10293</v>
      </c>
      <c r="C10217" s="2" t="str">
        <f>"15730689"</f>
        <v>15730689</v>
      </c>
      <c r="D10217" s="2">
        <v>0.38700000000000001</v>
      </c>
      <c r="E10217" s="2">
        <v>26</v>
      </c>
      <c r="F10217" s="2" t="s">
        <v>75</v>
      </c>
    </row>
    <row r="10218" spans="1:6" ht="25.5">
      <c r="A10218" s="2">
        <v>10215</v>
      </c>
      <c r="B10218" s="2" t="s">
        <v>10294</v>
      </c>
      <c r="C10218" s="2" t="str">
        <f>"0393974X"</f>
        <v>0393974X</v>
      </c>
      <c r="D10218" s="2">
        <v>1.145</v>
      </c>
      <c r="E10218" s="2">
        <v>26</v>
      </c>
      <c r="F10218" s="2" t="s">
        <v>190</v>
      </c>
    </row>
    <row r="10219" spans="1:6" ht="25.5">
      <c r="A10219" s="2">
        <v>10216</v>
      </c>
      <c r="B10219" s="2" t="s">
        <v>10295</v>
      </c>
      <c r="C10219" s="2" t="str">
        <f>"1790045X"</f>
        <v>1790045X</v>
      </c>
      <c r="D10219" s="2">
        <v>0.23899999999999999</v>
      </c>
      <c r="E10219" s="2">
        <v>6</v>
      </c>
      <c r="F10219" s="2" t="s">
        <v>313</v>
      </c>
    </row>
    <row r="10220" spans="1:6" ht="25.5">
      <c r="A10220" s="2">
        <v>10217</v>
      </c>
      <c r="B10220" s="2" t="s">
        <v>10296</v>
      </c>
      <c r="C10220" s="2" t="str">
        <f>"07487304"</f>
        <v>07487304</v>
      </c>
      <c r="D10220" s="2">
        <v>1.3360000000000001</v>
      </c>
      <c r="E10220" s="2">
        <v>67</v>
      </c>
      <c r="F10220" s="2" t="s">
        <v>6</v>
      </c>
    </row>
    <row r="10221" spans="1:6" ht="25.5">
      <c r="A10221" s="2">
        <v>10218</v>
      </c>
      <c r="B10221" s="2" t="s">
        <v>10297</v>
      </c>
      <c r="C10221" s="2" t="str">
        <f>"18125719"</f>
        <v>18125719</v>
      </c>
      <c r="D10221" s="2">
        <v>0.36</v>
      </c>
      <c r="E10221" s="2">
        <v>12</v>
      </c>
      <c r="F10221" s="2" t="s">
        <v>43</v>
      </c>
    </row>
    <row r="10222" spans="1:6" ht="25.5">
      <c r="A10222" s="2">
        <v>10219</v>
      </c>
      <c r="B10222" s="2" t="s">
        <v>10298</v>
      </c>
      <c r="C10222" s="2" t="str">
        <f>"02183390"</f>
        <v>02183390</v>
      </c>
      <c r="D10222" s="2">
        <v>0.379</v>
      </c>
      <c r="E10222" s="2">
        <v>19</v>
      </c>
      <c r="F10222" s="2" t="s">
        <v>543</v>
      </c>
    </row>
    <row r="10223" spans="1:6" ht="25.5">
      <c r="A10223" s="2">
        <v>10220</v>
      </c>
      <c r="B10223" s="2" t="s">
        <v>10299</v>
      </c>
      <c r="C10223" s="2" t="str">
        <f>"08853282"</f>
        <v>08853282</v>
      </c>
      <c r="D10223" s="2">
        <v>0.67300000000000004</v>
      </c>
      <c r="E10223" s="2">
        <v>28</v>
      </c>
      <c r="F10223" s="2" t="s">
        <v>16</v>
      </c>
    </row>
    <row r="10224" spans="1:6" ht="25.5">
      <c r="A10224" s="2">
        <v>10221</v>
      </c>
      <c r="B10224" s="2" t="s">
        <v>10300</v>
      </c>
      <c r="C10224" s="2" t="str">
        <f>"15685864"</f>
        <v>15685864</v>
      </c>
      <c r="D10224" s="2">
        <v>0.55500000000000005</v>
      </c>
      <c r="E10224" s="2">
        <v>60</v>
      </c>
      <c r="F10224" s="2" t="s">
        <v>16</v>
      </c>
    </row>
    <row r="10225" spans="1:6" ht="25.5">
      <c r="A10225" s="2">
        <v>10222</v>
      </c>
      <c r="B10225" s="2" t="s">
        <v>10301</v>
      </c>
      <c r="C10225" s="2" t="str">
        <f>"15288951"</f>
        <v>15288951</v>
      </c>
      <c r="D10225" s="2">
        <v>0.66800000000000004</v>
      </c>
      <c r="E10225" s="2">
        <v>77</v>
      </c>
      <c r="F10225" s="2" t="s">
        <v>6</v>
      </c>
    </row>
    <row r="10226" spans="1:6" ht="25.5">
      <c r="A10226" s="2">
        <v>10223</v>
      </c>
      <c r="B10226" s="2" t="s">
        <v>10302</v>
      </c>
      <c r="C10226" s="2" t="str">
        <f>"18809863"</f>
        <v>18809863</v>
      </c>
      <c r="D10226" s="2">
        <v>0.23200000000000001</v>
      </c>
      <c r="E10226" s="2">
        <v>5</v>
      </c>
      <c r="F10226" s="2" t="s">
        <v>131</v>
      </c>
    </row>
    <row r="10227" spans="1:6" ht="25.5">
      <c r="A10227" s="2">
        <v>10224</v>
      </c>
      <c r="B10227" s="2" t="s">
        <v>10303</v>
      </c>
      <c r="C10227" s="2" t="str">
        <f>"00219290"</f>
        <v>00219290</v>
      </c>
      <c r="D10227" s="2">
        <v>1.171</v>
      </c>
      <c r="E10227" s="2">
        <v>117</v>
      </c>
      <c r="F10227" s="2" t="s">
        <v>16</v>
      </c>
    </row>
    <row r="10228" spans="1:6" ht="25.5">
      <c r="A10228" s="2">
        <v>10225</v>
      </c>
      <c r="B10228" s="2" t="s">
        <v>10304</v>
      </c>
      <c r="C10228" s="2" t="str">
        <f>"15320480"</f>
        <v>15320480</v>
      </c>
      <c r="D10228" s="2">
        <v>1.01</v>
      </c>
      <c r="E10228" s="2">
        <v>47</v>
      </c>
      <c r="F10228" s="2" t="s">
        <v>6</v>
      </c>
    </row>
    <row r="10229" spans="1:6" ht="25.5">
      <c r="A10229" s="2">
        <v>10226</v>
      </c>
      <c r="B10229" s="2" t="s">
        <v>10305</v>
      </c>
      <c r="C10229" s="2" t="str">
        <f>"15493296"</f>
        <v>15493296</v>
      </c>
      <c r="D10229" s="2">
        <v>1.016</v>
      </c>
      <c r="E10229" s="2">
        <v>78</v>
      </c>
      <c r="F10229" s="2" t="s">
        <v>6</v>
      </c>
    </row>
    <row r="10230" spans="1:6" ht="25.5">
      <c r="A10230" s="2">
        <v>10227</v>
      </c>
      <c r="B10230" s="2" t="s">
        <v>10306</v>
      </c>
      <c r="C10230" s="2" t="str">
        <f>"15524981"</f>
        <v>15524981</v>
      </c>
      <c r="D10230" s="2">
        <v>0.755</v>
      </c>
      <c r="E10230" s="2">
        <v>47</v>
      </c>
      <c r="F10230" s="2" t="s">
        <v>6</v>
      </c>
    </row>
    <row r="10231" spans="1:6" ht="25.5">
      <c r="A10231" s="2">
        <v>10228</v>
      </c>
      <c r="B10231" s="2" t="s">
        <v>10307</v>
      </c>
      <c r="C10231" s="2" t="str">
        <f>"15507033"</f>
        <v>15507033</v>
      </c>
      <c r="D10231" s="2">
        <v>1.44</v>
      </c>
      <c r="E10231" s="2">
        <v>27</v>
      </c>
      <c r="F10231" s="2" t="s">
        <v>6</v>
      </c>
    </row>
    <row r="10232" spans="1:6" ht="25.5">
      <c r="A10232" s="2">
        <v>10229</v>
      </c>
      <c r="B10232" s="2" t="s">
        <v>10308</v>
      </c>
      <c r="C10232" s="2" t="str">
        <f>"10833668"</f>
        <v>10833668</v>
      </c>
      <c r="D10232" s="2">
        <v>1.024</v>
      </c>
      <c r="E10232" s="2">
        <v>77</v>
      </c>
      <c r="F10232" s="2" t="s">
        <v>6</v>
      </c>
    </row>
    <row r="10233" spans="1:6" ht="25.5">
      <c r="A10233" s="2">
        <v>10230</v>
      </c>
      <c r="B10233" s="2" t="s">
        <v>10309</v>
      </c>
      <c r="C10233" s="2" t="str">
        <f>"14230127"</f>
        <v>14230127</v>
      </c>
      <c r="D10233" s="2">
        <v>0.73399999999999999</v>
      </c>
      <c r="E10233" s="2">
        <v>47</v>
      </c>
      <c r="F10233" s="2" t="s">
        <v>16</v>
      </c>
    </row>
    <row r="10234" spans="1:6" ht="25.5">
      <c r="A10234" s="2">
        <v>10231</v>
      </c>
      <c r="B10234" s="2" t="s">
        <v>10310</v>
      </c>
      <c r="C10234" s="2" t="str">
        <f>"11107251"</f>
        <v>11107251</v>
      </c>
      <c r="D10234" s="2">
        <v>0.83</v>
      </c>
      <c r="E10234" s="2">
        <v>37</v>
      </c>
      <c r="F10234" s="2" t="s">
        <v>6</v>
      </c>
    </row>
    <row r="10235" spans="1:6" ht="25.5">
      <c r="A10235" s="2">
        <v>10232</v>
      </c>
      <c r="B10235" s="2" t="s">
        <v>10311</v>
      </c>
      <c r="C10235" s="2" t="str">
        <f>"16621018"</f>
        <v>16621018</v>
      </c>
      <c r="D10235" s="2">
        <v>0.13500000000000001</v>
      </c>
      <c r="E10235" s="2">
        <v>3</v>
      </c>
      <c r="F10235" s="2" t="s">
        <v>12</v>
      </c>
    </row>
    <row r="10236" spans="1:6" ht="25.5">
      <c r="A10236" s="2">
        <v>10233</v>
      </c>
      <c r="B10236" s="2" t="s">
        <v>10312</v>
      </c>
      <c r="C10236" s="2" t="str">
        <f>"15735001"</f>
        <v>15735001</v>
      </c>
      <c r="D10236" s="2">
        <v>1.952</v>
      </c>
      <c r="E10236" s="2">
        <v>77</v>
      </c>
      <c r="F10236" s="2" t="s">
        <v>75</v>
      </c>
    </row>
    <row r="10237" spans="1:6" ht="25.5">
      <c r="A10237" s="2">
        <v>10234</v>
      </c>
      <c r="B10237" s="2" t="s">
        <v>10313</v>
      </c>
      <c r="C10237" s="2" t="str">
        <f>"1552454X"</f>
        <v>1552454X</v>
      </c>
      <c r="D10237" s="2">
        <v>0.79400000000000004</v>
      </c>
      <c r="E10237" s="2">
        <v>45</v>
      </c>
      <c r="F10237" s="2" t="s">
        <v>6</v>
      </c>
    </row>
    <row r="10238" spans="1:6" ht="25.5">
      <c r="A10238" s="2">
        <v>10235</v>
      </c>
      <c r="B10238" s="2" t="s">
        <v>10314</v>
      </c>
      <c r="C10238" s="2" t="str">
        <f>"07391102"</f>
        <v>07391102</v>
      </c>
      <c r="D10238" s="2">
        <v>0.67600000000000005</v>
      </c>
      <c r="E10238" s="2">
        <v>43</v>
      </c>
      <c r="F10238" s="2" t="s">
        <v>6</v>
      </c>
    </row>
    <row r="10239" spans="1:6" ht="25.5">
      <c r="A10239" s="2">
        <v>10236</v>
      </c>
      <c r="B10239" s="2" t="s">
        <v>10315</v>
      </c>
      <c r="C10239" s="2" t="str">
        <f>"15240215"</f>
        <v>15240215</v>
      </c>
      <c r="D10239" s="2">
        <v>0.45200000000000001</v>
      </c>
      <c r="E10239" s="2">
        <v>28</v>
      </c>
      <c r="F10239" s="2" t="s">
        <v>6</v>
      </c>
    </row>
    <row r="10240" spans="1:6" ht="25.5">
      <c r="A10240" s="2">
        <v>10237</v>
      </c>
      <c r="B10240" s="2" t="s">
        <v>10316</v>
      </c>
      <c r="C10240" s="2" t="str">
        <f>"16726529"</f>
        <v>16726529</v>
      </c>
      <c r="D10240" s="2">
        <v>0.47199999999999998</v>
      </c>
      <c r="E10240" s="2">
        <v>17</v>
      </c>
      <c r="F10240" s="2" t="s">
        <v>46</v>
      </c>
    </row>
    <row r="10241" spans="1:6" ht="25.5">
      <c r="A10241" s="2">
        <v>10238</v>
      </c>
      <c r="B10241" s="2" t="s">
        <v>10317</v>
      </c>
      <c r="C10241" s="2" t="str">
        <f>"15205711"</f>
        <v>15205711</v>
      </c>
      <c r="D10241" s="2">
        <v>0.66500000000000004</v>
      </c>
      <c r="E10241" s="2">
        <v>29</v>
      </c>
      <c r="F10241" s="2" t="s">
        <v>16</v>
      </c>
    </row>
    <row r="10242" spans="1:6" ht="25.5">
      <c r="A10242" s="2">
        <v>10239</v>
      </c>
      <c r="B10242" s="2" t="s">
        <v>10318</v>
      </c>
      <c r="C10242" s="2" t="str">
        <f>"1864063X"</f>
        <v>1864063X</v>
      </c>
      <c r="D10242" s="2">
        <v>0.98</v>
      </c>
      <c r="E10242" s="2">
        <v>25</v>
      </c>
      <c r="F10242" s="2" t="s">
        <v>12</v>
      </c>
    </row>
    <row r="10243" spans="1:6" ht="25.5">
      <c r="A10243" s="2">
        <v>10240</v>
      </c>
      <c r="B10243" s="2" t="s">
        <v>10319</v>
      </c>
      <c r="C10243" s="2" t="str">
        <f>"18670466"</f>
        <v>18670466</v>
      </c>
      <c r="D10243" s="2">
        <v>0.14799999999999999</v>
      </c>
      <c r="E10243" s="2">
        <v>4</v>
      </c>
      <c r="F10243" s="2" t="s">
        <v>131</v>
      </c>
    </row>
    <row r="10244" spans="1:6" ht="25.5">
      <c r="A10244" s="2">
        <v>10241</v>
      </c>
      <c r="B10244" s="2" t="s">
        <v>10320</v>
      </c>
      <c r="C10244" s="2" t="str">
        <f>"10238654"</f>
        <v>10238654</v>
      </c>
      <c r="D10244" s="2">
        <v>0.108</v>
      </c>
      <c r="E10244" s="2">
        <v>2</v>
      </c>
      <c r="F10244" s="2" t="s">
        <v>2282</v>
      </c>
    </row>
    <row r="10245" spans="1:6" ht="25.5">
      <c r="A10245" s="2">
        <v>10242</v>
      </c>
      <c r="B10245" s="2" t="s">
        <v>10321</v>
      </c>
      <c r="C10245" s="2" t="str">
        <f>"13891723"</f>
        <v>13891723</v>
      </c>
      <c r="D10245" s="2">
        <v>0.64900000000000002</v>
      </c>
      <c r="E10245" s="2">
        <v>64</v>
      </c>
      <c r="F10245" s="2" t="s">
        <v>75</v>
      </c>
    </row>
    <row r="10246" spans="1:6" ht="25.5">
      <c r="A10246" s="2">
        <v>10243</v>
      </c>
      <c r="B10246" s="2" t="s">
        <v>10322</v>
      </c>
      <c r="C10246" s="2" t="str">
        <f>"02505991"</f>
        <v>02505991</v>
      </c>
      <c r="D10246" s="2">
        <v>0.51500000000000001</v>
      </c>
      <c r="E10246" s="2">
        <v>41</v>
      </c>
      <c r="F10246" s="2" t="s">
        <v>488</v>
      </c>
    </row>
    <row r="10247" spans="1:6" ht="25.5">
      <c r="A10247" s="2">
        <v>10244</v>
      </c>
      <c r="B10247" s="2" t="s">
        <v>10323</v>
      </c>
      <c r="C10247" s="2" t="str">
        <f>"14697599"</f>
        <v>14697599</v>
      </c>
      <c r="D10247" s="2">
        <v>0.58099999999999996</v>
      </c>
      <c r="E10247" s="2">
        <v>31</v>
      </c>
      <c r="F10247" s="2" t="s">
        <v>16</v>
      </c>
    </row>
    <row r="10248" spans="1:6" ht="25.5">
      <c r="A10248" s="2">
        <v>10245</v>
      </c>
      <c r="B10248" s="2" t="s">
        <v>10324</v>
      </c>
      <c r="C10248" s="2" t="str">
        <f>"01681656"</f>
        <v>01681656</v>
      </c>
      <c r="D10248" s="2">
        <v>1.073</v>
      </c>
      <c r="E10248" s="2">
        <v>93</v>
      </c>
      <c r="F10248" s="2" t="s">
        <v>75</v>
      </c>
    </row>
    <row r="10249" spans="1:6" ht="25.5">
      <c r="A10249" s="2">
        <v>10246</v>
      </c>
      <c r="B10249" s="2" t="s">
        <v>10325</v>
      </c>
      <c r="C10249" s="2" t="str">
        <f>"15299716"</f>
        <v>15299716</v>
      </c>
      <c r="D10249" s="2">
        <v>0.223</v>
      </c>
      <c r="E10249" s="2">
        <v>6</v>
      </c>
      <c r="F10249" s="2" t="s">
        <v>16</v>
      </c>
    </row>
    <row r="10250" spans="1:6" ht="25.5">
      <c r="A10250" s="2">
        <v>10247</v>
      </c>
      <c r="B10250" s="2" t="s">
        <v>10326</v>
      </c>
      <c r="C10250" s="2" t="str">
        <f>"15524558"</f>
        <v>15524558</v>
      </c>
      <c r="D10250" s="2">
        <v>0.52100000000000002</v>
      </c>
      <c r="E10250" s="2">
        <v>27</v>
      </c>
      <c r="F10250" s="2" t="s">
        <v>6</v>
      </c>
    </row>
    <row r="10251" spans="1:6" ht="25.5">
      <c r="A10251" s="2">
        <v>10248</v>
      </c>
      <c r="B10251" s="2" t="s">
        <v>10327</v>
      </c>
      <c r="C10251" s="2" t="str">
        <f>"00219347"</f>
        <v>00219347</v>
      </c>
      <c r="D10251" s="2">
        <v>0.27400000000000002</v>
      </c>
      <c r="E10251" s="2">
        <v>19</v>
      </c>
      <c r="F10251" s="2" t="s">
        <v>6</v>
      </c>
    </row>
    <row r="10252" spans="1:6" ht="25.5">
      <c r="A10252" s="2">
        <v>10249</v>
      </c>
      <c r="B10252" s="2" t="s">
        <v>10328</v>
      </c>
      <c r="C10252" s="2" t="str">
        <f>"13608592"</f>
        <v>13608592</v>
      </c>
      <c r="D10252" s="2">
        <v>0.45800000000000002</v>
      </c>
      <c r="E10252" s="2">
        <v>18</v>
      </c>
      <c r="F10252" s="2" t="s">
        <v>6</v>
      </c>
    </row>
    <row r="10253" spans="1:6" ht="25.5">
      <c r="A10253" s="2">
        <v>10250</v>
      </c>
      <c r="B10253" s="2" t="s">
        <v>10329</v>
      </c>
      <c r="C10253" s="2" t="str">
        <f>"00219355"</f>
        <v>00219355</v>
      </c>
      <c r="D10253" s="2">
        <v>2.161</v>
      </c>
      <c r="E10253" s="2">
        <v>151</v>
      </c>
      <c r="F10253" s="2" t="s">
        <v>6</v>
      </c>
    </row>
    <row r="10254" spans="1:6" ht="25.5">
      <c r="A10254" s="2">
        <v>10251</v>
      </c>
      <c r="B10254" s="2" t="s">
        <v>10330</v>
      </c>
      <c r="C10254" s="2" t="str">
        <f>"0301620X"</f>
        <v>0301620X</v>
      </c>
      <c r="D10254" s="2">
        <v>2.2890000000000001</v>
      </c>
      <c r="E10254" s="2">
        <v>110</v>
      </c>
      <c r="F10254" s="2" t="s">
        <v>16</v>
      </c>
    </row>
    <row r="10255" spans="1:6" ht="25.5">
      <c r="A10255" s="2">
        <v>10252</v>
      </c>
      <c r="B10255" s="2" t="s">
        <v>10331</v>
      </c>
      <c r="C10255" s="2" t="str">
        <f>"14355604"</f>
        <v>14355604</v>
      </c>
      <c r="D10255" s="2">
        <v>0.74099999999999999</v>
      </c>
      <c r="E10255" s="2">
        <v>43</v>
      </c>
      <c r="F10255" s="2" t="s">
        <v>131</v>
      </c>
    </row>
    <row r="10256" spans="1:6" ht="25.5">
      <c r="A10256" s="2">
        <v>10253</v>
      </c>
      <c r="B10256" s="2" t="s">
        <v>10332</v>
      </c>
      <c r="C10256" s="2" t="str">
        <f>"15234681"</f>
        <v>15234681</v>
      </c>
      <c r="D10256" s="2">
        <v>2.5230000000000001</v>
      </c>
      <c r="E10256" s="2">
        <v>165</v>
      </c>
      <c r="F10256" s="2" t="s">
        <v>6</v>
      </c>
    </row>
    <row r="10257" spans="1:6" ht="25.5">
      <c r="A10257" s="2">
        <v>10254</v>
      </c>
      <c r="B10257" s="2" t="s">
        <v>10333</v>
      </c>
      <c r="C10257" s="2" t="str">
        <f>"22121374"</f>
        <v>22121374</v>
      </c>
      <c r="D10257" s="2">
        <v>0</v>
      </c>
      <c r="E10257" s="2">
        <v>0</v>
      </c>
      <c r="F10257" s="2" t="s">
        <v>12</v>
      </c>
    </row>
    <row r="10258" spans="1:6" ht="25.5">
      <c r="A10258" s="2">
        <v>10255</v>
      </c>
      <c r="B10258" s="2" t="s">
        <v>10334</v>
      </c>
      <c r="C10258" s="2" t="str">
        <f>"08865655"</f>
        <v>08865655</v>
      </c>
      <c r="D10258" s="2">
        <v>0</v>
      </c>
      <c r="E10258" s="2">
        <v>1</v>
      </c>
      <c r="F10258" s="2" t="s">
        <v>16</v>
      </c>
    </row>
    <row r="10259" spans="1:6" ht="25.5">
      <c r="A10259" s="2">
        <v>10256</v>
      </c>
      <c r="B10259" s="2" t="s">
        <v>10335</v>
      </c>
      <c r="C10259" s="2" t="str">
        <f>"17497221"</f>
        <v>17497221</v>
      </c>
      <c r="D10259" s="2">
        <v>0.41</v>
      </c>
      <c r="E10259" s="2">
        <v>9</v>
      </c>
      <c r="F10259" s="2" t="s">
        <v>16</v>
      </c>
    </row>
    <row r="10260" spans="1:6" ht="25.5">
      <c r="A10260" s="2">
        <v>10257</v>
      </c>
      <c r="B10260" s="2" t="s">
        <v>10336</v>
      </c>
      <c r="C10260" s="2" t="str">
        <f>"13415301"</f>
        <v>13415301</v>
      </c>
      <c r="D10260" s="2">
        <v>0.14000000000000001</v>
      </c>
      <c r="E10260" s="2">
        <v>3</v>
      </c>
      <c r="F10260" s="2" t="s">
        <v>131</v>
      </c>
    </row>
    <row r="10261" spans="1:6" ht="25.5">
      <c r="A10261" s="2">
        <v>10258</v>
      </c>
      <c r="B10261" s="2" t="s">
        <v>10337</v>
      </c>
      <c r="C10261" s="2" t="str">
        <f>"14791803"</f>
        <v>14791803</v>
      </c>
      <c r="D10261" s="2">
        <v>0.83599999999999997</v>
      </c>
      <c r="E10261" s="2">
        <v>9</v>
      </c>
      <c r="F10261" s="2" t="s">
        <v>16</v>
      </c>
    </row>
    <row r="10262" spans="1:6" ht="25.5">
      <c r="A10262" s="2">
        <v>10259</v>
      </c>
      <c r="B10262" s="2" t="s">
        <v>10338</v>
      </c>
      <c r="C10262" s="2" t="str">
        <f>"17386756"</f>
        <v>17386756</v>
      </c>
      <c r="D10262" s="2">
        <v>0.25900000000000001</v>
      </c>
      <c r="E10262" s="2">
        <v>6</v>
      </c>
      <c r="F10262" s="2" t="s">
        <v>274</v>
      </c>
    </row>
    <row r="10263" spans="1:6" ht="25.5">
      <c r="A10263" s="2">
        <v>10260</v>
      </c>
      <c r="B10263" s="2" t="s">
        <v>10339</v>
      </c>
      <c r="C10263" s="2" t="str">
        <f>"17527163"</f>
        <v>17527163</v>
      </c>
      <c r="D10263" s="2">
        <v>0.57199999999999995</v>
      </c>
      <c r="E10263" s="2">
        <v>13</v>
      </c>
      <c r="F10263" s="2" t="s">
        <v>16</v>
      </c>
    </row>
    <row r="10264" spans="1:6" ht="25.5">
      <c r="A10264" s="2">
        <v>10261</v>
      </c>
      <c r="B10264" s="2" t="s">
        <v>10340</v>
      </c>
      <c r="C10264" s="2" t="str">
        <f>"10840702"</f>
        <v>10840702</v>
      </c>
      <c r="D10264" s="2">
        <v>0.95599999999999996</v>
      </c>
      <c r="E10264" s="2">
        <v>29</v>
      </c>
      <c r="F10264" s="2" t="s">
        <v>6</v>
      </c>
    </row>
    <row r="10265" spans="1:6" ht="25.5">
      <c r="A10265" s="2">
        <v>10262</v>
      </c>
      <c r="B10265" s="2" t="s">
        <v>10341</v>
      </c>
      <c r="C10265" s="2" t="str">
        <f>"17551714"</f>
        <v>17551714</v>
      </c>
      <c r="D10265" s="2">
        <v>0.10100000000000001</v>
      </c>
      <c r="E10265" s="2">
        <v>1</v>
      </c>
      <c r="F10265" s="2" t="s">
        <v>16</v>
      </c>
    </row>
    <row r="10266" spans="1:6" ht="25.5">
      <c r="A10266" s="2">
        <v>10263</v>
      </c>
      <c r="B10266" s="2" t="s">
        <v>10342</v>
      </c>
      <c r="C10266" s="2" t="str">
        <f>"00219371"</f>
        <v>00219371</v>
      </c>
      <c r="D10266" s="2">
        <v>0.28399999999999997</v>
      </c>
      <c r="E10266" s="2">
        <v>13</v>
      </c>
      <c r="F10266" s="2" t="s">
        <v>6</v>
      </c>
    </row>
    <row r="10267" spans="1:6" ht="25.5">
      <c r="A10267" s="2">
        <v>10264</v>
      </c>
      <c r="B10267" s="2" t="s">
        <v>10343</v>
      </c>
      <c r="C10267" s="2" t="str">
        <f>"15506878"</f>
        <v>15506878</v>
      </c>
      <c r="D10267" s="2">
        <v>0.71599999999999997</v>
      </c>
      <c r="E10267" s="2">
        <v>30</v>
      </c>
      <c r="F10267" s="2" t="s">
        <v>16</v>
      </c>
    </row>
    <row r="10268" spans="1:6" ht="25.5">
      <c r="A10268" s="2">
        <v>10265</v>
      </c>
      <c r="B10268" s="2" t="s">
        <v>10344</v>
      </c>
      <c r="C10268" s="2" t="str">
        <f>"03736687"</f>
        <v>03736687</v>
      </c>
      <c r="D10268" s="2">
        <v>0.504</v>
      </c>
      <c r="E10268" s="2">
        <v>21</v>
      </c>
      <c r="F10268" s="2" t="s">
        <v>16</v>
      </c>
    </row>
    <row r="10269" spans="1:6" ht="25.5">
      <c r="A10269" s="2">
        <v>10266</v>
      </c>
      <c r="B10269" s="2" t="s">
        <v>10345</v>
      </c>
      <c r="C10269" s="2" t="str">
        <f>"10769005"</f>
        <v>10769005</v>
      </c>
      <c r="D10269" s="2">
        <v>0.14199999999999999</v>
      </c>
      <c r="E10269" s="2">
        <v>1</v>
      </c>
      <c r="F10269" s="2" t="s">
        <v>6</v>
      </c>
    </row>
    <row r="10270" spans="1:6" ht="25.5">
      <c r="A10270" s="2">
        <v>10267</v>
      </c>
      <c r="B10270" s="2" t="s">
        <v>10346</v>
      </c>
      <c r="C10270" s="2" t="str">
        <f>"19401493"</f>
        <v>19401493</v>
      </c>
      <c r="D10270" s="2">
        <v>1.113</v>
      </c>
      <c r="E10270" s="2">
        <v>7</v>
      </c>
      <c r="F10270" s="2" t="s">
        <v>16</v>
      </c>
    </row>
    <row r="10271" spans="1:6" ht="25.5">
      <c r="A10271" s="2">
        <v>10268</v>
      </c>
      <c r="B10271" s="2" t="s">
        <v>10347</v>
      </c>
      <c r="C10271" s="2" t="str">
        <f>"17442591"</f>
        <v>17442591</v>
      </c>
      <c r="D10271" s="2">
        <v>0.68</v>
      </c>
      <c r="E10271" s="2">
        <v>17</v>
      </c>
      <c r="F10271" s="2" t="s">
        <v>16</v>
      </c>
    </row>
    <row r="10272" spans="1:6" ht="25.5">
      <c r="A10272" s="2">
        <v>10269</v>
      </c>
      <c r="B10272" s="2" t="s">
        <v>10348</v>
      </c>
      <c r="C10272" s="2" t="str">
        <f>"11070625"</f>
        <v>11070625</v>
      </c>
      <c r="D10272" s="2">
        <v>0.26800000000000002</v>
      </c>
      <c r="E10272" s="2">
        <v>11</v>
      </c>
      <c r="F10272" s="2" t="s">
        <v>313</v>
      </c>
    </row>
    <row r="10273" spans="1:6" ht="25.5">
      <c r="A10273" s="2">
        <v>10270</v>
      </c>
      <c r="B10273" s="2" t="s">
        <v>10349</v>
      </c>
      <c r="C10273" s="2" t="str">
        <f>"1094799X"</f>
        <v>1094799X</v>
      </c>
      <c r="D10273" s="2">
        <v>0.10100000000000001</v>
      </c>
      <c r="E10273" s="2">
        <v>1</v>
      </c>
      <c r="F10273" s="2" t="s">
        <v>6</v>
      </c>
    </row>
    <row r="10274" spans="1:6" ht="25.5">
      <c r="A10274" s="2">
        <v>10271</v>
      </c>
      <c r="B10274" s="2" t="s">
        <v>10350</v>
      </c>
      <c r="C10274" s="2" t="str">
        <f>"15590488"</f>
        <v>15590488</v>
      </c>
      <c r="D10274" s="2">
        <v>0.69799999999999995</v>
      </c>
      <c r="E10274" s="2">
        <v>45</v>
      </c>
      <c r="F10274" s="2" t="s">
        <v>6</v>
      </c>
    </row>
    <row r="10275" spans="1:6" ht="25.5">
      <c r="A10275" s="2">
        <v>10272</v>
      </c>
      <c r="B10275" s="2" t="s">
        <v>10351</v>
      </c>
      <c r="C10275" s="2" t="str">
        <f>"15372707"</f>
        <v>15372707</v>
      </c>
      <c r="D10275" s="2">
        <v>3.2450000000000001</v>
      </c>
      <c r="E10275" s="2">
        <v>56</v>
      </c>
      <c r="F10275" s="2" t="s">
        <v>6</v>
      </c>
    </row>
    <row r="10276" spans="1:6" ht="25.5">
      <c r="A10276" s="2">
        <v>10273</v>
      </c>
      <c r="B10276" s="2" t="s">
        <v>10352</v>
      </c>
      <c r="C10276" s="2" t="str">
        <f>"15470644"</f>
        <v>15470644</v>
      </c>
      <c r="D10276" s="2">
        <v>0.307</v>
      </c>
      <c r="E10276" s="2">
        <v>7</v>
      </c>
      <c r="F10276" s="2" t="s">
        <v>16</v>
      </c>
    </row>
    <row r="10277" spans="1:6" ht="25.5">
      <c r="A10277" s="2">
        <v>10274</v>
      </c>
      <c r="B10277" s="2" t="s">
        <v>10353</v>
      </c>
      <c r="C10277" s="2" t="str">
        <f>"08858624"</f>
        <v>08858624</v>
      </c>
      <c r="D10277" s="2">
        <v>0.71</v>
      </c>
      <c r="E10277" s="2">
        <v>36</v>
      </c>
      <c r="F10277" s="2" t="s">
        <v>16</v>
      </c>
    </row>
    <row r="10278" spans="1:6" ht="25.5">
      <c r="A10278" s="2">
        <v>10275</v>
      </c>
      <c r="B10278" s="2" t="s">
        <v>10354</v>
      </c>
      <c r="C10278" s="2" t="str">
        <f>"1573353X"</f>
        <v>1573353X</v>
      </c>
      <c r="D10278" s="2">
        <v>0.93500000000000005</v>
      </c>
      <c r="E10278" s="2">
        <v>30</v>
      </c>
      <c r="F10278" s="2" t="s">
        <v>6</v>
      </c>
    </row>
    <row r="10279" spans="1:6" ht="25.5">
      <c r="A10279" s="2">
        <v>10276</v>
      </c>
      <c r="B10279" s="2" t="s">
        <v>10355</v>
      </c>
      <c r="C10279" s="2" t="str">
        <f>"10506519"</f>
        <v>10506519</v>
      </c>
      <c r="D10279" s="2">
        <v>0.39100000000000001</v>
      </c>
      <c r="E10279" s="2">
        <v>18</v>
      </c>
      <c r="F10279" s="2" t="s">
        <v>6</v>
      </c>
    </row>
    <row r="10280" spans="1:6" ht="25.5">
      <c r="A10280" s="2">
        <v>10277</v>
      </c>
      <c r="B10280" s="2" t="s">
        <v>10356</v>
      </c>
      <c r="C10280" s="2" t="str">
        <f>"00219436"</f>
        <v>00219436</v>
      </c>
      <c r="D10280" s="2">
        <v>0.67100000000000004</v>
      </c>
      <c r="E10280" s="2">
        <v>27</v>
      </c>
      <c r="F10280" s="2" t="s">
        <v>6</v>
      </c>
    </row>
    <row r="10281" spans="1:6" ht="25.5">
      <c r="A10281" s="2">
        <v>10278</v>
      </c>
      <c r="B10281" s="2" t="s">
        <v>10357</v>
      </c>
      <c r="C10281" s="2" t="str">
        <f>"17499224"</f>
        <v>17499224</v>
      </c>
      <c r="D10281" s="2">
        <v>0.126</v>
      </c>
      <c r="E10281" s="2">
        <v>3</v>
      </c>
      <c r="F10281" s="2" t="s">
        <v>16</v>
      </c>
    </row>
    <row r="10282" spans="1:6" ht="25.5">
      <c r="A10282" s="2">
        <v>10279</v>
      </c>
      <c r="B10282" s="2" t="s">
        <v>10358</v>
      </c>
      <c r="C10282" s="2" t="str">
        <f>"20294433"</f>
        <v>20294433</v>
      </c>
      <c r="D10282" s="2">
        <v>0.82899999999999996</v>
      </c>
      <c r="E10282" s="2">
        <v>16</v>
      </c>
      <c r="F10282" s="2" t="s">
        <v>426</v>
      </c>
    </row>
    <row r="10283" spans="1:6" ht="25.5">
      <c r="A10283" s="2">
        <v>10280</v>
      </c>
      <c r="B10283" s="2" t="s">
        <v>10359</v>
      </c>
      <c r="C10283" s="2" t="str">
        <f>"15730697"</f>
        <v>15730697</v>
      </c>
      <c r="D10283" s="2">
        <v>0.82399999999999995</v>
      </c>
      <c r="E10283" s="2">
        <v>64</v>
      </c>
      <c r="F10283" s="2" t="s">
        <v>75</v>
      </c>
    </row>
    <row r="10284" spans="1:6" ht="25.5">
      <c r="A10284" s="2">
        <v>10281</v>
      </c>
      <c r="B10284" s="2" t="s">
        <v>10360</v>
      </c>
      <c r="C10284" s="2" t="str">
        <f>"0306686X"</f>
        <v>0306686X</v>
      </c>
      <c r="D10284" s="2">
        <v>0.82199999999999995</v>
      </c>
      <c r="E10284" s="2">
        <v>39</v>
      </c>
      <c r="F10284" s="2" t="s">
        <v>16</v>
      </c>
    </row>
    <row r="10285" spans="1:6" ht="25.5">
      <c r="A10285" s="2">
        <v>10282</v>
      </c>
      <c r="B10285" s="2" t="s">
        <v>10361</v>
      </c>
      <c r="C10285" s="2" t="str">
        <f>"01482963"</f>
        <v>01482963</v>
      </c>
      <c r="D10285" s="2">
        <v>1.2889999999999999</v>
      </c>
      <c r="E10285" s="2">
        <v>77</v>
      </c>
      <c r="F10285" s="2" t="s">
        <v>6</v>
      </c>
    </row>
    <row r="10286" spans="1:6" ht="25.5">
      <c r="A10286" s="2">
        <v>10283</v>
      </c>
      <c r="B10286" s="2" t="s">
        <v>10362</v>
      </c>
      <c r="C10286" s="2" t="str">
        <f>"02756668"</f>
        <v>02756668</v>
      </c>
      <c r="D10286" s="2">
        <v>0.28000000000000003</v>
      </c>
      <c r="E10286" s="2">
        <v>10</v>
      </c>
      <c r="F10286" s="2" t="s">
        <v>16</v>
      </c>
    </row>
    <row r="10287" spans="1:6" ht="25.5">
      <c r="A10287" s="2">
        <v>10284</v>
      </c>
      <c r="B10287" s="2" t="s">
        <v>10363</v>
      </c>
      <c r="C10287" s="2" t="str">
        <f>"15470628"</f>
        <v>15470628</v>
      </c>
      <c r="D10287" s="2">
        <v>0.54500000000000004</v>
      </c>
      <c r="E10287" s="2">
        <v>8</v>
      </c>
      <c r="F10287" s="2" t="s">
        <v>16</v>
      </c>
    </row>
    <row r="10288" spans="1:6" ht="25.5">
      <c r="A10288" s="2">
        <v>10285</v>
      </c>
      <c r="B10288" s="2" t="s">
        <v>10364</v>
      </c>
      <c r="C10288" s="2" t="str">
        <f>"19329156"</f>
        <v>19329156</v>
      </c>
      <c r="D10288" s="2">
        <v>0.109</v>
      </c>
      <c r="E10288" s="2">
        <v>3</v>
      </c>
      <c r="F10288" s="2" t="s">
        <v>6</v>
      </c>
    </row>
    <row r="10289" spans="1:6" ht="25.5">
      <c r="A10289" s="2">
        <v>10286</v>
      </c>
      <c r="B10289" s="2" t="s">
        <v>10365</v>
      </c>
      <c r="C10289" s="2" t="str">
        <f>"08839026"</f>
        <v>08839026</v>
      </c>
      <c r="D10289" s="2">
        <v>2.774</v>
      </c>
      <c r="E10289" s="2">
        <v>76</v>
      </c>
      <c r="F10289" s="2" t="s">
        <v>6</v>
      </c>
    </row>
    <row r="10290" spans="1:6" ht="25.5">
      <c r="A10290" s="2">
        <v>10287</v>
      </c>
      <c r="B10290" s="2" t="s">
        <v>10366</v>
      </c>
      <c r="C10290" s="2" t="str">
        <f>"21906009"</f>
        <v>21906009</v>
      </c>
      <c r="D10290" s="2">
        <v>0.58299999999999996</v>
      </c>
      <c r="E10290" s="2">
        <v>9</v>
      </c>
      <c r="F10290" s="2" t="s">
        <v>12</v>
      </c>
    </row>
    <row r="10291" spans="1:6" ht="25.5">
      <c r="A10291" s="2">
        <v>10288</v>
      </c>
      <c r="B10291" s="2" t="s">
        <v>10367</v>
      </c>
      <c r="C10291" s="2" t="str">
        <f>"09716777"</f>
        <v>09716777</v>
      </c>
      <c r="D10291" s="2">
        <v>0.188</v>
      </c>
      <c r="E10291" s="2">
        <v>11</v>
      </c>
      <c r="F10291" s="2" t="s">
        <v>488</v>
      </c>
    </row>
    <row r="10292" spans="1:6" ht="25.5">
      <c r="A10292" s="2">
        <v>10289</v>
      </c>
      <c r="B10292" s="2" t="s">
        <v>10368</v>
      </c>
      <c r="C10292" s="2" t="str">
        <f>"00219487"</f>
        <v>00219487</v>
      </c>
      <c r="D10292" s="2">
        <v>1.0369999999999999</v>
      </c>
      <c r="E10292" s="2">
        <v>26</v>
      </c>
      <c r="F10292" s="2" t="s">
        <v>64</v>
      </c>
    </row>
    <row r="10293" spans="1:6" ht="25.5">
      <c r="A10293" s="2">
        <v>10290</v>
      </c>
      <c r="B10293" s="2" t="s">
        <v>10369</v>
      </c>
      <c r="C10293" s="2" t="str">
        <f>"00219495"</f>
        <v>00219495</v>
      </c>
      <c r="D10293" s="2">
        <v>0.13200000000000001</v>
      </c>
      <c r="E10293" s="2">
        <v>6</v>
      </c>
      <c r="F10293" s="2" t="s">
        <v>64</v>
      </c>
    </row>
    <row r="10294" spans="1:6" ht="25.5">
      <c r="A10294" s="2">
        <v>10291</v>
      </c>
      <c r="B10294" s="2" t="s">
        <v>10370</v>
      </c>
      <c r="C10294" s="2" t="str">
        <f>"15430154"</f>
        <v>15430154</v>
      </c>
      <c r="D10294" s="2">
        <v>0.36499999999999999</v>
      </c>
      <c r="E10294" s="2">
        <v>27</v>
      </c>
      <c r="F10294" s="2" t="s">
        <v>6</v>
      </c>
    </row>
    <row r="10295" spans="1:6" ht="25.5">
      <c r="A10295" s="2">
        <v>10292</v>
      </c>
      <c r="B10295" s="2" t="s">
        <v>10371</v>
      </c>
      <c r="C10295" s="2" t="str">
        <f>"16878566"</f>
        <v>16878566</v>
      </c>
      <c r="D10295" s="2">
        <v>0.50600000000000001</v>
      </c>
      <c r="E10295" s="2">
        <v>4</v>
      </c>
      <c r="F10295" s="2" t="s">
        <v>6</v>
      </c>
    </row>
    <row r="10296" spans="1:6" ht="25.5">
      <c r="A10296" s="2">
        <v>10293</v>
      </c>
      <c r="B10296" s="2" t="s">
        <v>10372</v>
      </c>
      <c r="C10296" s="2" t="str">
        <f>"14321335"</f>
        <v>14321335</v>
      </c>
      <c r="D10296" s="2">
        <v>0.97499999999999998</v>
      </c>
      <c r="E10296" s="2">
        <v>61</v>
      </c>
      <c r="F10296" s="2" t="s">
        <v>12</v>
      </c>
    </row>
    <row r="10297" spans="1:6" ht="25.5">
      <c r="A10297" s="2">
        <v>10294</v>
      </c>
      <c r="B10297" s="2" t="s">
        <v>10373</v>
      </c>
      <c r="C10297" s="2" t="str">
        <f>"09741127"</f>
        <v>09741127</v>
      </c>
      <c r="D10297" s="2">
        <v>0.38</v>
      </c>
      <c r="E10297" s="2">
        <v>13</v>
      </c>
      <c r="F10297" s="2" t="s">
        <v>488</v>
      </c>
    </row>
    <row r="10298" spans="1:6" ht="25.5">
      <c r="A10298" s="2">
        <v>10295</v>
      </c>
      <c r="B10298" s="2" t="s">
        <v>10374</v>
      </c>
      <c r="C10298" s="2" t="str">
        <f>"19485956"</f>
        <v>19485956</v>
      </c>
      <c r="D10298" s="2">
        <v>0.16800000000000001</v>
      </c>
      <c r="E10298" s="2">
        <v>6</v>
      </c>
      <c r="F10298" s="2" t="s">
        <v>6</v>
      </c>
    </row>
    <row r="10299" spans="1:6" ht="25.5">
      <c r="A10299" s="2">
        <v>10296</v>
      </c>
      <c r="B10299" s="2" t="s">
        <v>10375</v>
      </c>
      <c r="C10299" s="2" t="str">
        <f>"19322267"</f>
        <v>19322267</v>
      </c>
      <c r="D10299" s="2">
        <v>1.9390000000000001</v>
      </c>
      <c r="E10299" s="2">
        <v>19</v>
      </c>
      <c r="F10299" s="2" t="s">
        <v>6</v>
      </c>
    </row>
    <row r="10300" spans="1:6" ht="25.5">
      <c r="A10300" s="2">
        <v>10297</v>
      </c>
      <c r="B10300" s="2" t="s">
        <v>10376</v>
      </c>
      <c r="C10300" s="2" t="str">
        <f>"15322327"</f>
        <v>15322327</v>
      </c>
      <c r="D10300" s="2">
        <v>0.29699999999999999</v>
      </c>
      <c r="E10300" s="2">
        <v>24</v>
      </c>
      <c r="F10300" s="2" t="s">
        <v>16</v>
      </c>
    </row>
    <row r="10301" spans="1:6" ht="25.5">
      <c r="A10301" s="2">
        <v>10298</v>
      </c>
      <c r="B10301" s="2" t="s">
        <v>10377</v>
      </c>
      <c r="C10301" s="2" t="str">
        <f>"14773163"</f>
        <v>14773163</v>
      </c>
      <c r="D10301" s="2">
        <v>0.88800000000000001</v>
      </c>
      <c r="E10301" s="2">
        <v>20</v>
      </c>
      <c r="F10301" s="2" t="s">
        <v>488</v>
      </c>
    </row>
    <row r="10302" spans="1:6" ht="25.5">
      <c r="A10302" s="2">
        <v>10299</v>
      </c>
      <c r="B10302" s="2" t="s">
        <v>10378</v>
      </c>
      <c r="C10302" s="2" t="str">
        <f>"15328414"</f>
        <v>15328414</v>
      </c>
      <c r="D10302" s="2">
        <v>1.494</v>
      </c>
      <c r="E10302" s="2">
        <v>66</v>
      </c>
      <c r="F10302" s="2" t="s">
        <v>16</v>
      </c>
    </row>
    <row r="10303" spans="1:6" ht="25.5">
      <c r="A10303" s="2">
        <v>10300</v>
      </c>
      <c r="B10303" s="2" t="s">
        <v>10379</v>
      </c>
      <c r="C10303" s="2" t="str">
        <f>"15408191"</f>
        <v>15408191</v>
      </c>
      <c r="D10303" s="2">
        <v>0.45500000000000002</v>
      </c>
      <c r="E10303" s="2">
        <v>38</v>
      </c>
      <c r="F10303" s="2" t="s">
        <v>16</v>
      </c>
    </row>
    <row r="10304" spans="1:6" ht="25.5">
      <c r="A10304" s="2">
        <v>10301</v>
      </c>
      <c r="B10304" s="2" t="s">
        <v>10380</v>
      </c>
      <c r="C10304" s="2" t="str">
        <f>"09145087"</f>
        <v>09145087</v>
      </c>
      <c r="D10304" s="2">
        <v>0.71299999999999997</v>
      </c>
      <c r="E10304" s="2">
        <v>22</v>
      </c>
      <c r="F10304" s="2" t="s">
        <v>131</v>
      </c>
    </row>
    <row r="10305" spans="1:6" ht="25.5">
      <c r="A10305" s="2">
        <v>10302</v>
      </c>
      <c r="B10305" s="2" t="s">
        <v>10381</v>
      </c>
      <c r="C10305" s="2" t="str">
        <f>"18785409"</f>
        <v>18785409</v>
      </c>
      <c r="D10305" s="2">
        <v>0.13600000000000001</v>
      </c>
      <c r="E10305" s="2">
        <v>2</v>
      </c>
      <c r="F10305" s="2" t="s">
        <v>16</v>
      </c>
    </row>
    <row r="10306" spans="1:6" ht="25.5">
      <c r="A10306" s="2">
        <v>10303</v>
      </c>
      <c r="B10306" s="2" t="s">
        <v>10382</v>
      </c>
      <c r="C10306" s="2" t="str">
        <f>"1932751X"</f>
        <v>1932751X</v>
      </c>
      <c r="D10306" s="2">
        <v>0.751</v>
      </c>
      <c r="E10306" s="2">
        <v>45</v>
      </c>
      <c r="F10306" s="2" t="s">
        <v>6</v>
      </c>
    </row>
    <row r="10307" spans="1:6" ht="25.5">
      <c r="A10307" s="2">
        <v>10304</v>
      </c>
      <c r="B10307" s="2" t="s">
        <v>10383</v>
      </c>
      <c r="C10307" s="2" t="str">
        <f>"15328422"</f>
        <v>15328422</v>
      </c>
      <c r="D10307" s="2">
        <v>0.61399999999999999</v>
      </c>
      <c r="E10307" s="2">
        <v>53</v>
      </c>
      <c r="F10307" s="2" t="s">
        <v>16</v>
      </c>
    </row>
    <row r="10308" spans="1:6" ht="25.5">
      <c r="A10308" s="2">
        <v>10305</v>
      </c>
      <c r="B10308" s="2" t="s">
        <v>10384</v>
      </c>
      <c r="C10308" s="2" t="str">
        <f>"17498090"</f>
        <v>17498090</v>
      </c>
      <c r="D10308" s="2">
        <v>0.40699999999999997</v>
      </c>
      <c r="E10308" s="2">
        <v>16</v>
      </c>
      <c r="F10308" s="2" t="s">
        <v>16</v>
      </c>
    </row>
    <row r="10309" spans="1:6" ht="25.5">
      <c r="A10309" s="2">
        <v>10306</v>
      </c>
      <c r="B10309" s="2" t="s">
        <v>10385</v>
      </c>
      <c r="C10309" s="2" t="str">
        <f>"19345925"</f>
        <v>19345925</v>
      </c>
      <c r="D10309" s="2">
        <v>1.395</v>
      </c>
      <c r="E10309" s="2">
        <v>19</v>
      </c>
      <c r="F10309" s="2" t="s">
        <v>6</v>
      </c>
    </row>
    <row r="10310" spans="1:6" ht="25.5">
      <c r="A10310" s="2">
        <v>10307</v>
      </c>
      <c r="B10310" s="2" t="s">
        <v>10386</v>
      </c>
      <c r="C10310" s="2" t="str">
        <f>"15408167"</f>
        <v>15408167</v>
      </c>
      <c r="D10310" s="2">
        <v>1.8160000000000001</v>
      </c>
      <c r="E10310" s="2">
        <v>95</v>
      </c>
      <c r="F10310" s="2" t="s">
        <v>16</v>
      </c>
    </row>
    <row r="10311" spans="1:6" ht="25.5">
      <c r="A10311" s="2">
        <v>10308</v>
      </c>
      <c r="B10311" s="2" t="s">
        <v>10387</v>
      </c>
      <c r="C10311" s="2" t="str">
        <f>"1532429X"</f>
        <v>1532429X</v>
      </c>
      <c r="D10311" s="2">
        <v>1.806</v>
      </c>
      <c r="E10311" s="2">
        <v>40</v>
      </c>
      <c r="F10311" s="2" t="s">
        <v>16</v>
      </c>
    </row>
    <row r="10312" spans="1:6" ht="25.5">
      <c r="A10312" s="2">
        <v>10309</v>
      </c>
      <c r="B10312" s="2" t="s">
        <v>10388</v>
      </c>
      <c r="C10312" s="2" t="str">
        <f>"15582035"</f>
        <v>15582035</v>
      </c>
      <c r="D10312" s="2">
        <v>0.45800000000000002</v>
      </c>
      <c r="E10312" s="2">
        <v>30</v>
      </c>
      <c r="F10312" s="2" t="s">
        <v>6</v>
      </c>
    </row>
    <row r="10313" spans="1:6" ht="25.5">
      <c r="A10313" s="2">
        <v>10310</v>
      </c>
      <c r="B10313" s="2" t="s">
        <v>10388</v>
      </c>
      <c r="C10313" s="2" t="str">
        <f>"01996614"</f>
        <v>01996614</v>
      </c>
      <c r="D10313" s="2">
        <v>0.318</v>
      </c>
      <c r="E10313" s="2">
        <v>14</v>
      </c>
      <c r="F10313" s="2" t="s">
        <v>12</v>
      </c>
    </row>
    <row r="10314" spans="1:6" ht="25.5">
      <c r="A10314" s="2">
        <v>10311</v>
      </c>
      <c r="B10314" s="2" t="s">
        <v>10389</v>
      </c>
      <c r="C10314" s="2" t="str">
        <f>"15505049"</f>
        <v>15505049</v>
      </c>
      <c r="D10314" s="2">
        <v>0.57799999999999996</v>
      </c>
      <c r="E10314" s="2">
        <v>32</v>
      </c>
      <c r="F10314" s="2" t="s">
        <v>6</v>
      </c>
    </row>
    <row r="10315" spans="1:6" ht="25.5">
      <c r="A10315" s="2">
        <v>10312</v>
      </c>
      <c r="B10315" s="2" t="s">
        <v>10390</v>
      </c>
      <c r="C10315" s="2" t="str">
        <f>"15334023"</f>
        <v>15334023</v>
      </c>
      <c r="D10315" s="2">
        <v>0.89800000000000002</v>
      </c>
      <c r="E10315" s="2">
        <v>70</v>
      </c>
      <c r="F10315" s="2" t="s">
        <v>6</v>
      </c>
    </row>
    <row r="10316" spans="1:6" ht="25.5">
      <c r="A10316" s="2">
        <v>10313</v>
      </c>
      <c r="B10316" s="2" t="s">
        <v>10391</v>
      </c>
      <c r="C10316" s="2" t="str">
        <f>"10742484"</f>
        <v>10742484</v>
      </c>
      <c r="D10316" s="2">
        <v>0.81699999999999995</v>
      </c>
      <c r="E10316" s="2">
        <v>29</v>
      </c>
      <c r="F10316" s="2" t="s">
        <v>16</v>
      </c>
    </row>
    <row r="10317" spans="1:6" ht="25.5">
      <c r="A10317" s="2">
        <v>10314</v>
      </c>
      <c r="B10317" s="2" t="s">
        <v>10392</v>
      </c>
      <c r="C10317" s="2" t="str">
        <f>"00219509"</f>
        <v>00219509</v>
      </c>
      <c r="D10317" s="2">
        <v>0.753</v>
      </c>
      <c r="E10317" s="2">
        <v>38</v>
      </c>
      <c r="F10317" s="2" t="s">
        <v>190</v>
      </c>
    </row>
    <row r="10318" spans="1:6" ht="25.5">
      <c r="A10318" s="2">
        <v>10315</v>
      </c>
      <c r="B10318" s="2" t="s">
        <v>10393</v>
      </c>
      <c r="C10318" s="2" t="str">
        <f>"19375395"</f>
        <v>19375395</v>
      </c>
      <c r="D10318" s="2">
        <v>0.93600000000000005</v>
      </c>
      <c r="E10318" s="2">
        <v>15</v>
      </c>
      <c r="F10318" s="2" t="s">
        <v>6</v>
      </c>
    </row>
    <row r="10319" spans="1:6" ht="25.5">
      <c r="A10319" s="2">
        <v>10316</v>
      </c>
      <c r="B10319" s="2" t="s">
        <v>10394</v>
      </c>
      <c r="C10319" s="2" t="str">
        <f>"10690727"</f>
        <v>10690727</v>
      </c>
      <c r="D10319" s="2">
        <v>0.69199999999999995</v>
      </c>
      <c r="E10319" s="2">
        <v>26</v>
      </c>
      <c r="F10319" s="2" t="s">
        <v>6</v>
      </c>
    </row>
    <row r="10320" spans="1:6" ht="25.5">
      <c r="A10320" s="2">
        <v>10317</v>
      </c>
      <c r="B10320" s="2" t="s">
        <v>10395</v>
      </c>
      <c r="C10320" s="2" t="str">
        <f>"15733548"</f>
        <v>15733548</v>
      </c>
      <c r="D10320" s="2">
        <v>0.60299999999999998</v>
      </c>
      <c r="E10320" s="2">
        <v>19</v>
      </c>
      <c r="F10320" s="2" t="s">
        <v>6</v>
      </c>
    </row>
    <row r="10321" spans="1:6" ht="25.5">
      <c r="A10321" s="2">
        <v>10318</v>
      </c>
      <c r="B10321" s="2" t="s">
        <v>10396</v>
      </c>
      <c r="C10321" s="2" t="str">
        <f>"15487725"</f>
        <v>15487725</v>
      </c>
      <c r="D10321" s="2">
        <v>0.109</v>
      </c>
      <c r="E10321" s="2">
        <v>6</v>
      </c>
      <c r="F10321" s="2" t="s">
        <v>6</v>
      </c>
    </row>
    <row r="10322" spans="1:6" ht="25.5">
      <c r="A10322" s="2">
        <v>10319</v>
      </c>
      <c r="B10322" s="2" t="s">
        <v>10397</v>
      </c>
      <c r="C10322" s="2" t="str">
        <f>"10902694"</f>
        <v>10902694</v>
      </c>
      <c r="D10322" s="2">
        <v>2.6059999999999999</v>
      </c>
      <c r="E10322" s="2">
        <v>139</v>
      </c>
      <c r="F10322" s="2" t="s">
        <v>6</v>
      </c>
    </row>
    <row r="10323" spans="1:6" ht="25.5">
      <c r="A10323" s="2">
        <v>10320</v>
      </c>
      <c r="B10323" s="2" t="s">
        <v>10398</v>
      </c>
      <c r="C10323" s="2" t="str">
        <f>"18734502"</f>
        <v>18734502</v>
      </c>
      <c r="D10323" s="2">
        <v>1.639</v>
      </c>
      <c r="E10323" s="2">
        <v>98</v>
      </c>
      <c r="F10323" s="2" t="s">
        <v>6</v>
      </c>
    </row>
    <row r="10324" spans="1:6" ht="25.5">
      <c r="A10324" s="2">
        <v>10321</v>
      </c>
      <c r="B10324" s="2" t="s">
        <v>10399</v>
      </c>
      <c r="C10324" s="2" t="str">
        <f>"10906924"</f>
        <v>10906924</v>
      </c>
      <c r="D10324" s="2">
        <v>0.36399999999999999</v>
      </c>
      <c r="E10324" s="2">
        <v>20</v>
      </c>
      <c r="F10324" s="2" t="s">
        <v>6</v>
      </c>
    </row>
    <row r="10325" spans="1:6" ht="25.5">
      <c r="A10325" s="2">
        <v>10322</v>
      </c>
      <c r="B10325" s="2" t="s">
        <v>10400</v>
      </c>
      <c r="C10325" s="2" t="str">
        <f>"13060961"</f>
        <v>13060961</v>
      </c>
      <c r="D10325" s="2">
        <v>0.13600000000000001</v>
      </c>
      <c r="E10325" s="2">
        <v>5</v>
      </c>
      <c r="F10325" s="2" t="s">
        <v>345</v>
      </c>
    </row>
    <row r="10326" spans="1:6" ht="25.5">
      <c r="A10326" s="2">
        <v>10323</v>
      </c>
      <c r="B10326" s="2" t="s">
        <v>10401</v>
      </c>
      <c r="C10326" s="2" t="str">
        <f>"15408140"</f>
        <v>15408140</v>
      </c>
      <c r="D10326" s="2">
        <v>7.5709999999999997</v>
      </c>
      <c r="E10326" s="2">
        <v>275</v>
      </c>
      <c r="F10326" s="2" t="s">
        <v>6</v>
      </c>
    </row>
    <row r="10327" spans="1:6" ht="25.5">
      <c r="A10327" s="2">
        <v>10324</v>
      </c>
      <c r="B10327" s="2" t="s">
        <v>10402</v>
      </c>
      <c r="C10327" s="2" t="str">
        <f>"1873961X"</f>
        <v>1873961X</v>
      </c>
      <c r="D10327" s="2">
        <v>1.242</v>
      </c>
      <c r="E10327" s="2">
        <v>16</v>
      </c>
      <c r="F10327" s="2" t="s">
        <v>75</v>
      </c>
    </row>
    <row r="10328" spans="1:6" ht="25.5">
      <c r="A10328" s="2">
        <v>10325</v>
      </c>
      <c r="B10328" s="2" t="s">
        <v>10403</v>
      </c>
      <c r="C10328" s="2" t="str">
        <f>"11790660"</f>
        <v>11790660</v>
      </c>
      <c r="D10328" s="2">
        <v>0.22600000000000001</v>
      </c>
      <c r="E10328" s="2">
        <v>2</v>
      </c>
      <c r="F10328" s="2" t="s">
        <v>503</v>
      </c>
    </row>
    <row r="10329" spans="1:6" ht="25.5">
      <c r="A10329" s="2">
        <v>10326</v>
      </c>
      <c r="B10329" s="2" t="s">
        <v>10404</v>
      </c>
      <c r="C10329" s="2" t="str">
        <f>"14779137"</f>
        <v>14779137</v>
      </c>
      <c r="D10329" s="2">
        <v>3.4140000000000001</v>
      </c>
      <c r="E10329" s="2">
        <v>188</v>
      </c>
      <c r="F10329" s="2" t="s">
        <v>16</v>
      </c>
    </row>
    <row r="10330" spans="1:6" ht="25.5">
      <c r="A10330" s="2">
        <v>10327</v>
      </c>
      <c r="B10330" s="2" t="s">
        <v>10405</v>
      </c>
      <c r="C10330" s="2" t="str">
        <f>"15824934"</f>
        <v>15824934</v>
      </c>
      <c r="D10330" s="2">
        <v>1.653</v>
      </c>
      <c r="E10330" s="2">
        <v>65</v>
      </c>
      <c r="F10330" s="2" t="s">
        <v>16</v>
      </c>
    </row>
    <row r="10331" spans="1:6" ht="25.5">
      <c r="A10331" s="2">
        <v>10328</v>
      </c>
      <c r="B10331" s="2" t="s">
        <v>10406</v>
      </c>
      <c r="C10331" s="2" t="str">
        <f>"10974644"</f>
        <v>10974644</v>
      </c>
      <c r="D10331" s="2">
        <v>1.2609999999999999</v>
      </c>
      <c r="E10331" s="2">
        <v>109</v>
      </c>
      <c r="F10331" s="2" t="s">
        <v>6</v>
      </c>
    </row>
    <row r="10332" spans="1:6" ht="25.5">
      <c r="A10332" s="2">
        <v>10329</v>
      </c>
      <c r="B10332" s="2" t="s">
        <v>10407</v>
      </c>
      <c r="C10332" s="2" t="str">
        <f>"10974652"</f>
        <v>10974652</v>
      </c>
      <c r="D10332" s="2">
        <v>1.6080000000000001</v>
      </c>
      <c r="E10332" s="2">
        <v>118</v>
      </c>
      <c r="F10332" s="2" t="s">
        <v>6</v>
      </c>
    </row>
    <row r="10333" spans="1:6" ht="25.5">
      <c r="A10333" s="2">
        <v>10330</v>
      </c>
      <c r="B10333" s="2" t="s">
        <v>10408</v>
      </c>
      <c r="C10333" s="2" t="str">
        <f>"0021955X"</f>
        <v>0021955X</v>
      </c>
      <c r="D10333" s="2">
        <v>0.32400000000000001</v>
      </c>
      <c r="E10333" s="2">
        <v>22</v>
      </c>
      <c r="F10333" s="2" t="s">
        <v>16</v>
      </c>
    </row>
    <row r="10334" spans="1:6" ht="25.5">
      <c r="A10334" s="2">
        <v>10331</v>
      </c>
      <c r="B10334" s="2" t="s">
        <v>10409</v>
      </c>
      <c r="C10334" s="2" t="str">
        <f>"13329049"</f>
        <v>13329049</v>
      </c>
      <c r="D10334" s="2">
        <v>0.23300000000000001</v>
      </c>
      <c r="E10334" s="2">
        <v>7</v>
      </c>
      <c r="F10334" s="2" t="s">
        <v>149</v>
      </c>
    </row>
    <row r="10335" spans="1:6" ht="25.5">
      <c r="A10335" s="2">
        <v>10332</v>
      </c>
      <c r="B10335" s="2" t="s">
        <v>10410</v>
      </c>
      <c r="C10335" s="2" t="str">
        <f>"16727347"</f>
        <v>16727347</v>
      </c>
      <c r="D10335" s="2">
        <v>0.14399999999999999</v>
      </c>
      <c r="E10335" s="2">
        <v>8</v>
      </c>
      <c r="F10335" s="2" t="s">
        <v>46</v>
      </c>
    </row>
    <row r="10336" spans="1:6" ht="25.5">
      <c r="A10336" s="2">
        <v>10333</v>
      </c>
      <c r="B10336" s="2" t="s">
        <v>10411</v>
      </c>
      <c r="C10336" s="2" t="str">
        <f>"10059784"</f>
        <v>10059784</v>
      </c>
      <c r="D10336" s="2">
        <v>0.27100000000000002</v>
      </c>
      <c r="E10336" s="2">
        <v>14</v>
      </c>
      <c r="F10336" s="2" t="s">
        <v>46</v>
      </c>
    </row>
    <row r="10337" spans="1:6" ht="25.5">
      <c r="A10337" s="2">
        <v>10334</v>
      </c>
      <c r="B10337" s="2" t="s">
        <v>10412</v>
      </c>
      <c r="C10337" s="2" t="str">
        <f>"12299162"</f>
        <v>12299162</v>
      </c>
      <c r="D10337" s="2">
        <v>0.20300000000000001</v>
      </c>
      <c r="E10337" s="2">
        <v>15</v>
      </c>
      <c r="F10337" s="2" t="s">
        <v>274</v>
      </c>
    </row>
    <row r="10338" spans="1:6" ht="25.5">
      <c r="A10338" s="2">
        <v>10335</v>
      </c>
      <c r="B10338" s="2" t="s">
        <v>10413</v>
      </c>
      <c r="C10338" s="2" t="str">
        <f>"21909385"</f>
        <v>21909385</v>
      </c>
      <c r="D10338" s="2">
        <v>0.47699999999999998</v>
      </c>
      <c r="E10338" s="2">
        <v>4</v>
      </c>
      <c r="F10338" s="2" t="s">
        <v>12</v>
      </c>
    </row>
    <row r="10339" spans="1:6" ht="25.5">
      <c r="A10339" s="2">
        <v>10336</v>
      </c>
      <c r="B10339" s="2" t="s">
        <v>10414</v>
      </c>
      <c r="C10339" s="2" t="str">
        <f>"10959963"</f>
        <v>10959963</v>
      </c>
      <c r="D10339" s="2">
        <v>1.1659999999999999</v>
      </c>
      <c r="E10339" s="2">
        <v>60</v>
      </c>
      <c r="F10339" s="2" t="s">
        <v>6</v>
      </c>
    </row>
    <row r="10340" spans="1:6" ht="25.5">
      <c r="A10340" s="2">
        <v>10337</v>
      </c>
      <c r="B10340" s="2" t="s">
        <v>10415</v>
      </c>
      <c r="C10340" s="2" t="str">
        <f>"0271678X"</f>
        <v>0271678X</v>
      </c>
      <c r="D10340" s="2">
        <v>1.982</v>
      </c>
      <c r="E10340" s="2">
        <v>130</v>
      </c>
      <c r="F10340" s="2" t="s">
        <v>16</v>
      </c>
    </row>
    <row r="10341" spans="1:6" ht="25.5">
      <c r="A10341" s="2">
        <v>10338</v>
      </c>
      <c r="B10341" s="2" t="s">
        <v>10416</v>
      </c>
      <c r="C10341" s="2" t="str">
        <f>"15610713"</f>
        <v>15610713</v>
      </c>
      <c r="D10341" s="2">
        <v>0.318</v>
      </c>
      <c r="E10341" s="2">
        <v>6</v>
      </c>
      <c r="F10341" s="2" t="s">
        <v>16</v>
      </c>
    </row>
    <row r="10342" spans="1:6" ht="25.5">
      <c r="A10342" s="2">
        <v>10339</v>
      </c>
      <c r="B10342" s="2" t="s">
        <v>10417</v>
      </c>
      <c r="C10342" s="2" t="str">
        <f>"00219568"</f>
        <v>00219568</v>
      </c>
      <c r="D10342" s="2">
        <v>1.006</v>
      </c>
      <c r="E10342" s="2">
        <v>71</v>
      </c>
      <c r="F10342" s="2" t="s">
        <v>6</v>
      </c>
    </row>
    <row r="10343" spans="1:6" ht="25.5">
      <c r="A10343" s="2">
        <v>10340</v>
      </c>
      <c r="B10343" s="2" t="s">
        <v>10418</v>
      </c>
      <c r="C10343" s="2" t="str">
        <f>"09757384"</f>
        <v>09757384</v>
      </c>
      <c r="D10343" s="2">
        <v>0.29599999999999999</v>
      </c>
      <c r="E10343" s="2">
        <v>7</v>
      </c>
      <c r="F10343" s="2" t="s">
        <v>488</v>
      </c>
    </row>
    <row r="10344" spans="1:6" ht="25.5">
      <c r="A10344" s="2">
        <v>10341</v>
      </c>
      <c r="B10344" s="2" t="s">
        <v>10419</v>
      </c>
      <c r="C10344" s="2" t="str">
        <f>"09742115"</f>
        <v>09742115</v>
      </c>
      <c r="D10344" s="2">
        <v>0.105</v>
      </c>
      <c r="E10344" s="2">
        <v>1</v>
      </c>
      <c r="F10344" s="2" t="s">
        <v>488</v>
      </c>
    </row>
    <row r="10345" spans="1:6" ht="25.5">
      <c r="A10345" s="2">
        <v>10342</v>
      </c>
      <c r="B10345" s="2" t="s">
        <v>10420</v>
      </c>
      <c r="C10345" s="2" t="str">
        <f>"18646166"</f>
        <v>18646166</v>
      </c>
      <c r="D10345" s="2">
        <v>1.0580000000000001</v>
      </c>
      <c r="E10345" s="2">
        <v>8</v>
      </c>
      <c r="F10345" s="2" t="s">
        <v>12</v>
      </c>
    </row>
    <row r="10346" spans="1:6" ht="25.5">
      <c r="A10346" s="2">
        <v>10343</v>
      </c>
      <c r="B10346" s="2" t="s">
        <v>10421</v>
      </c>
      <c r="C10346" s="2" t="str">
        <f>"15728854"</f>
        <v>15728854</v>
      </c>
      <c r="D10346" s="2">
        <v>0.24199999999999999</v>
      </c>
      <c r="E10346" s="2">
        <v>24</v>
      </c>
      <c r="F10346" s="2" t="s">
        <v>6</v>
      </c>
    </row>
    <row r="10347" spans="1:6" ht="25.5">
      <c r="A10347" s="2">
        <v>10344</v>
      </c>
      <c r="B10347" s="2" t="s">
        <v>10422</v>
      </c>
      <c r="C10347" s="2" t="str">
        <f>"15731561"</f>
        <v>15731561</v>
      </c>
      <c r="D10347" s="2">
        <v>0.99199999999999999</v>
      </c>
      <c r="E10347" s="2">
        <v>70</v>
      </c>
      <c r="F10347" s="2" t="s">
        <v>6</v>
      </c>
    </row>
    <row r="10348" spans="1:6" ht="25.5">
      <c r="A10348" s="2">
        <v>10345</v>
      </c>
      <c r="B10348" s="2" t="s">
        <v>10423</v>
      </c>
      <c r="C10348" s="2" t="str">
        <f>"00219584"</f>
        <v>00219584</v>
      </c>
      <c r="D10348" s="2">
        <v>0.28299999999999997</v>
      </c>
      <c r="E10348" s="2">
        <v>44</v>
      </c>
      <c r="F10348" s="2" t="s">
        <v>6</v>
      </c>
    </row>
    <row r="10349" spans="1:6" ht="25.5">
      <c r="A10349" s="2">
        <v>10346</v>
      </c>
      <c r="B10349" s="2" t="s">
        <v>10424</v>
      </c>
      <c r="C10349" s="2" t="str">
        <f>"00219592"</f>
        <v>00219592</v>
      </c>
      <c r="D10349" s="2">
        <v>0.29199999999999998</v>
      </c>
      <c r="E10349" s="2">
        <v>32</v>
      </c>
      <c r="F10349" s="2" t="s">
        <v>131</v>
      </c>
    </row>
    <row r="10350" spans="1:6" ht="25.5">
      <c r="A10350" s="2">
        <v>10347</v>
      </c>
      <c r="B10350" s="2" t="s">
        <v>10425</v>
      </c>
      <c r="C10350" s="2" t="str">
        <f>"18715532"</f>
        <v>18715532</v>
      </c>
      <c r="D10350" s="2">
        <v>0.26600000000000001</v>
      </c>
      <c r="E10350" s="2">
        <v>11</v>
      </c>
      <c r="F10350" s="2" t="s">
        <v>6</v>
      </c>
    </row>
    <row r="10351" spans="1:6" ht="25.5">
      <c r="A10351" s="2">
        <v>10348</v>
      </c>
      <c r="B10351" s="2" t="s">
        <v>10426</v>
      </c>
      <c r="C10351" s="2" t="str">
        <f>"1549960X"</f>
        <v>1549960X</v>
      </c>
      <c r="D10351" s="2">
        <v>1.282</v>
      </c>
      <c r="E10351" s="2">
        <v>98</v>
      </c>
      <c r="F10351" s="2" t="s">
        <v>6</v>
      </c>
    </row>
    <row r="10352" spans="1:6" ht="25.5">
      <c r="A10352" s="2">
        <v>10349</v>
      </c>
      <c r="B10352" s="2" t="s">
        <v>10427</v>
      </c>
      <c r="C10352" s="2" t="str">
        <f>"08910618"</f>
        <v>08910618</v>
      </c>
      <c r="D10352" s="2">
        <v>1.252</v>
      </c>
      <c r="E10352" s="2">
        <v>54</v>
      </c>
      <c r="F10352" s="2" t="s">
        <v>75</v>
      </c>
    </row>
    <row r="10353" spans="1:6" ht="25.5">
      <c r="A10353" s="2">
        <v>10350</v>
      </c>
      <c r="B10353" s="2" t="s">
        <v>10428</v>
      </c>
      <c r="C10353" s="2" t="str">
        <f>"10897690"</f>
        <v>10897690</v>
      </c>
      <c r="D10353" s="2">
        <v>1.321</v>
      </c>
      <c r="E10353" s="2">
        <v>220</v>
      </c>
      <c r="F10353" s="2" t="s">
        <v>6</v>
      </c>
    </row>
    <row r="10354" spans="1:6" ht="25.5">
      <c r="A10354" s="2">
        <v>10351</v>
      </c>
      <c r="B10354" s="2" t="s">
        <v>10429</v>
      </c>
      <c r="C10354" s="2" t="str">
        <f>"17475198"</f>
        <v>17475198</v>
      </c>
      <c r="D10354" s="2">
        <v>0.216</v>
      </c>
      <c r="E10354" s="2">
        <v>18</v>
      </c>
      <c r="F10354" s="2" t="s">
        <v>16</v>
      </c>
    </row>
    <row r="10355" spans="1:6" ht="25.5">
      <c r="A10355" s="2">
        <v>10352</v>
      </c>
      <c r="B10355" s="2" t="s">
        <v>10430</v>
      </c>
      <c r="C10355" s="2" t="str">
        <f>"09743626"</f>
        <v>09743626</v>
      </c>
      <c r="D10355" s="2">
        <v>0.40699999999999997</v>
      </c>
      <c r="E10355" s="2">
        <v>29</v>
      </c>
      <c r="F10355" s="2" t="s">
        <v>488</v>
      </c>
    </row>
    <row r="10356" spans="1:6" ht="25.5">
      <c r="A10356" s="2">
        <v>10353</v>
      </c>
      <c r="B10356" s="2" t="s">
        <v>10431</v>
      </c>
      <c r="C10356" s="2" t="str">
        <f>"02535106"</f>
        <v>02535106</v>
      </c>
      <c r="D10356" s="2">
        <v>0.27500000000000002</v>
      </c>
      <c r="E10356" s="2">
        <v>14</v>
      </c>
      <c r="F10356" s="2" t="s">
        <v>43</v>
      </c>
    </row>
    <row r="10357" spans="1:6" ht="25.5">
      <c r="A10357" s="2">
        <v>10354</v>
      </c>
      <c r="B10357" s="2" t="s">
        <v>10432</v>
      </c>
      <c r="C10357" s="2" t="str">
        <f>"02682575"</f>
        <v>02682575</v>
      </c>
      <c r="D10357" s="2">
        <v>0.97899999999999998</v>
      </c>
      <c r="E10357" s="2">
        <v>63</v>
      </c>
      <c r="F10357" s="2" t="s">
        <v>16</v>
      </c>
    </row>
    <row r="10358" spans="1:6" ht="25.5">
      <c r="A10358" s="2">
        <v>10355</v>
      </c>
      <c r="B10358" s="2" t="s">
        <v>10433</v>
      </c>
      <c r="C10358" s="2" t="str">
        <f>"15499626"</f>
        <v>15499626</v>
      </c>
      <c r="D10358" s="2">
        <v>2.3759999999999999</v>
      </c>
      <c r="E10358" s="2">
        <v>67</v>
      </c>
      <c r="F10358" s="2" t="s">
        <v>6</v>
      </c>
    </row>
    <row r="10359" spans="1:6" ht="25.5">
      <c r="A10359" s="2">
        <v>10356</v>
      </c>
      <c r="B10359" s="2" t="s">
        <v>10434</v>
      </c>
      <c r="C10359" s="2" t="str">
        <f>"10963626"</f>
        <v>10963626</v>
      </c>
      <c r="D10359" s="2">
        <v>1.101</v>
      </c>
      <c r="E10359" s="2">
        <v>48</v>
      </c>
      <c r="F10359" s="2" t="s">
        <v>6</v>
      </c>
    </row>
    <row r="10360" spans="1:6" ht="25.5">
      <c r="A10360" s="2">
        <v>10357</v>
      </c>
      <c r="B10360" s="2" t="s">
        <v>10435</v>
      </c>
      <c r="C10360" s="2" t="str">
        <f>"17582946"</f>
        <v>17582946</v>
      </c>
      <c r="D10360" s="2">
        <v>0.77700000000000002</v>
      </c>
      <c r="E10360" s="2">
        <v>12</v>
      </c>
      <c r="F10360" s="2" t="s">
        <v>16</v>
      </c>
    </row>
    <row r="10361" spans="1:6" ht="25.5">
      <c r="A10361" s="2">
        <v>10358</v>
      </c>
      <c r="B10361" s="2" t="s">
        <v>10436</v>
      </c>
      <c r="C10361" s="2" t="str">
        <f>"1099128X"</f>
        <v>1099128X</v>
      </c>
      <c r="D10361" s="2">
        <v>0.59299999999999997</v>
      </c>
      <c r="E10361" s="2">
        <v>59</v>
      </c>
      <c r="F10361" s="2" t="s">
        <v>16</v>
      </c>
    </row>
    <row r="10362" spans="1:6" ht="25.5">
      <c r="A10362" s="2">
        <v>10359</v>
      </c>
      <c r="B10362" s="2" t="s">
        <v>10437</v>
      </c>
      <c r="C10362" s="2" t="str">
        <f>"1120009X"</f>
        <v>1120009X</v>
      </c>
      <c r="D10362" s="2">
        <v>0.34499999999999997</v>
      </c>
      <c r="E10362" s="2">
        <v>35</v>
      </c>
      <c r="F10362" s="2" t="s">
        <v>190</v>
      </c>
    </row>
    <row r="10363" spans="1:6" ht="25.5">
      <c r="A10363" s="2">
        <v>10360</v>
      </c>
      <c r="B10363" s="2" t="s">
        <v>10438</v>
      </c>
      <c r="C10363" s="2" t="str">
        <f>"16719727"</f>
        <v>16719727</v>
      </c>
      <c r="D10363" s="2">
        <v>0.18</v>
      </c>
      <c r="E10363" s="2">
        <v>9</v>
      </c>
      <c r="F10363" s="2" t="s">
        <v>46</v>
      </c>
    </row>
    <row r="10364" spans="1:6" ht="25.5">
      <c r="A10364" s="2">
        <v>10361</v>
      </c>
      <c r="B10364" s="2" t="s">
        <v>10439</v>
      </c>
      <c r="C10364" s="2" t="str">
        <f>"17280591"</f>
        <v>17280591</v>
      </c>
      <c r="D10364" s="2">
        <v>0.186</v>
      </c>
      <c r="E10364" s="2">
        <v>5</v>
      </c>
      <c r="F10364" s="2" t="s">
        <v>16</v>
      </c>
    </row>
    <row r="10365" spans="1:6" ht="25.5">
      <c r="A10365" s="2">
        <v>10362</v>
      </c>
      <c r="B10365" s="2" t="s">
        <v>10440</v>
      </c>
      <c r="C10365" s="2" t="str">
        <f>"10736077"</f>
        <v>10736077</v>
      </c>
      <c r="D10365" s="2">
        <v>0.40300000000000002</v>
      </c>
      <c r="E10365" s="2">
        <v>17</v>
      </c>
      <c r="F10365" s="2" t="s">
        <v>6</v>
      </c>
    </row>
    <row r="10366" spans="1:6" ht="25.5">
      <c r="A10366" s="2">
        <v>10363</v>
      </c>
      <c r="B10366" s="2" t="s">
        <v>10441</v>
      </c>
      <c r="C10366" s="2" t="str">
        <f>"10445463"</f>
        <v>10445463</v>
      </c>
      <c r="D10366" s="2">
        <v>1.0269999999999999</v>
      </c>
      <c r="E10366" s="2">
        <v>57</v>
      </c>
      <c r="F10366" s="2" t="s">
        <v>6</v>
      </c>
    </row>
    <row r="10367" spans="1:6" ht="25.5">
      <c r="A10367" s="2">
        <v>10364</v>
      </c>
      <c r="B10367" s="2" t="s">
        <v>10442</v>
      </c>
      <c r="C10367" s="2" t="str">
        <f>"1067828X"</f>
        <v>1067828X</v>
      </c>
      <c r="D10367" s="2">
        <v>0.29499999999999998</v>
      </c>
      <c r="E10367" s="2">
        <v>23</v>
      </c>
      <c r="F10367" s="2" t="s">
        <v>16</v>
      </c>
    </row>
    <row r="10368" spans="1:6" ht="25.5">
      <c r="A10368" s="2">
        <v>10365</v>
      </c>
      <c r="B10368" s="2" t="s">
        <v>10443</v>
      </c>
      <c r="C10368" s="2" t="str">
        <f>"1936153X"</f>
        <v>1936153X</v>
      </c>
      <c r="D10368" s="2">
        <v>0.185</v>
      </c>
      <c r="E10368" s="2">
        <v>3</v>
      </c>
      <c r="F10368" s="2" t="s">
        <v>16</v>
      </c>
    </row>
    <row r="10369" spans="1:6" ht="25.5">
      <c r="A10369" s="2">
        <v>10366</v>
      </c>
      <c r="B10369" s="2" t="s">
        <v>10444</v>
      </c>
      <c r="C10369" s="2" t="str">
        <f>"15732843"</f>
        <v>15732843</v>
      </c>
      <c r="D10369" s="2">
        <v>0.68400000000000005</v>
      </c>
      <c r="E10369" s="2">
        <v>38</v>
      </c>
      <c r="F10369" s="2" t="s">
        <v>6</v>
      </c>
    </row>
    <row r="10370" spans="1:6" ht="25.5">
      <c r="A10370" s="2">
        <v>10367</v>
      </c>
      <c r="B10370" s="2" t="s">
        <v>10445</v>
      </c>
      <c r="C10370" s="2" t="str">
        <f>"15379418"</f>
        <v>15379418</v>
      </c>
      <c r="D10370" s="2">
        <v>0.25900000000000001</v>
      </c>
      <c r="E10370" s="2">
        <v>6</v>
      </c>
      <c r="F10370" s="2" t="s">
        <v>16</v>
      </c>
    </row>
    <row r="10371" spans="1:6" ht="25.5">
      <c r="A10371" s="2">
        <v>10368</v>
      </c>
      <c r="B10371" s="2" t="s">
        <v>10446</v>
      </c>
      <c r="C10371" s="2" t="str">
        <f>"13674935"</f>
        <v>13674935</v>
      </c>
      <c r="D10371" s="2">
        <v>0.35099999999999998</v>
      </c>
      <c r="E10371" s="2">
        <v>15</v>
      </c>
      <c r="F10371" s="2" t="s">
        <v>6</v>
      </c>
    </row>
    <row r="10372" spans="1:6" ht="25.5">
      <c r="A10372" s="2">
        <v>10369</v>
      </c>
      <c r="B10372" s="2" t="s">
        <v>10447</v>
      </c>
      <c r="C10372" s="2" t="str">
        <f>"14697602"</f>
        <v>14697602</v>
      </c>
      <c r="D10372" s="2">
        <v>0.878</v>
      </c>
      <c r="E10372" s="2">
        <v>42</v>
      </c>
      <c r="F10372" s="2" t="s">
        <v>16</v>
      </c>
    </row>
    <row r="10373" spans="1:6" ht="25.5">
      <c r="A10373" s="2">
        <v>10370</v>
      </c>
      <c r="B10373" s="2" t="s">
        <v>10448</v>
      </c>
      <c r="C10373" s="2" t="str">
        <f>"17088283"</f>
        <v>17088283</v>
      </c>
      <c r="D10373" s="2">
        <v>0.59699999999999998</v>
      </c>
      <c r="E10373" s="2">
        <v>65</v>
      </c>
      <c r="F10373" s="2" t="s">
        <v>6</v>
      </c>
    </row>
    <row r="10374" spans="1:6" ht="25.5">
      <c r="A10374" s="2">
        <v>10371</v>
      </c>
      <c r="B10374" s="2" t="s">
        <v>10449</v>
      </c>
      <c r="C10374" s="2" t="str">
        <f>"14697610"</f>
        <v>14697610</v>
      </c>
      <c r="D10374" s="2">
        <v>2.4489999999999998</v>
      </c>
      <c r="E10374" s="2">
        <v>121</v>
      </c>
      <c r="F10374" s="2" t="s">
        <v>16</v>
      </c>
    </row>
    <row r="10375" spans="1:6" ht="25.5">
      <c r="A10375" s="2">
        <v>10372</v>
      </c>
      <c r="B10375" s="2" t="s">
        <v>10450</v>
      </c>
      <c r="C10375" s="2" t="str">
        <f>"14699370"</f>
        <v>14699370</v>
      </c>
      <c r="D10375" s="2">
        <v>0.28199999999999997</v>
      </c>
      <c r="E10375" s="2">
        <v>12</v>
      </c>
      <c r="F10375" s="2" t="s">
        <v>16</v>
      </c>
    </row>
    <row r="10376" spans="1:6" ht="25.5">
      <c r="A10376" s="2">
        <v>10373</v>
      </c>
      <c r="B10376" s="2" t="s">
        <v>10451</v>
      </c>
      <c r="C10376" s="2" t="str">
        <f>"10796126"</f>
        <v>10796126</v>
      </c>
      <c r="D10376" s="2">
        <v>0.161</v>
      </c>
      <c r="E10376" s="2">
        <v>3</v>
      </c>
      <c r="F10376" s="2" t="s">
        <v>16</v>
      </c>
    </row>
    <row r="10377" spans="1:6" ht="25.5">
      <c r="A10377" s="2">
        <v>10374</v>
      </c>
      <c r="B10377" s="2" t="s">
        <v>10452</v>
      </c>
      <c r="C10377" s="2" t="str">
        <f>"18632521"</f>
        <v>18632521</v>
      </c>
      <c r="D10377" s="2">
        <v>0.54500000000000004</v>
      </c>
      <c r="E10377" s="2">
        <v>9</v>
      </c>
      <c r="F10377" s="2" t="s">
        <v>12</v>
      </c>
    </row>
    <row r="10378" spans="1:6" ht="25.5">
      <c r="A10378" s="2">
        <v>10375</v>
      </c>
      <c r="B10378" s="2" t="s">
        <v>10453</v>
      </c>
      <c r="C10378" s="2" t="str">
        <f>"15470679"</f>
        <v>15470679</v>
      </c>
      <c r="D10378" s="2">
        <v>0.28199999999999997</v>
      </c>
      <c r="E10378" s="2">
        <v>20</v>
      </c>
      <c r="F10378" s="2" t="s">
        <v>16</v>
      </c>
    </row>
    <row r="10379" spans="1:6" ht="25.5">
      <c r="A10379" s="2">
        <v>10376</v>
      </c>
      <c r="B10379" s="2" t="s">
        <v>10454</v>
      </c>
      <c r="C10379" s="2" t="str">
        <f>"10005048"</f>
        <v>10005048</v>
      </c>
      <c r="D10379" s="2">
        <v>0.13700000000000001</v>
      </c>
      <c r="E10379" s="2">
        <v>10</v>
      </c>
      <c r="F10379" s="2" t="s">
        <v>46</v>
      </c>
    </row>
    <row r="10380" spans="1:6" ht="25.5">
      <c r="A10380" s="2">
        <v>10377</v>
      </c>
      <c r="B10380" s="2" t="s">
        <v>10455</v>
      </c>
      <c r="C10380" s="2" t="str">
        <f>"10058885"</f>
        <v>10058885</v>
      </c>
      <c r="D10380" s="2">
        <v>0.16</v>
      </c>
      <c r="E10380" s="2">
        <v>9</v>
      </c>
      <c r="F10380" s="2" t="s">
        <v>46</v>
      </c>
    </row>
    <row r="10381" spans="1:6" ht="25.5">
      <c r="A10381" s="2">
        <v>10378</v>
      </c>
      <c r="B10381" s="2" t="s">
        <v>10456</v>
      </c>
      <c r="C10381" s="2" t="str">
        <f>"15629023"</f>
        <v>15629023</v>
      </c>
      <c r="D10381" s="2">
        <v>0.109</v>
      </c>
      <c r="E10381" s="2">
        <v>3</v>
      </c>
      <c r="F10381" s="2" t="s">
        <v>46</v>
      </c>
    </row>
    <row r="10382" spans="1:6" ht="25.5">
      <c r="A10382" s="2">
        <v>10379</v>
      </c>
      <c r="B10382" s="2" t="s">
        <v>10457</v>
      </c>
      <c r="C10382" s="2" t="str">
        <f>"00913723"</f>
        <v>00913723</v>
      </c>
      <c r="D10382" s="2">
        <v>0.129</v>
      </c>
      <c r="E10382" s="2">
        <v>3</v>
      </c>
      <c r="F10382" s="2" t="s">
        <v>46</v>
      </c>
    </row>
    <row r="10383" spans="1:6" ht="25.5">
      <c r="A10383" s="2">
        <v>10380</v>
      </c>
      <c r="B10383" s="2" t="s">
        <v>10458</v>
      </c>
      <c r="C10383" s="2" t="str">
        <f>"01438042"</f>
        <v>01438042</v>
      </c>
      <c r="D10383" s="2">
        <v>0.104</v>
      </c>
      <c r="E10383" s="2">
        <v>4</v>
      </c>
      <c r="F10383" s="2" t="s">
        <v>16</v>
      </c>
    </row>
    <row r="10384" spans="1:6" ht="25.5">
      <c r="A10384" s="2">
        <v>10381</v>
      </c>
      <c r="B10384" s="2" t="s">
        <v>10459</v>
      </c>
      <c r="C10384" s="2" t="str">
        <f>"17930391"</f>
        <v>17930391</v>
      </c>
      <c r="D10384" s="2">
        <v>0.123</v>
      </c>
      <c r="E10384" s="2">
        <v>2</v>
      </c>
      <c r="F10384" s="2" t="s">
        <v>75</v>
      </c>
    </row>
    <row r="10385" spans="1:6" ht="25.5">
      <c r="A10385" s="2">
        <v>10382</v>
      </c>
      <c r="B10385" s="2" t="s">
        <v>10460</v>
      </c>
      <c r="C10385" s="2" t="str">
        <f>"10031057"</f>
        <v>10031057</v>
      </c>
      <c r="D10385" s="2">
        <v>0.128</v>
      </c>
      <c r="E10385" s="2">
        <v>2</v>
      </c>
      <c r="F10385" s="2" t="s">
        <v>46</v>
      </c>
    </row>
    <row r="10386" spans="1:6" ht="25.5">
      <c r="A10386" s="2">
        <v>10383</v>
      </c>
      <c r="B10386" s="2" t="s">
        <v>10461</v>
      </c>
      <c r="C10386" s="2" t="str">
        <f>"15406253"</f>
        <v>15406253</v>
      </c>
      <c r="D10386" s="2">
        <v>0.189</v>
      </c>
      <c r="E10386" s="2">
        <v>8</v>
      </c>
      <c r="F10386" s="2" t="s">
        <v>16</v>
      </c>
    </row>
    <row r="10387" spans="1:6" ht="25.5">
      <c r="A10387" s="2">
        <v>10384</v>
      </c>
      <c r="B10387" s="2" t="s">
        <v>10462</v>
      </c>
      <c r="C10387" s="2" t="str">
        <f>"10806954"</f>
        <v>10806954</v>
      </c>
      <c r="D10387" s="2">
        <v>0.28000000000000003</v>
      </c>
      <c r="E10387" s="2">
        <v>3</v>
      </c>
      <c r="F10387" s="2" t="s">
        <v>75</v>
      </c>
    </row>
    <row r="10388" spans="1:6" ht="25.5">
      <c r="A10388" s="2">
        <v>10385</v>
      </c>
      <c r="B10388" s="2" t="s">
        <v>10463</v>
      </c>
      <c r="C10388" s="2" t="str">
        <f>"02556073"</f>
        <v>02556073</v>
      </c>
      <c r="D10388" s="2">
        <v>0</v>
      </c>
      <c r="E10388" s="2">
        <v>0</v>
      </c>
      <c r="F10388" s="2" t="s">
        <v>165</v>
      </c>
    </row>
    <row r="10389" spans="1:6" ht="25.5">
      <c r="A10389" s="2">
        <v>10386</v>
      </c>
      <c r="B10389" s="2" t="s">
        <v>10464</v>
      </c>
      <c r="C10389" s="2" t="str">
        <f>"15563499"</f>
        <v>15563499</v>
      </c>
      <c r="D10389" s="2">
        <v>0.121</v>
      </c>
      <c r="E10389" s="2">
        <v>3</v>
      </c>
      <c r="F10389" s="2" t="s">
        <v>6</v>
      </c>
    </row>
    <row r="10390" spans="1:6" ht="25.5">
      <c r="A10390" s="2">
        <v>10387</v>
      </c>
      <c r="B10390" s="2" t="s">
        <v>10465</v>
      </c>
      <c r="C10390" s="2" t="str">
        <f>"15563715"</f>
        <v>15563715</v>
      </c>
      <c r="D10390" s="2">
        <v>0.23400000000000001</v>
      </c>
      <c r="E10390" s="2">
        <v>8</v>
      </c>
      <c r="F10390" s="2" t="s">
        <v>6</v>
      </c>
    </row>
    <row r="10391" spans="1:6" ht="25.5">
      <c r="A10391" s="2">
        <v>10388</v>
      </c>
      <c r="B10391" s="2" t="s">
        <v>10466</v>
      </c>
      <c r="C10391" s="2" t="str">
        <f>"07432550"</f>
        <v>07432550</v>
      </c>
      <c r="D10391" s="2">
        <v>0.112</v>
      </c>
      <c r="E10391" s="2">
        <v>4</v>
      </c>
      <c r="F10391" s="2" t="s">
        <v>6</v>
      </c>
    </row>
    <row r="10392" spans="1:6" ht="25.5">
      <c r="A10392" s="2">
        <v>10389</v>
      </c>
      <c r="B10392" s="2" t="s">
        <v>10467</v>
      </c>
      <c r="C10392" s="2" t="str">
        <f>"00219665"</f>
        <v>00219665</v>
      </c>
      <c r="D10392" s="2">
        <v>0.38300000000000001</v>
      </c>
      <c r="E10392" s="2">
        <v>35</v>
      </c>
      <c r="F10392" s="2" t="s">
        <v>6</v>
      </c>
    </row>
    <row r="10393" spans="1:6" ht="25.5">
      <c r="A10393" s="2">
        <v>10390</v>
      </c>
      <c r="B10393" s="2" t="s">
        <v>10468</v>
      </c>
      <c r="C10393" s="2" t="str">
        <f>"00219673"</f>
        <v>00219673</v>
      </c>
      <c r="D10393" s="2">
        <v>2.0150000000000001</v>
      </c>
      <c r="E10393" s="2">
        <v>147</v>
      </c>
      <c r="F10393" s="2" t="s">
        <v>75</v>
      </c>
    </row>
    <row r="10394" spans="1:6" ht="25.5">
      <c r="A10394" s="2">
        <v>10391</v>
      </c>
      <c r="B10394" s="2" t="s">
        <v>10469</v>
      </c>
      <c r="C10394" s="2" t="str">
        <f>"15700232"</f>
        <v>15700232</v>
      </c>
      <c r="D10394" s="2">
        <v>1.0149999999999999</v>
      </c>
      <c r="E10394" s="2">
        <v>99</v>
      </c>
      <c r="F10394" s="2" t="s">
        <v>75</v>
      </c>
    </row>
    <row r="10395" spans="1:6" ht="25.5">
      <c r="A10395" s="2">
        <v>10392</v>
      </c>
      <c r="B10395" s="2" t="s">
        <v>10470</v>
      </c>
      <c r="C10395" s="2" t="str">
        <f>"0021969X"</f>
        <v>0021969X</v>
      </c>
      <c r="D10395" s="2">
        <v>0.13800000000000001</v>
      </c>
      <c r="E10395" s="2">
        <v>5</v>
      </c>
      <c r="F10395" s="2" t="s">
        <v>16</v>
      </c>
    </row>
    <row r="10396" spans="1:6" ht="25.5">
      <c r="A10396" s="2">
        <v>10393</v>
      </c>
      <c r="B10396" s="2" t="s">
        <v>10471</v>
      </c>
      <c r="C10396" s="2" t="str">
        <f>"17403391"</f>
        <v>17403391</v>
      </c>
      <c r="D10396" s="2">
        <v>0.51500000000000001</v>
      </c>
      <c r="E10396" s="2">
        <v>15</v>
      </c>
      <c r="F10396" s="2" t="s">
        <v>16</v>
      </c>
    </row>
    <row r="10397" spans="1:6" ht="25.5">
      <c r="A10397" s="2">
        <v>10394</v>
      </c>
      <c r="B10397" s="2" t="s">
        <v>10472</v>
      </c>
      <c r="C10397" s="2" t="str">
        <f>"02181266"</f>
        <v>02181266</v>
      </c>
      <c r="D10397" s="2">
        <v>0.22800000000000001</v>
      </c>
      <c r="E10397" s="2">
        <v>18</v>
      </c>
      <c r="F10397" s="2" t="s">
        <v>543</v>
      </c>
    </row>
    <row r="10398" spans="1:6" ht="25.5">
      <c r="A10398" s="2">
        <v>10395</v>
      </c>
      <c r="B10398" s="2" t="s">
        <v>10473</v>
      </c>
      <c r="C10398" s="2" t="str">
        <f>"18223605"</f>
        <v>18223605</v>
      </c>
      <c r="D10398" s="2">
        <v>0.72499999999999998</v>
      </c>
      <c r="E10398" s="2">
        <v>20</v>
      </c>
      <c r="F10398" s="2" t="s">
        <v>426</v>
      </c>
    </row>
    <row r="10399" spans="1:6" ht="25.5">
      <c r="A10399" s="2">
        <v>10396</v>
      </c>
      <c r="B10399" s="2" t="s">
        <v>10474</v>
      </c>
      <c r="C10399" s="2" t="str">
        <f>"1468795X"</f>
        <v>1468795X</v>
      </c>
      <c r="D10399" s="2">
        <v>0.249</v>
      </c>
      <c r="E10399" s="2">
        <v>6</v>
      </c>
      <c r="F10399" s="2" t="s">
        <v>16</v>
      </c>
    </row>
    <row r="10400" spans="1:6" ht="25.5">
      <c r="A10400" s="2">
        <v>10397</v>
      </c>
      <c r="B10400" s="2" t="s">
        <v>10475</v>
      </c>
      <c r="C10400" s="2" t="str">
        <f>"14321343"</f>
        <v>14321343</v>
      </c>
      <c r="D10400" s="2">
        <v>0.61199999999999999</v>
      </c>
      <c r="E10400" s="2">
        <v>23</v>
      </c>
      <c r="F10400" s="2" t="s">
        <v>6</v>
      </c>
    </row>
    <row r="10401" spans="1:6" ht="25.5">
      <c r="A10401" s="2">
        <v>10398</v>
      </c>
      <c r="B10401" s="2" t="s">
        <v>10476</v>
      </c>
      <c r="C10401" s="2" t="str">
        <f>"09596526"</f>
        <v>09596526</v>
      </c>
      <c r="D10401" s="2">
        <v>1.4650000000000001</v>
      </c>
      <c r="E10401" s="2">
        <v>59</v>
      </c>
      <c r="F10401" s="2" t="s">
        <v>16</v>
      </c>
    </row>
    <row r="10402" spans="1:6" ht="25.5">
      <c r="A10402" s="2">
        <v>10399</v>
      </c>
      <c r="B10402" s="2" t="s">
        <v>10477</v>
      </c>
      <c r="C10402" s="2" t="str">
        <f>"15200442"</f>
        <v>15200442</v>
      </c>
      <c r="D10402" s="2">
        <v>3.8149999999999999</v>
      </c>
      <c r="E10402" s="2">
        <v>160</v>
      </c>
      <c r="F10402" s="2" t="s">
        <v>6</v>
      </c>
    </row>
    <row r="10403" spans="1:6" ht="25.5">
      <c r="A10403" s="2">
        <v>10400</v>
      </c>
      <c r="B10403" s="2" t="s">
        <v>10478</v>
      </c>
      <c r="C10403" s="2" t="str">
        <f>"19412789"</f>
        <v>19412789</v>
      </c>
      <c r="D10403" s="2">
        <v>0.40200000000000002</v>
      </c>
      <c r="E10403" s="2">
        <v>7</v>
      </c>
      <c r="F10403" s="2" t="s">
        <v>6</v>
      </c>
    </row>
    <row r="10404" spans="1:6" ht="25.5">
      <c r="A10404" s="2">
        <v>10401</v>
      </c>
      <c r="B10404" s="2" t="s">
        <v>10479</v>
      </c>
      <c r="C10404" s="2" t="str">
        <f>"13092014"</f>
        <v>13092014</v>
      </c>
      <c r="D10404" s="2">
        <v>0.1</v>
      </c>
      <c r="E10404" s="2">
        <v>1</v>
      </c>
      <c r="F10404" s="2" t="s">
        <v>345</v>
      </c>
    </row>
    <row r="10405" spans="1:6" ht="25.5">
      <c r="A10405" s="2">
        <v>10402</v>
      </c>
      <c r="B10405" s="2" t="s">
        <v>10480</v>
      </c>
      <c r="C10405" s="2" t="str">
        <f>"16809386"</f>
        <v>16809386</v>
      </c>
      <c r="D10405" s="2">
        <v>0.10199999999999999</v>
      </c>
      <c r="E10405" s="2">
        <v>13</v>
      </c>
      <c r="F10405" s="2" t="s">
        <v>288</v>
      </c>
    </row>
    <row r="10406" spans="1:6" ht="25.5">
      <c r="A10406" s="2">
        <v>10403</v>
      </c>
      <c r="B10406" s="2" t="s">
        <v>10481</v>
      </c>
      <c r="C10406" s="2" t="str">
        <f>"0973709X"</f>
        <v>0973709X</v>
      </c>
      <c r="D10406" s="2">
        <v>0.14399999999999999</v>
      </c>
      <c r="E10406" s="2">
        <v>5</v>
      </c>
      <c r="F10406" s="2" t="s">
        <v>488</v>
      </c>
    </row>
    <row r="10407" spans="1:6" ht="25.5">
      <c r="A10407" s="2">
        <v>10404</v>
      </c>
      <c r="B10407" s="2" t="s">
        <v>10482</v>
      </c>
      <c r="C10407" s="2" t="str">
        <f>"18809952"</f>
        <v>18809952</v>
      </c>
      <c r="D10407" s="2">
        <v>0.43099999999999999</v>
      </c>
      <c r="E10407" s="2">
        <v>12</v>
      </c>
      <c r="F10407" s="2" t="s">
        <v>131</v>
      </c>
    </row>
    <row r="10408" spans="1:6" ht="25.5">
      <c r="A10408" s="2">
        <v>10405</v>
      </c>
      <c r="B10408" s="2" t="s">
        <v>10483</v>
      </c>
      <c r="C10408" s="2" t="str">
        <f>"09736883"</f>
        <v>09736883</v>
      </c>
      <c r="D10408" s="2">
        <v>0.108</v>
      </c>
      <c r="E10408" s="2">
        <v>2</v>
      </c>
      <c r="F10408" s="2" t="s">
        <v>75</v>
      </c>
    </row>
    <row r="10409" spans="1:6" ht="25.5">
      <c r="A10409" s="2">
        <v>10406</v>
      </c>
      <c r="B10409" s="2" t="s">
        <v>10484</v>
      </c>
      <c r="C10409" s="2" t="str">
        <f>"1744411X"</f>
        <v>1744411X</v>
      </c>
      <c r="D10409" s="2">
        <v>0.76400000000000001</v>
      </c>
      <c r="E10409" s="2">
        <v>65</v>
      </c>
      <c r="F10409" s="2" t="s">
        <v>16</v>
      </c>
    </row>
    <row r="10410" spans="1:6" ht="25.5">
      <c r="A10410" s="2">
        <v>10407</v>
      </c>
      <c r="B10410" s="2" t="s">
        <v>10485</v>
      </c>
      <c r="C10410" s="2" t="str">
        <f>"09528180"</f>
        <v>09528180</v>
      </c>
      <c r="D10410" s="2">
        <v>0.43</v>
      </c>
      <c r="E10410" s="2">
        <v>44</v>
      </c>
      <c r="F10410" s="2" t="s">
        <v>6</v>
      </c>
    </row>
    <row r="10411" spans="1:6" ht="25.5">
      <c r="A10411" s="2">
        <v>10408</v>
      </c>
      <c r="B10411" s="2" t="s">
        <v>10486</v>
      </c>
      <c r="C10411" s="2" t="str">
        <f>"10981101"</f>
        <v>10981101</v>
      </c>
      <c r="D10411" s="2">
        <v>0.69299999999999995</v>
      </c>
      <c r="E10411" s="2">
        <v>30</v>
      </c>
      <c r="F10411" s="2" t="s">
        <v>6</v>
      </c>
    </row>
    <row r="10412" spans="1:6" ht="25.5">
      <c r="A10412" s="2">
        <v>10409</v>
      </c>
      <c r="B10412" s="2" t="s">
        <v>10487</v>
      </c>
      <c r="C10412" s="2" t="str">
        <f>"09120009"</f>
        <v>09120009</v>
      </c>
      <c r="D10412" s="2">
        <v>0.69399999999999995</v>
      </c>
      <c r="E10412" s="2">
        <v>23</v>
      </c>
      <c r="F10412" s="2" t="s">
        <v>131</v>
      </c>
    </row>
    <row r="10413" spans="1:6" ht="25.5">
      <c r="A10413" s="2">
        <v>10410</v>
      </c>
      <c r="B10413" s="2" t="s">
        <v>10488</v>
      </c>
      <c r="C10413" s="2" t="str">
        <f>"20439113"</f>
        <v>20439113</v>
      </c>
      <c r="D10413" s="2">
        <v>0</v>
      </c>
      <c r="E10413" s="2">
        <v>2</v>
      </c>
      <c r="F10413" s="2" t="s">
        <v>16</v>
      </c>
    </row>
    <row r="10414" spans="1:6" ht="25.5">
      <c r="A10414" s="2">
        <v>10411</v>
      </c>
      <c r="B10414" s="2" t="s">
        <v>10489</v>
      </c>
      <c r="C10414" s="2" t="str">
        <f>"15374424"</f>
        <v>15374424</v>
      </c>
      <c r="D10414" s="2">
        <v>1.43</v>
      </c>
      <c r="E10414" s="2">
        <v>75</v>
      </c>
      <c r="F10414" s="2" t="s">
        <v>16</v>
      </c>
    </row>
    <row r="10415" spans="1:6" ht="25.5">
      <c r="A10415" s="2">
        <v>10412</v>
      </c>
      <c r="B10415" s="2" t="s">
        <v>10490</v>
      </c>
      <c r="C10415" s="2" t="str">
        <f>"10946950"</f>
        <v>10946950</v>
      </c>
      <c r="D10415" s="2">
        <v>0.63800000000000001</v>
      </c>
      <c r="E10415" s="2">
        <v>45</v>
      </c>
      <c r="F10415" s="2" t="s">
        <v>6</v>
      </c>
    </row>
    <row r="10416" spans="1:6" ht="25.5">
      <c r="A10416" s="2">
        <v>10413</v>
      </c>
      <c r="B10416" s="2" t="s">
        <v>10491</v>
      </c>
      <c r="C10416" s="2" t="str">
        <f>"08958831"</f>
        <v>08958831</v>
      </c>
      <c r="D10416" s="2">
        <v>0.45200000000000001</v>
      </c>
      <c r="E10416" s="2">
        <v>23</v>
      </c>
      <c r="F10416" s="2" t="s">
        <v>6</v>
      </c>
    </row>
    <row r="10417" spans="1:6" ht="25.5">
      <c r="A10417" s="2">
        <v>10414</v>
      </c>
      <c r="B10417" s="2" t="s">
        <v>10492</v>
      </c>
      <c r="C10417" s="2" t="str">
        <f>"10004963"</f>
        <v>10004963</v>
      </c>
      <c r="D10417" s="2">
        <v>0.1</v>
      </c>
      <c r="E10417" s="2">
        <v>2</v>
      </c>
      <c r="F10417" s="2" t="s">
        <v>46</v>
      </c>
    </row>
    <row r="10418" spans="1:6" ht="25.5">
      <c r="A10418" s="2">
        <v>10415</v>
      </c>
      <c r="B10418" s="2" t="s">
        <v>10493</v>
      </c>
      <c r="C10418" s="2" t="str">
        <f>"09628827"</f>
        <v>09628827</v>
      </c>
      <c r="D10418" s="2">
        <v>0.35099999999999998</v>
      </c>
      <c r="E10418" s="2">
        <v>21</v>
      </c>
      <c r="F10418" s="2" t="s">
        <v>6</v>
      </c>
    </row>
    <row r="10419" spans="1:6" ht="25.5">
      <c r="A10419" s="2">
        <v>10416</v>
      </c>
      <c r="B10419" s="2" t="s">
        <v>10494</v>
      </c>
      <c r="C10419" s="2" t="str">
        <f>"0021972X"</f>
        <v>0021972X</v>
      </c>
      <c r="D10419" s="2">
        <v>2.5550000000000002</v>
      </c>
      <c r="E10419" s="2">
        <v>234</v>
      </c>
      <c r="F10419" s="2" t="s">
        <v>6</v>
      </c>
    </row>
    <row r="10420" spans="1:6" ht="25.5">
      <c r="A10420" s="2">
        <v>10417</v>
      </c>
      <c r="B10420" s="2" t="s">
        <v>10495</v>
      </c>
      <c r="C10420" s="2" t="str">
        <f>"15503275"</f>
        <v>15503275</v>
      </c>
      <c r="D10420" s="2">
        <v>0.14799999999999999</v>
      </c>
      <c r="E10420" s="2">
        <v>7</v>
      </c>
      <c r="F10420" s="2" t="s">
        <v>6</v>
      </c>
    </row>
    <row r="10421" spans="1:6" ht="25.5">
      <c r="A10421" s="2">
        <v>10418</v>
      </c>
      <c r="B10421" s="2" t="s">
        <v>10496</v>
      </c>
      <c r="C10421" s="2" t="str">
        <f>"08954356"</f>
        <v>08954356</v>
      </c>
      <c r="D10421" s="2">
        <v>2.2229999999999999</v>
      </c>
      <c r="E10421" s="2">
        <v>125</v>
      </c>
      <c r="F10421" s="2" t="s">
        <v>6</v>
      </c>
    </row>
    <row r="10422" spans="1:6" ht="25.5">
      <c r="A10422" s="2">
        <v>10419</v>
      </c>
      <c r="B10422" s="2" t="s">
        <v>10497</v>
      </c>
      <c r="C10422" s="2" t="str">
        <f>"10467890"</f>
        <v>10467890</v>
      </c>
      <c r="D10422" s="2">
        <v>0.26500000000000001</v>
      </c>
      <c r="E10422" s="2">
        <v>24</v>
      </c>
      <c r="F10422" s="2" t="s">
        <v>6</v>
      </c>
    </row>
    <row r="10423" spans="1:6" ht="25.5">
      <c r="A10423" s="2">
        <v>10420</v>
      </c>
      <c r="B10423" s="2" t="s">
        <v>10498</v>
      </c>
      <c r="C10423" s="2" t="str">
        <f>"15392031"</f>
        <v>15392031</v>
      </c>
      <c r="D10423" s="2">
        <v>1.1879999999999999</v>
      </c>
      <c r="E10423" s="2">
        <v>68</v>
      </c>
      <c r="F10423" s="2" t="s">
        <v>6</v>
      </c>
    </row>
    <row r="10424" spans="1:6" ht="25.5">
      <c r="A10424" s="2">
        <v>10421</v>
      </c>
      <c r="B10424" s="2" t="s">
        <v>10499</v>
      </c>
      <c r="C10424" s="2" t="str">
        <f>"22108335"</f>
        <v>22108335</v>
      </c>
      <c r="D10424" s="2">
        <v>0.17899999999999999</v>
      </c>
      <c r="E10424" s="2">
        <v>4</v>
      </c>
      <c r="F10424" s="2" t="s">
        <v>165</v>
      </c>
    </row>
    <row r="10425" spans="1:6" ht="25.5">
      <c r="A10425" s="2">
        <v>10422</v>
      </c>
      <c r="B10425" s="2" t="s">
        <v>10500</v>
      </c>
      <c r="C10425" s="2" t="str">
        <f>"15246175"</f>
        <v>15246175</v>
      </c>
      <c r="D10425" s="2">
        <v>0.59299999999999997</v>
      </c>
      <c r="E10425" s="2">
        <v>36</v>
      </c>
      <c r="F10425" s="2" t="s">
        <v>16</v>
      </c>
    </row>
    <row r="10426" spans="1:6" ht="25.5">
      <c r="A10426" s="2">
        <v>10423</v>
      </c>
      <c r="B10426" s="2" t="s">
        <v>10501</v>
      </c>
      <c r="C10426" s="2" t="str">
        <f>"15732592"</f>
        <v>15732592</v>
      </c>
      <c r="D10426" s="2">
        <v>1.218</v>
      </c>
      <c r="E10426" s="2">
        <v>61</v>
      </c>
      <c r="F10426" s="2" t="s">
        <v>6</v>
      </c>
    </row>
    <row r="10427" spans="1:6" ht="25.5">
      <c r="A10427" s="2">
        <v>10424</v>
      </c>
      <c r="B10427" s="2" t="s">
        <v>10502</v>
      </c>
      <c r="C10427" s="2" t="str">
        <f>"00219738"</f>
        <v>00219738</v>
      </c>
      <c r="D10427" s="2">
        <v>7.2460000000000004</v>
      </c>
      <c r="E10427" s="2">
        <v>336</v>
      </c>
      <c r="F10427" s="2" t="s">
        <v>6</v>
      </c>
    </row>
    <row r="10428" spans="1:6" ht="25.5">
      <c r="A10428" s="2">
        <v>10425</v>
      </c>
      <c r="B10428" s="2" t="s">
        <v>10503</v>
      </c>
      <c r="C10428" s="2" t="str">
        <f>"10982825"</f>
        <v>10982825</v>
      </c>
      <c r="D10428" s="2">
        <v>0.45800000000000002</v>
      </c>
      <c r="E10428" s="2">
        <v>29</v>
      </c>
      <c r="F10428" s="2" t="s">
        <v>6</v>
      </c>
    </row>
    <row r="10429" spans="1:6" ht="25.5">
      <c r="A10429" s="2">
        <v>10426</v>
      </c>
      <c r="B10429" s="2" t="s">
        <v>10504</v>
      </c>
      <c r="C10429" s="2" t="str">
        <f>"19332874"</f>
        <v>19332874</v>
      </c>
      <c r="D10429" s="2">
        <v>0.85599999999999998</v>
      </c>
      <c r="E10429" s="2">
        <v>16</v>
      </c>
      <c r="F10429" s="2" t="s">
        <v>75</v>
      </c>
    </row>
    <row r="10430" spans="1:6" ht="25.5">
      <c r="A10430" s="2">
        <v>10427</v>
      </c>
      <c r="B10430" s="2" t="s">
        <v>10505</v>
      </c>
      <c r="C10430" s="2" t="str">
        <f>"1098660X"</f>
        <v>1098660X</v>
      </c>
      <c r="D10430" s="2">
        <v>1.7849999999999999</v>
      </c>
      <c r="E10430" s="2">
        <v>171</v>
      </c>
      <c r="F10430" s="2" t="s">
        <v>6</v>
      </c>
    </row>
    <row r="10431" spans="1:6" ht="25.5">
      <c r="A10431" s="2">
        <v>10428</v>
      </c>
      <c r="B10431" s="2" t="s">
        <v>10506</v>
      </c>
      <c r="C10431" s="2" t="str">
        <f>"15732614"</f>
        <v>15732614</v>
      </c>
      <c r="D10431" s="2">
        <v>0.372</v>
      </c>
      <c r="E10431" s="2">
        <v>30</v>
      </c>
      <c r="F10431" s="2" t="s">
        <v>75</v>
      </c>
    </row>
    <row r="10432" spans="1:6" ht="25.5">
      <c r="A10432" s="2">
        <v>10429</v>
      </c>
      <c r="B10432" s="2" t="s">
        <v>10507</v>
      </c>
      <c r="C10432" s="2" t="str">
        <f>"10041648"</f>
        <v>10041648</v>
      </c>
      <c r="D10432" s="2">
        <v>0.22700000000000001</v>
      </c>
      <c r="E10432" s="2">
        <v>10</v>
      </c>
      <c r="F10432" s="2" t="s">
        <v>46</v>
      </c>
    </row>
    <row r="10433" spans="1:6" ht="25.5">
      <c r="A10433" s="2">
        <v>10430</v>
      </c>
      <c r="B10433" s="2" t="s">
        <v>10507</v>
      </c>
      <c r="C10433" s="2" t="str">
        <f>"20055013"</f>
        <v>20055013</v>
      </c>
      <c r="D10433" s="2">
        <v>0.48799999999999999</v>
      </c>
      <c r="E10433" s="2">
        <v>9</v>
      </c>
      <c r="F10433" s="2" t="s">
        <v>274</v>
      </c>
    </row>
    <row r="10434" spans="1:6" ht="25.5">
      <c r="A10434" s="2">
        <v>10431</v>
      </c>
      <c r="B10434" s="2" t="s">
        <v>10508</v>
      </c>
      <c r="C10434" s="2" t="str">
        <f>"15220443"</f>
        <v>15220443</v>
      </c>
      <c r="D10434" s="2">
        <v>0.35299999999999998</v>
      </c>
      <c r="E10434" s="2">
        <v>12</v>
      </c>
      <c r="F10434" s="2" t="s">
        <v>6</v>
      </c>
    </row>
    <row r="10435" spans="1:6" ht="25.5">
      <c r="A10435" s="2">
        <v>10432</v>
      </c>
      <c r="B10435" s="2" t="s">
        <v>10509</v>
      </c>
      <c r="C10435" s="2" t="str">
        <f>"15371603"</f>
        <v>15371603</v>
      </c>
      <c r="D10435" s="2">
        <v>0.55500000000000005</v>
      </c>
      <c r="E10435" s="2">
        <v>67</v>
      </c>
      <c r="F10435" s="2" t="s">
        <v>6</v>
      </c>
    </row>
    <row r="10436" spans="1:6" ht="25.5">
      <c r="A10436" s="2">
        <v>10433</v>
      </c>
      <c r="B10436" s="2" t="s">
        <v>10510</v>
      </c>
      <c r="C10436" s="2" t="str">
        <f>"09675868"</f>
        <v>09675868</v>
      </c>
      <c r="D10436" s="2">
        <v>0.53100000000000003</v>
      </c>
      <c r="E10436" s="2">
        <v>43</v>
      </c>
      <c r="F10436" s="2" t="s">
        <v>6</v>
      </c>
    </row>
    <row r="10437" spans="1:6" ht="25.5">
      <c r="A10437" s="2">
        <v>10434</v>
      </c>
      <c r="B10437" s="2" t="s">
        <v>10511</v>
      </c>
      <c r="C10437" s="2" t="str">
        <f>"13652702"</f>
        <v>13652702</v>
      </c>
      <c r="D10437" s="2">
        <v>0.70099999999999996</v>
      </c>
      <c r="E10437" s="2">
        <v>52</v>
      </c>
      <c r="F10437" s="2" t="s">
        <v>16</v>
      </c>
    </row>
    <row r="10438" spans="1:6" ht="25.5">
      <c r="A10438" s="2">
        <v>10435</v>
      </c>
      <c r="B10438" s="2" t="s">
        <v>10512</v>
      </c>
      <c r="C10438" s="2" t="str">
        <f>"15277755"</f>
        <v>15277755</v>
      </c>
      <c r="D10438" s="2">
        <v>7.4749999999999996</v>
      </c>
      <c r="E10438" s="2">
        <v>346</v>
      </c>
      <c r="F10438" s="2" t="s">
        <v>6</v>
      </c>
    </row>
    <row r="10439" spans="1:6" ht="25.5">
      <c r="A10439" s="2">
        <v>10436</v>
      </c>
      <c r="B10439" s="2" t="s">
        <v>10513</v>
      </c>
      <c r="C10439" s="2" t="str">
        <f>"00223875"</f>
        <v>00223875</v>
      </c>
      <c r="D10439" s="2">
        <v>0.29399999999999998</v>
      </c>
      <c r="E10439" s="2">
        <v>25</v>
      </c>
      <c r="F10439" s="2" t="s">
        <v>6</v>
      </c>
    </row>
    <row r="10440" spans="1:6" ht="25.5">
      <c r="A10440" s="2">
        <v>10437</v>
      </c>
      <c r="B10440" s="2" t="s">
        <v>10514</v>
      </c>
      <c r="C10440" s="2" t="str">
        <f>"09765662"</f>
        <v>09765662</v>
      </c>
      <c r="D10440" s="2">
        <v>0.1</v>
      </c>
      <c r="E10440" s="2">
        <v>1</v>
      </c>
      <c r="F10440" s="2" t="s">
        <v>75</v>
      </c>
    </row>
    <row r="10441" spans="1:6" ht="25.5">
      <c r="A10441" s="2">
        <v>10438</v>
      </c>
      <c r="B10441" s="2" t="s">
        <v>10515</v>
      </c>
      <c r="C10441" s="2" t="str">
        <f>"10796533"</f>
        <v>10796533</v>
      </c>
      <c r="D10441" s="2">
        <v>0.16</v>
      </c>
      <c r="E10441" s="2">
        <v>9</v>
      </c>
      <c r="F10441" s="2" t="s">
        <v>6</v>
      </c>
    </row>
    <row r="10442" spans="1:6" ht="25.5">
      <c r="A10442" s="2">
        <v>10439</v>
      </c>
      <c r="B10442" s="2" t="s">
        <v>10516</v>
      </c>
      <c r="C10442" s="2" t="str">
        <f>"14724146"</f>
        <v>14724146</v>
      </c>
      <c r="D10442" s="2">
        <v>0.98</v>
      </c>
      <c r="E10442" s="2">
        <v>90</v>
      </c>
      <c r="F10442" s="2" t="s">
        <v>16</v>
      </c>
    </row>
    <row r="10443" spans="1:6" ht="25.5">
      <c r="A10443" s="2">
        <v>10440</v>
      </c>
      <c r="B10443" s="2" t="s">
        <v>10517</v>
      </c>
      <c r="C10443" s="2" t="str">
        <f>"10534628"</f>
        <v>10534628</v>
      </c>
      <c r="D10443" s="2">
        <v>0.22700000000000001</v>
      </c>
      <c r="E10443" s="2">
        <v>26</v>
      </c>
      <c r="F10443" s="2" t="s">
        <v>6</v>
      </c>
    </row>
    <row r="10444" spans="1:6" ht="25.5">
      <c r="A10444" s="2">
        <v>10441</v>
      </c>
      <c r="B10444" s="2" t="s">
        <v>10518</v>
      </c>
      <c r="C10444" s="2" t="str">
        <f>"1600051X"</f>
        <v>1600051X</v>
      </c>
      <c r="D10444" s="2">
        <v>1.298</v>
      </c>
      <c r="E10444" s="2">
        <v>84</v>
      </c>
      <c r="F10444" s="2" t="s">
        <v>163</v>
      </c>
    </row>
    <row r="10445" spans="1:6" ht="25.5">
      <c r="A10445" s="2">
        <v>10442</v>
      </c>
      <c r="B10445" s="2" t="s">
        <v>10519</v>
      </c>
      <c r="C10445" s="2" t="str">
        <f>"00912700"</f>
        <v>00912700</v>
      </c>
      <c r="D10445" s="2">
        <v>0.93700000000000006</v>
      </c>
      <c r="E10445" s="2">
        <v>76</v>
      </c>
      <c r="F10445" s="2" t="s">
        <v>6</v>
      </c>
    </row>
    <row r="10446" spans="1:6" ht="25.5">
      <c r="A10446" s="2">
        <v>10443</v>
      </c>
      <c r="B10446" s="2" t="s">
        <v>10520</v>
      </c>
      <c r="C10446" s="2" t="str">
        <f>"13652710"</f>
        <v>13652710</v>
      </c>
      <c r="D10446" s="2">
        <v>0.60299999999999998</v>
      </c>
      <c r="E10446" s="2">
        <v>44</v>
      </c>
      <c r="F10446" s="2" t="s">
        <v>16</v>
      </c>
    </row>
    <row r="10447" spans="1:6" ht="25.5">
      <c r="A10447" s="2">
        <v>10444</v>
      </c>
      <c r="B10447" s="2" t="s">
        <v>10521</v>
      </c>
      <c r="C10447" s="2" t="str">
        <f>"01606689"</f>
        <v>01606689</v>
      </c>
      <c r="D10447" s="2">
        <v>1.917</v>
      </c>
      <c r="E10447" s="2">
        <v>143</v>
      </c>
      <c r="F10447" s="2" t="s">
        <v>6</v>
      </c>
    </row>
    <row r="10448" spans="1:6" ht="25.5">
      <c r="A10448" s="2">
        <v>10445</v>
      </c>
      <c r="B10448" s="2" t="s">
        <v>10522</v>
      </c>
      <c r="C10448" s="2" t="str">
        <f>"10974679"</f>
        <v>10974679</v>
      </c>
      <c r="D10448" s="2">
        <v>0.96299999999999997</v>
      </c>
      <c r="E10448" s="2">
        <v>60</v>
      </c>
      <c r="F10448" s="2" t="s">
        <v>6</v>
      </c>
    </row>
    <row r="10449" spans="1:6" ht="25.5">
      <c r="A10449" s="2">
        <v>10446</v>
      </c>
      <c r="B10449" s="2" t="s">
        <v>10523</v>
      </c>
      <c r="C10449" s="2" t="str">
        <f>"15733572"</f>
        <v>15733572</v>
      </c>
      <c r="D10449" s="2">
        <v>0.63400000000000001</v>
      </c>
      <c r="E10449" s="2">
        <v>25</v>
      </c>
      <c r="F10449" s="2" t="s">
        <v>6</v>
      </c>
    </row>
    <row r="10450" spans="1:6" ht="25.5">
      <c r="A10450" s="2">
        <v>10447</v>
      </c>
      <c r="B10450" s="2" t="s">
        <v>10524</v>
      </c>
      <c r="C10450" s="2" t="str">
        <f>"1533712X"</f>
        <v>1533712X</v>
      </c>
      <c r="D10450" s="2">
        <v>1.1830000000000001</v>
      </c>
      <c r="E10450" s="2">
        <v>91</v>
      </c>
      <c r="F10450" s="2" t="s">
        <v>6</v>
      </c>
    </row>
    <row r="10451" spans="1:6" ht="25.5">
      <c r="A10451" s="2">
        <v>10448</v>
      </c>
      <c r="B10451" s="2" t="s">
        <v>10525</v>
      </c>
      <c r="C10451" s="2" t="str">
        <f>"16738225"</f>
        <v>16738225</v>
      </c>
      <c r="D10451" s="2">
        <v>0.121</v>
      </c>
      <c r="E10451" s="2">
        <v>7</v>
      </c>
      <c r="F10451" s="2" t="s">
        <v>46</v>
      </c>
    </row>
    <row r="10452" spans="1:6" ht="25.5">
      <c r="A10452" s="2">
        <v>10449</v>
      </c>
      <c r="B10452" s="2" t="s">
        <v>10526</v>
      </c>
      <c r="C10452" s="2" t="str">
        <f>"15367355"</f>
        <v>15367355</v>
      </c>
      <c r="D10452" s="2">
        <v>0.46</v>
      </c>
      <c r="E10452" s="2">
        <v>29</v>
      </c>
      <c r="F10452" s="2" t="s">
        <v>6</v>
      </c>
    </row>
    <row r="10453" spans="1:6" ht="25.5">
      <c r="A10453" s="2">
        <v>10450</v>
      </c>
      <c r="B10453" s="2" t="s">
        <v>10527</v>
      </c>
      <c r="C10453" s="2" t="str">
        <f>"15509397"</f>
        <v>15509397</v>
      </c>
      <c r="D10453" s="2">
        <v>0.90200000000000002</v>
      </c>
      <c r="E10453" s="2">
        <v>37</v>
      </c>
      <c r="F10453" s="2" t="s">
        <v>6</v>
      </c>
    </row>
    <row r="10454" spans="1:6" ht="25.5">
      <c r="A10454" s="2">
        <v>10451</v>
      </c>
      <c r="B10454" s="2" t="s">
        <v>10528</v>
      </c>
      <c r="C10454" s="2" t="str">
        <f>"1932927X"</f>
        <v>1932927X</v>
      </c>
      <c r="D10454" s="2">
        <v>0</v>
      </c>
      <c r="E10454" s="2">
        <v>2</v>
      </c>
      <c r="F10454" s="2" t="s">
        <v>6</v>
      </c>
    </row>
    <row r="10455" spans="1:6" ht="25.5">
      <c r="A10455" s="2">
        <v>10452</v>
      </c>
      <c r="B10455" s="2" t="s">
        <v>10529</v>
      </c>
      <c r="C10455" s="2" t="str">
        <f>"10970096"</f>
        <v>10970096</v>
      </c>
      <c r="D10455" s="2">
        <v>0.33900000000000002</v>
      </c>
      <c r="E10455" s="2">
        <v>42</v>
      </c>
      <c r="F10455" s="2" t="s">
        <v>6</v>
      </c>
    </row>
    <row r="10456" spans="1:6" ht="25.5">
      <c r="A10456" s="2">
        <v>10453</v>
      </c>
      <c r="B10456" s="2" t="s">
        <v>10530</v>
      </c>
      <c r="C10456" s="2" t="str">
        <f>"13866532"</f>
        <v>13866532</v>
      </c>
      <c r="D10456" s="2">
        <v>1.294</v>
      </c>
      <c r="E10456" s="2">
        <v>67</v>
      </c>
      <c r="F10456" s="2" t="s">
        <v>75</v>
      </c>
    </row>
    <row r="10457" spans="1:6" ht="25.5">
      <c r="A10457" s="2">
        <v>10454</v>
      </c>
      <c r="B10457" s="2" t="s">
        <v>10531</v>
      </c>
      <c r="C10457" s="2" t="str">
        <f>"15728862"</f>
        <v>15728862</v>
      </c>
      <c r="D10457" s="2">
        <v>0.39900000000000002</v>
      </c>
      <c r="E10457" s="2">
        <v>27</v>
      </c>
      <c r="F10457" s="2" t="s">
        <v>6</v>
      </c>
    </row>
    <row r="10458" spans="1:6" ht="25.5">
      <c r="A10458" s="2">
        <v>10455</v>
      </c>
      <c r="B10458" s="2" t="s">
        <v>10532</v>
      </c>
      <c r="C10458" s="2" t="str">
        <f>"10069097"</f>
        <v>10069097</v>
      </c>
      <c r="D10458" s="2">
        <v>0.158</v>
      </c>
      <c r="E10458" s="2">
        <v>6</v>
      </c>
      <c r="F10458" s="2" t="s">
        <v>12</v>
      </c>
    </row>
    <row r="10459" spans="1:6" ht="25.5">
      <c r="A10459" s="2">
        <v>10456</v>
      </c>
      <c r="B10459" s="2" t="s">
        <v>10533</v>
      </c>
      <c r="C10459" s="2" t="str">
        <f>"14000350"</f>
        <v>14000350</v>
      </c>
      <c r="D10459" s="2">
        <v>0.249</v>
      </c>
      <c r="E10459" s="2">
        <v>17</v>
      </c>
      <c r="F10459" s="2" t="s">
        <v>75</v>
      </c>
    </row>
    <row r="10460" spans="1:6" ht="25.5">
      <c r="A10460" s="2">
        <v>10457</v>
      </c>
      <c r="B10460" s="2" t="s">
        <v>10534</v>
      </c>
      <c r="C10460" s="2" t="str">
        <f>"15515036"</f>
        <v>15515036</v>
      </c>
      <c r="D10460" s="2">
        <v>0.34899999999999998</v>
      </c>
      <c r="E10460" s="2">
        <v>46</v>
      </c>
      <c r="F10460" s="2" t="s">
        <v>6</v>
      </c>
    </row>
    <row r="10461" spans="1:6" ht="25.5">
      <c r="A10461" s="2">
        <v>10458</v>
      </c>
      <c r="B10461" s="2" t="s">
        <v>10535</v>
      </c>
      <c r="C10461" s="2" t="str">
        <f>"15470091"</f>
        <v>15470091</v>
      </c>
      <c r="D10461" s="2">
        <v>0.499</v>
      </c>
      <c r="E10461" s="2">
        <v>16</v>
      </c>
      <c r="F10461" s="2" t="s">
        <v>6</v>
      </c>
    </row>
    <row r="10462" spans="1:6" ht="25.5">
      <c r="A10462" s="2">
        <v>10459</v>
      </c>
      <c r="B10462" s="2" t="s">
        <v>10536</v>
      </c>
      <c r="C10462" s="2" t="str">
        <f>"15677095"</f>
        <v>15677095</v>
      </c>
      <c r="D10462" s="2">
        <v>0.47699999999999998</v>
      </c>
      <c r="E10462" s="2">
        <v>20</v>
      </c>
      <c r="F10462" s="2" t="s">
        <v>75</v>
      </c>
    </row>
    <row r="10463" spans="1:6" ht="25.5">
      <c r="A10463" s="2">
        <v>10460</v>
      </c>
      <c r="B10463" s="2" t="s">
        <v>10537</v>
      </c>
      <c r="C10463" s="2" t="str">
        <f>"15327647"</f>
        <v>15327647</v>
      </c>
      <c r="D10463" s="2">
        <v>0.69099999999999995</v>
      </c>
      <c r="E10463" s="2">
        <v>28</v>
      </c>
      <c r="F10463" s="2" t="s">
        <v>16</v>
      </c>
    </row>
    <row r="10464" spans="1:6" ht="25.5">
      <c r="A10464" s="2">
        <v>10461</v>
      </c>
      <c r="B10464" s="2" t="s">
        <v>10538</v>
      </c>
      <c r="C10464" s="2" t="str">
        <f>"15847101"</f>
        <v>15847101</v>
      </c>
      <c r="D10464" s="2">
        <v>0.23300000000000001</v>
      </c>
      <c r="E10464" s="2">
        <v>6</v>
      </c>
      <c r="F10464" s="2" t="s">
        <v>19</v>
      </c>
    </row>
    <row r="10465" spans="1:6" ht="25.5">
      <c r="A10465" s="2">
        <v>10462</v>
      </c>
      <c r="B10465" s="2" t="s">
        <v>10539</v>
      </c>
      <c r="C10465" s="2" t="str">
        <f>"15308898"</f>
        <v>15308898</v>
      </c>
      <c r="D10465" s="2">
        <v>2.9239999999999999</v>
      </c>
      <c r="E10465" s="2">
        <v>137</v>
      </c>
      <c r="F10465" s="2" t="s">
        <v>6</v>
      </c>
    </row>
    <row r="10466" spans="1:6" ht="25.5">
      <c r="A10466" s="2">
        <v>10463</v>
      </c>
      <c r="B10466" s="2" t="s">
        <v>10540</v>
      </c>
      <c r="C10466" s="2" t="str">
        <f>"2044592X"</f>
        <v>2044592X</v>
      </c>
      <c r="D10466" s="2">
        <v>0.73599999999999999</v>
      </c>
      <c r="E10466" s="2">
        <v>37</v>
      </c>
      <c r="F10466" s="2" t="s">
        <v>16</v>
      </c>
    </row>
    <row r="10467" spans="1:6" ht="25.5">
      <c r="A10467" s="2">
        <v>10464</v>
      </c>
      <c r="B10467" s="2" t="s">
        <v>10541</v>
      </c>
      <c r="C10467" s="2" t="str">
        <f>"08898391"</f>
        <v>08898391</v>
      </c>
      <c r="D10467" s="2">
        <v>0.67100000000000004</v>
      </c>
      <c r="E10467" s="2">
        <v>24</v>
      </c>
      <c r="F10467" s="2" t="s">
        <v>6</v>
      </c>
    </row>
    <row r="10468" spans="1:6" ht="25.5">
      <c r="A10468" s="2">
        <v>10465</v>
      </c>
      <c r="B10468" s="2" t="s">
        <v>10542</v>
      </c>
      <c r="C10468" s="2" t="str">
        <f>"0887381X"</f>
        <v>0887381X</v>
      </c>
      <c r="D10468" s="2">
        <v>0.123</v>
      </c>
      <c r="E10468" s="2">
        <v>15</v>
      </c>
      <c r="F10468" s="2" t="s">
        <v>6</v>
      </c>
    </row>
    <row r="10469" spans="1:6" ht="25.5">
      <c r="A10469" s="2">
        <v>10466</v>
      </c>
      <c r="B10469" s="2" t="s">
        <v>10543</v>
      </c>
      <c r="C10469" s="2" t="str">
        <f>"15203972"</f>
        <v>15203972</v>
      </c>
      <c r="D10469" s="2">
        <v>0.10199999999999999</v>
      </c>
      <c r="E10469" s="2">
        <v>1</v>
      </c>
      <c r="F10469" s="2" t="s">
        <v>6</v>
      </c>
    </row>
    <row r="10470" spans="1:6" ht="25.5">
      <c r="A10470" s="2">
        <v>10467</v>
      </c>
      <c r="B10470" s="2" t="s">
        <v>10544</v>
      </c>
      <c r="C10470" s="2" t="str">
        <f>"10990399"</f>
        <v>10990399</v>
      </c>
      <c r="D10470" s="2">
        <v>0.224</v>
      </c>
      <c r="E10470" s="2">
        <v>3</v>
      </c>
      <c r="F10470" s="2" t="s">
        <v>6</v>
      </c>
    </row>
    <row r="10471" spans="1:6" ht="25.5">
      <c r="A10471" s="2">
        <v>10468</v>
      </c>
      <c r="B10471" s="2" t="s">
        <v>10545</v>
      </c>
      <c r="C10471" s="2" t="str">
        <f>"15433382"</f>
        <v>15433382</v>
      </c>
      <c r="D10471" s="2">
        <v>0.83399999999999996</v>
      </c>
      <c r="E10471" s="2">
        <v>34</v>
      </c>
      <c r="F10471" s="2" t="s">
        <v>6</v>
      </c>
    </row>
    <row r="10472" spans="1:6" ht="25.5">
      <c r="A10472" s="2">
        <v>10469</v>
      </c>
      <c r="B10472" s="2" t="s">
        <v>10546</v>
      </c>
      <c r="C10472" s="2" t="str">
        <f>"87568225"</f>
        <v>87568225</v>
      </c>
      <c r="D10472" s="2">
        <v>0.313</v>
      </c>
      <c r="E10472" s="2">
        <v>5</v>
      </c>
      <c r="F10472" s="2" t="s">
        <v>16</v>
      </c>
    </row>
    <row r="10473" spans="1:6" ht="25.5">
      <c r="A10473" s="2">
        <v>10470</v>
      </c>
      <c r="B10473" s="2" t="s">
        <v>10547</v>
      </c>
      <c r="C10473" s="2" t="str">
        <f>"15414167"</f>
        <v>15414167</v>
      </c>
      <c r="D10473" s="2">
        <v>0.16800000000000001</v>
      </c>
      <c r="E10473" s="2">
        <v>8</v>
      </c>
      <c r="F10473" s="2" t="s">
        <v>6</v>
      </c>
    </row>
    <row r="10474" spans="1:6" ht="25.5">
      <c r="A10474" s="2">
        <v>10471</v>
      </c>
      <c r="B10474" s="2" t="s">
        <v>10548</v>
      </c>
      <c r="C10474" s="2" t="str">
        <f>"10957103"</f>
        <v>10957103</v>
      </c>
      <c r="D10474" s="2">
        <v>1.1539999999999999</v>
      </c>
      <c r="E10474" s="2">
        <v>123</v>
      </c>
      <c r="F10474" s="2" t="s">
        <v>6</v>
      </c>
    </row>
    <row r="10475" spans="1:6" ht="25.5">
      <c r="A10475" s="2">
        <v>10472</v>
      </c>
      <c r="B10475" s="2" t="s">
        <v>10549</v>
      </c>
      <c r="C10475" s="2" t="str">
        <f>"10638539"</f>
        <v>10638539</v>
      </c>
      <c r="D10475" s="2">
        <v>1.095</v>
      </c>
      <c r="E10475" s="2">
        <v>21</v>
      </c>
      <c r="F10475" s="2" t="s">
        <v>6</v>
      </c>
    </row>
    <row r="10476" spans="1:6" ht="25.5">
      <c r="A10476" s="2">
        <v>10473</v>
      </c>
      <c r="B10476" s="2" t="s">
        <v>10550</v>
      </c>
      <c r="C10476" s="2" t="str">
        <f>"08353026"</f>
        <v>08353026</v>
      </c>
      <c r="D10476" s="2">
        <v>0.36799999999999999</v>
      </c>
      <c r="E10476" s="2">
        <v>7</v>
      </c>
      <c r="F10476" s="2" t="s">
        <v>64</v>
      </c>
    </row>
    <row r="10477" spans="1:6" ht="25.5">
      <c r="A10477" s="2">
        <v>10474</v>
      </c>
      <c r="B10477" s="2" t="s">
        <v>10551</v>
      </c>
      <c r="C10477" s="2" t="str">
        <f>"15732886"</f>
        <v>15732886</v>
      </c>
      <c r="D10477" s="2">
        <v>0.73599999999999999</v>
      </c>
      <c r="E10477" s="2">
        <v>27</v>
      </c>
      <c r="F10477" s="2" t="s">
        <v>75</v>
      </c>
    </row>
    <row r="10478" spans="1:6" ht="25.5">
      <c r="A10478" s="2">
        <v>10475</v>
      </c>
      <c r="B10478" s="2" t="s">
        <v>10552</v>
      </c>
      <c r="C10478" s="2" t="str">
        <f>"10960899"</f>
        <v>10960899</v>
      </c>
      <c r="D10478" s="2">
        <v>1.2070000000000001</v>
      </c>
      <c r="E10478" s="2">
        <v>26</v>
      </c>
      <c r="F10478" s="2" t="s">
        <v>6</v>
      </c>
    </row>
    <row r="10479" spans="1:6" ht="25.5">
      <c r="A10479" s="2">
        <v>10476</v>
      </c>
      <c r="B10479" s="2" t="s">
        <v>10553</v>
      </c>
      <c r="C10479" s="2" t="str">
        <f>"10960902"</f>
        <v>10960902</v>
      </c>
      <c r="D10479" s="2">
        <v>2.6709999999999998</v>
      </c>
      <c r="E10479" s="2">
        <v>35</v>
      </c>
      <c r="F10479" s="2" t="s">
        <v>6</v>
      </c>
    </row>
    <row r="10480" spans="1:6" ht="25.5">
      <c r="A10480" s="2">
        <v>10477</v>
      </c>
      <c r="B10480" s="2" t="s">
        <v>10554</v>
      </c>
      <c r="C10480" s="2" t="str">
        <f>"1478565X"</f>
        <v>1478565X</v>
      </c>
      <c r="D10480" s="2">
        <v>0.224</v>
      </c>
      <c r="E10480" s="2">
        <v>7</v>
      </c>
      <c r="F10480" s="2" t="s">
        <v>16</v>
      </c>
    </row>
    <row r="10481" spans="1:6" ht="25.5">
      <c r="A10481" s="2">
        <v>10478</v>
      </c>
      <c r="B10481" s="2" t="s">
        <v>10555</v>
      </c>
      <c r="C10481" s="2" t="str">
        <f>"14685965"</f>
        <v>14685965</v>
      </c>
      <c r="D10481" s="2">
        <v>1.234</v>
      </c>
      <c r="E10481" s="2">
        <v>39</v>
      </c>
      <c r="F10481" s="2" t="s">
        <v>16</v>
      </c>
    </row>
    <row r="10482" spans="1:6" ht="25.5">
      <c r="A10482" s="2">
        <v>10479</v>
      </c>
      <c r="B10482" s="2" t="s">
        <v>10556</v>
      </c>
      <c r="C10482" s="2" t="str">
        <f>"17416442"</f>
        <v>17416442</v>
      </c>
      <c r="D10482" s="2">
        <v>0.13600000000000001</v>
      </c>
      <c r="E10482" s="2">
        <v>5</v>
      </c>
      <c r="F10482" s="2" t="s">
        <v>16</v>
      </c>
    </row>
    <row r="10483" spans="1:6" ht="25.5">
      <c r="A10483" s="2">
        <v>10480</v>
      </c>
      <c r="B10483" s="2" t="s">
        <v>10557</v>
      </c>
      <c r="C10483" s="2" t="str">
        <f>"00195138"</f>
        <v>00195138</v>
      </c>
      <c r="D10483" s="2">
        <v>0.11</v>
      </c>
      <c r="E10483" s="2">
        <v>17</v>
      </c>
      <c r="F10483" s="2" t="s">
        <v>488</v>
      </c>
    </row>
    <row r="10484" spans="1:6" ht="25.5">
      <c r="A10484" s="2">
        <v>10481</v>
      </c>
      <c r="B10484" s="2" t="s">
        <v>10558</v>
      </c>
      <c r="C10484" s="2" t="str">
        <f>"14602466"</f>
        <v>14602466</v>
      </c>
      <c r="D10484" s="2">
        <v>1.2809999999999999</v>
      </c>
      <c r="E10484" s="2">
        <v>52</v>
      </c>
      <c r="F10484" s="2" t="s">
        <v>16</v>
      </c>
    </row>
    <row r="10485" spans="1:6" ht="25.5">
      <c r="A10485" s="2">
        <v>10482</v>
      </c>
      <c r="B10485" s="2" t="s">
        <v>10559</v>
      </c>
      <c r="C10485" s="2" t="str">
        <f>"00219924"</f>
        <v>00219924</v>
      </c>
      <c r="D10485" s="2">
        <v>0.68799999999999994</v>
      </c>
      <c r="E10485" s="2">
        <v>33</v>
      </c>
      <c r="F10485" s="2" t="s">
        <v>6</v>
      </c>
    </row>
    <row r="10486" spans="1:6" ht="25.5">
      <c r="A10486" s="2">
        <v>10483</v>
      </c>
      <c r="B10486" s="2" t="s">
        <v>10560</v>
      </c>
      <c r="C10486" s="2" t="str">
        <f>"01968599"</f>
        <v>01968599</v>
      </c>
      <c r="D10486" s="2">
        <v>0.317</v>
      </c>
      <c r="E10486" s="2">
        <v>13</v>
      </c>
      <c r="F10486" s="2" t="s">
        <v>6</v>
      </c>
    </row>
    <row r="10487" spans="1:6" ht="25.5">
      <c r="A10487" s="2">
        <v>10484</v>
      </c>
      <c r="B10487" s="2" t="s">
        <v>10561</v>
      </c>
      <c r="C10487" s="2" t="str">
        <f>"1363254X"</f>
        <v>1363254X</v>
      </c>
      <c r="D10487" s="2">
        <v>0</v>
      </c>
      <c r="E10487" s="2">
        <v>1</v>
      </c>
      <c r="F10487" s="2" t="s">
        <v>16</v>
      </c>
    </row>
    <row r="10488" spans="1:6" ht="25.5">
      <c r="A10488" s="2">
        <v>10485</v>
      </c>
      <c r="B10488" s="2" t="s">
        <v>10562</v>
      </c>
      <c r="C10488" s="2" t="str">
        <f>"17962021"</f>
        <v>17962021</v>
      </c>
      <c r="D10488" s="2">
        <v>0.23599999999999999</v>
      </c>
      <c r="E10488" s="2">
        <v>9</v>
      </c>
      <c r="F10488" s="2" t="s">
        <v>6</v>
      </c>
    </row>
    <row r="10489" spans="1:6" ht="25.5">
      <c r="A10489" s="2">
        <v>10486</v>
      </c>
      <c r="B10489" s="2" t="s">
        <v>10563</v>
      </c>
      <c r="C10489" s="2" t="str">
        <f>"12292370"</f>
        <v>12292370</v>
      </c>
      <c r="D10489" s="2">
        <v>0.41799999999999998</v>
      </c>
      <c r="E10489" s="2">
        <v>21</v>
      </c>
      <c r="F10489" s="2" t="s">
        <v>274</v>
      </c>
    </row>
    <row r="10490" spans="1:6" ht="25.5">
      <c r="A10490" s="2">
        <v>10487</v>
      </c>
      <c r="B10490" s="2" t="s">
        <v>10564</v>
      </c>
      <c r="C10490" s="2" t="str">
        <f>"18456421"</f>
        <v>18456421</v>
      </c>
      <c r="D10490" s="2">
        <v>0.13500000000000001</v>
      </c>
      <c r="E10490" s="2">
        <v>3</v>
      </c>
      <c r="F10490" s="2" t="s">
        <v>149</v>
      </c>
    </row>
    <row r="10491" spans="1:6" ht="25.5">
      <c r="A10491" s="2">
        <v>10488</v>
      </c>
      <c r="B10491" s="2" t="s">
        <v>10565</v>
      </c>
      <c r="C10491" s="2" t="str">
        <f>"10642269"</f>
        <v>10642269</v>
      </c>
      <c r="D10491" s="2">
        <v>0.247</v>
      </c>
      <c r="E10491" s="2">
        <v>13</v>
      </c>
      <c r="F10491" s="2" t="s">
        <v>129</v>
      </c>
    </row>
    <row r="10492" spans="1:6" ht="25.5">
      <c r="A10492" s="2">
        <v>10489</v>
      </c>
      <c r="B10492" s="2" t="s">
        <v>10566</v>
      </c>
      <c r="C10492" s="2" t="str">
        <f>"13523279"</f>
        <v>13523279</v>
      </c>
      <c r="D10492" s="2">
        <v>0.56799999999999995</v>
      </c>
      <c r="E10492" s="2">
        <v>11</v>
      </c>
      <c r="F10492" s="2" t="s">
        <v>16</v>
      </c>
    </row>
    <row r="10493" spans="1:6" ht="25.5">
      <c r="A10493" s="2">
        <v>10490</v>
      </c>
      <c r="B10493" s="2" t="s">
        <v>10567</v>
      </c>
      <c r="C10493" s="2" t="str">
        <f>"10991298"</f>
        <v>10991298</v>
      </c>
      <c r="D10493" s="2">
        <v>0.502</v>
      </c>
      <c r="E10493" s="2">
        <v>32</v>
      </c>
      <c r="F10493" s="2" t="s">
        <v>16</v>
      </c>
    </row>
    <row r="10494" spans="1:6" ht="25.5">
      <c r="A10494" s="2">
        <v>10491</v>
      </c>
      <c r="B10494" s="2" t="s">
        <v>10568</v>
      </c>
      <c r="C10494" s="2" t="str">
        <f>"09536833"</f>
        <v>09536833</v>
      </c>
      <c r="D10494" s="2">
        <v>0.14299999999999999</v>
      </c>
      <c r="E10494" s="2">
        <v>12</v>
      </c>
      <c r="F10494" s="2" t="s">
        <v>16</v>
      </c>
    </row>
    <row r="10495" spans="1:6" ht="25.5">
      <c r="A10495" s="2">
        <v>10492</v>
      </c>
      <c r="B10495" s="2" t="s">
        <v>10569</v>
      </c>
      <c r="C10495" s="2" t="str">
        <f>"1868310X"</f>
        <v>1868310X</v>
      </c>
      <c r="D10495" s="2">
        <v>0.37</v>
      </c>
      <c r="E10495" s="2">
        <v>5</v>
      </c>
      <c r="F10495" s="2" t="s">
        <v>12</v>
      </c>
    </row>
    <row r="10496" spans="1:6" ht="25.5">
      <c r="A10496" s="2">
        <v>10493</v>
      </c>
      <c r="B10496" s="2" t="s">
        <v>10570</v>
      </c>
      <c r="C10496" s="2" t="str">
        <f>"15733610"</f>
        <v>15733610</v>
      </c>
      <c r="D10496" s="2">
        <v>0.56000000000000005</v>
      </c>
      <c r="E10496" s="2">
        <v>36</v>
      </c>
      <c r="F10496" s="2" t="s">
        <v>75</v>
      </c>
    </row>
    <row r="10497" spans="1:6" ht="25.5">
      <c r="A10497" s="2">
        <v>10494</v>
      </c>
      <c r="B10497" s="2" t="s">
        <v>10571</v>
      </c>
      <c r="C10497" s="2" t="str">
        <f>"15327655"</f>
        <v>15327655</v>
      </c>
      <c r="D10497" s="2">
        <v>0.22900000000000001</v>
      </c>
      <c r="E10497" s="2">
        <v>20</v>
      </c>
      <c r="F10497" s="2" t="s">
        <v>16</v>
      </c>
    </row>
    <row r="10498" spans="1:6" ht="25.5">
      <c r="A10498" s="2">
        <v>10495</v>
      </c>
      <c r="B10498" s="2" t="s">
        <v>10572</v>
      </c>
      <c r="C10498" s="2" t="str">
        <f>"02634465"</f>
        <v>02634465</v>
      </c>
      <c r="D10498" s="2">
        <v>0.154</v>
      </c>
      <c r="E10498" s="2">
        <v>5</v>
      </c>
      <c r="F10498" s="2" t="s">
        <v>16</v>
      </c>
    </row>
    <row r="10499" spans="1:6" ht="25.5">
      <c r="A10499" s="2">
        <v>10496</v>
      </c>
      <c r="B10499" s="2" t="s">
        <v>10573</v>
      </c>
      <c r="C10499" s="2" t="str">
        <f>"15433706"</f>
        <v>15433706</v>
      </c>
      <c r="D10499" s="2">
        <v>0.21299999999999999</v>
      </c>
      <c r="E10499" s="2">
        <v>8</v>
      </c>
      <c r="F10499" s="2" t="s">
        <v>16</v>
      </c>
    </row>
    <row r="10500" spans="1:6" ht="25.5">
      <c r="A10500" s="2">
        <v>10497</v>
      </c>
      <c r="B10500" s="2" t="s">
        <v>10574</v>
      </c>
      <c r="C10500" s="2" t="str">
        <f>"15206629"</f>
        <v>15206629</v>
      </c>
      <c r="D10500" s="2">
        <v>0.63900000000000001</v>
      </c>
      <c r="E10500" s="2">
        <v>47</v>
      </c>
      <c r="F10500" s="2" t="s">
        <v>6</v>
      </c>
    </row>
    <row r="10501" spans="1:6" ht="25.5">
      <c r="A10501" s="2">
        <v>10498</v>
      </c>
      <c r="B10501" s="2" t="s">
        <v>10575</v>
      </c>
      <c r="C10501" s="2" t="str">
        <f>"19390807"</f>
        <v>19390807</v>
      </c>
      <c r="D10501" s="2">
        <v>0</v>
      </c>
      <c r="E10501" s="2">
        <v>0</v>
      </c>
      <c r="F10501" s="2" t="s">
        <v>6</v>
      </c>
    </row>
    <row r="10502" spans="1:6" ht="25.5">
      <c r="A10502" s="2">
        <v>10499</v>
      </c>
      <c r="B10502" s="2" t="s">
        <v>10576</v>
      </c>
      <c r="C10502" s="2" t="str">
        <f>"21505403"</f>
        <v>21505403</v>
      </c>
      <c r="D10502" s="2">
        <v>0.10100000000000001</v>
      </c>
      <c r="E10502" s="2">
        <v>1</v>
      </c>
      <c r="F10502" s="2" t="s">
        <v>6</v>
      </c>
    </row>
    <row r="10503" spans="1:6" ht="25.5">
      <c r="A10503" s="2">
        <v>10500</v>
      </c>
      <c r="B10503" s="2" t="s">
        <v>10577</v>
      </c>
      <c r="C10503" s="2" t="str">
        <f>"10957227"</f>
        <v>10957227</v>
      </c>
      <c r="D10503" s="2">
        <v>0.94299999999999995</v>
      </c>
      <c r="E10503" s="2">
        <v>43</v>
      </c>
      <c r="F10503" s="2" t="s">
        <v>6</v>
      </c>
    </row>
    <row r="10504" spans="1:6" ht="25.5">
      <c r="A10504" s="2">
        <v>10501</v>
      </c>
      <c r="B10504" s="2" t="s">
        <v>10578</v>
      </c>
      <c r="C10504" s="2" t="str">
        <f>"00472328"</f>
        <v>00472328</v>
      </c>
      <c r="D10504" s="2">
        <v>0.32800000000000001</v>
      </c>
      <c r="E10504" s="2">
        <v>21</v>
      </c>
      <c r="F10504" s="2" t="s">
        <v>64</v>
      </c>
    </row>
    <row r="10505" spans="1:6" ht="25.5">
      <c r="A10505" s="2">
        <v>10502</v>
      </c>
      <c r="B10505" s="2" t="s">
        <v>10579</v>
      </c>
      <c r="C10505" s="2" t="str">
        <f>"13834924"</f>
        <v>13834924</v>
      </c>
      <c r="D10505" s="2">
        <v>0.34399999999999997</v>
      </c>
      <c r="E10505" s="2">
        <v>6</v>
      </c>
      <c r="F10505" s="2" t="s">
        <v>75</v>
      </c>
    </row>
    <row r="10506" spans="1:6" ht="25.5">
      <c r="A10506" s="2">
        <v>10503</v>
      </c>
      <c r="B10506" s="2" t="s">
        <v>10580</v>
      </c>
      <c r="C10506" s="2" t="str">
        <f>"00219967"</f>
        <v>00219967</v>
      </c>
      <c r="D10506" s="2">
        <v>2.1629999999999998</v>
      </c>
      <c r="E10506" s="2">
        <v>147</v>
      </c>
      <c r="F10506" s="2" t="s">
        <v>6</v>
      </c>
    </row>
    <row r="10507" spans="1:6" ht="25.5">
      <c r="A10507" s="2">
        <v>10504</v>
      </c>
      <c r="B10507" s="2" t="s">
        <v>10581</v>
      </c>
      <c r="C10507" s="2" t="str">
        <f>"15323129"</f>
        <v>15323129</v>
      </c>
      <c r="D10507" s="2">
        <v>0.61299999999999999</v>
      </c>
      <c r="E10507" s="2">
        <v>46</v>
      </c>
      <c r="F10507" s="2" t="s">
        <v>16</v>
      </c>
    </row>
    <row r="10508" spans="1:6" ht="25.5">
      <c r="A10508" s="2">
        <v>10505</v>
      </c>
      <c r="B10508" s="2" t="s">
        <v>10582</v>
      </c>
      <c r="C10508" s="2" t="str">
        <f>"14321351"</f>
        <v>14321351</v>
      </c>
      <c r="D10508" s="2">
        <v>0.755</v>
      </c>
      <c r="E10508" s="2">
        <v>59</v>
      </c>
      <c r="F10508" s="2" t="s">
        <v>12</v>
      </c>
    </row>
    <row r="10509" spans="1:6" ht="25.5">
      <c r="A10509" s="2">
        <v>10506</v>
      </c>
      <c r="B10509" s="2" t="s">
        <v>10583</v>
      </c>
      <c r="C10509" s="2" t="str">
        <f>"1432136X"</f>
        <v>1432136X</v>
      </c>
      <c r="D10509" s="2">
        <v>0.66800000000000004</v>
      </c>
      <c r="E10509" s="2">
        <v>47</v>
      </c>
      <c r="F10509" s="2" t="s">
        <v>12</v>
      </c>
    </row>
    <row r="10510" spans="1:6" ht="25.5">
      <c r="A10510" s="2">
        <v>10507</v>
      </c>
      <c r="B10510" s="2" t="s">
        <v>10584</v>
      </c>
      <c r="C10510" s="2" t="str">
        <f>"07357036"</f>
        <v>07357036</v>
      </c>
      <c r="D10510" s="2">
        <v>0.76800000000000002</v>
      </c>
      <c r="E10510" s="2">
        <v>51</v>
      </c>
      <c r="F10510" s="2" t="s">
        <v>6</v>
      </c>
    </row>
    <row r="10511" spans="1:6" ht="25.5">
      <c r="A10511" s="2">
        <v>10508</v>
      </c>
      <c r="B10511" s="2" t="s">
        <v>10585</v>
      </c>
      <c r="C10511" s="2" t="str">
        <f>"17486831"</f>
        <v>17486831</v>
      </c>
      <c r="D10511" s="2">
        <v>0.126</v>
      </c>
      <c r="E10511" s="2">
        <v>1</v>
      </c>
      <c r="F10511" s="2" t="s">
        <v>16</v>
      </c>
    </row>
    <row r="10512" spans="1:6" ht="25.5">
      <c r="A10512" s="2">
        <v>10509</v>
      </c>
      <c r="B10512" s="2" t="s">
        <v>10586</v>
      </c>
      <c r="C10512" s="2" t="str">
        <f>"17446422"</f>
        <v>17446422</v>
      </c>
      <c r="D10512" s="2">
        <v>0.55600000000000005</v>
      </c>
      <c r="E10512" s="2">
        <v>10</v>
      </c>
      <c r="F10512" s="2" t="s">
        <v>16</v>
      </c>
    </row>
    <row r="10513" spans="1:6" ht="25.5">
      <c r="A10513" s="2">
        <v>10510</v>
      </c>
      <c r="B10513" s="2" t="s">
        <v>10587</v>
      </c>
      <c r="C10513" s="2" t="str">
        <f>"15533840"</f>
        <v>15533840</v>
      </c>
      <c r="D10513" s="2">
        <v>0.23499999999999999</v>
      </c>
      <c r="E10513" s="2">
        <v>7</v>
      </c>
      <c r="F10513" s="2" t="s">
        <v>6</v>
      </c>
    </row>
    <row r="10514" spans="1:6" ht="25.5">
      <c r="A10514" s="2">
        <v>10511</v>
      </c>
      <c r="B10514" s="2" t="s">
        <v>10588</v>
      </c>
      <c r="C10514" s="2" t="str">
        <f>"10902708"</f>
        <v>10902708</v>
      </c>
      <c r="D10514" s="2">
        <v>1.51</v>
      </c>
      <c r="E10514" s="2">
        <v>30</v>
      </c>
      <c r="F10514" s="2" t="s">
        <v>6</v>
      </c>
    </row>
    <row r="10515" spans="1:6" ht="25.5">
      <c r="A10515" s="2">
        <v>10512</v>
      </c>
      <c r="B10515" s="2" t="s">
        <v>10589</v>
      </c>
      <c r="C10515" s="2" t="str">
        <f>"1530793X"</f>
        <v>1530793X</v>
      </c>
      <c r="D10515" s="2">
        <v>0.57099999999999995</v>
      </c>
      <c r="E10515" s="2">
        <v>45</v>
      </c>
      <c r="F10515" s="2" t="s">
        <v>16</v>
      </c>
    </row>
    <row r="10516" spans="1:6" ht="25.5">
      <c r="A10516" s="2">
        <v>10513</v>
      </c>
      <c r="B10516" s="2" t="s">
        <v>10590</v>
      </c>
      <c r="C10516" s="2" t="str">
        <f>"10900268"</f>
        <v>10900268</v>
      </c>
      <c r="D10516" s="2">
        <v>1.1870000000000001</v>
      </c>
      <c r="E10516" s="2">
        <v>47</v>
      </c>
      <c r="F10516" s="2" t="s">
        <v>6</v>
      </c>
    </row>
    <row r="10517" spans="1:6" ht="25.5">
      <c r="A10517" s="2">
        <v>10514</v>
      </c>
      <c r="B10517" s="2" t="s">
        <v>10591</v>
      </c>
      <c r="C10517" s="2" t="str">
        <f>"0218396X"</f>
        <v>0218396X</v>
      </c>
      <c r="D10517" s="2">
        <v>0.316</v>
      </c>
      <c r="E10517" s="2">
        <v>23</v>
      </c>
      <c r="F10517" s="2" t="s">
        <v>543</v>
      </c>
    </row>
    <row r="10518" spans="1:6" ht="25.5">
      <c r="A10518" s="2">
        <v>10515</v>
      </c>
      <c r="B10518" s="2" t="s">
        <v>10592</v>
      </c>
      <c r="C10518" s="2" t="str">
        <f>"15729206"</f>
        <v>15729206</v>
      </c>
      <c r="D10518" s="2">
        <v>0.2</v>
      </c>
      <c r="E10518" s="2">
        <v>14</v>
      </c>
      <c r="F10518" s="2" t="s">
        <v>6</v>
      </c>
    </row>
    <row r="10519" spans="1:6" ht="25.5">
      <c r="A10519" s="2">
        <v>10516</v>
      </c>
      <c r="B10519" s="2" t="s">
        <v>10593</v>
      </c>
      <c r="C10519" s="2" t="str">
        <f>"03770427"</f>
        <v>03770427</v>
      </c>
      <c r="D10519" s="2">
        <v>0.94099999999999995</v>
      </c>
      <c r="E10519" s="2">
        <v>60</v>
      </c>
      <c r="F10519" s="2" t="s">
        <v>75</v>
      </c>
    </row>
    <row r="10520" spans="1:6" ht="25.5">
      <c r="A10520" s="2">
        <v>10517</v>
      </c>
      <c r="B10520" s="2" t="s">
        <v>10594</v>
      </c>
      <c r="C10520" s="2" t="str">
        <f>"15372715"</f>
        <v>15372715</v>
      </c>
      <c r="D10520" s="2">
        <v>1.8280000000000001</v>
      </c>
      <c r="E10520" s="2">
        <v>46</v>
      </c>
      <c r="F10520" s="2" t="s">
        <v>6</v>
      </c>
    </row>
    <row r="10521" spans="1:6" ht="25.5">
      <c r="A10521" s="2">
        <v>10518</v>
      </c>
      <c r="B10521" s="2" t="s">
        <v>10595</v>
      </c>
      <c r="C10521" s="2" t="str">
        <f>"15551423"</f>
        <v>15551423</v>
      </c>
      <c r="D10521" s="2">
        <v>0.60599999999999998</v>
      </c>
      <c r="E10521" s="2">
        <v>17</v>
      </c>
      <c r="F10521" s="2" t="s">
        <v>6</v>
      </c>
    </row>
    <row r="10522" spans="1:6" ht="25.5">
      <c r="A10522" s="2">
        <v>10519</v>
      </c>
      <c r="B10522" s="2" t="s">
        <v>10596</v>
      </c>
      <c r="C10522" s="2" t="str">
        <f>"15461963"</f>
        <v>15461963</v>
      </c>
      <c r="D10522" s="2">
        <v>0.34</v>
      </c>
      <c r="E10522" s="2">
        <v>23</v>
      </c>
      <c r="F10522" s="2" t="s">
        <v>6</v>
      </c>
    </row>
    <row r="10523" spans="1:6" ht="25.5">
      <c r="A10523" s="2">
        <v>10520</v>
      </c>
      <c r="B10523" s="2" t="s">
        <v>10597</v>
      </c>
      <c r="C10523" s="2" t="str">
        <f>"10665277"</f>
        <v>10665277</v>
      </c>
      <c r="D10523" s="2">
        <v>1.056</v>
      </c>
      <c r="E10523" s="2">
        <v>69</v>
      </c>
      <c r="F10523" s="2" t="s">
        <v>6</v>
      </c>
    </row>
    <row r="10524" spans="1:6" ht="25.5">
      <c r="A10524" s="2">
        <v>10521</v>
      </c>
      <c r="B10524" s="2" t="s">
        <v>10598</v>
      </c>
      <c r="C10524" s="2" t="str">
        <f>"1096987X"</f>
        <v>1096987X</v>
      </c>
      <c r="D10524" s="2">
        <v>1.613</v>
      </c>
      <c r="E10524" s="2">
        <v>122</v>
      </c>
      <c r="F10524" s="2" t="s">
        <v>6</v>
      </c>
    </row>
    <row r="10525" spans="1:6" ht="25.5">
      <c r="A10525" s="2">
        <v>10522</v>
      </c>
      <c r="B10525" s="2" t="s">
        <v>10599</v>
      </c>
      <c r="C10525" s="2" t="str">
        <f>"15698025"</f>
        <v>15698025</v>
      </c>
      <c r="D10525" s="2">
        <v>0.37</v>
      </c>
      <c r="E10525" s="2">
        <v>14</v>
      </c>
      <c r="F10525" s="2" t="s">
        <v>75</v>
      </c>
    </row>
    <row r="10526" spans="1:6" ht="25.5">
      <c r="A10526" s="2">
        <v>10523</v>
      </c>
      <c r="B10526" s="2" t="s">
        <v>10600</v>
      </c>
      <c r="C10526" s="2" t="str">
        <f>"15539105"</f>
        <v>15539105</v>
      </c>
      <c r="D10526" s="2">
        <v>0.254</v>
      </c>
      <c r="E10526" s="2">
        <v>9</v>
      </c>
      <c r="F10526" s="2" t="s">
        <v>6</v>
      </c>
    </row>
    <row r="10527" spans="1:6" ht="25.5">
      <c r="A10527" s="2">
        <v>10524</v>
      </c>
      <c r="B10527" s="2" t="s">
        <v>10601</v>
      </c>
      <c r="C10527" s="2" t="str">
        <f>"02549409"</f>
        <v>02549409</v>
      </c>
      <c r="D10527" s="2">
        <v>0.88100000000000001</v>
      </c>
      <c r="E10527" s="2">
        <v>17</v>
      </c>
      <c r="F10527" s="2" t="s">
        <v>46</v>
      </c>
    </row>
    <row r="10528" spans="1:6" ht="25.5">
      <c r="A10528" s="2">
        <v>10525</v>
      </c>
      <c r="B10528" s="2" t="s">
        <v>10602</v>
      </c>
      <c r="C10528" s="2" t="str">
        <f>"14727978"</f>
        <v>14727978</v>
      </c>
      <c r="D10528" s="2">
        <v>0.13900000000000001</v>
      </c>
      <c r="E10528" s="2">
        <v>5</v>
      </c>
      <c r="F10528" s="2" t="s">
        <v>75</v>
      </c>
    </row>
    <row r="10529" spans="1:6" ht="25.5">
      <c r="A10529" s="2">
        <v>10526</v>
      </c>
      <c r="B10529" s="2" t="s">
        <v>10603</v>
      </c>
      <c r="C10529" s="2" t="str">
        <f>"1757482X"</f>
        <v>1757482X</v>
      </c>
      <c r="D10529" s="2">
        <v>0.60099999999999998</v>
      </c>
      <c r="E10529" s="2">
        <v>5</v>
      </c>
      <c r="F10529" s="2" t="s">
        <v>16</v>
      </c>
    </row>
    <row r="10530" spans="1:6" ht="25.5">
      <c r="A10530" s="2">
        <v>10527</v>
      </c>
      <c r="B10530" s="2" t="s">
        <v>10604</v>
      </c>
      <c r="C10530" s="2" t="str">
        <f>"15736873"</f>
        <v>15736873</v>
      </c>
      <c r="D10530" s="2">
        <v>1.02</v>
      </c>
      <c r="E10530" s="2">
        <v>50</v>
      </c>
      <c r="F10530" s="2" t="s">
        <v>75</v>
      </c>
    </row>
    <row r="10531" spans="1:6" ht="25.5">
      <c r="A10531" s="2">
        <v>10528</v>
      </c>
      <c r="B10531" s="2" t="s">
        <v>10605</v>
      </c>
      <c r="C10531" s="2" t="str">
        <f>"10902716"</f>
        <v>10902716</v>
      </c>
      <c r="D10531" s="2">
        <v>1.921</v>
      </c>
      <c r="E10531" s="2">
        <v>132</v>
      </c>
      <c r="F10531" s="2" t="s">
        <v>6</v>
      </c>
    </row>
    <row r="10532" spans="1:6" ht="25.5">
      <c r="A10532" s="2">
        <v>10529</v>
      </c>
      <c r="B10532" s="2" t="s">
        <v>10606</v>
      </c>
      <c r="C10532" s="2" t="str">
        <f>"18777503"</f>
        <v>18777503</v>
      </c>
      <c r="D10532" s="2">
        <v>0.63400000000000001</v>
      </c>
      <c r="E10532" s="2">
        <v>8</v>
      </c>
      <c r="F10532" s="2" t="s">
        <v>75</v>
      </c>
    </row>
    <row r="10533" spans="1:6" ht="25.5">
      <c r="A10533" s="2">
        <v>10530</v>
      </c>
      <c r="B10533" s="2" t="s">
        <v>10607</v>
      </c>
      <c r="C10533" s="2" t="str">
        <f>"15734951"</f>
        <v>15734951</v>
      </c>
      <c r="D10533" s="2">
        <v>0.877</v>
      </c>
      <c r="E10533" s="2">
        <v>67</v>
      </c>
      <c r="F10533" s="2" t="s">
        <v>75</v>
      </c>
    </row>
    <row r="10534" spans="1:6" ht="25.5">
      <c r="A10534" s="2">
        <v>10531</v>
      </c>
      <c r="B10534" s="2" t="s">
        <v>10608</v>
      </c>
      <c r="C10534" s="2" t="str">
        <f>"10902724"</f>
        <v>10902724</v>
      </c>
      <c r="D10534" s="2">
        <v>2.4129999999999998</v>
      </c>
      <c r="E10534" s="2">
        <v>52</v>
      </c>
      <c r="F10534" s="2" t="s">
        <v>6</v>
      </c>
    </row>
    <row r="10535" spans="1:6" ht="25.5">
      <c r="A10535" s="2">
        <v>10532</v>
      </c>
      <c r="B10535" s="2" t="s">
        <v>10609</v>
      </c>
      <c r="C10535" s="2" t="str">
        <f>"10642307"</f>
        <v>10642307</v>
      </c>
      <c r="D10535" s="2">
        <v>0.255</v>
      </c>
      <c r="E10535" s="2">
        <v>10</v>
      </c>
      <c r="F10535" s="2" t="s">
        <v>129</v>
      </c>
    </row>
    <row r="10536" spans="1:6" ht="25.5">
      <c r="A10536" s="2">
        <v>10533</v>
      </c>
      <c r="B10536" s="2" t="s">
        <v>10610</v>
      </c>
      <c r="C10536" s="2" t="str">
        <f>"13652729"</f>
        <v>13652729</v>
      </c>
      <c r="D10536" s="2">
        <v>2.3109999999999999</v>
      </c>
      <c r="E10536" s="2">
        <v>42</v>
      </c>
      <c r="F10536" s="2" t="s">
        <v>16</v>
      </c>
    </row>
    <row r="10537" spans="1:6" ht="25.5">
      <c r="A10537" s="2">
        <v>10534</v>
      </c>
      <c r="B10537" s="2" t="s">
        <v>10611</v>
      </c>
      <c r="C10537" s="2" t="str">
        <f>"15323145"</f>
        <v>15323145</v>
      </c>
      <c r="D10537" s="2">
        <v>0.77600000000000002</v>
      </c>
      <c r="E10537" s="2">
        <v>69</v>
      </c>
      <c r="F10537" s="2" t="s">
        <v>6</v>
      </c>
    </row>
    <row r="10538" spans="1:6" ht="25.5">
      <c r="A10538" s="2">
        <v>10535</v>
      </c>
      <c r="B10538" s="2" t="s">
        <v>10612</v>
      </c>
      <c r="C10538" s="2" t="str">
        <f>"08874417"</f>
        <v>08874417</v>
      </c>
      <c r="D10538" s="2">
        <v>0.65300000000000002</v>
      </c>
      <c r="E10538" s="2">
        <v>31</v>
      </c>
      <c r="F10538" s="2" t="s">
        <v>6</v>
      </c>
    </row>
    <row r="10539" spans="1:6" ht="25.5">
      <c r="A10539" s="2">
        <v>10536</v>
      </c>
      <c r="B10539" s="2" t="s">
        <v>10613</v>
      </c>
      <c r="C10539" s="2" t="str">
        <f>"10836101"</f>
        <v>10836101</v>
      </c>
      <c r="D10539" s="2">
        <v>2.1059999999999999</v>
      </c>
      <c r="E10539" s="2">
        <v>53</v>
      </c>
      <c r="F10539" s="2" t="s">
        <v>16</v>
      </c>
    </row>
    <row r="10540" spans="1:6" ht="25.5">
      <c r="A10540" s="2">
        <v>10537</v>
      </c>
      <c r="B10540" s="2" t="s">
        <v>10614</v>
      </c>
      <c r="C10540" s="2" t="str">
        <f>"2090715X"</f>
        <v>2090715X</v>
      </c>
      <c r="D10540" s="2">
        <v>0.10299999999999999</v>
      </c>
      <c r="E10540" s="2">
        <v>1</v>
      </c>
      <c r="F10540" s="2" t="s">
        <v>523</v>
      </c>
    </row>
    <row r="10541" spans="1:6" ht="25.5">
      <c r="A10541" s="2">
        <v>10538</v>
      </c>
      <c r="B10541" s="2" t="s">
        <v>10615</v>
      </c>
      <c r="C10541" s="2" t="str">
        <f>"1796203X"</f>
        <v>1796203X</v>
      </c>
      <c r="D10541" s="2">
        <v>0.217</v>
      </c>
      <c r="E10541" s="2">
        <v>14</v>
      </c>
      <c r="F10541" s="2" t="s">
        <v>751</v>
      </c>
    </row>
    <row r="10542" spans="1:6" ht="25.5">
      <c r="A10542" s="2">
        <v>10539</v>
      </c>
      <c r="B10542" s="2" t="s">
        <v>10616</v>
      </c>
      <c r="C10542" s="2" t="str">
        <f>"15493636"</f>
        <v>15493636</v>
      </c>
      <c r="D10542" s="2">
        <v>0.29599999999999999</v>
      </c>
      <c r="E10542" s="2">
        <v>12</v>
      </c>
      <c r="F10542" s="2" t="s">
        <v>6</v>
      </c>
    </row>
    <row r="10543" spans="1:6" ht="25.5">
      <c r="A10543" s="2">
        <v>10540</v>
      </c>
      <c r="B10543" s="2" t="s">
        <v>10617</v>
      </c>
      <c r="C10543" s="2" t="str">
        <f>"10009000"</f>
        <v>10009000</v>
      </c>
      <c r="D10543" s="2">
        <v>0.437</v>
      </c>
      <c r="E10543" s="2">
        <v>24</v>
      </c>
      <c r="F10543" s="2" t="s">
        <v>6</v>
      </c>
    </row>
    <row r="10544" spans="1:6" ht="25.5">
      <c r="A10544" s="2">
        <v>10541</v>
      </c>
      <c r="B10544" s="2" t="s">
        <v>10618</v>
      </c>
      <c r="C10544" s="2" t="str">
        <f>"0926227X"</f>
        <v>0926227X</v>
      </c>
      <c r="D10544" s="2">
        <v>1.389</v>
      </c>
      <c r="E10544" s="2">
        <v>38</v>
      </c>
      <c r="F10544" s="2" t="s">
        <v>75</v>
      </c>
    </row>
    <row r="10545" spans="1:6" ht="25.5">
      <c r="A10545" s="2">
        <v>10542</v>
      </c>
      <c r="B10545" s="2" t="s">
        <v>10619</v>
      </c>
      <c r="C10545" s="2" t="str">
        <f>"19911599"</f>
        <v>19911599</v>
      </c>
      <c r="D10545" s="2">
        <v>0</v>
      </c>
      <c r="E10545" s="2">
        <v>0</v>
      </c>
      <c r="F10545" s="2" t="s">
        <v>165</v>
      </c>
    </row>
    <row r="10546" spans="1:6" ht="25.5">
      <c r="A10546" s="2">
        <v>10543</v>
      </c>
      <c r="B10546" s="2" t="s">
        <v>10620</v>
      </c>
      <c r="C10546" s="2" t="str">
        <f>"15564673"</f>
        <v>15564673</v>
      </c>
      <c r="D10546" s="2">
        <v>1.1859999999999999</v>
      </c>
      <c r="E10546" s="2">
        <v>6</v>
      </c>
      <c r="F10546" s="2" t="s">
        <v>6</v>
      </c>
    </row>
    <row r="10547" spans="1:6" ht="25.5">
      <c r="A10547" s="2">
        <v>10544</v>
      </c>
      <c r="B10547" s="2" t="s">
        <v>10621</v>
      </c>
      <c r="C10547" s="2" t="str">
        <f>"15309827"</f>
        <v>15309827</v>
      </c>
      <c r="D10547" s="2">
        <v>0.53700000000000003</v>
      </c>
      <c r="E10547" s="2">
        <v>26</v>
      </c>
      <c r="F10547" s="2" t="s">
        <v>6</v>
      </c>
    </row>
    <row r="10548" spans="1:6" ht="25.5">
      <c r="A10548" s="2">
        <v>10545</v>
      </c>
      <c r="B10548" s="2" t="s">
        <v>10622</v>
      </c>
      <c r="C10548" s="2" t="str">
        <f>"18463908"</f>
        <v>18463908</v>
      </c>
      <c r="D10548" s="2">
        <v>0.13900000000000001</v>
      </c>
      <c r="E10548" s="2">
        <v>2</v>
      </c>
      <c r="F10548" s="2" t="s">
        <v>149</v>
      </c>
    </row>
    <row r="10549" spans="1:6" ht="25.5">
      <c r="A10549" s="2">
        <v>10546</v>
      </c>
      <c r="B10549" s="2" t="s">
        <v>10623</v>
      </c>
      <c r="C10549" s="2" t="str">
        <f>"08873801"</f>
        <v>08873801</v>
      </c>
      <c r="D10549" s="2">
        <v>0.80200000000000005</v>
      </c>
      <c r="E10549" s="2">
        <v>38</v>
      </c>
      <c r="F10549" s="2" t="s">
        <v>6</v>
      </c>
    </row>
    <row r="10550" spans="1:6" ht="25.5">
      <c r="A10550" s="2">
        <v>10547</v>
      </c>
      <c r="B10550" s="2" t="s">
        <v>10624</v>
      </c>
      <c r="C10550" s="2" t="str">
        <f>"10421726"</f>
        <v>10421726</v>
      </c>
      <c r="D10550" s="2">
        <v>0.78300000000000003</v>
      </c>
      <c r="E10550" s="2">
        <v>13</v>
      </c>
      <c r="F10550" s="2" t="s">
        <v>6</v>
      </c>
    </row>
    <row r="10551" spans="1:6" ht="25.5">
      <c r="A10551" s="2">
        <v>10548</v>
      </c>
      <c r="B10551" s="2" t="s">
        <v>10625</v>
      </c>
      <c r="C10551" s="2" t="str">
        <f>"00220019"</f>
        <v>00220019</v>
      </c>
      <c r="D10551" s="2">
        <v>0.25800000000000001</v>
      </c>
      <c r="E10551" s="2">
        <v>12</v>
      </c>
      <c r="F10551" s="2" t="s">
        <v>16</v>
      </c>
    </row>
    <row r="10552" spans="1:6" ht="25.5">
      <c r="A10552" s="2">
        <v>10549</v>
      </c>
      <c r="B10552" s="2" t="s">
        <v>10626</v>
      </c>
      <c r="C10552" s="2" t="str">
        <f>"14677954"</f>
        <v>14677954</v>
      </c>
      <c r="D10552" s="2">
        <v>0.78500000000000003</v>
      </c>
      <c r="E10552" s="2">
        <v>6</v>
      </c>
      <c r="F10552" s="2" t="s">
        <v>16</v>
      </c>
    </row>
    <row r="10553" spans="1:6" ht="25.5">
      <c r="A10553" s="2">
        <v>10550</v>
      </c>
      <c r="B10553" s="2" t="s">
        <v>10627</v>
      </c>
      <c r="C10553" s="2" t="str">
        <f>"15740781"</f>
        <v>15740781</v>
      </c>
      <c r="D10553" s="2">
        <v>0.13700000000000001</v>
      </c>
      <c r="E10553" s="2">
        <v>4</v>
      </c>
      <c r="F10553" s="2" t="s">
        <v>16</v>
      </c>
    </row>
    <row r="10554" spans="1:6" ht="25.5">
      <c r="A10554" s="2">
        <v>10551</v>
      </c>
      <c r="B10554" s="2" t="s">
        <v>10628</v>
      </c>
      <c r="C10554" s="2" t="str">
        <f>"00220027"</f>
        <v>00220027</v>
      </c>
      <c r="D10554" s="2">
        <v>2.802</v>
      </c>
      <c r="E10554" s="2">
        <v>54</v>
      </c>
      <c r="F10554" s="2" t="s">
        <v>6</v>
      </c>
    </row>
    <row r="10555" spans="1:6" ht="25.5">
      <c r="A10555" s="2">
        <v>10552</v>
      </c>
      <c r="B10555" s="2" t="s">
        <v>10629</v>
      </c>
      <c r="C10555" s="2" t="str">
        <f>"13558250"</f>
        <v>13558250</v>
      </c>
      <c r="D10555" s="2">
        <v>0.36299999999999999</v>
      </c>
      <c r="E10555" s="2">
        <v>37</v>
      </c>
      <c r="F10555" s="2" t="s">
        <v>16</v>
      </c>
    </row>
    <row r="10556" spans="1:6" ht="25.5">
      <c r="A10556" s="2">
        <v>10553</v>
      </c>
      <c r="B10556" s="2" t="s">
        <v>10630</v>
      </c>
      <c r="C10556" s="2" t="str">
        <f>"09745203"</f>
        <v>09745203</v>
      </c>
      <c r="D10556" s="2">
        <v>0.14799999999999999</v>
      </c>
      <c r="E10556" s="2">
        <v>2</v>
      </c>
      <c r="F10556" s="2" t="s">
        <v>488</v>
      </c>
    </row>
    <row r="10557" spans="1:6" ht="25.5">
      <c r="A10557" s="2">
        <v>10554</v>
      </c>
      <c r="B10557" s="2" t="s">
        <v>10631</v>
      </c>
      <c r="C10557" s="2" t="str">
        <f>"0143974X"</f>
        <v>0143974X</v>
      </c>
      <c r="D10557" s="2">
        <v>1.7090000000000001</v>
      </c>
      <c r="E10557" s="2">
        <v>40</v>
      </c>
      <c r="F10557" s="2" t="s">
        <v>75</v>
      </c>
    </row>
    <row r="10558" spans="1:6" ht="25.5">
      <c r="A10558" s="2">
        <v>10555</v>
      </c>
      <c r="B10558" s="2" t="s">
        <v>10632</v>
      </c>
      <c r="C10558" s="2" t="str">
        <f>"07339364"</f>
        <v>07339364</v>
      </c>
      <c r="D10558" s="2">
        <v>0.92700000000000005</v>
      </c>
      <c r="E10558" s="2">
        <v>50</v>
      </c>
      <c r="F10558" s="2" t="s">
        <v>6</v>
      </c>
    </row>
    <row r="10559" spans="1:6" ht="25.5">
      <c r="A10559" s="2">
        <v>10556</v>
      </c>
      <c r="B10559" s="2" t="s">
        <v>10633</v>
      </c>
      <c r="C10559" s="2" t="str">
        <f>"21804222"</f>
        <v>21804222</v>
      </c>
      <c r="D10559" s="2">
        <v>0.17799999999999999</v>
      </c>
      <c r="E10559" s="2">
        <v>1</v>
      </c>
      <c r="F10559" s="2" t="s">
        <v>37</v>
      </c>
    </row>
    <row r="10560" spans="1:6" ht="25.5">
      <c r="A10560" s="2">
        <v>10557</v>
      </c>
      <c r="B10560" s="2" t="s">
        <v>10634</v>
      </c>
      <c r="C10560" s="2" t="str">
        <f>"15210650"</f>
        <v>15210650</v>
      </c>
      <c r="D10560" s="2">
        <v>0.47399999999999998</v>
      </c>
      <c r="E10560" s="2">
        <v>16</v>
      </c>
      <c r="F10560" s="2" t="s">
        <v>16</v>
      </c>
    </row>
    <row r="10561" spans="1:6" ht="25.5">
      <c r="A10561" s="2">
        <v>10558</v>
      </c>
      <c r="B10561" s="2" t="s">
        <v>10635</v>
      </c>
      <c r="C10561" s="2" t="str">
        <f>"0022006X"</f>
        <v>0022006X</v>
      </c>
      <c r="D10561" s="2">
        <v>2.7250000000000001</v>
      </c>
      <c r="E10561" s="2">
        <v>151</v>
      </c>
      <c r="F10561" s="2" t="s">
        <v>6</v>
      </c>
    </row>
    <row r="10562" spans="1:6" ht="25.5">
      <c r="A10562" s="2">
        <v>10559</v>
      </c>
      <c r="B10562" s="2" t="s">
        <v>10636</v>
      </c>
      <c r="C10562" s="2" t="str">
        <f>"00220078"</f>
        <v>00220078</v>
      </c>
      <c r="D10562" s="2">
        <v>0.64900000000000002</v>
      </c>
      <c r="E10562" s="2">
        <v>31</v>
      </c>
      <c r="F10562" s="2" t="s">
        <v>16</v>
      </c>
    </row>
    <row r="10563" spans="1:6" ht="25.5">
      <c r="A10563" s="2">
        <v>10560</v>
      </c>
      <c r="B10563" s="2" t="s">
        <v>10637</v>
      </c>
      <c r="C10563" s="2" t="str">
        <f>"14720817"</f>
        <v>14720817</v>
      </c>
      <c r="D10563" s="2">
        <v>0.47899999999999998</v>
      </c>
      <c r="E10563" s="2">
        <v>6</v>
      </c>
      <c r="F10563" s="2" t="s">
        <v>16</v>
      </c>
    </row>
    <row r="10564" spans="1:6" ht="25.5">
      <c r="A10564" s="2">
        <v>10561</v>
      </c>
      <c r="B10564" s="2" t="s">
        <v>10638</v>
      </c>
      <c r="C10564" s="2" t="str">
        <f>"17412900"</f>
        <v>17412900</v>
      </c>
      <c r="D10564" s="2">
        <v>1.7909999999999999</v>
      </c>
      <c r="E10564" s="2">
        <v>22</v>
      </c>
      <c r="F10564" s="2" t="s">
        <v>16</v>
      </c>
    </row>
    <row r="10565" spans="1:6" ht="25.5">
      <c r="A10565" s="2">
        <v>10562</v>
      </c>
      <c r="B10565" s="2" t="s">
        <v>10639</v>
      </c>
      <c r="C10565" s="2" t="str">
        <f>"15398285"</f>
        <v>15398285</v>
      </c>
      <c r="D10565" s="2">
        <v>0.2</v>
      </c>
      <c r="E10565" s="2">
        <v>5</v>
      </c>
      <c r="F10565" s="2" t="s">
        <v>6</v>
      </c>
    </row>
    <row r="10566" spans="1:6" ht="25.5">
      <c r="A10566" s="2">
        <v>10563</v>
      </c>
      <c r="B10566" s="2" t="s">
        <v>10640</v>
      </c>
      <c r="C10566" s="2" t="str">
        <f>"07363761"</f>
        <v>07363761</v>
      </c>
      <c r="D10566" s="2">
        <v>0.56200000000000006</v>
      </c>
      <c r="E10566" s="2">
        <v>41</v>
      </c>
      <c r="F10566" s="2" t="s">
        <v>16</v>
      </c>
    </row>
    <row r="10567" spans="1:6" ht="25.5">
      <c r="A10567" s="2">
        <v>10564</v>
      </c>
      <c r="B10567" s="2" t="s">
        <v>10641</v>
      </c>
      <c r="C10567" s="2" t="str">
        <f>"01687034"</f>
        <v>01687034</v>
      </c>
      <c r="D10567" s="2">
        <v>0.42699999999999999</v>
      </c>
      <c r="E10567" s="2">
        <v>20</v>
      </c>
      <c r="F10567" s="2" t="s">
        <v>75</v>
      </c>
    </row>
    <row r="10568" spans="1:6" ht="25.5">
      <c r="A10568" s="2">
        <v>10565</v>
      </c>
      <c r="B10568" s="2" t="s">
        <v>10642</v>
      </c>
      <c r="C10568" s="2" t="str">
        <f>"15327663"</f>
        <v>15327663</v>
      </c>
      <c r="D10568" s="2">
        <v>1.4079999999999999</v>
      </c>
      <c r="E10568" s="2">
        <v>51</v>
      </c>
      <c r="F10568" s="2" t="s">
        <v>6</v>
      </c>
    </row>
    <row r="10569" spans="1:6" ht="25.5">
      <c r="A10569" s="2">
        <v>10566</v>
      </c>
      <c r="B10569" s="2" t="s">
        <v>10643</v>
      </c>
      <c r="C10569" s="2" t="str">
        <f>"15375277"</f>
        <v>15375277</v>
      </c>
      <c r="D10569" s="2">
        <v>3.923</v>
      </c>
      <c r="E10569" s="2">
        <v>88</v>
      </c>
      <c r="F10569" s="2" t="s">
        <v>6</v>
      </c>
    </row>
    <row r="10570" spans="1:6" ht="25.5">
      <c r="A10570" s="2">
        <v>10567</v>
      </c>
      <c r="B10570" s="2" t="s">
        <v>10644</v>
      </c>
      <c r="C10570" s="2" t="str">
        <f>"18736009"</f>
        <v>18736009</v>
      </c>
      <c r="D10570" s="2">
        <v>1.365</v>
      </c>
      <c r="E10570" s="2">
        <v>60</v>
      </c>
      <c r="F10570" s="2" t="s">
        <v>75</v>
      </c>
    </row>
    <row r="10571" spans="1:6" ht="25.5">
      <c r="A10571" s="2">
        <v>10568</v>
      </c>
      <c r="B10571" s="2" t="s">
        <v>10645</v>
      </c>
      <c r="C10571" s="2" t="str">
        <f>"18155669"</f>
        <v>18155669</v>
      </c>
      <c r="D10571" s="2">
        <v>0.38100000000000001</v>
      </c>
      <c r="E10571" s="2">
        <v>3</v>
      </c>
      <c r="F10571" s="2" t="s">
        <v>16</v>
      </c>
    </row>
    <row r="10572" spans="1:6" ht="25.5">
      <c r="A10572" s="2">
        <v>10569</v>
      </c>
      <c r="B10572" s="2" t="s">
        <v>10646</v>
      </c>
      <c r="C10572" s="2" t="str">
        <f>"14699397"</f>
        <v>14699397</v>
      </c>
      <c r="D10572" s="2">
        <v>0.434</v>
      </c>
      <c r="E10572" s="2">
        <v>12</v>
      </c>
      <c r="F10572" s="2" t="s">
        <v>16</v>
      </c>
    </row>
    <row r="10573" spans="1:6" ht="25.5">
      <c r="A10573" s="2">
        <v>10570</v>
      </c>
      <c r="B10573" s="2" t="s">
        <v>10647</v>
      </c>
      <c r="C10573" s="2" t="str">
        <f>"00472336"</f>
        <v>00472336</v>
      </c>
      <c r="D10573" s="2">
        <v>0.441</v>
      </c>
      <c r="E10573" s="2">
        <v>14</v>
      </c>
      <c r="F10573" s="2" t="s">
        <v>16</v>
      </c>
    </row>
    <row r="10574" spans="1:6" ht="25.5">
      <c r="A10574" s="2">
        <v>10571</v>
      </c>
      <c r="B10574" s="2" t="s">
        <v>10648</v>
      </c>
      <c r="C10574" s="2" t="str">
        <f>"1689832X"</f>
        <v>1689832X</v>
      </c>
      <c r="D10574" s="2">
        <v>0.13400000000000001</v>
      </c>
      <c r="E10574" s="2">
        <v>3</v>
      </c>
      <c r="F10574" s="2" t="s">
        <v>169</v>
      </c>
    </row>
    <row r="10575" spans="1:6" ht="25.5">
      <c r="A10575" s="2">
        <v>10572</v>
      </c>
      <c r="B10575" s="2" t="s">
        <v>10649</v>
      </c>
      <c r="C10575" s="2" t="str">
        <f>"15525406"</f>
        <v>15525406</v>
      </c>
      <c r="D10575" s="2">
        <v>0.57999999999999996</v>
      </c>
      <c r="E10575" s="2">
        <v>17</v>
      </c>
      <c r="F10575" s="2" t="s">
        <v>6</v>
      </c>
    </row>
    <row r="10576" spans="1:6" ht="25.5">
      <c r="A10576" s="2">
        <v>10573</v>
      </c>
      <c r="B10576" s="2" t="s">
        <v>10650</v>
      </c>
      <c r="C10576" s="2" t="str">
        <f>"15263711"</f>
        <v>15263711</v>
      </c>
      <c r="D10576" s="2">
        <v>0.17100000000000001</v>
      </c>
      <c r="E10576" s="2">
        <v>22</v>
      </c>
      <c r="F10576" s="2" t="s">
        <v>6</v>
      </c>
    </row>
    <row r="10577" spans="1:6" ht="25.5">
      <c r="A10577" s="2">
        <v>10574</v>
      </c>
      <c r="B10577" s="2" t="s">
        <v>10651</v>
      </c>
      <c r="C10577" s="2" t="str">
        <f>"08912416"</f>
        <v>08912416</v>
      </c>
      <c r="D10577" s="2">
        <v>0.60099999999999998</v>
      </c>
      <c r="E10577" s="2">
        <v>23</v>
      </c>
      <c r="F10577" s="2" t="s">
        <v>6</v>
      </c>
    </row>
    <row r="10578" spans="1:6" ht="25.5">
      <c r="A10578" s="2">
        <v>10575</v>
      </c>
      <c r="B10578" s="2" t="s">
        <v>10652</v>
      </c>
      <c r="C10578" s="2" t="str">
        <f>"1815347X"</f>
        <v>1815347X</v>
      </c>
      <c r="D10578" s="2">
        <v>0</v>
      </c>
      <c r="E10578" s="2">
        <v>0</v>
      </c>
      <c r="F10578" s="2" t="s">
        <v>16</v>
      </c>
    </row>
    <row r="10579" spans="1:6" ht="25.5">
      <c r="A10579" s="2">
        <v>10576</v>
      </c>
      <c r="B10579" s="2" t="s">
        <v>10653</v>
      </c>
      <c r="C10579" s="2" t="str">
        <f>"14782804"</f>
        <v>14782804</v>
      </c>
      <c r="D10579" s="2">
        <v>0.2</v>
      </c>
      <c r="E10579" s="2">
        <v>4</v>
      </c>
      <c r="F10579" s="2" t="s">
        <v>16</v>
      </c>
    </row>
    <row r="10580" spans="1:6" ht="25.5">
      <c r="A10580" s="2">
        <v>10577</v>
      </c>
      <c r="B10580" s="2" t="s">
        <v>10654</v>
      </c>
      <c r="C10580" s="2" t="str">
        <f>"08821046"</f>
        <v>08821046</v>
      </c>
      <c r="D10580" s="2">
        <v>0.114</v>
      </c>
      <c r="E10580" s="2">
        <v>9</v>
      </c>
      <c r="F10580" s="2" t="s">
        <v>6</v>
      </c>
    </row>
    <row r="10581" spans="1:6" ht="25.5">
      <c r="A10581" s="2">
        <v>10578</v>
      </c>
      <c r="B10581" s="2" t="s">
        <v>10655</v>
      </c>
      <c r="C10581" s="2" t="str">
        <f>"00220094"</f>
        <v>00220094</v>
      </c>
      <c r="D10581" s="2">
        <v>0.151</v>
      </c>
      <c r="E10581" s="2">
        <v>12</v>
      </c>
      <c r="F10581" s="2" t="s">
        <v>16</v>
      </c>
    </row>
    <row r="10582" spans="1:6" ht="25.5">
      <c r="A10582" s="2">
        <v>10579</v>
      </c>
      <c r="B10582" s="2" t="s">
        <v>10656</v>
      </c>
      <c r="C10582" s="2" t="str">
        <f>"15733564"</f>
        <v>15733564</v>
      </c>
      <c r="D10582" s="2">
        <v>0.309</v>
      </c>
      <c r="E10582" s="2">
        <v>15</v>
      </c>
      <c r="F10582" s="2" t="s">
        <v>6</v>
      </c>
    </row>
    <row r="10583" spans="1:6" ht="25.5">
      <c r="A10583" s="2">
        <v>10580</v>
      </c>
      <c r="B10583" s="2" t="s">
        <v>10657</v>
      </c>
      <c r="C10583" s="2" t="str">
        <f>"13537903"</f>
        <v>13537903</v>
      </c>
      <c r="D10583" s="2">
        <v>0.157</v>
      </c>
      <c r="E10583" s="2">
        <v>13</v>
      </c>
      <c r="F10583" s="2" t="s">
        <v>16</v>
      </c>
    </row>
    <row r="10584" spans="1:6" ht="25.5">
      <c r="A10584" s="2">
        <v>10581</v>
      </c>
      <c r="B10584" s="2" t="s">
        <v>10658</v>
      </c>
      <c r="C10584" s="2" t="str">
        <f>"14699400"</f>
        <v>14699400</v>
      </c>
      <c r="D10584" s="2">
        <v>0.77800000000000002</v>
      </c>
      <c r="E10584" s="2">
        <v>15</v>
      </c>
      <c r="F10584" s="2" t="s">
        <v>16</v>
      </c>
    </row>
    <row r="10585" spans="1:6" ht="25.5">
      <c r="A10585" s="2">
        <v>10582</v>
      </c>
      <c r="B10585" s="2" t="s">
        <v>10659</v>
      </c>
      <c r="C10585" s="2" t="str">
        <f>"22121447"</f>
        <v>22121447</v>
      </c>
      <c r="D10585" s="2">
        <v>0</v>
      </c>
      <c r="E10585" s="2">
        <v>1</v>
      </c>
      <c r="F10585" s="2" t="s">
        <v>75</v>
      </c>
    </row>
    <row r="10586" spans="1:6" ht="25.5">
      <c r="A10586" s="2">
        <v>10583</v>
      </c>
      <c r="B10586" s="2" t="s">
        <v>10660</v>
      </c>
      <c r="C10586" s="2" t="str">
        <f>"14685973"</f>
        <v>14685973</v>
      </c>
      <c r="D10586" s="2">
        <v>0.505</v>
      </c>
      <c r="E10586" s="2">
        <v>24</v>
      </c>
      <c r="F10586" s="2" t="s">
        <v>16</v>
      </c>
    </row>
    <row r="10587" spans="1:6" ht="25.5">
      <c r="A10587" s="2">
        <v>10584</v>
      </c>
      <c r="B10587" s="2" t="s">
        <v>10661</v>
      </c>
      <c r="C10587" s="2" t="str">
        <f>"00220124"</f>
        <v>00220124</v>
      </c>
      <c r="D10587" s="2">
        <v>0.60099999999999998</v>
      </c>
      <c r="E10587" s="2">
        <v>23</v>
      </c>
      <c r="F10587" s="2" t="s">
        <v>6</v>
      </c>
    </row>
    <row r="10588" spans="1:6" ht="25.5">
      <c r="A10588" s="2">
        <v>10585</v>
      </c>
      <c r="B10588" s="2" t="s">
        <v>10662</v>
      </c>
      <c r="C10588" s="2" t="str">
        <f>"08941912"</f>
        <v>08941912</v>
      </c>
      <c r="D10588" s="2">
        <v>0.83499999999999996</v>
      </c>
      <c r="E10588" s="2">
        <v>33</v>
      </c>
      <c r="F10588" s="2" t="s">
        <v>6</v>
      </c>
    </row>
    <row r="10589" spans="1:6" ht="25.5">
      <c r="A10589" s="2">
        <v>10586</v>
      </c>
      <c r="B10589" s="2" t="s">
        <v>10663</v>
      </c>
      <c r="C10589" s="2" t="str">
        <f>"01683659"</f>
        <v>01683659</v>
      </c>
      <c r="D10589" s="2">
        <v>2.0609999999999999</v>
      </c>
      <c r="E10589" s="2">
        <v>148</v>
      </c>
      <c r="F10589" s="2" t="s">
        <v>75</v>
      </c>
    </row>
    <row r="10590" spans="1:6" ht="25.5">
      <c r="A10590" s="2">
        <v>10587</v>
      </c>
      <c r="B10590" s="2" t="s">
        <v>10664</v>
      </c>
      <c r="C10590" s="2" t="str">
        <f>"16875257"</f>
        <v>16875257</v>
      </c>
      <c r="D10590" s="2">
        <v>0.14000000000000001</v>
      </c>
      <c r="E10590" s="2">
        <v>6</v>
      </c>
      <c r="F10590" s="2" t="s">
        <v>6</v>
      </c>
    </row>
    <row r="10591" spans="1:6" ht="25.5">
      <c r="A10591" s="2">
        <v>10588</v>
      </c>
      <c r="B10591" s="2" t="s">
        <v>10665</v>
      </c>
      <c r="C10591" s="2" t="str">
        <f>"16726340"</f>
        <v>16726340</v>
      </c>
      <c r="D10591" s="2">
        <v>0.28399999999999997</v>
      </c>
      <c r="E10591" s="2">
        <v>10</v>
      </c>
      <c r="F10591" s="2" t="s">
        <v>12</v>
      </c>
    </row>
    <row r="10592" spans="1:6" ht="25.5">
      <c r="A10592" s="2">
        <v>10589</v>
      </c>
      <c r="B10592" s="2" t="s">
        <v>10666</v>
      </c>
      <c r="C10592" s="2" t="str">
        <f>"15470156"</f>
        <v>15470156</v>
      </c>
      <c r="D10592" s="2">
        <v>0.47199999999999998</v>
      </c>
      <c r="E10592" s="2">
        <v>8</v>
      </c>
      <c r="F10592" s="2" t="s">
        <v>16</v>
      </c>
    </row>
    <row r="10593" spans="1:6" ht="25.5">
      <c r="A10593" s="2">
        <v>10590</v>
      </c>
      <c r="B10593" s="2" t="s">
        <v>10667</v>
      </c>
      <c r="C10593" s="2" t="str">
        <f>"19759320"</f>
        <v>19759320</v>
      </c>
      <c r="D10593" s="2">
        <v>0.54700000000000004</v>
      </c>
      <c r="E10593" s="2">
        <v>19</v>
      </c>
      <c r="F10593" s="2" t="s">
        <v>274</v>
      </c>
    </row>
    <row r="10594" spans="1:6" ht="25.5">
      <c r="A10594" s="2">
        <v>10591</v>
      </c>
      <c r="B10594" s="2" t="s">
        <v>10668</v>
      </c>
      <c r="C10594" s="2" t="str">
        <f>"09446532"</f>
        <v>09446532</v>
      </c>
      <c r="D10594" s="2">
        <v>1.1279999999999999</v>
      </c>
      <c r="E10594" s="2">
        <v>22</v>
      </c>
      <c r="F10594" s="2" t="s">
        <v>12</v>
      </c>
    </row>
    <row r="10595" spans="1:6" ht="25.5">
      <c r="A10595" s="2">
        <v>10592</v>
      </c>
      <c r="B10595" s="2" t="s">
        <v>10669</v>
      </c>
      <c r="C10595" s="2" t="str">
        <f>"00958972"</f>
        <v>00958972</v>
      </c>
      <c r="D10595" s="2">
        <v>0.40200000000000002</v>
      </c>
      <c r="E10595" s="2">
        <v>32</v>
      </c>
      <c r="F10595" s="2" t="s">
        <v>16</v>
      </c>
    </row>
    <row r="10596" spans="1:6" ht="25.5">
      <c r="A10596" s="2">
        <v>10593</v>
      </c>
      <c r="B10596" s="2" t="s">
        <v>10670</v>
      </c>
      <c r="C10596" s="2" t="str">
        <f>"10165584"</f>
        <v>10165584</v>
      </c>
      <c r="D10596" s="2">
        <v>0.10299999999999999</v>
      </c>
      <c r="E10596" s="2">
        <v>0</v>
      </c>
      <c r="F10596" s="2" t="s">
        <v>161</v>
      </c>
    </row>
    <row r="10597" spans="1:6" ht="25.5">
      <c r="A10597" s="2">
        <v>10594</v>
      </c>
      <c r="B10597" s="2" t="s">
        <v>10671</v>
      </c>
      <c r="C10597" s="2" t="str">
        <f>"09291199"</f>
        <v>09291199</v>
      </c>
      <c r="D10597" s="2">
        <v>1.393</v>
      </c>
      <c r="E10597" s="2">
        <v>41</v>
      </c>
      <c r="F10597" s="2" t="s">
        <v>75</v>
      </c>
    </row>
    <row r="10598" spans="1:6" ht="25.5">
      <c r="A10598" s="2">
        <v>10595</v>
      </c>
      <c r="B10598" s="2" t="s">
        <v>10672</v>
      </c>
      <c r="C10598" s="2" t="str">
        <f>"19405200"</f>
        <v>19405200</v>
      </c>
      <c r="D10598" s="2">
        <v>0.621</v>
      </c>
      <c r="E10598" s="2">
        <v>7</v>
      </c>
      <c r="F10598" s="2" t="s">
        <v>6</v>
      </c>
    </row>
    <row r="10599" spans="1:6" ht="25.5">
      <c r="A10599" s="2">
        <v>10596</v>
      </c>
      <c r="B10599" s="2" t="s">
        <v>10673</v>
      </c>
      <c r="C10599" s="2" t="str">
        <f>"14668858"</f>
        <v>14668858</v>
      </c>
      <c r="D10599" s="2">
        <v>0.10100000000000001</v>
      </c>
      <c r="E10599" s="2">
        <v>5</v>
      </c>
      <c r="F10599" s="2" t="s">
        <v>16</v>
      </c>
    </row>
    <row r="10600" spans="1:6" ht="25.5">
      <c r="A10600" s="2">
        <v>10597</v>
      </c>
      <c r="B10600" s="2" t="s">
        <v>10674</v>
      </c>
      <c r="C10600" s="2" t="str">
        <f>"14764180"</f>
        <v>14764180</v>
      </c>
      <c r="D10600" s="2">
        <v>0.59799999999999998</v>
      </c>
      <c r="E10600" s="2">
        <v>32</v>
      </c>
      <c r="F10600" s="2" t="s">
        <v>16</v>
      </c>
    </row>
    <row r="10601" spans="1:6" ht="25.5">
      <c r="A10601" s="2">
        <v>10598</v>
      </c>
      <c r="B10601" s="2" t="s">
        <v>10675</v>
      </c>
      <c r="C10601" s="2" t="str">
        <f>"14732165"</f>
        <v>14732165</v>
      </c>
      <c r="D10601" s="2">
        <v>0.47199999999999998</v>
      </c>
      <c r="E10601" s="2">
        <v>18</v>
      </c>
      <c r="F10601" s="2" t="s">
        <v>16</v>
      </c>
    </row>
    <row r="10602" spans="1:6" ht="25.5">
      <c r="A10602" s="2">
        <v>10599</v>
      </c>
      <c r="B10602" s="2" t="s">
        <v>10676</v>
      </c>
      <c r="C10602" s="2" t="str">
        <f>"15257886"</f>
        <v>15257886</v>
      </c>
      <c r="D10602" s="2">
        <v>0.11899999999999999</v>
      </c>
      <c r="E10602" s="2">
        <v>21</v>
      </c>
      <c r="F10602" s="2" t="s">
        <v>6</v>
      </c>
    </row>
    <row r="10603" spans="1:6" ht="25.5">
      <c r="A10603" s="2">
        <v>10600</v>
      </c>
      <c r="B10603" s="2" t="s">
        <v>10677</v>
      </c>
      <c r="C10603" s="2" t="str">
        <f>"14757516"</f>
        <v>14757516</v>
      </c>
      <c r="D10603" s="2">
        <v>0.36299999999999999</v>
      </c>
      <c r="E10603" s="2">
        <v>51</v>
      </c>
      <c r="F10603" s="2" t="s">
        <v>16</v>
      </c>
    </row>
    <row r="10604" spans="1:6" ht="25.5">
      <c r="A10604" s="2">
        <v>10601</v>
      </c>
      <c r="B10604" s="2" t="s">
        <v>10678</v>
      </c>
      <c r="C10604" s="2" t="str">
        <f>"15243303"</f>
        <v>15243303</v>
      </c>
      <c r="D10604" s="2">
        <v>0.32900000000000001</v>
      </c>
      <c r="E10604" s="2">
        <v>23</v>
      </c>
      <c r="F10604" s="2" t="s">
        <v>6</v>
      </c>
    </row>
    <row r="10605" spans="1:6" ht="25.5">
      <c r="A10605" s="2">
        <v>10602</v>
      </c>
      <c r="B10605" s="2" t="s">
        <v>10679</v>
      </c>
      <c r="C10605" s="2" t="str">
        <f>"07489633"</f>
        <v>07489633</v>
      </c>
      <c r="D10605" s="2">
        <v>0.42</v>
      </c>
      <c r="E10605" s="2">
        <v>39</v>
      </c>
      <c r="F10605" s="2" t="s">
        <v>6</v>
      </c>
    </row>
    <row r="10606" spans="1:6" ht="25.5">
      <c r="A10606" s="2">
        <v>10603</v>
      </c>
      <c r="B10606" s="2" t="s">
        <v>10680</v>
      </c>
      <c r="C10606" s="2" t="str">
        <f>"00220167"</f>
        <v>00220167</v>
      </c>
      <c r="D10606" s="2">
        <v>1.538</v>
      </c>
      <c r="E10606" s="2">
        <v>68</v>
      </c>
      <c r="F10606" s="2" t="s">
        <v>6</v>
      </c>
    </row>
    <row r="10607" spans="1:6" ht="25.5">
      <c r="A10607" s="2">
        <v>10604</v>
      </c>
      <c r="B10607" s="2" t="s">
        <v>10681</v>
      </c>
      <c r="C10607" s="2" t="str">
        <f>"15332691"</f>
        <v>15332691</v>
      </c>
      <c r="D10607" s="2">
        <v>1.056</v>
      </c>
      <c r="E10607" s="2">
        <v>7</v>
      </c>
      <c r="F10607" s="2" t="s">
        <v>16</v>
      </c>
    </row>
    <row r="10608" spans="1:6" ht="25.5">
      <c r="A10608" s="2">
        <v>10605</v>
      </c>
      <c r="B10608" s="2" t="s">
        <v>10682</v>
      </c>
      <c r="C10608" s="2" t="str">
        <f>"15363732"</f>
        <v>15363732</v>
      </c>
      <c r="D10608" s="2">
        <v>0.41499999999999998</v>
      </c>
      <c r="E10608" s="2">
        <v>44</v>
      </c>
      <c r="F10608" s="2" t="s">
        <v>6</v>
      </c>
    </row>
    <row r="10609" spans="1:6" ht="25.5">
      <c r="A10609" s="2">
        <v>10606</v>
      </c>
      <c r="B10609" s="2" t="s">
        <v>10683</v>
      </c>
      <c r="C10609" s="2" t="str">
        <f>"10105182"</f>
        <v>10105182</v>
      </c>
      <c r="D10609" s="2">
        <v>0.82799999999999996</v>
      </c>
      <c r="E10609" s="2">
        <v>44</v>
      </c>
      <c r="F10609" s="2" t="s">
        <v>6</v>
      </c>
    </row>
    <row r="10610" spans="1:6" ht="25.5">
      <c r="A10610" s="2">
        <v>10607</v>
      </c>
      <c r="B10610" s="2" t="s">
        <v>10684</v>
      </c>
      <c r="C10610" s="2" t="str">
        <f>"00220175"</f>
        <v>00220175</v>
      </c>
      <c r="D10610" s="2">
        <v>0.501</v>
      </c>
      <c r="E10610" s="2">
        <v>21</v>
      </c>
      <c r="F10610" s="2" t="s">
        <v>6</v>
      </c>
    </row>
    <row r="10611" spans="1:6" ht="25.5">
      <c r="A10611" s="2">
        <v>10608</v>
      </c>
      <c r="B10611" s="2" t="s">
        <v>10685</v>
      </c>
      <c r="C10611" s="2" t="str">
        <f>"15401391"</f>
        <v>15401391</v>
      </c>
      <c r="D10611" s="2">
        <v>0.26700000000000002</v>
      </c>
      <c r="E10611" s="2">
        <v>4</v>
      </c>
      <c r="F10611" s="2" t="s">
        <v>16</v>
      </c>
    </row>
    <row r="10612" spans="1:6" ht="25.5">
      <c r="A10612" s="2">
        <v>10609</v>
      </c>
      <c r="B10612" s="2" t="s">
        <v>10686</v>
      </c>
      <c r="C10612" s="2" t="str">
        <f>"00472352"</f>
        <v>00472352</v>
      </c>
      <c r="D10612" s="2">
        <v>0.95699999999999996</v>
      </c>
      <c r="E10612" s="2">
        <v>32</v>
      </c>
      <c r="F10612" s="2" t="s">
        <v>75</v>
      </c>
    </row>
    <row r="10613" spans="1:6" ht="25.5">
      <c r="A10613" s="2">
        <v>10610</v>
      </c>
      <c r="B10613" s="2" t="s">
        <v>10687</v>
      </c>
      <c r="C10613" s="2" t="str">
        <f>"17459117"</f>
        <v>17459117</v>
      </c>
      <c r="D10613" s="2">
        <v>0.70299999999999996</v>
      </c>
      <c r="E10613" s="2">
        <v>10</v>
      </c>
      <c r="F10613" s="2" t="s">
        <v>16</v>
      </c>
    </row>
    <row r="10614" spans="1:6" ht="25.5">
      <c r="A10614" s="2">
        <v>10611</v>
      </c>
      <c r="B10614" s="2" t="s">
        <v>10688</v>
      </c>
      <c r="C10614" s="2" t="str">
        <f>"00914169"</f>
        <v>00914169</v>
      </c>
      <c r="D10614" s="2">
        <v>0.60199999999999998</v>
      </c>
      <c r="E10614" s="2">
        <v>22</v>
      </c>
      <c r="F10614" s="2" t="s">
        <v>6</v>
      </c>
    </row>
    <row r="10615" spans="1:6" ht="25.5">
      <c r="A10615" s="2">
        <v>10612</v>
      </c>
      <c r="B10615" s="2" t="s">
        <v>10689</v>
      </c>
      <c r="C10615" s="2" t="str">
        <f>"08839441"</f>
        <v>08839441</v>
      </c>
      <c r="D10615" s="2">
        <v>0.96899999999999997</v>
      </c>
      <c r="E10615" s="2">
        <v>43</v>
      </c>
      <c r="F10615" s="2" t="s">
        <v>16</v>
      </c>
    </row>
    <row r="10616" spans="1:6" ht="25.5">
      <c r="A10616" s="2">
        <v>10613</v>
      </c>
      <c r="B10616" s="2" t="s">
        <v>10690</v>
      </c>
      <c r="C10616" s="2" t="str">
        <f>"18739946"</f>
        <v>18739946</v>
      </c>
      <c r="D10616" s="2">
        <v>0.96</v>
      </c>
      <c r="E10616" s="2">
        <v>16</v>
      </c>
      <c r="F10616" s="2" t="s">
        <v>75</v>
      </c>
    </row>
    <row r="10617" spans="1:6" ht="25.5">
      <c r="A10617" s="2">
        <v>10614</v>
      </c>
      <c r="B10617" s="2" t="s">
        <v>10691</v>
      </c>
      <c r="C10617" s="2" t="str">
        <f>"15427536"</f>
        <v>15427536</v>
      </c>
      <c r="D10617" s="2">
        <v>0.28100000000000003</v>
      </c>
      <c r="E10617" s="2">
        <v>19</v>
      </c>
      <c r="F10617" s="2" t="s">
        <v>6</v>
      </c>
    </row>
    <row r="10618" spans="1:6" ht="25.5">
      <c r="A10618" s="2">
        <v>10615</v>
      </c>
      <c r="B10618" s="2" t="s">
        <v>10692</v>
      </c>
      <c r="C10618" s="2" t="str">
        <f>"15730719"</f>
        <v>15730719</v>
      </c>
      <c r="D10618" s="2">
        <v>0.43099999999999999</v>
      </c>
      <c r="E10618" s="2">
        <v>21</v>
      </c>
      <c r="F10618" s="2" t="s">
        <v>6</v>
      </c>
    </row>
    <row r="10619" spans="1:6" ht="25.5">
      <c r="A10619" s="2">
        <v>10616</v>
      </c>
      <c r="B10619" s="2" t="s">
        <v>10693</v>
      </c>
      <c r="C10619" s="2" t="str">
        <f>"00220221"</f>
        <v>00220221</v>
      </c>
      <c r="D10619" s="2">
        <v>1.042</v>
      </c>
      <c r="E10619" s="2">
        <v>59</v>
      </c>
      <c r="F10619" s="2" t="s">
        <v>6</v>
      </c>
    </row>
    <row r="10620" spans="1:6" ht="25.5">
      <c r="A10620" s="2">
        <v>10617</v>
      </c>
      <c r="B10620" s="2" t="s">
        <v>10694</v>
      </c>
      <c r="C10620" s="2" t="str">
        <f>"02780372"</f>
        <v>02780372</v>
      </c>
      <c r="D10620" s="2">
        <v>0.54100000000000004</v>
      </c>
      <c r="E10620" s="2">
        <v>32</v>
      </c>
      <c r="F10620" s="2" t="s">
        <v>6</v>
      </c>
    </row>
    <row r="10621" spans="1:6" ht="25.5">
      <c r="A10621" s="2">
        <v>10618</v>
      </c>
      <c r="B10621" s="2" t="s">
        <v>10695</v>
      </c>
      <c r="C10621" s="2" t="str">
        <f>"14321378"</f>
        <v>14321378</v>
      </c>
      <c r="D10621" s="2">
        <v>1.899</v>
      </c>
      <c r="E10621" s="2">
        <v>43</v>
      </c>
      <c r="F10621" s="2" t="s">
        <v>6</v>
      </c>
    </row>
    <row r="10622" spans="1:6" ht="25.5">
      <c r="A10622" s="2">
        <v>10619</v>
      </c>
      <c r="B10622" s="2" t="s">
        <v>10696</v>
      </c>
      <c r="C10622" s="2" t="str">
        <f>"00220248"</f>
        <v>00220248</v>
      </c>
      <c r="D10622" s="2">
        <v>0.877</v>
      </c>
      <c r="E10622" s="2">
        <v>95</v>
      </c>
      <c r="F10622" s="2" t="s">
        <v>75</v>
      </c>
    </row>
    <row r="10623" spans="1:6" ht="25.5">
      <c r="A10623" s="2">
        <v>10620</v>
      </c>
      <c r="B10623" s="2" t="s">
        <v>10697</v>
      </c>
      <c r="C10623" s="2" t="str">
        <f>"15428052"</f>
        <v>15428052</v>
      </c>
      <c r="D10623" s="2">
        <v>0.123</v>
      </c>
      <c r="E10623" s="2">
        <v>5</v>
      </c>
      <c r="F10623" s="2" t="s">
        <v>6</v>
      </c>
    </row>
    <row r="10624" spans="1:6" ht="25.5">
      <c r="A10624" s="2">
        <v>10621</v>
      </c>
      <c r="B10624" s="2" t="s">
        <v>10698</v>
      </c>
      <c r="C10624" s="2" t="str">
        <f>"10715568"</f>
        <v>10715568</v>
      </c>
      <c r="D10624" s="2">
        <v>0.2</v>
      </c>
      <c r="E10624" s="2">
        <v>14</v>
      </c>
      <c r="F10624" s="2" t="s">
        <v>6</v>
      </c>
    </row>
    <row r="10625" spans="1:6" ht="25.5">
      <c r="A10625" s="2">
        <v>10622</v>
      </c>
      <c r="B10625" s="2" t="s">
        <v>10699</v>
      </c>
      <c r="C10625" s="2" t="str">
        <f>"08852545"</f>
        <v>08852545</v>
      </c>
      <c r="D10625" s="2">
        <v>0.49399999999999999</v>
      </c>
      <c r="E10625" s="2">
        <v>21</v>
      </c>
      <c r="F10625" s="2" t="s">
        <v>6</v>
      </c>
    </row>
    <row r="10626" spans="1:6" ht="25.5">
      <c r="A10626" s="2">
        <v>10623</v>
      </c>
      <c r="B10626" s="2" t="s">
        <v>10700</v>
      </c>
      <c r="C10626" s="2" t="str">
        <f>"08873631"</f>
        <v>08873631</v>
      </c>
      <c r="D10626" s="2">
        <v>0.40300000000000002</v>
      </c>
      <c r="E10626" s="2">
        <v>7</v>
      </c>
      <c r="F10626" s="2" t="s">
        <v>16</v>
      </c>
    </row>
    <row r="10627" spans="1:6" ht="25.5">
      <c r="A10627" s="2">
        <v>10624</v>
      </c>
      <c r="B10627" s="2" t="s">
        <v>10701</v>
      </c>
      <c r="C10627" s="2" t="str">
        <f>"12962074"</f>
        <v>12962074</v>
      </c>
      <c r="D10627" s="2">
        <v>0.51200000000000001</v>
      </c>
      <c r="E10627" s="2">
        <v>26</v>
      </c>
      <c r="F10627" s="2" t="s">
        <v>66</v>
      </c>
    </row>
    <row r="10628" spans="1:6" ht="25.5">
      <c r="A10628" s="2">
        <v>10625</v>
      </c>
      <c r="B10628" s="2" t="s">
        <v>10702</v>
      </c>
      <c r="C10628" s="2" t="str">
        <f>"09751947"</f>
        <v>09751947</v>
      </c>
      <c r="D10628" s="2">
        <v>0.10199999999999999</v>
      </c>
      <c r="E10628" s="2">
        <v>0</v>
      </c>
      <c r="F10628" s="2" t="s">
        <v>488</v>
      </c>
    </row>
    <row r="10629" spans="1:6" ht="25.5">
      <c r="A10629" s="2">
        <v>10626</v>
      </c>
      <c r="B10629" s="2" t="s">
        <v>10703</v>
      </c>
      <c r="C10629" s="2" t="str">
        <f>"13665839"</f>
        <v>13665839</v>
      </c>
      <c r="D10629" s="2">
        <v>0.57099999999999995</v>
      </c>
      <c r="E10629" s="2">
        <v>25</v>
      </c>
      <c r="F10629" s="2" t="s">
        <v>16</v>
      </c>
    </row>
    <row r="10630" spans="1:6" ht="25.5">
      <c r="A10630" s="2">
        <v>10627</v>
      </c>
      <c r="B10630" s="2" t="s">
        <v>10704</v>
      </c>
      <c r="C10630" s="2" t="str">
        <f>"16157109"</f>
        <v>16157109</v>
      </c>
      <c r="D10630" s="2">
        <v>0.48099999999999998</v>
      </c>
      <c r="E10630" s="2">
        <v>31</v>
      </c>
      <c r="F10630" s="2" t="s">
        <v>64</v>
      </c>
    </row>
    <row r="10631" spans="1:6" ht="25.5">
      <c r="A10631" s="2">
        <v>10628</v>
      </c>
      <c r="B10631" s="2" t="s">
        <v>10705</v>
      </c>
      <c r="C10631" s="2" t="str">
        <f>"16000560"</f>
        <v>16000560</v>
      </c>
      <c r="D10631" s="2">
        <v>0.76700000000000002</v>
      </c>
      <c r="E10631" s="2">
        <v>49</v>
      </c>
      <c r="F10631" s="2" t="s">
        <v>16</v>
      </c>
    </row>
    <row r="10632" spans="1:6" ht="25.5">
      <c r="A10632" s="2">
        <v>10629</v>
      </c>
      <c r="B10632" s="2" t="s">
        <v>10706</v>
      </c>
      <c r="C10632" s="2" t="str">
        <f>"17849934"</f>
        <v>17849934</v>
      </c>
      <c r="D10632" s="2">
        <v>0.27600000000000002</v>
      </c>
      <c r="E10632" s="2">
        <v>9</v>
      </c>
      <c r="F10632" s="2" t="s">
        <v>161</v>
      </c>
    </row>
    <row r="10633" spans="1:6" ht="25.5">
      <c r="A10633" s="2">
        <v>10630</v>
      </c>
      <c r="B10633" s="2" t="s">
        <v>10707</v>
      </c>
      <c r="C10633" s="2" t="str">
        <f>"15691993"</f>
        <v>15691993</v>
      </c>
      <c r="D10633" s="2">
        <v>1.0069999999999999</v>
      </c>
      <c r="E10633" s="2">
        <v>34</v>
      </c>
      <c r="F10633" s="2" t="s">
        <v>75</v>
      </c>
    </row>
    <row r="10634" spans="1:6" ht="25.5">
      <c r="A10634" s="2">
        <v>10631</v>
      </c>
      <c r="B10634" s="2" t="s">
        <v>10708</v>
      </c>
      <c r="C10634" s="2" t="str">
        <f>"09745165"</f>
        <v>09745165</v>
      </c>
      <c r="D10634" s="2">
        <v>0.247</v>
      </c>
      <c r="E10634" s="2">
        <v>5</v>
      </c>
      <c r="F10634" s="2" t="s">
        <v>488</v>
      </c>
    </row>
    <row r="10635" spans="1:6" ht="25.5">
      <c r="A10635" s="2">
        <v>10632</v>
      </c>
      <c r="B10635" s="2" t="s">
        <v>10709</v>
      </c>
      <c r="C10635" s="2" t="str">
        <f>"14697629"</f>
        <v>14697629</v>
      </c>
      <c r="D10635" s="2">
        <v>0.59299999999999997</v>
      </c>
      <c r="E10635" s="2">
        <v>49</v>
      </c>
      <c r="F10635" s="2" t="s">
        <v>16</v>
      </c>
    </row>
    <row r="10636" spans="1:6" ht="25.5">
      <c r="A10636" s="2">
        <v>10633</v>
      </c>
      <c r="B10636" s="2" t="s">
        <v>10710</v>
      </c>
      <c r="C10636" s="2" t="str">
        <f>"15253198"</f>
        <v>15253198</v>
      </c>
      <c r="D10636" s="2">
        <v>1.254</v>
      </c>
      <c r="E10636" s="2">
        <v>111</v>
      </c>
      <c r="F10636" s="2" t="s">
        <v>16</v>
      </c>
    </row>
    <row r="10637" spans="1:6" ht="25.5">
      <c r="A10637" s="2">
        <v>10634</v>
      </c>
      <c r="B10637" s="2" t="s">
        <v>10711</v>
      </c>
      <c r="C10637" s="2" t="str">
        <f>"16717295"</f>
        <v>16717295</v>
      </c>
      <c r="D10637" s="2">
        <v>0.1</v>
      </c>
      <c r="E10637" s="2">
        <v>2</v>
      </c>
      <c r="F10637" s="2" t="s">
        <v>46</v>
      </c>
    </row>
    <row r="10638" spans="1:6" ht="25.5">
      <c r="A10638" s="2">
        <v>10635</v>
      </c>
      <c r="B10638" s="2" t="s">
        <v>10712</v>
      </c>
      <c r="C10638" s="2" t="str">
        <f>"1089313X"</f>
        <v>1089313X</v>
      </c>
      <c r="D10638" s="2">
        <v>0.16400000000000001</v>
      </c>
      <c r="E10638" s="2">
        <v>5</v>
      </c>
      <c r="F10638" s="2" t="s">
        <v>6</v>
      </c>
    </row>
    <row r="10639" spans="1:6" ht="25.5">
      <c r="A10639" s="2">
        <v>10636</v>
      </c>
      <c r="B10639" s="2" t="s">
        <v>10713</v>
      </c>
      <c r="C10639" s="2" t="str">
        <f>"19361955"</f>
        <v>19361955</v>
      </c>
      <c r="D10639" s="2">
        <v>0.626</v>
      </c>
      <c r="E10639" s="2">
        <v>6</v>
      </c>
      <c r="F10639" s="2" t="s">
        <v>6</v>
      </c>
    </row>
    <row r="10640" spans="1:6" ht="25.5">
      <c r="A10640" s="2">
        <v>10637</v>
      </c>
      <c r="B10640" s="2" t="s">
        <v>10714</v>
      </c>
      <c r="C10640" s="2" t="str">
        <f>"15338010"</f>
        <v>15338010</v>
      </c>
      <c r="D10640" s="2">
        <v>0.33600000000000002</v>
      </c>
      <c r="E10640" s="2">
        <v>20</v>
      </c>
      <c r="F10640" s="2" t="s">
        <v>6</v>
      </c>
    </row>
    <row r="10641" spans="1:6" ht="25.5">
      <c r="A10641" s="2">
        <v>10638</v>
      </c>
      <c r="B10641" s="2" t="s">
        <v>10715</v>
      </c>
      <c r="C10641" s="2" t="str">
        <f>"17412447"</f>
        <v>17412447</v>
      </c>
      <c r="D10641" s="2">
        <v>0.16900000000000001</v>
      </c>
      <c r="E10641" s="2">
        <v>4</v>
      </c>
      <c r="F10641" s="2" t="s">
        <v>16</v>
      </c>
    </row>
    <row r="10642" spans="1:6" ht="25.5">
      <c r="A10642" s="2">
        <v>10639</v>
      </c>
      <c r="B10642" s="2" t="s">
        <v>10716</v>
      </c>
      <c r="C10642" s="2" t="str">
        <f>"09743901"</f>
        <v>09743901</v>
      </c>
      <c r="D10642" s="2">
        <v>0</v>
      </c>
      <c r="E10642" s="2">
        <v>0</v>
      </c>
      <c r="F10642" s="2" t="s">
        <v>488</v>
      </c>
    </row>
    <row r="10643" spans="1:6" ht="25.5">
      <c r="A10643" s="2">
        <v>10640</v>
      </c>
      <c r="B10643" s="2" t="s">
        <v>10717</v>
      </c>
      <c r="C10643" s="2" t="str">
        <f>"14657325"</f>
        <v>14657325</v>
      </c>
      <c r="D10643" s="2">
        <v>1.0860000000000001</v>
      </c>
      <c r="E10643" s="2">
        <v>21</v>
      </c>
      <c r="F10643" s="2" t="s">
        <v>16</v>
      </c>
    </row>
    <row r="10644" spans="1:6" ht="25.5">
      <c r="A10644" s="2">
        <v>10641</v>
      </c>
      <c r="B10644" s="2" t="s">
        <v>10718</v>
      </c>
      <c r="C10644" s="2" t="str">
        <f>"12460125"</f>
        <v>12460125</v>
      </c>
      <c r="D10644" s="2">
        <v>0.192</v>
      </c>
      <c r="E10644" s="2">
        <v>2</v>
      </c>
      <c r="F10644" s="2" t="s">
        <v>66</v>
      </c>
    </row>
    <row r="10645" spans="1:6" ht="25.5">
      <c r="A10645" s="2">
        <v>10642</v>
      </c>
      <c r="B10645" s="2" t="s">
        <v>10719</v>
      </c>
      <c r="C10645" s="2" t="str">
        <f>"15485129"</f>
        <v>15485129</v>
      </c>
      <c r="D10645" s="2">
        <v>0.14599999999999999</v>
      </c>
      <c r="E10645" s="2">
        <v>2</v>
      </c>
      <c r="F10645" s="2" t="s">
        <v>6</v>
      </c>
    </row>
    <row r="10646" spans="1:6" ht="25.5">
      <c r="A10646" s="2">
        <v>10643</v>
      </c>
      <c r="B10646" s="2" t="s">
        <v>10720</v>
      </c>
      <c r="C10646" s="2" t="str">
        <f>"13518372"</f>
        <v>13518372</v>
      </c>
      <c r="D10646" s="2">
        <v>0.161</v>
      </c>
      <c r="E10646" s="2">
        <v>8</v>
      </c>
      <c r="F10646" s="2" t="s">
        <v>16</v>
      </c>
    </row>
    <row r="10647" spans="1:6" ht="25.5">
      <c r="A10647" s="2">
        <v>10644</v>
      </c>
      <c r="B10647" s="2" t="s">
        <v>10721</v>
      </c>
      <c r="C10647" s="2" t="str">
        <f>"10863214"</f>
        <v>10863214</v>
      </c>
      <c r="D10647" s="2">
        <v>1.0449999999999999</v>
      </c>
      <c r="E10647" s="2">
        <v>37</v>
      </c>
      <c r="F10647" s="2" t="s">
        <v>6</v>
      </c>
    </row>
    <row r="10648" spans="1:6" ht="25.5">
      <c r="A10648" s="2">
        <v>10645</v>
      </c>
      <c r="B10648" s="2" t="s">
        <v>10722</v>
      </c>
      <c r="C10648" s="2" t="str">
        <f>"17587360"</f>
        <v>17587360</v>
      </c>
      <c r="D10648" s="2">
        <v>0.32</v>
      </c>
      <c r="E10648" s="2">
        <v>1</v>
      </c>
      <c r="F10648" s="2" t="s">
        <v>16</v>
      </c>
    </row>
    <row r="10649" spans="1:6" ht="25.5">
      <c r="A10649" s="2">
        <v>10646</v>
      </c>
      <c r="B10649" s="2" t="s">
        <v>10723</v>
      </c>
      <c r="C10649" s="2" t="str">
        <f>"19307837"</f>
        <v>19307837</v>
      </c>
      <c r="D10649" s="2">
        <v>0.32800000000000001</v>
      </c>
      <c r="E10649" s="2">
        <v>35</v>
      </c>
      <c r="F10649" s="2" t="s">
        <v>6</v>
      </c>
    </row>
    <row r="10650" spans="1:6" ht="25.5">
      <c r="A10650" s="2">
        <v>10647</v>
      </c>
      <c r="B10650" s="2" t="s">
        <v>10724</v>
      </c>
      <c r="C10650" s="2" t="str">
        <f>"15530205"</f>
        <v>15530205</v>
      </c>
      <c r="D10650" s="2">
        <v>0.13900000000000001</v>
      </c>
      <c r="E10650" s="2">
        <v>13</v>
      </c>
      <c r="F10650" s="2" t="s">
        <v>6</v>
      </c>
    </row>
    <row r="10651" spans="1:6" ht="25.5">
      <c r="A10651" s="2">
        <v>10648</v>
      </c>
      <c r="B10651" s="2" t="s">
        <v>10725</v>
      </c>
      <c r="C10651" s="2" t="str">
        <f>"00220345"</f>
        <v>00220345</v>
      </c>
      <c r="D10651" s="2">
        <v>1.1910000000000001</v>
      </c>
      <c r="E10651" s="2">
        <v>102</v>
      </c>
      <c r="F10651" s="2" t="s">
        <v>6</v>
      </c>
    </row>
    <row r="10652" spans="1:6" ht="25.5">
      <c r="A10652" s="2">
        <v>10649</v>
      </c>
      <c r="B10652" s="2" t="s">
        <v>10726</v>
      </c>
      <c r="C10652" s="2" t="str">
        <f>"19917902"</f>
        <v>19917902</v>
      </c>
      <c r="D10652" s="2">
        <v>0.17399999999999999</v>
      </c>
      <c r="E10652" s="2">
        <v>3</v>
      </c>
      <c r="F10652" s="2" t="s">
        <v>165</v>
      </c>
    </row>
    <row r="10653" spans="1:6" ht="25.5">
      <c r="A10653" s="2">
        <v>10650</v>
      </c>
      <c r="B10653" s="2" t="s">
        <v>10727</v>
      </c>
      <c r="C10653" s="2" t="str">
        <f>"03005712"</f>
        <v>03005712</v>
      </c>
      <c r="D10653" s="2">
        <v>1.1850000000000001</v>
      </c>
      <c r="E10653" s="2">
        <v>65</v>
      </c>
      <c r="F10653" s="2" t="s">
        <v>75</v>
      </c>
    </row>
    <row r="10654" spans="1:6" ht="25.5">
      <c r="A10654" s="2">
        <v>10651</v>
      </c>
      <c r="B10654" s="2" t="s">
        <v>10728</v>
      </c>
      <c r="C10654" s="2" t="str">
        <f>"19355068"</f>
        <v>19355068</v>
      </c>
      <c r="D10654" s="2">
        <v>0.26</v>
      </c>
      <c r="E10654" s="2">
        <v>25</v>
      </c>
      <c r="F10654" s="2" t="s">
        <v>6</v>
      </c>
    </row>
    <row r="10655" spans="1:6" ht="25.5">
      <c r="A10655" s="2">
        <v>10652</v>
      </c>
      <c r="B10655" s="2" t="s">
        <v>10729</v>
      </c>
      <c r="C10655" s="2" t="str">
        <f>"10741240"</f>
        <v>10741240</v>
      </c>
      <c r="D10655" s="2">
        <v>0.754</v>
      </c>
      <c r="E10655" s="2">
        <v>6</v>
      </c>
      <c r="F10655" s="2" t="s">
        <v>6</v>
      </c>
    </row>
    <row r="10656" spans="1:6" ht="25.5">
      <c r="A10656" s="2">
        <v>10653</v>
      </c>
      <c r="B10656" s="2" t="s">
        <v>10730</v>
      </c>
      <c r="C10656" s="2" t="str">
        <f>"17539641"</f>
        <v>17539641</v>
      </c>
      <c r="D10656" s="2">
        <v>0.21099999999999999</v>
      </c>
      <c r="E10656" s="2">
        <v>3</v>
      </c>
      <c r="F10656" s="2" t="s">
        <v>16</v>
      </c>
    </row>
    <row r="10657" spans="1:6" ht="25.5">
      <c r="A10657" s="2">
        <v>10654</v>
      </c>
      <c r="B10657" s="2" t="s">
        <v>10731</v>
      </c>
      <c r="C10657" s="2" t="str">
        <f>"09231811"</f>
        <v>09231811</v>
      </c>
      <c r="D10657" s="2">
        <v>1.048</v>
      </c>
      <c r="E10657" s="2">
        <v>54</v>
      </c>
      <c r="F10657" s="2" t="s">
        <v>732</v>
      </c>
    </row>
    <row r="10658" spans="1:6" ht="25.5">
      <c r="A10658" s="2">
        <v>10655</v>
      </c>
      <c r="B10658" s="2" t="s">
        <v>10732</v>
      </c>
      <c r="C10658" s="2" t="str">
        <f>"09546634"</f>
        <v>09546634</v>
      </c>
      <c r="D10658" s="2">
        <v>0.66300000000000003</v>
      </c>
      <c r="E10658" s="2">
        <v>33</v>
      </c>
      <c r="F10658" s="2" t="s">
        <v>16</v>
      </c>
    </row>
    <row r="10659" spans="1:6" ht="25.5">
      <c r="A10659" s="2">
        <v>10656</v>
      </c>
      <c r="B10659" s="2" t="s">
        <v>10733</v>
      </c>
      <c r="C10659" s="2" t="str">
        <f>"03852407"</f>
        <v>03852407</v>
      </c>
      <c r="D10659" s="2">
        <v>0.628</v>
      </c>
      <c r="E10659" s="2">
        <v>37</v>
      </c>
      <c r="F10659" s="2" t="s">
        <v>16</v>
      </c>
    </row>
    <row r="10660" spans="1:6" ht="25.5">
      <c r="A10660" s="2">
        <v>10657</v>
      </c>
      <c r="B10660" s="2" t="s">
        <v>10734</v>
      </c>
      <c r="C10660" s="2" t="str">
        <f>"17417279"</f>
        <v>17417279</v>
      </c>
      <c r="D10660" s="2">
        <v>0.158</v>
      </c>
      <c r="E10660" s="2">
        <v>8</v>
      </c>
      <c r="F10660" s="2" t="s">
        <v>16</v>
      </c>
    </row>
    <row r="10661" spans="1:6" ht="25.5">
      <c r="A10661" s="2">
        <v>10658</v>
      </c>
      <c r="B10661" s="2" t="s">
        <v>10735</v>
      </c>
      <c r="C10661" s="2" t="str">
        <f>"17483050"</f>
        <v>17483050</v>
      </c>
      <c r="D10661" s="2">
        <v>0.111</v>
      </c>
      <c r="E10661" s="2">
        <v>1</v>
      </c>
      <c r="F10661" s="2" t="s">
        <v>16</v>
      </c>
    </row>
    <row r="10662" spans="1:6" ht="25.5">
      <c r="A10662" s="2">
        <v>10659</v>
      </c>
      <c r="B10662" s="2" t="s">
        <v>10736</v>
      </c>
      <c r="C10662" s="2" t="str">
        <f>"2212571X"</f>
        <v>2212571X</v>
      </c>
      <c r="D10662" s="2">
        <v>0</v>
      </c>
      <c r="E10662" s="2">
        <v>1</v>
      </c>
      <c r="F10662" s="2" t="s">
        <v>16</v>
      </c>
    </row>
    <row r="10663" spans="1:6" ht="25.5">
      <c r="A10663" s="2">
        <v>10660</v>
      </c>
      <c r="B10663" s="2" t="s">
        <v>10737</v>
      </c>
      <c r="C10663" s="2" t="str">
        <f>"0169796X"</f>
        <v>0169796X</v>
      </c>
      <c r="D10663" s="2">
        <v>0.13900000000000001</v>
      </c>
      <c r="E10663" s="2">
        <v>8</v>
      </c>
      <c r="F10663" s="2" t="s">
        <v>16</v>
      </c>
    </row>
    <row r="10664" spans="1:6" ht="25.5">
      <c r="A10664" s="2">
        <v>10661</v>
      </c>
      <c r="B10664" s="2" t="s">
        <v>10738</v>
      </c>
      <c r="C10664" s="2" t="str">
        <f>"0196206X"</f>
        <v>0196206X</v>
      </c>
      <c r="D10664" s="2">
        <v>0.88100000000000001</v>
      </c>
      <c r="E10664" s="2">
        <v>60</v>
      </c>
      <c r="F10664" s="2" t="s">
        <v>6</v>
      </c>
    </row>
    <row r="10665" spans="1:6" ht="25.5">
      <c r="A10665" s="2">
        <v>10662</v>
      </c>
      <c r="B10665" s="2" t="s">
        <v>10739</v>
      </c>
      <c r="C10665" s="2" t="str">
        <f>"15733580"</f>
        <v>15733580</v>
      </c>
      <c r="D10665" s="2">
        <v>0.38</v>
      </c>
      <c r="E10665" s="2">
        <v>21</v>
      </c>
      <c r="F10665" s="2" t="s">
        <v>6</v>
      </c>
    </row>
    <row r="10666" spans="1:6" ht="25.5">
      <c r="A10666" s="2">
        <v>10663</v>
      </c>
      <c r="B10666" s="2" t="s">
        <v>10740</v>
      </c>
      <c r="C10666" s="2" t="str">
        <f>"10849467"</f>
        <v>10849467</v>
      </c>
      <c r="D10666" s="2">
        <v>0.433</v>
      </c>
      <c r="E10666" s="2">
        <v>5</v>
      </c>
      <c r="F10666" s="2" t="s">
        <v>543</v>
      </c>
    </row>
    <row r="10667" spans="1:6" ht="25.5">
      <c r="A10667" s="2">
        <v>10664</v>
      </c>
      <c r="B10667" s="2" t="s">
        <v>10741</v>
      </c>
      <c r="C10667" s="2" t="str">
        <f>"20401752"</f>
        <v>20401752</v>
      </c>
      <c r="D10667" s="2">
        <v>0.307</v>
      </c>
      <c r="E10667" s="2">
        <v>4</v>
      </c>
      <c r="F10667" s="2" t="s">
        <v>16</v>
      </c>
    </row>
    <row r="10668" spans="1:6" ht="25.5">
      <c r="A10668" s="2">
        <v>10665</v>
      </c>
      <c r="B10668" s="2" t="s">
        <v>10742</v>
      </c>
      <c r="C10668" s="2" t="str">
        <f>"03043878"</f>
        <v>03043878</v>
      </c>
      <c r="D10668" s="2">
        <v>3.1760000000000002</v>
      </c>
      <c r="E10668" s="2">
        <v>66</v>
      </c>
      <c r="F10668" s="2" t="s">
        <v>75</v>
      </c>
    </row>
    <row r="10669" spans="1:6" ht="25.5">
      <c r="A10669" s="2">
        <v>10666</v>
      </c>
      <c r="B10669" s="2" t="s">
        <v>10743</v>
      </c>
      <c r="C10669" s="2" t="str">
        <f>"00220388"</f>
        <v>00220388</v>
      </c>
      <c r="D10669" s="2">
        <v>0.65400000000000003</v>
      </c>
      <c r="E10669" s="2">
        <v>41</v>
      </c>
      <c r="F10669" s="2" t="s">
        <v>16</v>
      </c>
    </row>
    <row r="10670" spans="1:6" ht="25.5">
      <c r="A10670" s="2">
        <v>10667</v>
      </c>
      <c r="B10670" s="2" t="s">
        <v>10744</v>
      </c>
      <c r="C10670" s="2" t="str">
        <f>"02537222"</f>
        <v>02537222</v>
      </c>
      <c r="D10670" s="2">
        <v>0.1</v>
      </c>
      <c r="E10670" s="2">
        <v>1</v>
      </c>
      <c r="F10670" s="2" t="s">
        <v>488</v>
      </c>
    </row>
    <row r="10671" spans="1:6" ht="25.5">
      <c r="A10671" s="2">
        <v>10668</v>
      </c>
      <c r="B10671" s="2" t="s">
        <v>10745</v>
      </c>
      <c r="C10671" s="2" t="str">
        <f>"17530407"</f>
        <v>17530407</v>
      </c>
      <c r="D10671" s="2">
        <v>0.86299999999999999</v>
      </c>
      <c r="E10671" s="2">
        <v>11</v>
      </c>
      <c r="F10671" s="2" t="s">
        <v>6</v>
      </c>
    </row>
    <row r="10672" spans="1:6" ht="25.5">
      <c r="A10672" s="2">
        <v>10669</v>
      </c>
      <c r="B10672" s="2" t="s">
        <v>10746</v>
      </c>
      <c r="C10672" s="2" t="str">
        <f>"1873460X"</f>
        <v>1873460X</v>
      </c>
      <c r="D10672" s="2">
        <v>0.64700000000000002</v>
      </c>
      <c r="E10672" s="2">
        <v>54</v>
      </c>
      <c r="F10672" s="2" t="s">
        <v>6</v>
      </c>
    </row>
    <row r="10673" spans="1:6" ht="25.5">
      <c r="A10673" s="2">
        <v>10670</v>
      </c>
      <c r="B10673" s="2" t="s">
        <v>10747</v>
      </c>
      <c r="C10673" s="2" t="str">
        <f>"22516581"</f>
        <v>22516581</v>
      </c>
      <c r="D10673" s="2">
        <v>0</v>
      </c>
      <c r="E10673" s="2">
        <v>0</v>
      </c>
      <c r="F10673" s="2" t="s">
        <v>16</v>
      </c>
    </row>
    <row r="10674" spans="1:6" ht="25.5">
      <c r="A10674" s="2">
        <v>10671</v>
      </c>
      <c r="B10674" s="2" t="s">
        <v>10748</v>
      </c>
      <c r="C10674" s="2" t="str">
        <f>"20401124"</f>
        <v>20401124</v>
      </c>
      <c r="D10674" s="2">
        <v>0.625</v>
      </c>
      <c r="E10674" s="2">
        <v>6</v>
      </c>
      <c r="F10674" s="2" t="s">
        <v>127</v>
      </c>
    </row>
    <row r="10675" spans="1:6" ht="25.5">
      <c r="A10675" s="2">
        <v>10672</v>
      </c>
      <c r="B10675" s="2" t="s">
        <v>10749</v>
      </c>
      <c r="C10675" s="2" t="str">
        <f>"13681109"</f>
        <v>13681109</v>
      </c>
      <c r="D10675" s="2">
        <v>0.155</v>
      </c>
      <c r="E10675" s="2">
        <v>4</v>
      </c>
      <c r="F10675" s="2" t="s">
        <v>16</v>
      </c>
    </row>
    <row r="10676" spans="1:6" ht="25.5">
      <c r="A10676" s="2">
        <v>10673</v>
      </c>
      <c r="B10676" s="2" t="s">
        <v>10750</v>
      </c>
      <c r="C10676" s="2" t="str">
        <f>"19322968"</f>
        <v>19322968</v>
      </c>
      <c r="D10676" s="2">
        <v>0.42</v>
      </c>
      <c r="E10676" s="2">
        <v>17</v>
      </c>
      <c r="F10676" s="2" t="s">
        <v>6</v>
      </c>
    </row>
    <row r="10677" spans="1:6" ht="25.5">
      <c r="A10677" s="2">
        <v>10674</v>
      </c>
      <c r="B10677" s="2" t="s">
        <v>10751</v>
      </c>
      <c r="C10677" s="2" t="str">
        <f>"87564793"</f>
        <v>87564793</v>
      </c>
      <c r="D10677" s="2">
        <v>0.16</v>
      </c>
      <c r="E10677" s="2">
        <v>8</v>
      </c>
      <c r="F10677" s="2" t="s">
        <v>6</v>
      </c>
    </row>
    <row r="10678" spans="1:6" ht="25.5">
      <c r="A10678" s="2">
        <v>10675</v>
      </c>
      <c r="B10678" s="2" t="s">
        <v>10752</v>
      </c>
      <c r="C10678" s="2" t="str">
        <f>"1939022X"</f>
        <v>1939022X</v>
      </c>
      <c r="D10678" s="2">
        <v>0.13100000000000001</v>
      </c>
      <c r="E10678" s="2">
        <v>9</v>
      </c>
      <c r="F10678" s="2" t="s">
        <v>6</v>
      </c>
    </row>
    <row r="10679" spans="1:6" ht="25.5">
      <c r="A10679" s="2">
        <v>10676</v>
      </c>
      <c r="B10679" s="2" t="s">
        <v>10753</v>
      </c>
      <c r="C10679" s="2" t="str">
        <f>"15635120"</f>
        <v>15635120</v>
      </c>
      <c r="D10679" s="2">
        <v>0.745</v>
      </c>
      <c r="E10679" s="2">
        <v>27</v>
      </c>
      <c r="F10679" s="2" t="s">
        <v>16</v>
      </c>
    </row>
    <row r="10680" spans="1:6" ht="25.5">
      <c r="A10680" s="2">
        <v>10677</v>
      </c>
      <c r="B10680" s="2" t="s">
        <v>10754</v>
      </c>
      <c r="C10680" s="2" t="str">
        <f>"10902732"</f>
        <v>10902732</v>
      </c>
      <c r="D10680" s="2">
        <v>2.3199999999999998</v>
      </c>
      <c r="E10680" s="2">
        <v>59</v>
      </c>
      <c r="F10680" s="2" t="s">
        <v>6</v>
      </c>
    </row>
    <row r="10681" spans="1:6" ht="25.5">
      <c r="A10681" s="2">
        <v>10678</v>
      </c>
      <c r="B10681" s="2" t="s">
        <v>10755</v>
      </c>
      <c r="C10681" s="2" t="str">
        <f>"0022040X"</f>
        <v>0022040X</v>
      </c>
      <c r="D10681" s="2">
        <v>3.073</v>
      </c>
      <c r="E10681" s="2">
        <v>38</v>
      </c>
      <c r="F10681" s="2" t="s">
        <v>6</v>
      </c>
    </row>
    <row r="10682" spans="1:6" ht="25.5">
      <c r="A10682" s="2">
        <v>10679</v>
      </c>
      <c r="B10682" s="2" t="s">
        <v>10756</v>
      </c>
      <c r="C10682" s="2" t="str">
        <f>"17512980"</f>
        <v>17512980</v>
      </c>
      <c r="D10682" s="2">
        <v>0.64200000000000002</v>
      </c>
      <c r="E10682" s="2">
        <v>21</v>
      </c>
      <c r="F10682" s="2" t="s">
        <v>16</v>
      </c>
    </row>
    <row r="10683" spans="1:6" ht="25.5">
      <c r="A10683" s="2">
        <v>10680</v>
      </c>
      <c r="B10683" s="2" t="s">
        <v>10757</v>
      </c>
      <c r="C10683" s="2" t="str">
        <f>"1618727X"</f>
        <v>1618727X</v>
      </c>
      <c r="D10683" s="2">
        <v>0.5</v>
      </c>
      <c r="E10683" s="2">
        <v>26</v>
      </c>
      <c r="F10683" s="2" t="s">
        <v>6</v>
      </c>
    </row>
    <row r="10684" spans="1:6" ht="25.5">
      <c r="A10684" s="2">
        <v>10681</v>
      </c>
      <c r="B10684" s="2" t="s">
        <v>10758</v>
      </c>
      <c r="C10684" s="2" t="str">
        <f>"13687506"</f>
        <v>13687506</v>
      </c>
      <c r="D10684" s="2">
        <v>0.59499999999999997</v>
      </c>
      <c r="E10684" s="2">
        <v>16</v>
      </c>
      <c r="F10684" s="2" t="s">
        <v>16</v>
      </c>
    </row>
    <row r="10685" spans="1:6" ht="25.5">
      <c r="A10685" s="2">
        <v>10682</v>
      </c>
      <c r="B10685" s="2" t="s">
        <v>10759</v>
      </c>
      <c r="C10685" s="2" t="str">
        <f>"09727272"</f>
        <v>09727272</v>
      </c>
      <c r="D10685" s="2">
        <v>0.155</v>
      </c>
      <c r="E10685" s="2">
        <v>7</v>
      </c>
      <c r="F10685" s="2" t="s">
        <v>488</v>
      </c>
    </row>
    <row r="10686" spans="1:6" ht="25.5">
      <c r="A10686" s="2">
        <v>10683</v>
      </c>
      <c r="B10686" s="2" t="s">
        <v>10760</v>
      </c>
      <c r="C10686" s="2" t="str">
        <f>"17460174"</f>
        <v>17460174</v>
      </c>
      <c r="D10686" s="2">
        <v>0.16900000000000001</v>
      </c>
      <c r="E10686" s="2">
        <v>2</v>
      </c>
      <c r="F10686" s="2" t="s">
        <v>16</v>
      </c>
    </row>
    <row r="10687" spans="1:6" ht="25.5">
      <c r="A10687" s="2">
        <v>10684</v>
      </c>
      <c r="B10687" s="2" t="s">
        <v>10761</v>
      </c>
      <c r="C10687" s="2" t="str">
        <f>"10442073"</f>
        <v>10442073</v>
      </c>
      <c r="D10687" s="2">
        <v>0.27600000000000002</v>
      </c>
      <c r="E10687" s="2">
        <v>12</v>
      </c>
      <c r="F10687" s="2" t="s">
        <v>6</v>
      </c>
    </row>
    <row r="10688" spans="1:6" ht="25.5">
      <c r="A10688" s="2">
        <v>10685</v>
      </c>
      <c r="B10688" s="2" t="s">
        <v>10762</v>
      </c>
      <c r="C10688" s="2" t="str">
        <f>"18838030"</f>
        <v>18838030</v>
      </c>
      <c r="D10688" s="2">
        <v>0.109</v>
      </c>
      <c r="E10688" s="2">
        <v>2</v>
      </c>
      <c r="F10688" s="2" t="s">
        <v>131</v>
      </c>
    </row>
    <row r="10689" spans="1:6" ht="25.5">
      <c r="A10689" s="2">
        <v>10686</v>
      </c>
      <c r="B10689" s="2" t="s">
        <v>10763</v>
      </c>
      <c r="C10689" s="2" t="str">
        <f>"15708667"</f>
        <v>15708667</v>
      </c>
      <c r="D10689" s="2">
        <v>1.282</v>
      </c>
      <c r="E10689" s="2">
        <v>16</v>
      </c>
      <c r="F10689" s="2" t="s">
        <v>75</v>
      </c>
    </row>
    <row r="10690" spans="1:6" ht="25.5">
      <c r="A10690" s="2">
        <v>10687</v>
      </c>
      <c r="B10690" s="2" t="s">
        <v>10764</v>
      </c>
      <c r="C10690" s="2" t="str">
        <f>"09720529"</f>
        <v>09720529</v>
      </c>
      <c r="D10690" s="2">
        <v>0.11600000000000001</v>
      </c>
      <c r="E10690" s="2">
        <v>2</v>
      </c>
      <c r="F10690" s="2" t="s">
        <v>488</v>
      </c>
    </row>
    <row r="10691" spans="1:6" ht="25.5">
      <c r="A10691" s="2">
        <v>10688</v>
      </c>
      <c r="B10691" s="2" t="s">
        <v>10765</v>
      </c>
      <c r="C10691" s="2" t="str">
        <f>"15322351"</f>
        <v>15322351</v>
      </c>
      <c r="D10691" s="2">
        <v>0.26500000000000001</v>
      </c>
      <c r="E10691" s="2">
        <v>29</v>
      </c>
      <c r="F10691" s="2" t="s">
        <v>16</v>
      </c>
    </row>
    <row r="10692" spans="1:6" ht="25.5">
      <c r="A10692" s="2">
        <v>10689</v>
      </c>
      <c r="B10692" s="2" t="s">
        <v>10766</v>
      </c>
      <c r="C10692" s="2" t="str">
        <f>"19388926"</f>
        <v>19388926</v>
      </c>
      <c r="D10692" s="2">
        <v>0.65200000000000002</v>
      </c>
      <c r="E10692" s="2">
        <v>7</v>
      </c>
      <c r="F10692" s="2" t="s">
        <v>6</v>
      </c>
    </row>
    <row r="10693" spans="1:6" ht="25.5">
      <c r="A10693" s="2">
        <v>10690</v>
      </c>
      <c r="B10693" s="2" t="s">
        <v>10767</v>
      </c>
      <c r="C10693" s="2" t="str">
        <f>"15404811"</f>
        <v>15404811</v>
      </c>
      <c r="D10693" s="2">
        <v>0.36799999999999999</v>
      </c>
      <c r="E10693" s="2">
        <v>9</v>
      </c>
      <c r="F10693" s="2" t="s">
        <v>16</v>
      </c>
    </row>
    <row r="10694" spans="1:6" ht="25.5">
      <c r="A10694" s="2">
        <v>10691</v>
      </c>
      <c r="B10694" s="2" t="s">
        <v>10768</v>
      </c>
      <c r="C10694" s="2" t="str">
        <f>"00220418"</f>
        <v>00220418</v>
      </c>
      <c r="D10694" s="2">
        <v>1.42</v>
      </c>
      <c r="E10694" s="2">
        <v>40</v>
      </c>
      <c r="F10694" s="2" t="s">
        <v>16</v>
      </c>
    </row>
    <row r="10695" spans="1:6">
      <c r="A10695" s="2">
        <v>10692</v>
      </c>
      <c r="B10695" s="2" t="s">
        <v>10769</v>
      </c>
      <c r="C10695" s="2" t="str">
        <f>"0"</f>
        <v>0</v>
      </c>
      <c r="D10695" s="2">
        <v>0.11700000000000001</v>
      </c>
      <c r="E10695" s="2">
        <v>6</v>
      </c>
      <c r="F10695" s="2" t="s">
        <v>46</v>
      </c>
    </row>
    <row r="10696" spans="1:6" ht="25.5">
      <c r="A10696" s="2">
        <v>10693</v>
      </c>
      <c r="B10696" s="2" t="s">
        <v>10770</v>
      </c>
      <c r="C10696" s="2" t="str">
        <f>"17732247"</f>
        <v>17732247</v>
      </c>
      <c r="D10696" s="2">
        <v>0.41899999999999998</v>
      </c>
      <c r="E10696" s="2">
        <v>26</v>
      </c>
      <c r="F10696" s="2" t="s">
        <v>66</v>
      </c>
    </row>
    <row r="10697" spans="1:6" ht="25.5">
      <c r="A10697" s="2">
        <v>10694</v>
      </c>
      <c r="B10697" s="2" t="s">
        <v>10771</v>
      </c>
      <c r="C10697" s="2" t="str">
        <f>"15414159"</f>
        <v>15414159</v>
      </c>
      <c r="D10697" s="2">
        <v>0.23899999999999999</v>
      </c>
      <c r="E10697" s="2">
        <v>27</v>
      </c>
      <c r="F10697" s="2" t="s">
        <v>6</v>
      </c>
    </row>
    <row r="10698" spans="1:6" ht="25.5">
      <c r="A10698" s="2">
        <v>10695</v>
      </c>
      <c r="B10698" s="2" t="s">
        <v>10772</v>
      </c>
      <c r="C10698" s="2" t="str">
        <f>"00220426"</f>
        <v>00220426</v>
      </c>
      <c r="D10698" s="2">
        <v>0.372</v>
      </c>
      <c r="E10698" s="2">
        <v>35</v>
      </c>
      <c r="F10698" s="2" t="s">
        <v>6</v>
      </c>
    </row>
    <row r="10699" spans="1:6" ht="25.5">
      <c r="A10699" s="2">
        <v>10696</v>
      </c>
      <c r="B10699" s="2" t="s">
        <v>10773</v>
      </c>
      <c r="C10699" s="2" t="str">
        <f>"19412851"</f>
        <v>19412851</v>
      </c>
      <c r="D10699" s="2">
        <v>0</v>
      </c>
      <c r="E10699" s="2">
        <v>1</v>
      </c>
      <c r="F10699" s="2" t="s">
        <v>12</v>
      </c>
    </row>
    <row r="10700" spans="1:6" ht="25.5">
      <c r="A10700" s="2">
        <v>10697</v>
      </c>
      <c r="B10700" s="2" t="s">
        <v>10774</v>
      </c>
      <c r="C10700" s="2" t="str">
        <f>"15459616"</f>
        <v>15459616</v>
      </c>
      <c r="D10700" s="2">
        <v>0.63900000000000001</v>
      </c>
      <c r="E10700" s="2">
        <v>36</v>
      </c>
      <c r="F10700" s="2" t="s">
        <v>6</v>
      </c>
    </row>
    <row r="10701" spans="1:6" ht="25.5">
      <c r="A10701" s="2">
        <v>10698</v>
      </c>
      <c r="B10701" s="2" t="s">
        <v>10775</v>
      </c>
      <c r="C10701" s="2" t="str">
        <f>"1061186X"</f>
        <v>1061186X</v>
      </c>
      <c r="D10701" s="2">
        <v>0.86899999999999999</v>
      </c>
      <c r="E10701" s="2">
        <v>55</v>
      </c>
      <c r="F10701" s="2" t="s">
        <v>16</v>
      </c>
    </row>
    <row r="10702" spans="1:6" ht="25.5">
      <c r="A10702" s="2">
        <v>10699</v>
      </c>
      <c r="B10702" s="2" t="s">
        <v>10776</v>
      </c>
      <c r="C10702" s="2" t="str">
        <f>"15504271"</f>
        <v>15504271</v>
      </c>
      <c r="D10702" s="2">
        <v>0.29699999999999999</v>
      </c>
      <c r="E10702" s="2">
        <v>10</v>
      </c>
      <c r="F10702" s="2" t="s">
        <v>16</v>
      </c>
    </row>
    <row r="10703" spans="1:6" ht="25.5">
      <c r="A10703" s="2">
        <v>10700</v>
      </c>
      <c r="B10703" s="2" t="s">
        <v>10777</v>
      </c>
      <c r="C10703" s="2" t="str">
        <f>"10792724"</f>
        <v>10792724</v>
      </c>
      <c r="D10703" s="2">
        <v>0.48</v>
      </c>
      <c r="E10703" s="2">
        <v>20</v>
      </c>
      <c r="F10703" s="2" t="s">
        <v>6</v>
      </c>
    </row>
    <row r="10704" spans="1:6" ht="25.5">
      <c r="A10704" s="2">
        <v>10701</v>
      </c>
      <c r="B10704" s="2" t="s">
        <v>10778</v>
      </c>
      <c r="C10704" s="2" t="str">
        <f>"10407294"</f>
        <v>10407294</v>
      </c>
      <c r="D10704" s="2">
        <v>0.90900000000000003</v>
      </c>
      <c r="E10704" s="2">
        <v>26</v>
      </c>
      <c r="F10704" s="2" t="s">
        <v>6</v>
      </c>
    </row>
    <row r="10705" spans="1:6" ht="25.5">
      <c r="A10705" s="2">
        <v>10702</v>
      </c>
      <c r="B10705" s="2" t="s">
        <v>10779</v>
      </c>
      <c r="C10705" s="2" t="str">
        <f>"00220434"</f>
        <v>00220434</v>
      </c>
      <c r="D10705" s="2">
        <v>0.70099999999999996</v>
      </c>
      <c r="E10705" s="2">
        <v>53</v>
      </c>
      <c r="F10705" s="2" t="s">
        <v>6</v>
      </c>
    </row>
    <row r="10706" spans="1:6" ht="25.5">
      <c r="A10706" s="2">
        <v>10703</v>
      </c>
      <c r="B10706" s="2" t="s">
        <v>10780</v>
      </c>
      <c r="C10706" s="2" t="str">
        <f>"02724316"</f>
        <v>02724316</v>
      </c>
      <c r="D10706" s="2">
        <v>1.208</v>
      </c>
      <c r="E10706" s="2">
        <v>39</v>
      </c>
      <c r="F10706" s="2" t="s">
        <v>6</v>
      </c>
    </row>
    <row r="10707" spans="1:6" ht="25.5">
      <c r="A10707" s="2">
        <v>10704</v>
      </c>
      <c r="B10707" s="2" t="s">
        <v>10781</v>
      </c>
      <c r="C10707" s="2" t="str">
        <f>"14687984"</f>
        <v>14687984</v>
      </c>
      <c r="D10707" s="2">
        <v>0.32300000000000001</v>
      </c>
      <c r="E10707" s="2">
        <v>6</v>
      </c>
      <c r="F10707" s="2" t="s">
        <v>16</v>
      </c>
    </row>
    <row r="10708" spans="1:6" ht="25.5">
      <c r="A10708" s="2">
        <v>10705</v>
      </c>
      <c r="B10708" s="2" t="s">
        <v>10782</v>
      </c>
      <c r="C10708" s="2" t="str">
        <f>"1476718X"</f>
        <v>1476718X</v>
      </c>
      <c r="D10708" s="2">
        <v>0.42099999999999999</v>
      </c>
      <c r="E10708" s="2">
        <v>7</v>
      </c>
      <c r="F10708" s="2" t="s">
        <v>16</v>
      </c>
    </row>
    <row r="10709" spans="1:6" ht="25.5">
      <c r="A10709" s="2">
        <v>10706</v>
      </c>
      <c r="B10709" s="2" t="s">
        <v>10783</v>
      </c>
      <c r="C10709" s="2" t="str">
        <f>"10901027"</f>
        <v>10901027</v>
      </c>
      <c r="D10709" s="2">
        <v>0.23300000000000001</v>
      </c>
      <c r="E10709" s="2">
        <v>5</v>
      </c>
      <c r="F10709" s="2" t="s">
        <v>16</v>
      </c>
    </row>
    <row r="10710" spans="1:6" ht="25.5">
      <c r="A10710" s="2">
        <v>10707</v>
      </c>
      <c r="B10710" s="2" t="s">
        <v>10784</v>
      </c>
      <c r="C10710" s="2" t="str">
        <f>"10676341"</f>
        <v>10676341</v>
      </c>
      <c r="D10710" s="2">
        <v>0.192</v>
      </c>
      <c r="E10710" s="2">
        <v>7</v>
      </c>
      <c r="F10710" s="2" t="s">
        <v>6</v>
      </c>
    </row>
    <row r="10711" spans="1:6" ht="25.5">
      <c r="A10711" s="2">
        <v>10708</v>
      </c>
      <c r="B10711" s="2" t="s">
        <v>10785</v>
      </c>
      <c r="C10711" s="2" t="str">
        <f>"10538151"</f>
        <v>10538151</v>
      </c>
      <c r="D10711" s="2">
        <v>0.51200000000000001</v>
      </c>
      <c r="E10711" s="2">
        <v>22</v>
      </c>
      <c r="F10711" s="2" t="s">
        <v>6</v>
      </c>
    </row>
    <row r="10712" spans="1:6" ht="25.5">
      <c r="A10712" s="2">
        <v>10709</v>
      </c>
      <c r="B10712" s="2" t="s">
        <v>10786</v>
      </c>
      <c r="C10712" s="2" t="str">
        <f>"15700658"</f>
        <v>15700658</v>
      </c>
      <c r="D10712" s="2">
        <v>0.1</v>
      </c>
      <c r="E10712" s="2">
        <v>7</v>
      </c>
      <c r="F10712" s="2" t="s">
        <v>75</v>
      </c>
    </row>
    <row r="10713" spans="1:6" ht="25.5">
      <c r="A10713" s="2">
        <v>10710</v>
      </c>
      <c r="B10713" s="2" t="s">
        <v>10787</v>
      </c>
      <c r="C10713" s="2" t="str">
        <f>"17934311"</f>
        <v>17934311</v>
      </c>
      <c r="D10713" s="2">
        <v>0.20699999999999999</v>
      </c>
      <c r="E10713" s="2">
        <v>4</v>
      </c>
      <c r="F10713" s="2" t="s">
        <v>543</v>
      </c>
    </row>
    <row r="10714" spans="1:6" ht="25.5">
      <c r="A10714" s="2">
        <v>10711</v>
      </c>
      <c r="B10714" s="2" t="s">
        <v>10788</v>
      </c>
      <c r="C10714" s="2" t="str">
        <f>"13632469"</f>
        <v>13632469</v>
      </c>
      <c r="D10714" s="2">
        <v>0.82</v>
      </c>
      <c r="E10714" s="2">
        <v>33</v>
      </c>
      <c r="F10714" s="2" t="s">
        <v>16</v>
      </c>
    </row>
    <row r="10715" spans="1:6" ht="25.5">
      <c r="A10715" s="2">
        <v>10712</v>
      </c>
      <c r="B10715" s="2" t="s">
        <v>10789</v>
      </c>
      <c r="C10715" s="2" t="str">
        <f>"1867111X"</f>
        <v>1867111X</v>
      </c>
      <c r="D10715" s="2">
        <v>0.27500000000000002</v>
      </c>
      <c r="E10715" s="2">
        <v>8</v>
      </c>
      <c r="F10715" s="2" t="s">
        <v>46</v>
      </c>
    </row>
    <row r="10716" spans="1:6" ht="25.5">
      <c r="A10716" s="2">
        <v>10713</v>
      </c>
      <c r="B10716" s="2" t="s">
        <v>10790</v>
      </c>
      <c r="C10716" s="2" t="str">
        <f>"15728560"</f>
        <v>15728560</v>
      </c>
      <c r="D10716" s="2">
        <v>0.46600000000000003</v>
      </c>
      <c r="E10716" s="2">
        <v>14</v>
      </c>
      <c r="F10716" s="2" t="s">
        <v>75</v>
      </c>
    </row>
    <row r="10717" spans="1:6" ht="25.5">
      <c r="A10717" s="2">
        <v>10714</v>
      </c>
      <c r="B10717" s="2" t="s">
        <v>10791</v>
      </c>
      <c r="C10717" s="2" t="str">
        <f>"15982408"</f>
        <v>15982408</v>
      </c>
      <c r="D10717" s="2">
        <v>0.58599999999999997</v>
      </c>
      <c r="E10717" s="2">
        <v>5</v>
      </c>
      <c r="F10717" s="2" t="s">
        <v>6</v>
      </c>
    </row>
    <row r="10718" spans="1:6" ht="25.5">
      <c r="A10718" s="2">
        <v>10715</v>
      </c>
      <c r="B10718" s="2" t="s">
        <v>10792</v>
      </c>
      <c r="C10718" s="2" t="str">
        <f>"17531063"</f>
        <v>17531063</v>
      </c>
      <c r="D10718" s="2">
        <v>0.44700000000000001</v>
      </c>
      <c r="E10718" s="2">
        <v>4</v>
      </c>
      <c r="F10718" s="2" t="s">
        <v>16</v>
      </c>
    </row>
    <row r="10719" spans="1:6" ht="25.5">
      <c r="A10719" s="2">
        <v>10716</v>
      </c>
      <c r="B10719" s="2" t="s">
        <v>10793</v>
      </c>
      <c r="C10719" s="2" t="str">
        <f>"15286959"</f>
        <v>15286959</v>
      </c>
      <c r="D10719" s="2">
        <v>0.224</v>
      </c>
      <c r="E10719" s="2">
        <v>6</v>
      </c>
      <c r="F10719" s="2" t="s">
        <v>16</v>
      </c>
    </row>
    <row r="10720" spans="1:6" ht="25.5">
      <c r="A10720" s="2">
        <v>10717</v>
      </c>
      <c r="B10720" s="2" t="s">
        <v>10794</v>
      </c>
      <c r="C10720" s="2" t="str">
        <f>"14697637"</f>
        <v>14697637</v>
      </c>
      <c r="D10720" s="2">
        <v>0.16700000000000001</v>
      </c>
      <c r="E10720" s="2">
        <v>7</v>
      </c>
      <c r="F10720" s="2" t="s">
        <v>16</v>
      </c>
    </row>
    <row r="10721" spans="1:6" ht="25.5">
      <c r="A10721" s="2">
        <v>10718</v>
      </c>
      <c r="B10721" s="2" t="s">
        <v>10795</v>
      </c>
      <c r="C10721" s="2" t="str">
        <f>"1880344X"</f>
        <v>1880344X</v>
      </c>
      <c r="D10721" s="2">
        <v>0.155</v>
      </c>
      <c r="E10721" s="2">
        <v>3</v>
      </c>
      <c r="F10721" s="2" t="s">
        <v>131</v>
      </c>
    </row>
    <row r="10722" spans="1:6" ht="25.5">
      <c r="A10722" s="2">
        <v>10719</v>
      </c>
      <c r="B10722" s="2" t="s">
        <v>10796</v>
      </c>
      <c r="C10722" s="2" t="str">
        <f>"13652745"</f>
        <v>13652745</v>
      </c>
      <c r="D10722" s="2">
        <v>3.145</v>
      </c>
      <c r="E10722" s="2">
        <v>102</v>
      </c>
      <c r="F10722" s="2" t="s">
        <v>16</v>
      </c>
    </row>
    <row r="10723" spans="1:6" ht="25.5">
      <c r="A10723" s="2">
        <v>10720</v>
      </c>
      <c r="B10723" s="2" t="s">
        <v>10797</v>
      </c>
      <c r="C10723" s="2" t="str">
        <f>"1975020X"</f>
        <v>1975020X</v>
      </c>
      <c r="D10723" s="2">
        <v>0.188</v>
      </c>
      <c r="E10723" s="2">
        <v>3</v>
      </c>
      <c r="F10723" s="2" t="s">
        <v>274</v>
      </c>
    </row>
    <row r="10724" spans="1:6" ht="25.5">
      <c r="A10724" s="2">
        <v>10721</v>
      </c>
      <c r="B10724" s="2" t="s">
        <v>10798</v>
      </c>
      <c r="C10724" s="2" t="str">
        <f>"16734831"</f>
        <v>16734831</v>
      </c>
      <c r="D10724" s="2">
        <v>0.13</v>
      </c>
      <c r="E10724" s="2">
        <v>7</v>
      </c>
      <c r="F10724" s="2" t="s">
        <v>46</v>
      </c>
    </row>
    <row r="10725" spans="1:6" ht="25.5">
      <c r="A10725" s="2">
        <v>10722</v>
      </c>
      <c r="B10725" s="2" t="s">
        <v>10799</v>
      </c>
      <c r="C10725" s="2" t="str">
        <f>"03044076"</f>
        <v>03044076</v>
      </c>
      <c r="D10725" s="2">
        <v>4.1660000000000004</v>
      </c>
      <c r="E10725" s="2">
        <v>86</v>
      </c>
      <c r="F10725" s="2" t="s">
        <v>75</v>
      </c>
    </row>
    <row r="10726" spans="1:6" ht="25.5">
      <c r="A10726" s="2">
        <v>10723</v>
      </c>
      <c r="B10726" s="2" t="s">
        <v>10800</v>
      </c>
      <c r="C10726" s="2" t="str">
        <f>"07479662"</f>
        <v>07479662</v>
      </c>
      <c r="D10726" s="2">
        <v>0.24299999999999999</v>
      </c>
      <c r="E10726" s="2">
        <v>13</v>
      </c>
      <c r="F10726" s="2" t="s">
        <v>75</v>
      </c>
    </row>
    <row r="10727" spans="1:6" ht="25.5">
      <c r="A10727" s="2">
        <v>10724</v>
      </c>
      <c r="B10727" s="2" t="s">
        <v>10801</v>
      </c>
      <c r="C10727" s="2" t="str">
        <f>"01672681"</f>
        <v>01672681</v>
      </c>
      <c r="D10727" s="2">
        <v>1.258</v>
      </c>
      <c r="E10727" s="2">
        <v>55</v>
      </c>
      <c r="F10727" s="2" t="s">
        <v>75</v>
      </c>
    </row>
    <row r="10728" spans="1:6" ht="25.5">
      <c r="A10728" s="2">
        <v>10725</v>
      </c>
      <c r="B10728" s="2" t="s">
        <v>10802</v>
      </c>
      <c r="C10728" s="2" t="str">
        <f>"13087800"</f>
        <v>13087800</v>
      </c>
      <c r="D10728" s="2">
        <v>0.13</v>
      </c>
      <c r="E10728" s="2">
        <v>3</v>
      </c>
      <c r="F10728" s="2" t="s">
        <v>345</v>
      </c>
    </row>
    <row r="10729" spans="1:6" ht="25.5">
      <c r="A10729" s="2">
        <v>10726</v>
      </c>
      <c r="B10729" s="2" t="s">
        <v>10803</v>
      </c>
      <c r="C10729" s="2" t="str">
        <f>"01651889"</f>
        <v>01651889</v>
      </c>
      <c r="D10729" s="2">
        <v>1.1120000000000001</v>
      </c>
      <c r="E10729" s="2">
        <v>47</v>
      </c>
      <c r="F10729" s="2" t="s">
        <v>75</v>
      </c>
    </row>
    <row r="10730" spans="1:6" ht="25.5">
      <c r="A10730" s="2">
        <v>10727</v>
      </c>
      <c r="B10730" s="2" t="s">
        <v>10804</v>
      </c>
      <c r="C10730" s="2" t="str">
        <f>"00220485"</f>
        <v>00220485</v>
      </c>
      <c r="D10730" s="2">
        <v>0.23300000000000001</v>
      </c>
      <c r="E10730" s="2">
        <v>22</v>
      </c>
      <c r="F10730" s="2" t="s">
        <v>16</v>
      </c>
    </row>
    <row r="10731" spans="1:6" ht="25.5">
      <c r="A10731" s="2">
        <v>10728</v>
      </c>
      <c r="B10731" s="2" t="s">
        <v>10805</v>
      </c>
      <c r="C10731" s="2" t="str">
        <f>"00220493"</f>
        <v>00220493</v>
      </c>
      <c r="D10731" s="2">
        <v>0.99099999999999999</v>
      </c>
      <c r="E10731" s="2">
        <v>58</v>
      </c>
      <c r="F10731" s="2" t="s">
        <v>6</v>
      </c>
    </row>
    <row r="10732" spans="1:6" ht="25.5">
      <c r="A10732" s="2">
        <v>10729</v>
      </c>
      <c r="B10732" s="2" t="s">
        <v>10806</v>
      </c>
      <c r="C10732" s="2" t="str">
        <f>"14682710"</f>
        <v>14682710</v>
      </c>
      <c r="D10732" s="2">
        <v>2.3660000000000001</v>
      </c>
      <c r="E10732" s="2">
        <v>45</v>
      </c>
      <c r="F10732" s="2" t="s">
        <v>16</v>
      </c>
    </row>
    <row r="10733" spans="1:6" ht="25.5">
      <c r="A10733" s="2">
        <v>10730</v>
      </c>
      <c r="B10733" s="2" t="s">
        <v>10807</v>
      </c>
      <c r="C10733" s="2" t="str">
        <f>"15737020"</f>
        <v>15737020</v>
      </c>
      <c r="D10733" s="2">
        <v>2.0950000000000002</v>
      </c>
      <c r="E10733" s="2">
        <v>49</v>
      </c>
      <c r="F10733" s="2" t="s">
        <v>6</v>
      </c>
    </row>
    <row r="10734" spans="1:6" ht="25.5">
      <c r="A10734" s="2">
        <v>10731</v>
      </c>
      <c r="B10734" s="2" t="s">
        <v>10808</v>
      </c>
      <c r="C10734" s="2" t="str">
        <f>"14716372"</f>
        <v>14716372</v>
      </c>
      <c r="D10734" s="2">
        <v>1.3540000000000001</v>
      </c>
      <c r="E10734" s="2">
        <v>28</v>
      </c>
      <c r="F10734" s="2" t="s">
        <v>16</v>
      </c>
    </row>
    <row r="10735" spans="1:6" ht="25.5">
      <c r="A10735" s="2">
        <v>10732</v>
      </c>
      <c r="B10735" s="2" t="s">
        <v>10809</v>
      </c>
      <c r="C10735" s="2" t="str">
        <f>"15691721"</f>
        <v>15691721</v>
      </c>
      <c r="D10735" s="2">
        <v>1.5389999999999999</v>
      </c>
      <c r="E10735" s="2">
        <v>12</v>
      </c>
      <c r="F10735" s="2" t="s">
        <v>75</v>
      </c>
    </row>
    <row r="10736" spans="1:6" ht="25.5">
      <c r="A10736" s="2">
        <v>10733</v>
      </c>
      <c r="B10736" s="2" t="s">
        <v>10810</v>
      </c>
      <c r="C10736" s="2" t="str">
        <f>"18607128"</f>
        <v>18607128</v>
      </c>
      <c r="D10736" s="2">
        <v>0.29599999999999999</v>
      </c>
      <c r="E10736" s="2">
        <v>8</v>
      </c>
      <c r="F10736" s="2" t="s">
        <v>12</v>
      </c>
    </row>
    <row r="10737" spans="1:6" ht="25.5">
      <c r="A10737" s="2">
        <v>10734</v>
      </c>
      <c r="B10737" s="2" t="s">
        <v>10811</v>
      </c>
      <c r="C10737" s="2" t="str">
        <f>"00213624"</f>
        <v>00213624</v>
      </c>
      <c r="D10737" s="2">
        <v>0.38500000000000001</v>
      </c>
      <c r="E10737" s="2">
        <v>23</v>
      </c>
      <c r="F10737" s="2" t="s">
        <v>6</v>
      </c>
    </row>
    <row r="10738" spans="1:6" ht="25.5">
      <c r="A10738" s="2">
        <v>10735</v>
      </c>
      <c r="B10738" s="2" t="s">
        <v>10812</v>
      </c>
      <c r="C10738" s="2" t="str">
        <f>"00220515"</f>
        <v>00220515</v>
      </c>
      <c r="D10738" s="2">
        <v>13.129</v>
      </c>
      <c r="E10738" s="2">
        <v>97</v>
      </c>
      <c r="F10738" s="2" t="s">
        <v>6</v>
      </c>
    </row>
    <row r="10739" spans="1:6" ht="25.5">
      <c r="A10739" s="2">
        <v>10736</v>
      </c>
      <c r="B10739" s="2" t="s">
        <v>10813</v>
      </c>
      <c r="C10739" s="2" t="str">
        <f>"14699427"</f>
        <v>14699427</v>
      </c>
      <c r="D10739" s="2">
        <v>0.191</v>
      </c>
      <c r="E10739" s="2">
        <v>15</v>
      </c>
      <c r="F10739" s="2" t="s">
        <v>6</v>
      </c>
    </row>
    <row r="10740" spans="1:6" ht="25.5">
      <c r="A10740" s="2">
        <v>10737</v>
      </c>
      <c r="B10740" s="2" t="s">
        <v>10814</v>
      </c>
      <c r="C10740" s="2" t="str">
        <f>"08953309"</f>
        <v>08953309</v>
      </c>
      <c r="D10740" s="2">
        <v>4.4160000000000004</v>
      </c>
      <c r="E10740" s="2">
        <v>104</v>
      </c>
      <c r="F10740" s="2" t="s">
        <v>6</v>
      </c>
    </row>
    <row r="10741" spans="1:6" ht="25.5">
      <c r="A10741" s="2">
        <v>10738</v>
      </c>
      <c r="B10741" s="2" t="s">
        <v>10815</v>
      </c>
      <c r="C10741" s="2" t="str">
        <f>"17487870"</f>
        <v>17487870</v>
      </c>
      <c r="D10741" s="2">
        <v>0.34399999999999997</v>
      </c>
      <c r="E10741" s="2">
        <v>6</v>
      </c>
      <c r="F10741" s="2" t="s">
        <v>16</v>
      </c>
    </row>
    <row r="10742" spans="1:6" ht="25.5">
      <c r="A10742" s="2">
        <v>10739</v>
      </c>
      <c r="B10742" s="2" t="s">
        <v>10816</v>
      </c>
      <c r="C10742" s="2" t="str">
        <f>"01674870"</f>
        <v>01674870</v>
      </c>
      <c r="D10742" s="2">
        <v>0.92700000000000005</v>
      </c>
      <c r="E10742" s="2">
        <v>42</v>
      </c>
      <c r="F10742" s="2" t="s">
        <v>75</v>
      </c>
    </row>
    <row r="10743" spans="1:6" ht="25.5">
      <c r="A10743" s="2">
        <v>10740</v>
      </c>
      <c r="B10743" s="2" t="s">
        <v>10817</v>
      </c>
      <c r="C10743" s="2" t="str">
        <f>"01486195"</f>
        <v>01486195</v>
      </c>
      <c r="D10743" s="2">
        <v>0.495</v>
      </c>
      <c r="E10743" s="2">
        <v>26</v>
      </c>
      <c r="F10743" s="2" t="s">
        <v>6</v>
      </c>
    </row>
    <row r="10744" spans="1:6" ht="25.5">
      <c r="A10744" s="2">
        <v>10741</v>
      </c>
      <c r="B10744" s="2" t="s">
        <v>10818</v>
      </c>
      <c r="C10744" s="2" t="str">
        <f>"15333604"</f>
        <v>15333604</v>
      </c>
      <c r="D10744" s="2">
        <v>0.13400000000000001</v>
      </c>
      <c r="E10744" s="2">
        <v>2</v>
      </c>
      <c r="F10744" s="2" t="s">
        <v>6</v>
      </c>
    </row>
    <row r="10745" spans="1:6" ht="25.5">
      <c r="A10745" s="2">
        <v>10742</v>
      </c>
      <c r="B10745" s="2" t="s">
        <v>10819</v>
      </c>
      <c r="C10745" s="2" t="str">
        <f>"19389744"</f>
        <v>19389744</v>
      </c>
      <c r="D10745" s="2">
        <v>0.30099999999999999</v>
      </c>
      <c r="E10745" s="2">
        <v>15</v>
      </c>
      <c r="F10745" s="2" t="s">
        <v>6</v>
      </c>
    </row>
    <row r="10746" spans="1:6" ht="25.5">
      <c r="A10746" s="2">
        <v>10743</v>
      </c>
      <c r="B10746" s="2" t="s">
        <v>10820</v>
      </c>
      <c r="C10746" s="2" t="str">
        <f>"15309134"</f>
        <v>15309134</v>
      </c>
      <c r="D10746" s="2">
        <v>1.496</v>
      </c>
      <c r="E10746" s="2">
        <v>38</v>
      </c>
      <c r="F10746" s="2" t="s">
        <v>16</v>
      </c>
    </row>
    <row r="10747" spans="1:6" ht="25.5">
      <c r="A10747" s="2">
        <v>10744</v>
      </c>
      <c r="B10747" s="2" t="s">
        <v>10821</v>
      </c>
      <c r="C10747" s="2" t="str">
        <f>"01443585"</f>
        <v>01443585</v>
      </c>
      <c r="D10747" s="2">
        <v>0.64800000000000002</v>
      </c>
      <c r="E10747" s="2">
        <v>19</v>
      </c>
      <c r="F10747" s="2" t="s">
        <v>16</v>
      </c>
    </row>
    <row r="10748" spans="1:6" ht="25.5">
      <c r="A10748" s="2">
        <v>10745</v>
      </c>
      <c r="B10748" s="2" t="s">
        <v>10822</v>
      </c>
      <c r="C10748" s="2" t="str">
        <f>"14676419"</f>
        <v>14676419</v>
      </c>
      <c r="D10748" s="2">
        <v>0.76700000000000002</v>
      </c>
      <c r="E10748" s="2">
        <v>47</v>
      </c>
      <c r="F10748" s="2" t="s">
        <v>16</v>
      </c>
    </row>
    <row r="10749" spans="1:6" ht="25.5">
      <c r="A10749" s="2">
        <v>10746</v>
      </c>
      <c r="B10749" s="2" t="s">
        <v>10823</v>
      </c>
      <c r="C10749" s="2" t="str">
        <f>"09318658"</f>
        <v>09318658</v>
      </c>
      <c r="D10749" s="2">
        <v>0.39300000000000002</v>
      </c>
      <c r="E10749" s="2">
        <v>18</v>
      </c>
      <c r="F10749" s="2" t="s">
        <v>288</v>
      </c>
    </row>
    <row r="10750" spans="1:6" ht="25.5">
      <c r="A10750" s="2">
        <v>10747</v>
      </c>
      <c r="B10750" s="2" t="s">
        <v>10824</v>
      </c>
      <c r="C10750" s="2" t="str">
        <f>"10957235"</f>
        <v>10957235</v>
      </c>
      <c r="D10750" s="2">
        <v>3.95</v>
      </c>
      <c r="E10750" s="2">
        <v>56</v>
      </c>
      <c r="F10750" s="2" t="s">
        <v>6</v>
      </c>
    </row>
    <row r="10751" spans="1:6" ht="25.5">
      <c r="A10751" s="2">
        <v>10748</v>
      </c>
      <c r="B10751" s="2" t="s">
        <v>10825</v>
      </c>
      <c r="C10751" s="2" t="str">
        <f>"12292893"</f>
        <v>12292893</v>
      </c>
      <c r="D10751" s="2">
        <v>0.123</v>
      </c>
      <c r="E10751" s="2">
        <v>1</v>
      </c>
      <c r="F10751" s="2" t="s">
        <v>6</v>
      </c>
    </row>
    <row r="10752" spans="1:6" ht="25.5">
      <c r="A10752" s="2">
        <v>10749</v>
      </c>
      <c r="B10752" s="2" t="s">
        <v>10826</v>
      </c>
      <c r="C10752" s="2" t="str">
        <f>"09724397"</f>
        <v>09724397</v>
      </c>
      <c r="D10752" s="2">
        <v>0.161</v>
      </c>
      <c r="E10752" s="2">
        <v>5</v>
      </c>
      <c r="F10752" s="2" t="s">
        <v>488</v>
      </c>
    </row>
    <row r="10753" spans="1:6" ht="25.5">
      <c r="A10753" s="2">
        <v>10750</v>
      </c>
      <c r="B10753" s="2" t="s">
        <v>10827</v>
      </c>
      <c r="C10753" s="2" t="str">
        <f>"14724049"</f>
        <v>14724049</v>
      </c>
      <c r="D10753" s="2">
        <v>0.36099999999999999</v>
      </c>
      <c r="E10753" s="2">
        <v>15</v>
      </c>
      <c r="F10753" s="2" t="s">
        <v>16</v>
      </c>
    </row>
    <row r="10754" spans="1:6" ht="25.5">
      <c r="A10754" s="2">
        <v>10751</v>
      </c>
      <c r="B10754" s="2" t="s">
        <v>10828</v>
      </c>
      <c r="C10754" s="2" t="str">
        <f>"15334112"</f>
        <v>15334112</v>
      </c>
      <c r="D10754" s="2">
        <v>0.67700000000000005</v>
      </c>
      <c r="E10754" s="2">
        <v>36</v>
      </c>
      <c r="F10754" s="2" t="s">
        <v>6</v>
      </c>
    </row>
    <row r="10755" spans="1:6" ht="25.5">
      <c r="A10755" s="2">
        <v>10752</v>
      </c>
      <c r="B10755" s="2" t="s">
        <v>10829</v>
      </c>
      <c r="C10755" s="2" t="str">
        <f>"09578234"</f>
        <v>09578234</v>
      </c>
      <c r="D10755" s="2">
        <v>0.69</v>
      </c>
      <c r="E10755" s="2">
        <v>15</v>
      </c>
      <c r="F10755" s="2" t="s">
        <v>16</v>
      </c>
    </row>
    <row r="10756" spans="1:6" ht="25.5">
      <c r="A10756" s="2">
        <v>10753</v>
      </c>
      <c r="B10756" s="2" t="s">
        <v>10830</v>
      </c>
      <c r="C10756" s="2" t="str">
        <f>"00220620"</f>
        <v>00220620</v>
      </c>
      <c r="D10756" s="2">
        <v>0.38</v>
      </c>
      <c r="E10756" s="2">
        <v>3</v>
      </c>
      <c r="F10756" s="2" t="s">
        <v>16</v>
      </c>
    </row>
    <row r="10757" spans="1:6" ht="25.5">
      <c r="A10757" s="2">
        <v>10754</v>
      </c>
      <c r="B10757" s="2" t="s">
        <v>10831</v>
      </c>
      <c r="C10757" s="2" t="str">
        <f>"10769986"</f>
        <v>10769986</v>
      </c>
      <c r="D10757" s="2">
        <v>1.2390000000000001</v>
      </c>
      <c r="E10757" s="2">
        <v>33</v>
      </c>
      <c r="F10757" s="2" t="s">
        <v>6</v>
      </c>
    </row>
    <row r="10758" spans="1:6" ht="25.5">
      <c r="A10758" s="2">
        <v>10755</v>
      </c>
      <c r="B10758" s="2" t="s">
        <v>10832</v>
      </c>
      <c r="C10758" s="2" t="str">
        <f>"1532768X"</f>
        <v>1532768X</v>
      </c>
      <c r="D10758" s="2">
        <v>0.51800000000000002</v>
      </c>
      <c r="E10758" s="2">
        <v>16</v>
      </c>
      <c r="F10758" s="2" t="s">
        <v>16</v>
      </c>
    </row>
    <row r="10759" spans="1:6" ht="25.5">
      <c r="A10759" s="2">
        <v>10756</v>
      </c>
      <c r="B10759" s="2" t="s">
        <v>10833</v>
      </c>
      <c r="C10759" s="2" t="str">
        <f>"13892843"</f>
        <v>13892843</v>
      </c>
      <c r="D10759" s="2">
        <v>1.2310000000000001</v>
      </c>
      <c r="E10759" s="2">
        <v>12</v>
      </c>
      <c r="F10759" s="2" t="s">
        <v>75</v>
      </c>
    </row>
    <row r="10760" spans="1:6" ht="25.5">
      <c r="A10760" s="2">
        <v>10757</v>
      </c>
      <c r="B10760" s="2" t="s">
        <v>10834</v>
      </c>
      <c r="C10760" s="2" t="str">
        <f>"15414140"</f>
        <v>15414140</v>
      </c>
      <c r="D10760" s="2">
        <v>0.55100000000000005</v>
      </c>
      <c r="E10760" s="2">
        <v>31</v>
      </c>
      <c r="F10760" s="2" t="s">
        <v>6</v>
      </c>
    </row>
    <row r="10761" spans="1:6" ht="25.5">
      <c r="A10761" s="2">
        <v>10758</v>
      </c>
      <c r="B10761" s="2" t="s">
        <v>10835</v>
      </c>
      <c r="C10761" s="2" t="str">
        <f>"14445530"</f>
        <v>14445530</v>
      </c>
      <c r="D10761" s="2">
        <v>0.106</v>
      </c>
      <c r="E10761" s="2">
        <v>8</v>
      </c>
      <c r="F10761" s="2" t="s">
        <v>127</v>
      </c>
    </row>
    <row r="10762" spans="1:6" ht="25.5">
      <c r="A10762" s="2">
        <v>10759</v>
      </c>
      <c r="B10762" s="2" t="s">
        <v>10836</v>
      </c>
      <c r="C10762" s="2" t="str">
        <f>"00220655"</f>
        <v>00220655</v>
      </c>
      <c r="D10762" s="2">
        <v>1.575</v>
      </c>
      <c r="E10762" s="2">
        <v>27</v>
      </c>
      <c r="F10762" s="2" t="s">
        <v>16</v>
      </c>
    </row>
    <row r="10763" spans="1:6" ht="25.5">
      <c r="A10763" s="2">
        <v>10760</v>
      </c>
      <c r="B10763" s="2" t="s">
        <v>10837</v>
      </c>
      <c r="C10763" s="2" t="str">
        <f>"1013090X"</f>
        <v>1013090X</v>
      </c>
      <c r="D10763" s="2">
        <v>0.105</v>
      </c>
      <c r="E10763" s="2">
        <v>3</v>
      </c>
      <c r="F10763" s="2" t="s">
        <v>165</v>
      </c>
    </row>
    <row r="10764" spans="1:6" ht="25.5">
      <c r="A10764" s="2">
        <v>10761</v>
      </c>
      <c r="B10764" s="2" t="s">
        <v>10838</v>
      </c>
      <c r="C10764" s="2" t="str">
        <f>"20416946"</f>
        <v>20416946</v>
      </c>
      <c r="D10764" s="2">
        <v>0.111</v>
      </c>
      <c r="E10764" s="2">
        <v>2</v>
      </c>
      <c r="F10764" s="2" t="s">
        <v>6</v>
      </c>
    </row>
    <row r="10765" spans="1:6" ht="25.5">
      <c r="A10765" s="2">
        <v>10762</v>
      </c>
      <c r="B10765" s="2" t="s">
        <v>10839</v>
      </c>
      <c r="C10765" s="2" t="str">
        <f>"00220663"</f>
        <v>00220663</v>
      </c>
      <c r="D10765" s="2">
        <v>2.806</v>
      </c>
      <c r="E10765" s="2">
        <v>102</v>
      </c>
      <c r="F10765" s="2" t="s">
        <v>6</v>
      </c>
    </row>
    <row r="10766" spans="1:6" ht="25.5">
      <c r="A10766" s="2">
        <v>10763</v>
      </c>
      <c r="B10766" s="2" t="s">
        <v>10840</v>
      </c>
      <c r="C10766" s="2" t="str">
        <f>"00220671"</f>
        <v>00220671</v>
      </c>
      <c r="D10766" s="2">
        <v>0.72399999999999998</v>
      </c>
      <c r="E10766" s="2">
        <v>38</v>
      </c>
      <c r="F10766" s="2" t="s">
        <v>16</v>
      </c>
    </row>
    <row r="10767" spans="1:6" ht="25.5">
      <c r="A10767" s="2">
        <v>10764</v>
      </c>
      <c r="B10767" s="2" t="s">
        <v>10841</v>
      </c>
      <c r="C10767" s="2" t="str">
        <f>"00220701"</f>
        <v>00220701</v>
      </c>
      <c r="D10767" s="2">
        <v>0.156</v>
      </c>
      <c r="E10767" s="2">
        <v>4</v>
      </c>
      <c r="F10767" s="2" t="s">
        <v>64</v>
      </c>
    </row>
    <row r="10768" spans="1:6" ht="25.5">
      <c r="A10768" s="2">
        <v>10765</v>
      </c>
      <c r="B10768" s="2" t="s">
        <v>10842</v>
      </c>
      <c r="C10768" s="2" t="str">
        <f>"19347200"</f>
        <v>19347200</v>
      </c>
      <c r="D10768" s="2">
        <v>0.17399999999999999</v>
      </c>
      <c r="E10768" s="2">
        <v>2</v>
      </c>
      <c r="F10768" s="2" t="s">
        <v>6</v>
      </c>
    </row>
    <row r="10769" spans="1:6" ht="25.5">
      <c r="A10769" s="2">
        <v>10766</v>
      </c>
      <c r="B10769" s="2" t="s">
        <v>10843</v>
      </c>
      <c r="C10769" s="2" t="str">
        <f>"13639080"</f>
        <v>13639080</v>
      </c>
      <c r="D10769" s="2">
        <v>0.70799999999999996</v>
      </c>
      <c r="E10769" s="2">
        <v>12</v>
      </c>
      <c r="F10769" s="2" t="s">
        <v>16</v>
      </c>
    </row>
    <row r="10770" spans="1:6" ht="25.5">
      <c r="A10770" s="2">
        <v>10767</v>
      </c>
      <c r="B10770" s="2" t="s">
        <v>10844</v>
      </c>
      <c r="C10770" s="2" t="str">
        <f>"00989495"</f>
        <v>00989495</v>
      </c>
      <c r="D10770" s="2">
        <v>0.30099999999999999</v>
      </c>
      <c r="E10770" s="2">
        <v>6</v>
      </c>
      <c r="F10770" s="2" t="s">
        <v>6</v>
      </c>
    </row>
    <row r="10771" spans="1:6" ht="25.5">
      <c r="A10771" s="2">
        <v>10768</v>
      </c>
      <c r="B10771" s="2" t="s">
        <v>10845</v>
      </c>
      <c r="C10771" s="2" t="str">
        <f>"10824669"</f>
        <v>10824669</v>
      </c>
      <c r="D10771" s="2">
        <v>0.28299999999999997</v>
      </c>
      <c r="E10771" s="2">
        <v>2</v>
      </c>
      <c r="F10771" s="2" t="s">
        <v>16</v>
      </c>
    </row>
    <row r="10772" spans="1:6" ht="25.5">
      <c r="A10772" s="2">
        <v>10769</v>
      </c>
      <c r="B10772" s="2" t="s">
        <v>10846</v>
      </c>
      <c r="C10772" s="2" t="str">
        <f>"13600540"</f>
        <v>13600540</v>
      </c>
      <c r="D10772" s="2">
        <v>0.92300000000000004</v>
      </c>
      <c r="E10772" s="2">
        <v>14</v>
      </c>
      <c r="F10772" s="2" t="s">
        <v>16</v>
      </c>
    </row>
    <row r="10773" spans="1:6" ht="25.5">
      <c r="A10773" s="2">
        <v>10770</v>
      </c>
      <c r="B10773" s="2" t="s">
        <v>10847</v>
      </c>
      <c r="C10773" s="2" t="str">
        <f>"14645106"</f>
        <v>14645106</v>
      </c>
      <c r="D10773" s="2">
        <v>1.5780000000000001</v>
      </c>
      <c r="E10773" s="2">
        <v>35</v>
      </c>
      <c r="F10773" s="2" t="s">
        <v>16</v>
      </c>
    </row>
    <row r="10774" spans="1:6" ht="25.5">
      <c r="A10774" s="2">
        <v>10771</v>
      </c>
      <c r="B10774" s="2" t="s">
        <v>10848</v>
      </c>
      <c r="C10774" s="2" t="str">
        <f>"1547500X"</f>
        <v>1547500X</v>
      </c>
      <c r="D10774" s="2">
        <v>0.33800000000000002</v>
      </c>
      <c r="E10774" s="2">
        <v>3</v>
      </c>
      <c r="F10774" s="2" t="s">
        <v>6</v>
      </c>
    </row>
    <row r="10775" spans="1:6" ht="25.5">
      <c r="A10775" s="2">
        <v>10772</v>
      </c>
      <c r="B10775" s="2" t="s">
        <v>10849</v>
      </c>
      <c r="C10775" s="2" t="str">
        <f>"18741665"</f>
        <v>18741665</v>
      </c>
      <c r="D10775" s="2">
        <v>0.189</v>
      </c>
      <c r="E10775" s="2">
        <v>2</v>
      </c>
      <c r="F10775" s="2" t="s">
        <v>75</v>
      </c>
    </row>
    <row r="10776" spans="1:6" ht="25.5">
      <c r="A10776" s="2">
        <v>10773</v>
      </c>
      <c r="B10776" s="2" t="s">
        <v>10850</v>
      </c>
      <c r="C10776" s="2" t="str">
        <f>"15732681"</f>
        <v>15732681</v>
      </c>
      <c r="D10776" s="2">
        <v>0.82</v>
      </c>
      <c r="E10776" s="2">
        <v>35</v>
      </c>
      <c r="F10776" s="2" t="s">
        <v>75</v>
      </c>
    </row>
    <row r="10777" spans="1:6" ht="25.5">
      <c r="A10777" s="2">
        <v>10774</v>
      </c>
      <c r="B10777" s="2" t="s">
        <v>10851</v>
      </c>
      <c r="C10777" s="2" t="str">
        <f>"00952443"</f>
        <v>00952443</v>
      </c>
      <c r="D10777" s="2">
        <v>0.29199999999999998</v>
      </c>
      <c r="E10777" s="2">
        <v>13</v>
      </c>
      <c r="F10777" s="2" t="s">
        <v>16</v>
      </c>
    </row>
    <row r="10778" spans="1:6" ht="25.5">
      <c r="A10778" s="2">
        <v>10775</v>
      </c>
      <c r="B10778" s="2" t="s">
        <v>10852</v>
      </c>
      <c r="C10778" s="2" t="str">
        <f>"15404129"</f>
        <v>15404129</v>
      </c>
      <c r="D10778" s="2">
        <v>0.76900000000000002</v>
      </c>
      <c r="E10778" s="2">
        <v>20</v>
      </c>
      <c r="F10778" s="2" t="s">
        <v>16</v>
      </c>
    </row>
    <row r="10779" spans="1:6" ht="25.5">
      <c r="A10779" s="2">
        <v>10776</v>
      </c>
      <c r="B10779" s="2" t="s">
        <v>10853</v>
      </c>
      <c r="C10779" s="2" t="str">
        <f>"19718829"</f>
        <v>19718829</v>
      </c>
      <c r="D10779" s="2">
        <v>0.187</v>
      </c>
      <c r="E10779" s="2">
        <v>4</v>
      </c>
      <c r="F10779" s="2" t="s">
        <v>190</v>
      </c>
    </row>
    <row r="10780" spans="1:6" ht="25.5">
      <c r="A10780" s="2">
        <v>10777</v>
      </c>
      <c r="B10780" s="2" t="s">
        <v>10854</v>
      </c>
      <c r="C10780" s="2" t="str">
        <f>"17457289"</f>
        <v>17457289</v>
      </c>
      <c r="D10780" s="2">
        <v>1.0209999999999999</v>
      </c>
      <c r="E10780" s="2">
        <v>5</v>
      </c>
      <c r="F10780" s="2" t="s">
        <v>6</v>
      </c>
    </row>
    <row r="10781" spans="1:6" ht="25.5">
      <c r="A10781" s="2">
        <v>10778</v>
      </c>
      <c r="B10781" s="2" t="s">
        <v>10855</v>
      </c>
      <c r="C10781" s="2" t="str">
        <f>"20900155"</f>
        <v>20900155</v>
      </c>
      <c r="D10781" s="2">
        <v>0.224</v>
      </c>
      <c r="E10781" s="2">
        <v>5</v>
      </c>
      <c r="F10781" s="2" t="s">
        <v>6</v>
      </c>
    </row>
    <row r="10782" spans="1:6" ht="25.5">
      <c r="A10782" s="2">
        <v>10779</v>
      </c>
      <c r="B10782" s="2" t="s">
        <v>10856</v>
      </c>
      <c r="C10782" s="2" t="str">
        <f>"15824594"</f>
        <v>15824594</v>
      </c>
      <c r="D10782" s="2">
        <v>0.105</v>
      </c>
      <c r="E10782" s="2">
        <v>0</v>
      </c>
      <c r="F10782" s="2" t="s">
        <v>19</v>
      </c>
    </row>
    <row r="10783" spans="1:6" ht="25.5">
      <c r="A10783" s="2">
        <v>10780</v>
      </c>
      <c r="B10783" s="2" t="s">
        <v>10856</v>
      </c>
      <c r="C10783" s="2" t="str">
        <f>"13353632"</f>
        <v>13353632</v>
      </c>
      <c r="D10783" s="2">
        <v>0.187</v>
      </c>
      <c r="E10783" s="2">
        <v>11</v>
      </c>
      <c r="F10783" s="2" t="s">
        <v>241</v>
      </c>
    </row>
    <row r="10784" spans="1:6" ht="25.5">
      <c r="A10784" s="2">
        <v>10781</v>
      </c>
      <c r="B10784" s="2" t="s">
        <v>10857</v>
      </c>
      <c r="C10784" s="2" t="str">
        <f>"19750102"</f>
        <v>19750102</v>
      </c>
      <c r="D10784" s="2">
        <v>0.46700000000000003</v>
      </c>
      <c r="E10784" s="2">
        <v>8</v>
      </c>
      <c r="F10784" s="2" t="s">
        <v>274</v>
      </c>
    </row>
    <row r="10785" spans="1:6" ht="25.5">
      <c r="A10785" s="2">
        <v>10782</v>
      </c>
      <c r="B10785" s="2" t="s">
        <v>10858</v>
      </c>
      <c r="C10785" s="2" t="str">
        <f>"11125209"</f>
        <v>11125209</v>
      </c>
      <c r="D10785" s="2">
        <v>0.13700000000000001</v>
      </c>
      <c r="E10785" s="2">
        <v>3</v>
      </c>
      <c r="F10785" s="2" t="s">
        <v>66</v>
      </c>
    </row>
    <row r="10786" spans="1:6" ht="25.5">
      <c r="A10786" s="2">
        <v>10783</v>
      </c>
      <c r="B10786" s="2" t="s">
        <v>10859</v>
      </c>
      <c r="C10786" s="2" t="str">
        <f>"15328430"</f>
        <v>15328430</v>
      </c>
      <c r="D10786" s="2">
        <v>0.44400000000000001</v>
      </c>
      <c r="E10786" s="2">
        <v>38</v>
      </c>
      <c r="F10786" s="2" t="s">
        <v>16</v>
      </c>
    </row>
    <row r="10787" spans="1:6" ht="25.5">
      <c r="A10787" s="2">
        <v>10784</v>
      </c>
      <c r="B10787" s="2" t="s">
        <v>10860</v>
      </c>
      <c r="C10787" s="2" t="str">
        <f>"15738663"</f>
        <v>15738663</v>
      </c>
      <c r="D10787" s="2">
        <v>0.59499999999999997</v>
      </c>
      <c r="E10787" s="2">
        <v>45</v>
      </c>
      <c r="F10787" s="2" t="s">
        <v>75</v>
      </c>
    </row>
    <row r="10788" spans="1:6" ht="25.5">
      <c r="A10788" s="2">
        <v>10785</v>
      </c>
      <c r="B10788" s="2" t="s">
        <v>10861</v>
      </c>
      <c r="C10788" s="2" t="str">
        <f>"15693937"</f>
        <v>15693937</v>
      </c>
      <c r="D10788" s="2">
        <v>0.94299999999999995</v>
      </c>
      <c r="E10788" s="2">
        <v>32</v>
      </c>
      <c r="F10788" s="2" t="s">
        <v>16</v>
      </c>
    </row>
    <row r="10789" spans="1:6" ht="25.5">
      <c r="A10789" s="2">
        <v>10786</v>
      </c>
      <c r="B10789" s="2" t="s">
        <v>10862</v>
      </c>
      <c r="C10789" s="2" t="str">
        <f>"10506411"</f>
        <v>10506411</v>
      </c>
      <c r="D10789" s="2">
        <v>0.78</v>
      </c>
      <c r="E10789" s="2">
        <v>56</v>
      </c>
      <c r="F10789" s="2" t="s">
        <v>16</v>
      </c>
    </row>
    <row r="10790" spans="1:6" ht="25.5">
      <c r="A10790" s="2">
        <v>10787</v>
      </c>
      <c r="B10790" s="2" t="s">
        <v>10863</v>
      </c>
      <c r="C10790" s="2" t="str">
        <f>"15392937"</f>
        <v>15392937</v>
      </c>
      <c r="D10790" s="2">
        <v>0.112</v>
      </c>
      <c r="E10790" s="2">
        <v>13</v>
      </c>
      <c r="F10790" s="2" t="s">
        <v>6</v>
      </c>
    </row>
    <row r="10791" spans="1:6" ht="25.5">
      <c r="A10791" s="2">
        <v>10788</v>
      </c>
      <c r="B10791" s="2" t="s">
        <v>10864</v>
      </c>
      <c r="C10791" s="2" t="str">
        <f>"10179909"</f>
        <v>10179909</v>
      </c>
      <c r="D10791" s="2">
        <v>0.52600000000000002</v>
      </c>
      <c r="E10791" s="2">
        <v>43</v>
      </c>
      <c r="F10791" s="2" t="s">
        <v>6</v>
      </c>
    </row>
    <row r="10792" spans="1:6" ht="25.5">
      <c r="A10792" s="2">
        <v>10789</v>
      </c>
      <c r="B10792" s="2" t="s">
        <v>10865</v>
      </c>
      <c r="C10792" s="2" t="str">
        <f>"03615235"</f>
        <v>03615235</v>
      </c>
      <c r="D10792" s="2">
        <v>0.83599999999999997</v>
      </c>
      <c r="E10792" s="2">
        <v>63</v>
      </c>
      <c r="F10792" s="2" t="s">
        <v>6</v>
      </c>
    </row>
    <row r="10793" spans="1:6" ht="25.5">
      <c r="A10793" s="2">
        <v>10790</v>
      </c>
      <c r="B10793" s="2" t="s">
        <v>10866</v>
      </c>
      <c r="C10793" s="2" t="str">
        <f>"15289044"</f>
        <v>15289044</v>
      </c>
      <c r="D10793" s="2">
        <v>0.41899999999999998</v>
      </c>
      <c r="E10793" s="2">
        <v>34</v>
      </c>
      <c r="F10793" s="2" t="s">
        <v>6</v>
      </c>
    </row>
    <row r="10794" spans="1:6" ht="25.5">
      <c r="A10794" s="2">
        <v>10791</v>
      </c>
      <c r="B10794" s="2" t="s">
        <v>10867</v>
      </c>
      <c r="C10794" s="2" t="str">
        <f>"10802711"</f>
        <v>10802711</v>
      </c>
      <c r="D10794" s="2">
        <v>0.221</v>
      </c>
      <c r="E10794" s="2">
        <v>8</v>
      </c>
      <c r="F10794" s="2" t="s">
        <v>6</v>
      </c>
    </row>
    <row r="10795" spans="1:6" ht="25.5">
      <c r="A10795" s="2">
        <v>10792</v>
      </c>
      <c r="B10795" s="2" t="s">
        <v>10868</v>
      </c>
      <c r="C10795" s="2" t="str">
        <f>"15424065"</f>
        <v>15424065</v>
      </c>
      <c r="D10795" s="2">
        <v>0.36599999999999999</v>
      </c>
      <c r="E10795" s="2">
        <v>4</v>
      </c>
      <c r="F10795" s="2" t="s">
        <v>16</v>
      </c>
    </row>
    <row r="10796" spans="1:6" ht="25.5">
      <c r="A10796" s="2">
        <v>10793</v>
      </c>
      <c r="B10796" s="2" t="s">
        <v>10869</v>
      </c>
      <c r="C10796" s="2" t="str">
        <f>"19411278"</f>
        <v>19411278</v>
      </c>
      <c r="D10796" s="2">
        <v>0.53700000000000003</v>
      </c>
      <c r="E10796" s="2">
        <v>5</v>
      </c>
      <c r="F10796" s="2" t="s">
        <v>16</v>
      </c>
    </row>
    <row r="10797" spans="1:6" ht="25.5">
      <c r="A10797" s="2">
        <v>10794</v>
      </c>
      <c r="B10797" s="2" t="s">
        <v>10870</v>
      </c>
      <c r="C10797" s="2" t="str">
        <f>"02179822"</f>
        <v>02179822</v>
      </c>
      <c r="D10797" s="2">
        <v>0.123</v>
      </c>
      <c r="E10797" s="2">
        <v>6</v>
      </c>
      <c r="F10797" s="2" t="s">
        <v>46</v>
      </c>
    </row>
    <row r="10798" spans="1:6" ht="25.5">
      <c r="A10798" s="2">
        <v>10795</v>
      </c>
      <c r="B10798" s="2" t="s">
        <v>10871</v>
      </c>
      <c r="C10798" s="2" t="str">
        <f>"15730727"</f>
        <v>15730727</v>
      </c>
      <c r="D10798" s="2">
        <v>0.42399999999999999</v>
      </c>
      <c r="E10798" s="2">
        <v>22</v>
      </c>
      <c r="F10798" s="2" t="s">
        <v>75</v>
      </c>
    </row>
    <row r="10799" spans="1:6" ht="25.5">
      <c r="A10799" s="2">
        <v>10796</v>
      </c>
      <c r="B10799" s="2" t="s">
        <v>10872</v>
      </c>
      <c r="C10799" s="2" t="str">
        <f>"14779986"</f>
        <v>14779986</v>
      </c>
      <c r="D10799" s="2">
        <v>1.0529999999999999</v>
      </c>
      <c r="E10799" s="2">
        <v>33</v>
      </c>
      <c r="F10799" s="2" t="s">
        <v>131</v>
      </c>
    </row>
    <row r="10800" spans="1:6" ht="25.5">
      <c r="A10800" s="2">
        <v>10797</v>
      </c>
      <c r="B10800" s="2" t="s">
        <v>10873</v>
      </c>
      <c r="C10800" s="2" t="str">
        <f>"03682048"</f>
        <v>03682048</v>
      </c>
      <c r="D10800" s="2">
        <v>0.93300000000000005</v>
      </c>
      <c r="E10800" s="2">
        <v>56</v>
      </c>
      <c r="F10800" s="2" t="s">
        <v>75</v>
      </c>
    </row>
    <row r="10801" spans="1:6" ht="25.5">
      <c r="A10801" s="2">
        <v>10798</v>
      </c>
      <c r="B10801" s="2" t="s">
        <v>10874</v>
      </c>
      <c r="C10801" s="2" t="str">
        <f>"03043886"</f>
        <v>03043886</v>
      </c>
      <c r="D10801" s="2">
        <v>0.59</v>
      </c>
      <c r="E10801" s="2">
        <v>46</v>
      </c>
      <c r="F10801" s="2" t="s">
        <v>75</v>
      </c>
    </row>
    <row r="10802" spans="1:6" ht="25.5">
      <c r="A10802" s="2">
        <v>10799</v>
      </c>
      <c r="B10802" s="2" t="s">
        <v>10875</v>
      </c>
      <c r="C10802" s="2" t="str">
        <f>"16442296"</f>
        <v>16442296</v>
      </c>
      <c r="D10802" s="2">
        <v>0.26400000000000001</v>
      </c>
      <c r="E10802" s="2">
        <v>7</v>
      </c>
      <c r="F10802" s="2" t="s">
        <v>169</v>
      </c>
    </row>
    <row r="10803" spans="1:6" ht="25.5">
      <c r="A10803" s="2">
        <v>10800</v>
      </c>
      <c r="B10803" s="2" t="s">
        <v>10876</v>
      </c>
      <c r="C10803" s="2" t="str">
        <f>"10901280"</f>
        <v>10901280</v>
      </c>
      <c r="D10803" s="2">
        <v>0.46700000000000003</v>
      </c>
      <c r="E10803" s="2">
        <v>47</v>
      </c>
      <c r="F10803" s="2" t="s">
        <v>6</v>
      </c>
    </row>
    <row r="10804" spans="1:6" ht="25.5">
      <c r="A10804" s="2">
        <v>10801</v>
      </c>
      <c r="B10804" s="2" t="s">
        <v>10877</v>
      </c>
      <c r="C10804" s="2" t="str">
        <f>"15272966"</f>
        <v>15272966</v>
      </c>
      <c r="D10804" s="2">
        <v>0.27100000000000002</v>
      </c>
      <c r="E10804" s="2">
        <v>28</v>
      </c>
      <c r="F10804" s="2" t="s">
        <v>6</v>
      </c>
    </row>
    <row r="10805" spans="1:6" ht="25.5">
      <c r="A10805" s="2">
        <v>10802</v>
      </c>
      <c r="B10805" s="2" t="s">
        <v>10878</v>
      </c>
      <c r="C10805" s="2" t="str">
        <f>"14474999"</f>
        <v>14474999</v>
      </c>
      <c r="D10805" s="2">
        <v>0.113</v>
      </c>
      <c r="E10805" s="2">
        <v>5</v>
      </c>
      <c r="F10805" s="2" t="s">
        <v>127</v>
      </c>
    </row>
    <row r="10806" spans="1:6" ht="25.5">
      <c r="A10806" s="2">
        <v>10803</v>
      </c>
      <c r="B10806" s="2" t="s">
        <v>10879</v>
      </c>
      <c r="C10806" s="2" t="str">
        <f>"09726527"</f>
        <v>09726527</v>
      </c>
      <c r="D10806" s="2">
        <v>0.106</v>
      </c>
      <c r="E10806" s="2">
        <v>3</v>
      </c>
      <c r="F10806" s="2" t="s">
        <v>488</v>
      </c>
    </row>
    <row r="10807" spans="1:6" ht="25.5">
      <c r="A10807" s="2">
        <v>10804</v>
      </c>
      <c r="B10807" s="2" t="s">
        <v>10880</v>
      </c>
      <c r="C10807" s="2" t="str">
        <f>"15587940"</f>
        <v>15587940</v>
      </c>
      <c r="D10807" s="2">
        <v>0.109</v>
      </c>
      <c r="E10807" s="2">
        <v>2</v>
      </c>
      <c r="F10807" s="2" t="s">
        <v>6</v>
      </c>
    </row>
    <row r="10808" spans="1:6" ht="25.5">
      <c r="A10808" s="2">
        <v>10805</v>
      </c>
      <c r="B10808" s="2" t="s">
        <v>10881</v>
      </c>
      <c r="C10808" s="2" t="str">
        <f>"17980461"</f>
        <v>17980461</v>
      </c>
      <c r="D10808" s="2">
        <v>0.35099999999999998</v>
      </c>
      <c r="E10808" s="2">
        <v>6</v>
      </c>
      <c r="F10808" s="2" t="s">
        <v>751</v>
      </c>
    </row>
    <row r="10809" spans="1:6" ht="25.5">
      <c r="A10809" s="2">
        <v>10806</v>
      </c>
      <c r="B10809" s="2" t="s">
        <v>10882</v>
      </c>
      <c r="C10809" s="2" t="str">
        <f>"10634266"</f>
        <v>10634266</v>
      </c>
      <c r="D10809" s="2">
        <v>0.76300000000000001</v>
      </c>
      <c r="E10809" s="2">
        <v>40</v>
      </c>
      <c r="F10809" s="2" t="s">
        <v>6</v>
      </c>
    </row>
    <row r="10810" spans="1:6" ht="25.5">
      <c r="A10810" s="2">
        <v>10807</v>
      </c>
      <c r="B10810" s="2" t="s">
        <v>10883</v>
      </c>
      <c r="C10810" s="2" t="str">
        <f>"09275398"</f>
        <v>09275398</v>
      </c>
      <c r="D10810" s="2">
        <v>1.17</v>
      </c>
      <c r="E10810" s="2">
        <v>40</v>
      </c>
      <c r="F10810" s="2" t="s">
        <v>75</v>
      </c>
    </row>
    <row r="10811" spans="1:6" ht="25.5">
      <c r="A10811" s="2">
        <v>10808</v>
      </c>
      <c r="B10811" s="2" t="s">
        <v>10884</v>
      </c>
      <c r="C10811" s="2" t="str">
        <f>"17401461"</f>
        <v>17401461</v>
      </c>
      <c r="D10811" s="2">
        <v>0.372</v>
      </c>
      <c r="E10811" s="2">
        <v>3</v>
      </c>
      <c r="F10811" s="2" t="s">
        <v>16</v>
      </c>
    </row>
    <row r="10812" spans="1:6" ht="25.5">
      <c r="A10812" s="2">
        <v>10809</v>
      </c>
      <c r="B10812" s="2" t="s">
        <v>10885</v>
      </c>
      <c r="C10812" s="2" t="str">
        <f>"15562646"</f>
        <v>15562646</v>
      </c>
      <c r="D10812" s="2">
        <v>0.54600000000000004</v>
      </c>
      <c r="E10812" s="2">
        <v>8</v>
      </c>
      <c r="F10812" s="2" t="s">
        <v>6</v>
      </c>
    </row>
    <row r="10813" spans="1:6" ht="25.5">
      <c r="A10813" s="2">
        <v>10810</v>
      </c>
      <c r="B10813" s="2" t="s">
        <v>10886</v>
      </c>
      <c r="C10813" s="2" t="str">
        <f>"15709256"</f>
        <v>15709256</v>
      </c>
      <c r="D10813" s="2">
        <v>0.14299999999999999</v>
      </c>
      <c r="E10813" s="2">
        <v>2</v>
      </c>
      <c r="F10813" s="2" t="s">
        <v>75</v>
      </c>
    </row>
    <row r="10814" spans="1:6" ht="25.5">
      <c r="A10814" s="2">
        <v>10811</v>
      </c>
      <c r="B10814" s="2" t="s">
        <v>10887</v>
      </c>
      <c r="C10814" s="2" t="str">
        <f>"00220787"</f>
        <v>00220787</v>
      </c>
      <c r="D10814" s="2">
        <v>0.22600000000000001</v>
      </c>
      <c r="E10814" s="2">
        <v>13</v>
      </c>
      <c r="F10814" s="2" t="s">
        <v>6</v>
      </c>
    </row>
    <row r="10815" spans="1:6" ht="25.5">
      <c r="A10815" s="2">
        <v>10812</v>
      </c>
      <c r="B10815" s="2" t="s">
        <v>10888</v>
      </c>
      <c r="C10815" s="2" t="str">
        <f>"17208386"</f>
        <v>17208386</v>
      </c>
      <c r="D10815" s="2">
        <v>0.48899999999999999</v>
      </c>
      <c r="E10815" s="2">
        <v>55</v>
      </c>
      <c r="F10815" s="2" t="s">
        <v>190</v>
      </c>
    </row>
    <row r="10816" spans="1:6" ht="25.5">
      <c r="A10816" s="2">
        <v>10813</v>
      </c>
      <c r="B10816" s="2" t="s">
        <v>10889</v>
      </c>
      <c r="C10816" s="2" t="str">
        <f>"00220795"</f>
        <v>00220795</v>
      </c>
      <c r="D10816" s="2">
        <v>1.355</v>
      </c>
      <c r="E10816" s="2">
        <v>97</v>
      </c>
      <c r="F10816" s="2" t="s">
        <v>16</v>
      </c>
    </row>
    <row r="10817" spans="1:6" ht="25.5">
      <c r="A10817" s="2">
        <v>10814</v>
      </c>
      <c r="B10817" s="2" t="s">
        <v>10890</v>
      </c>
      <c r="C10817" s="2" t="str">
        <f>"16089677"</f>
        <v>16089677</v>
      </c>
      <c r="D10817" s="2">
        <v>0.115</v>
      </c>
      <c r="E10817" s="2">
        <v>3</v>
      </c>
      <c r="F10817" s="2" t="s">
        <v>410</v>
      </c>
    </row>
    <row r="10818" spans="1:6" ht="25.5">
      <c r="A10818" s="2">
        <v>10815</v>
      </c>
      <c r="B10818" s="2" t="s">
        <v>10891</v>
      </c>
      <c r="C10818" s="2" t="str">
        <f>"00992399"</f>
        <v>00992399</v>
      </c>
      <c r="D10818" s="2">
        <v>0.91400000000000003</v>
      </c>
      <c r="E10818" s="2">
        <v>76</v>
      </c>
      <c r="F10818" s="2" t="s">
        <v>6</v>
      </c>
    </row>
    <row r="10819" spans="1:6" ht="25.5">
      <c r="A10819" s="2">
        <v>10816</v>
      </c>
      <c r="B10819" s="2" t="s">
        <v>10892</v>
      </c>
      <c r="C10819" s="2" t="str">
        <f>"2036282X"</f>
        <v>2036282X</v>
      </c>
      <c r="D10819" s="2">
        <v>0.28999999999999998</v>
      </c>
      <c r="E10819" s="2">
        <v>3</v>
      </c>
      <c r="F10819" s="2" t="s">
        <v>190</v>
      </c>
    </row>
    <row r="10820" spans="1:6" ht="25.5">
      <c r="A10820" s="2">
        <v>10817</v>
      </c>
      <c r="B10820" s="2" t="s">
        <v>10893</v>
      </c>
      <c r="C10820" s="2" t="str">
        <f>"08927790"</f>
        <v>08927790</v>
      </c>
      <c r="D10820" s="2">
        <v>1.2170000000000001</v>
      </c>
      <c r="E10820" s="2">
        <v>60</v>
      </c>
      <c r="F10820" s="2" t="s">
        <v>6</v>
      </c>
    </row>
    <row r="10821" spans="1:6" ht="25.5">
      <c r="A10821" s="2">
        <v>10818</v>
      </c>
      <c r="B10821" s="2" t="s">
        <v>10894</v>
      </c>
      <c r="C10821" s="2" t="str">
        <f>"15451550"</f>
        <v>15451550</v>
      </c>
      <c r="D10821" s="2">
        <v>1.458</v>
      </c>
      <c r="E10821" s="2">
        <v>72</v>
      </c>
      <c r="F10821" s="2" t="s">
        <v>6</v>
      </c>
    </row>
    <row r="10822" spans="1:6" ht="25.5">
      <c r="A10822" s="2">
        <v>10819</v>
      </c>
      <c r="B10822" s="2" t="s">
        <v>10895</v>
      </c>
      <c r="C10822" s="2" t="str">
        <f>"07370652"</f>
        <v>07370652</v>
      </c>
      <c r="D10822" s="2">
        <v>0.42099999999999999</v>
      </c>
      <c r="E10822" s="2">
        <v>9</v>
      </c>
      <c r="F10822" s="2" t="s">
        <v>16</v>
      </c>
    </row>
    <row r="10823" spans="1:6" ht="25.5">
      <c r="A10823" s="2">
        <v>10820</v>
      </c>
      <c r="B10823" s="2" t="s">
        <v>10896</v>
      </c>
      <c r="C10823" s="2" t="str">
        <f>"07339402"</f>
        <v>07339402</v>
      </c>
      <c r="D10823" s="2">
        <v>0.29899999999999999</v>
      </c>
      <c r="E10823" s="2">
        <v>11</v>
      </c>
      <c r="F10823" s="2" t="s">
        <v>6</v>
      </c>
    </row>
    <row r="10824" spans="1:6" ht="25.5">
      <c r="A10824" s="2">
        <v>10821</v>
      </c>
      <c r="B10824" s="2" t="s">
        <v>10897</v>
      </c>
      <c r="C10824" s="2" t="str">
        <f>"15288994"</f>
        <v>15288994</v>
      </c>
      <c r="D10824" s="2">
        <v>0.33800000000000002</v>
      </c>
      <c r="E10824" s="2">
        <v>24</v>
      </c>
      <c r="F10824" s="2" t="s">
        <v>6</v>
      </c>
    </row>
    <row r="10825" spans="1:6" ht="25.5">
      <c r="A10825" s="2">
        <v>10822</v>
      </c>
      <c r="B10825" s="2" t="s">
        <v>10898</v>
      </c>
      <c r="C10825" s="2" t="str">
        <f>"15589250"</f>
        <v>15589250</v>
      </c>
      <c r="D10825" s="2">
        <v>0.36599999999999999</v>
      </c>
      <c r="E10825" s="2">
        <v>6</v>
      </c>
      <c r="F10825" s="2" t="s">
        <v>6</v>
      </c>
    </row>
    <row r="10826" spans="1:6" ht="25.5">
      <c r="A10826" s="2">
        <v>10823</v>
      </c>
      <c r="B10826" s="2" t="s">
        <v>10899</v>
      </c>
      <c r="C10826" s="2" t="str">
        <f>"11101903"</f>
        <v>11101903</v>
      </c>
      <c r="D10826" s="2">
        <v>0.17899999999999999</v>
      </c>
      <c r="E10826" s="2">
        <v>9</v>
      </c>
      <c r="F10826" s="2" t="s">
        <v>523</v>
      </c>
    </row>
    <row r="10827" spans="1:6" ht="25.5">
      <c r="A10827" s="2">
        <v>10824</v>
      </c>
      <c r="B10827" s="2" t="s">
        <v>10900</v>
      </c>
      <c r="C10827" s="2" t="str">
        <f>"18187803"</f>
        <v>18187803</v>
      </c>
      <c r="D10827" s="2">
        <v>0.114</v>
      </c>
      <c r="E10827" s="2">
        <v>2</v>
      </c>
      <c r="F10827" s="2" t="s">
        <v>43</v>
      </c>
    </row>
    <row r="10828" spans="1:6" ht="25.5">
      <c r="A10828" s="2">
        <v>10825</v>
      </c>
      <c r="B10828" s="2" t="s">
        <v>10901</v>
      </c>
      <c r="C10828" s="2" t="str">
        <f>"09234748"</f>
        <v>09234748</v>
      </c>
      <c r="D10828" s="2">
        <v>0.82899999999999996</v>
      </c>
      <c r="E10828" s="2">
        <v>34</v>
      </c>
      <c r="F10828" s="2" t="s">
        <v>75</v>
      </c>
    </row>
    <row r="10829" spans="1:6" ht="25.5">
      <c r="A10829" s="2">
        <v>10826</v>
      </c>
      <c r="B10829" s="2" t="s">
        <v>10902</v>
      </c>
      <c r="C10829" s="2" t="str">
        <f>"14661837"</f>
        <v>14661837</v>
      </c>
      <c r="D10829" s="2">
        <v>0.91200000000000003</v>
      </c>
      <c r="E10829" s="2">
        <v>28</v>
      </c>
      <c r="F10829" s="2" t="s">
        <v>16</v>
      </c>
    </row>
    <row r="10830" spans="1:6" ht="25.5">
      <c r="A10830" s="2">
        <v>10827</v>
      </c>
      <c r="B10830" s="2" t="s">
        <v>10903</v>
      </c>
      <c r="C10830" s="2" t="str">
        <f>"17260531"</f>
        <v>17260531</v>
      </c>
      <c r="D10830" s="2">
        <v>0.128</v>
      </c>
      <c r="E10830" s="2">
        <v>6</v>
      </c>
      <c r="F10830" s="2" t="s">
        <v>16</v>
      </c>
    </row>
    <row r="10831" spans="1:6" ht="25.5">
      <c r="A10831" s="2">
        <v>10828</v>
      </c>
      <c r="B10831" s="2" t="s">
        <v>10904</v>
      </c>
      <c r="C10831" s="2" t="str">
        <f>"10694730"</f>
        <v>10694730</v>
      </c>
      <c r="D10831" s="2">
        <v>2.7130000000000001</v>
      </c>
      <c r="E10831" s="2">
        <v>52</v>
      </c>
      <c r="F10831" s="2" t="s">
        <v>6</v>
      </c>
    </row>
    <row r="10832" spans="1:6" ht="25.5">
      <c r="A10832" s="2">
        <v>10829</v>
      </c>
      <c r="B10832" s="2" t="s">
        <v>10905</v>
      </c>
      <c r="C10832" s="2" t="str">
        <f>"15288919"</f>
        <v>15288919</v>
      </c>
      <c r="D10832" s="2">
        <v>0.40899999999999997</v>
      </c>
      <c r="E10832" s="2">
        <v>47</v>
      </c>
      <c r="F10832" s="2" t="s">
        <v>6</v>
      </c>
    </row>
    <row r="10833" spans="1:6" ht="25.5">
      <c r="A10833" s="2">
        <v>10830</v>
      </c>
      <c r="B10833" s="2" t="s">
        <v>10906</v>
      </c>
      <c r="C10833" s="2" t="str">
        <f>"15288889"</f>
        <v>15288889</v>
      </c>
      <c r="D10833" s="2">
        <v>0.36499999999999999</v>
      </c>
      <c r="E10833" s="2">
        <v>41</v>
      </c>
      <c r="F10833" s="2" t="s">
        <v>6</v>
      </c>
    </row>
    <row r="10834" spans="1:6" ht="25.5">
      <c r="A10834" s="2">
        <v>10831</v>
      </c>
      <c r="B10834" s="2" t="s">
        <v>10907</v>
      </c>
      <c r="C10834" s="2" t="str">
        <f>"15732703"</f>
        <v>15732703</v>
      </c>
      <c r="D10834" s="2">
        <v>0.53600000000000003</v>
      </c>
      <c r="E10834" s="2">
        <v>29</v>
      </c>
      <c r="F10834" s="2" t="s">
        <v>75</v>
      </c>
    </row>
    <row r="10835" spans="1:6" ht="25.5">
      <c r="A10835" s="2">
        <v>10832</v>
      </c>
      <c r="B10835" s="2" t="s">
        <v>10908</v>
      </c>
      <c r="C10835" s="2" t="str">
        <f>"07339399"</f>
        <v>07339399</v>
      </c>
      <c r="D10835" s="2">
        <v>0.96099999999999997</v>
      </c>
      <c r="E10835" s="2">
        <v>68</v>
      </c>
      <c r="F10835" s="2" t="s">
        <v>6</v>
      </c>
    </row>
    <row r="10836" spans="1:6" ht="25.5">
      <c r="A10836" s="2">
        <v>10833</v>
      </c>
      <c r="B10836" s="2" t="s">
        <v>10909</v>
      </c>
      <c r="C10836" s="2" t="str">
        <f>"1573871X"</f>
        <v>1573871X</v>
      </c>
      <c r="D10836" s="2">
        <v>0.18</v>
      </c>
      <c r="E10836" s="2">
        <v>7</v>
      </c>
      <c r="F10836" s="2" t="s">
        <v>12</v>
      </c>
    </row>
    <row r="10837" spans="1:6" ht="25.5">
      <c r="A10837" s="2">
        <v>10834</v>
      </c>
      <c r="B10837" s="2" t="s">
        <v>10910</v>
      </c>
      <c r="C10837" s="2" t="str">
        <f>"17266009"</f>
        <v>17266009</v>
      </c>
      <c r="D10837" s="2">
        <v>0.113</v>
      </c>
      <c r="E10837" s="2">
        <v>2</v>
      </c>
      <c r="F10837" s="2" t="s">
        <v>10911</v>
      </c>
    </row>
    <row r="10838" spans="1:6" ht="25.5">
      <c r="A10838" s="2">
        <v>10835</v>
      </c>
      <c r="B10838" s="2" t="s">
        <v>10912</v>
      </c>
      <c r="C10838" s="2" t="str">
        <f>"18234690"</f>
        <v>18234690</v>
      </c>
      <c r="D10838" s="2">
        <v>0.20699999999999999</v>
      </c>
      <c r="E10838" s="2">
        <v>4</v>
      </c>
      <c r="F10838" s="2" t="s">
        <v>37</v>
      </c>
    </row>
    <row r="10839" spans="1:6" ht="25.5">
      <c r="A10839" s="2">
        <v>10836</v>
      </c>
      <c r="B10839" s="2" t="s">
        <v>10913</v>
      </c>
      <c r="C10839" s="2" t="str">
        <f>"17919320"</f>
        <v>17919320</v>
      </c>
      <c r="D10839" s="2">
        <v>0.17</v>
      </c>
      <c r="E10839" s="2">
        <v>6</v>
      </c>
      <c r="F10839" s="2" t="s">
        <v>313</v>
      </c>
    </row>
    <row r="10840" spans="1:6" ht="25.5">
      <c r="A10840" s="2">
        <v>10837</v>
      </c>
      <c r="B10840" s="2" t="s">
        <v>10914</v>
      </c>
      <c r="C10840" s="2" t="str">
        <f>"19905432"</f>
        <v>19905432</v>
      </c>
      <c r="D10840" s="2">
        <v>0.28899999999999998</v>
      </c>
      <c r="E10840" s="2">
        <v>6</v>
      </c>
      <c r="F10840" s="2" t="s">
        <v>129</v>
      </c>
    </row>
    <row r="10841" spans="1:6" ht="25.5">
      <c r="A10841" s="2">
        <v>10838</v>
      </c>
      <c r="B10841" s="2" t="s">
        <v>10915</v>
      </c>
      <c r="C10841" s="2" t="str">
        <f>"03636941"</f>
        <v>03636941</v>
      </c>
      <c r="D10841" s="2">
        <v>0.104</v>
      </c>
      <c r="E10841" s="2">
        <v>5</v>
      </c>
      <c r="F10841" s="2" t="s">
        <v>6</v>
      </c>
    </row>
    <row r="10842" spans="1:6" ht="25.5">
      <c r="A10842" s="2">
        <v>10839</v>
      </c>
      <c r="B10842" s="2" t="s">
        <v>10916</v>
      </c>
      <c r="C10842" s="2" t="str">
        <f>"14751585"</f>
        <v>14751585</v>
      </c>
      <c r="D10842" s="2">
        <v>0.80900000000000005</v>
      </c>
      <c r="E10842" s="2">
        <v>17</v>
      </c>
      <c r="F10842" s="2" t="s">
        <v>75</v>
      </c>
    </row>
    <row r="10843" spans="1:6" ht="25.5">
      <c r="A10843" s="2">
        <v>10840</v>
      </c>
      <c r="B10843" s="2" t="s">
        <v>10917</v>
      </c>
      <c r="C10843" s="2" t="str">
        <f>"15525457"</f>
        <v>15525457</v>
      </c>
      <c r="D10843" s="2">
        <v>0.50600000000000001</v>
      </c>
      <c r="E10843" s="2">
        <v>8</v>
      </c>
      <c r="F10843" s="2" t="s">
        <v>16</v>
      </c>
    </row>
    <row r="10844" spans="1:6" ht="25.5">
      <c r="A10844" s="2">
        <v>10841</v>
      </c>
      <c r="B10844" s="2" t="s">
        <v>10918</v>
      </c>
      <c r="C10844" s="2" t="str">
        <f>"10655131"</f>
        <v>10655131</v>
      </c>
      <c r="D10844" s="2">
        <v>0.42099999999999999</v>
      </c>
      <c r="E10844" s="2">
        <v>22</v>
      </c>
      <c r="F10844" s="2" t="s">
        <v>6</v>
      </c>
    </row>
    <row r="10845" spans="1:6" ht="25.5">
      <c r="A10845" s="2">
        <v>10842</v>
      </c>
      <c r="B10845" s="2" t="s">
        <v>10919</v>
      </c>
      <c r="C10845" s="2" t="str">
        <f>"17410398"</f>
        <v>17410398</v>
      </c>
      <c r="D10845" s="2">
        <v>0.51100000000000001</v>
      </c>
      <c r="E10845" s="2">
        <v>24</v>
      </c>
      <c r="F10845" s="2" t="s">
        <v>16</v>
      </c>
    </row>
    <row r="10846" spans="1:6" ht="25.5">
      <c r="A10846" s="2">
        <v>10843</v>
      </c>
      <c r="B10846" s="2" t="s">
        <v>10920</v>
      </c>
      <c r="C10846" s="2" t="str">
        <f>"17506204"</f>
        <v>17506204</v>
      </c>
      <c r="D10846" s="2">
        <v>0.184</v>
      </c>
      <c r="E10846" s="2">
        <v>3</v>
      </c>
      <c r="F10846" s="2" t="s">
        <v>16</v>
      </c>
    </row>
    <row r="10847" spans="1:6" ht="25.5">
      <c r="A10847" s="2">
        <v>10844</v>
      </c>
      <c r="B10847" s="2" t="s">
        <v>10921</v>
      </c>
      <c r="C10847" s="2" t="str">
        <f>"07498004"</f>
        <v>07498004</v>
      </c>
      <c r="D10847" s="2">
        <v>0.223</v>
      </c>
      <c r="E10847" s="2">
        <v>20</v>
      </c>
      <c r="F10847" s="2" t="s">
        <v>6</v>
      </c>
    </row>
    <row r="10848" spans="1:6" ht="25.5">
      <c r="A10848" s="2">
        <v>10845</v>
      </c>
      <c r="B10848" s="2" t="s">
        <v>10922</v>
      </c>
      <c r="C10848" s="2" t="str">
        <f>"18125689"</f>
        <v>18125689</v>
      </c>
      <c r="D10848" s="2">
        <v>0.5</v>
      </c>
      <c r="E10848" s="2">
        <v>7</v>
      </c>
      <c r="F10848" s="2" t="s">
        <v>43</v>
      </c>
    </row>
    <row r="10849" spans="1:6" ht="25.5">
      <c r="A10849" s="2">
        <v>10846</v>
      </c>
      <c r="B10849" s="2" t="s">
        <v>10923</v>
      </c>
      <c r="C10849" s="2" t="str">
        <f>"09713557"</f>
        <v>09713557</v>
      </c>
      <c r="D10849" s="2">
        <v>0.19500000000000001</v>
      </c>
      <c r="E10849" s="2">
        <v>3</v>
      </c>
      <c r="F10849" s="2" t="s">
        <v>488</v>
      </c>
    </row>
    <row r="10850" spans="1:6" ht="25.5">
      <c r="A10850" s="2">
        <v>10847</v>
      </c>
      <c r="B10850" s="2" t="s">
        <v>10924</v>
      </c>
      <c r="C10850" s="2" t="str">
        <f>"15282651"</f>
        <v>15282651</v>
      </c>
      <c r="D10850" s="2">
        <v>0.106</v>
      </c>
      <c r="E10850" s="2">
        <v>1</v>
      </c>
      <c r="F10850" s="2" t="s">
        <v>6</v>
      </c>
    </row>
    <row r="10851" spans="1:6" ht="25.5">
      <c r="A10851" s="2">
        <v>10848</v>
      </c>
      <c r="B10851" s="2" t="s">
        <v>10925</v>
      </c>
      <c r="C10851" s="2" t="str">
        <f>"10831363"</f>
        <v>10831363</v>
      </c>
      <c r="D10851" s="2">
        <v>0.53800000000000003</v>
      </c>
      <c r="E10851" s="2">
        <v>16</v>
      </c>
      <c r="F10851" s="2" t="s">
        <v>6</v>
      </c>
    </row>
    <row r="10852" spans="1:6" ht="25.5">
      <c r="A10852" s="2">
        <v>10849</v>
      </c>
      <c r="B10852" s="2" t="s">
        <v>10926</v>
      </c>
      <c r="C10852" s="2" t="str">
        <f>"16879813"</f>
        <v>16879813</v>
      </c>
      <c r="D10852" s="2">
        <v>0.28000000000000003</v>
      </c>
      <c r="E10852" s="2">
        <v>6</v>
      </c>
      <c r="F10852" s="2" t="s">
        <v>523</v>
      </c>
    </row>
    <row r="10853" spans="1:6" ht="25.5">
      <c r="A10853" s="2">
        <v>10850</v>
      </c>
      <c r="B10853" s="2" t="s">
        <v>10927</v>
      </c>
      <c r="C10853" s="2" t="str">
        <f>"14643332"</f>
        <v>14643332</v>
      </c>
      <c r="D10853" s="2">
        <v>0.501</v>
      </c>
      <c r="E10853" s="2">
        <v>15</v>
      </c>
      <c r="F10853" s="2" t="s">
        <v>543</v>
      </c>
    </row>
    <row r="10854" spans="1:6" ht="25.5">
      <c r="A10854" s="2">
        <v>10851</v>
      </c>
      <c r="B10854" s="2" t="s">
        <v>10928</v>
      </c>
      <c r="C10854" s="2" t="str">
        <f>"02548704"</f>
        <v>02548704</v>
      </c>
      <c r="D10854" s="2">
        <v>0.44500000000000001</v>
      </c>
      <c r="E10854" s="2">
        <v>21</v>
      </c>
      <c r="F10854" s="2" t="s">
        <v>488</v>
      </c>
    </row>
    <row r="10855" spans="1:6" ht="25.5">
      <c r="A10855" s="2">
        <v>10852</v>
      </c>
      <c r="B10855" s="2" t="s">
        <v>10929</v>
      </c>
      <c r="C10855" s="2" t="str">
        <f>"10960449"</f>
        <v>10960449</v>
      </c>
      <c r="D10855" s="2">
        <v>2.2610000000000001</v>
      </c>
      <c r="E10855" s="2">
        <v>67</v>
      </c>
      <c r="F10855" s="2" t="s">
        <v>6</v>
      </c>
    </row>
    <row r="10856" spans="1:6" ht="25.5">
      <c r="A10856" s="2">
        <v>10853</v>
      </c>
      <c r="B10856" s="2" t="s">
        <v>10930</v>
      </c>
      <c r="C10856" s="2" t="str">
        <f>"00958964"</f>
        <v>00958964</v>
      </c>
      <c r="D10856" s="2">
        <v>0.46800000000000003</v>
      </c>
      <c r="E10856" s="2">
        <v>14</v>
      </c>
      <c r="F10856" s="2" t="s">
        <v>16</v>
      </c>
    </row>
    <row r="10857" spans="1:6" ht="25.5">
      <c r="A10857" s="2">
        <v>10854</v>
      </c>
      <c r="B10857" s="2" t="s">
        <v>10931</v>
      </c>
      <c r="C10857" s="2" t="str">
        <f>"18224199"</f>
        <v>18224199</v>
      </c>
      <c r="D10857" s="2">
        <v>0.40500000000000003</v>
      </c>
      <c r="E10857" s="2">
        <v>11</v>
      </c>
      <c r="F10857" s="2" t="s">
        <v>426</v>
      </c>
    </row>
    <row r="10858" spans="1:6" ht="25.5">
      <c r="A10858" s="2">
        <v>10855</v>
      </c>
      <c r="B10858" s="2" t="s">
        <v>10932</v>
      </c>
      <c r="C10858" s="2" t="str">
        <f>"07339372"</f>
        <v>07339372</v>
      </c>
      <c r="D10858" s="2">
        <v>0.49</v>
      </c>
      <c r="E10858" s="2">
        <v>57</v>
      </c>
      <c r="F10858" s="2" t="s">
        <v>6</v>
      </c>
    </row>
    <row r="10859" spans="1:6" ht="25.5">
      <c r="A10859" s="2">
        <v>10856</v>
      </c>
      <c r="B10859" s="2" t="s">
        <v>10933</v>
      </c>
      <c r="C10859" s="2" t="str">
        <f>"1881817X"</f>
        <v>1881817X</v>
      </c>
      <c r="D10859" s="2">
        <v>0.111</v>
      </c>
      <c r="E10859" s="2">
        <v>1</v>
      </c>
      <c r="F10859" s="2" t="s">
        <v>131</v>
      </c>
    </row>
    <row r="10860" spans="1:6" ht="25.5">
      <c r="A10860" s="2">
        <v>10857</v>
      </c>
      <c r="B10860" s="2" t="s">
        <v>10934</v>
      </c>
      <c r="C10860" s="2" t="str">
        <f>"00220892"</f>
        <v>00220892</v>
      </c>
      <c r="D10860" s="2">
        <v>0.19800000000000001</v>
      </c>
      <c r="E10860" s="2">
        <v>18</v>
      </c>
      <c r="F10860" s="2" t="s">
        <v>6</v>
      </c>
    </row>
    <row r="10861" spans="1:6" ht="25.5">
      <c r="A10861" s="2">
        <v>10858</v>
      </c>
      <c r="B10861" s="2" t="s">
        <v>10935</v>
      </c>
      <c r="C10861" s="2" t="str">
        <f>"10583912"</f>
        <v>10583912</v>
      </c>
      <c r="D10861" s="2">
        <v>0.14799999999999999</v>
      </c>
      <c r="E10861" s="2">
        <v>7</v>
      </c>
      <c r="F10861" s="2" t="s">
        <v>6</v>
      </c>
    </row>
    <row r="10862" spans="1:6" ht="25.5">
      <c r="A10862" s="2">
        <v>10859</v>
      </c>
      <c r="B10862" s="2" t="s">
        <v>10936</v>
      </c>
      <c r="C10862" s="2" t="str">
        <f>"17262135"</f>
        <v>17262135</v>
      </c>
      <c r="D10862" s="2">
        <v>1.23</v>
      </c>
      <c r="E10862" s="2">
        <v>11</v>
      </c>
      <c r="F10862" s="2" t="s">
        <v>64</v>
      </c>
    </row>
    <row r="10863" spans="1:6" ht="25.5">
      <c r="A10863" s="2">
        <v>10860</v>
      </c>
      <c r="B10863" s="2" t="s">
        <v>10937</v>
      </c>
      <c r="C10863" s="2" t="str">
        <f>"1464374X"</f>
        <v>1464374X</v>
      </c>
      <c r="D10863" s="2">
        <v>0.56399999999999995</v>
      </c>
      <c r="E10863" s="2">
        <v>10</v>
      </c>
      <c r="F10863" s="2" t="s">
        <v>16</v>
      </c>
    </row>
    <row r="10864" spans="1:6" ht="25.5">
      <c r="A10864" s="2">
        <v>10861</v>
      </c>
      <c r="B10864" s="2" t="s">
        <v>10938</v>
      </c>
      <c r="C10864" s="2" t="str">
        <f>"10490280"</f>
        <v>10490280</v>
      </c>
      <c r="D10864" s="2">
        <v>0.11700000000000001</v>
      </c>
      <c r="E10864" s="2">
        <v>5</v>
      </c>
      <c r="F10864" s="2" t="s">
        <v>6</v>
      </c>
    </row>
    <row r="10865" spans="1:6" ht="25.5">
      <c r="A10865" s="2">
        <v>10862</v>
      </c>
      <c r="B10865" s="2" t="s">
        <v>10939</v>
      </c>
      <c r="C10865" s="2" t="str">
        <f>"10958630"</f>
        <v>10958630</v>
      </c>
      <c r="D10865" s="2">
        <v>1.179</v>
      </c>
      <c r="E10865" s="2">
        <v>70</v>
      </c>
      <c r="F10865" s="2" t="s">
        <v>6</v>
      </c>
    </row>
    <row r="10866" spans="1:6" ht="25.5">
      <c r="A10866" s="2">
        <v>10863</v>
      </c>
      <c r="B10866" s="2" t="s">
        <v>10940</v>
      </c>
      <c r="C10866" s="2" t="str">
        <f>"14640333"</f>
        <v>14640333</v>
      </c>
      <c r="D10866" s="2">
        <v>0.89500000000000002</v>
      </c>
      <c r="E10866" s="2">
        <v>48</v>
      </c>
      <c r="F10866" s="2" t="s">
        <v>16</v>
      </c>
    </row>
    <row r="10867" spans="1:6" ht="25.5">
      <c r="A10867" s="2">
        <v>10864</v>
      </c>
      <c r="B10867" s="2" t="s">
        <v>10941</v>
      </c>
      <c r="C10867" s="2" t="str">
        <f>"07318898"</f>
        <v>07318898</v>
      </c>
      <c r="D10867" s="2">
        <v>0.29699999999999999</v>
      </c>
      <c r="E10867" s="2">
        <v>32</v>
      </c>
      <c r="F10867" s="2" t="s">
        <v>6</v>
      </c>
    </row>
    <row r="10868" spans="1:6" ht="25.5">
      <c r="A10868" s="2">
        <v>10865</v>
      </c>
      <c r="B10868" s="2" t="s">
        <v>10942</v>
      </c>
      <c r="C10868" s="2" t="str">
        <f>"13600559"</f>
        <v>13600559</v>
      </c>
      <c r="D10868" s="2">
        <v>0.53600000000000003</v>
      </c>
      <c r="E10868" s="2">
        <v>34</v>
      </c>
      <c r="F10868" s="2" t="s">
        <v>16</v>
      </c>
    </row>
    <row r="10869" spans="1:6" ht="25.5">
      <c r="A10869" s="2">
        <v>10866</v>
      </c>
      <c r="B10869" s="2" t="s">
        <v>10943</v>
      </c>
      <c r="C10869" s="2" t="str">
        <f>"1523908X"</f>
        <v>1523908X</v>
      </c>
      <c r="D10869" s="2">
        <v>0.65100000000000002</v>
      </c>
      <c r="E10869" s="2">
        <v>21</v>
      </c>
      <c r="F10869" s="2" t="s">
        <v>16</v>
      </c>
    </row>
    <row r="10870" spans="1:6" ht="25.5">
      <c r="A10870" s="2">
        <v>10867</v>
      </c>
      <c r="B10870" s="2" t="s">
        <v>10944</v>
      </c>
      <c r="C10870" s="2" t="str">
        <f>"13115065"</f>
        <v>13115065</v>
      </c>
      <c r="D10870" s="2">
        <v>0.20200000000000001</v>
      </c>
      <c r="E10870" s="2">
        <v>6</v>
      </c>
      <c r="F10870" s="2" t="s">
        <v>293</v>
      </c>
    </row>
    <row r="10871" spans="1:6" ht="25.5">
      <c r="A10871" s="2">
        <v>10868</v>
      </c>
      <c r="B10871" s="2" t="s">
        <v>10945</v>
      </c>
      <c r="C10871" s="2" t="str">
        <f>"15229610"</f>
        <v>15229610</v>
      </c>
      <c r="D10871" s="2">
        <v>1.2849999999999999</v>
      </c>
      <c r="E10871" s="2">
        <v>55</v>
      </c>
      <c r="F10871" s="2" t="s">
        <v>6</v>
      </c>
    </row>
    <row r="10872" spans="1:6" ht="25.5">
      <c r="A10872" s="2">
        <v>10869</v>
      </c>
      <c r="B10872" s="2" t="s">
        <v>10946</v>
      </c>
      <c r="C10872" s="2" t="str">
        <f>"00472425"</f>
        <v>00472425</v>
      </c>
      <c r="D10872" s="2">
        <v>1.1259999999999999</v>
      </c>
      <c r="E10872" s="2">
        <v>101</v>
      </c>
      <c r="F10872" s="2" t="s">
        <v>6</v>
      </c>
    </row>
    <row r="10873" spans="1:6" ht="25.5">
      <c r="A10873" s="2">
        <v>10870</v>
      </c>
      <c r="B10873" s="2" t="s">
        <v>10947</v>
      </c>
      <c r="C10873" s="2" t="str">
        <f>"0265931X"</f>
        <v>0265931X</v>
      </c>
      <c r="D10873" s="2">
        <v>0.95799999999999996</v>
      </c>
      <c r="E10873" s="2">
        <v>42</v>
      </c>
      <c r="F10873" s="2" t="s">
        <v>16</v>
      </c>
    </row>
    <row r="10874" spans="1:6">
      <c r="A10874" s="2">
        <v>10871</v>
      </c>
      <c r="B10874" s="2" t="s">
        <v>10948</v>
      </c>
      <c r="C10874" s="2" t="str">
        <f>"0"</f>
        <v>0</v>
      </c>
      <c r="D10874" s="2">
        <v>0.113</v>
      </c>
      <c r="E10874" s="2">
        <v>17</v>
      </c>
      <c r="F10874" s="2" t="s">
        <v>488</v>
      </c>
    </row>
    <row r="10875" spans="1:6" ht="25.5">
      <c r="A10875" s="2">
        <v>10872</v>
      </c>
      <c r="B10875" s="2" t="s">
        <v>10949</v>
      </c>
      <c r="C10875" s="2" t="str">
        <f>"15324117"</f>
        <v>15324117</v>
      </c>
      <c r="D10875" s="2">
        <v>0.57299999999999995</v>
      </c>
      <c r="E10875" s="2">
        <v>36</v>
      </c>
      <c r="F10875" s="2" t="s">
        <v>16</v>
      </c>
    </row>
    <row r="10876" spans="1:6" ht="25.5">
      <c r="A10876" s="2">
        <v>10873</v>
      </c>
      <c r="B10876" s="2" t="s">
        <v>10950</v>
      </c>
      <c r="C10876" s="2" t="str">
        <f>"15324109"</f>
        <v>15324109</v>
      </c>
      <c r="D10876" s="2">
        <v>0.45600000000000002</v>
      </c>
      <c r="E10876" s="2">
        <v>28</v>
      </c>
      <c r="F10876" s="2" t="s">
        <v>16</v>
      </c>
    </row>
    <row r="10877" spans="1:6" ht="25.5">
      <c r="A10877" s="2">
        <v>10874</v>
      </c>
      <c r="B10877" s="2" t="s">
        <v>10951</v>
      </c>
      <c r="C10877" s="2" t="str">
        <f>"01191144"</f>
        <v>01191144</v>
      </c>
      <c r="D10877" s="2">
        <v>0.10199999999999999</v>
      </c>
      <c r="E10877" s="2">
        <v>1</v>
      </c>
      <c r="F10877" s="2" t="s">
        <v>304</v>
      </c>
    </row>
    <row r="10878" spans="1:6" ht="25.5">
      <c r="A10878" s="2">
        <v>10875</v>
      </c>
      <c r="B10878" s="2" t="s">
        <v>10952</v>
      </c>
      <c r="C10878" s="2" t="str">
        <f>"19947887"</f>
        <v>19947887</v>
      </c>
      <c r="D10878" s="2">
        <v>0.56499999999999995</v>
      </c>
      <c r="E10878" s="2">
        <v>7</v>
      </c>
      <c r="F10878" s="2" t="s">
        <v>43</v>
      </c>
    </row>
    <row r="10879" spans="1:6" ht="25.5">
      <c r="A10879" s="2">
        <v>10876</v>
      </c>
      <c r="B10879" s="2" t="s">
        <v>10953</v>
      </c>
      <c r="C10879" s="2" t="str">
        <f>"10010742"</f>
        <v>10010742</v>
      </c>
      <c r="D10879" s="2">
        <v>0.79700000000000004</v>
      </c>
      <c r="E10879" s="2">
        <v>29</v>
      </c>
      <c r="F10879" s="2" t="s">
        <v>46</v>
      </c>
    </row>
    <row r="10880" spans="1:6" ht="25.5">
      <c r="A10880" s="2">
        <v>10877</v>
      </c>
      <c r="B10880" s="2" t="s">
        <v>10954</v>
      </c>
      <c r="C10880" s="2" t="str">
        <f>"10258620"</f>
        <v>10258620</v>
      </c>
      <c r="D10880" s="2">
        <v>0.10299999999999999</v>
      </c>
      <c r="E10880" s="2">
        <v>3</v>
      </c>
      <c r="F10880" s="2" t="s">
        <v>299</v>
      </c>
    </row>
    <row r="10881" spans="1:6" ht="25.5">
      <c r="A10881" s="2">
        <v>10878</v>
      </c>
      <c r="B10881" s="2" t="s">
        <v>10955</v>
      </c>
      <c r="C10881" s="2" t="str">
        <f>"15413802"</f>
        <v>15413802</v>
      </c>
      <c r="D10881" s="2">
        <v>0.104</v>
      </c>
      <c r="E10881" s="2">
        <v>7</v>
      </c>
      <c r="F10881" s="2" t="s">
        <v>6</v>
      </c>
    </row>
    <row r="10882" spans="1:6" ht="25.5">
      <c r="A10882" s="2">
        <v>10879</v>
      </c>
      <c r="B10882" s="2" t="s">
        <v>10956</v>
      </c>
      <c r="C10882" s="2" t="str">
        <f>"10704965"</f>
        <v>10704965</v>
      </c>
      <c r="D10882" s="2">
        <v>0.69699999999999995</v>
      </c>
      <c r="E10882" s="2">
        <v>20</v>
      </c>
      <c r="F10882" s="2" t="s">
        <v>6</v>
      </c>
    </row>
    <row r="10883" spans="1:6" ht="25.5">
      <c r="A10883" s="2">
        <v>10880</v>
      </c>
      <c r="B10883" s="2" t="s">
        <v>10957</v>
      </c>
      <c r="C10883" s="2" t="str">
        <f>"14756374"</f>
        <v>14756374</v>
      </c>
      <c r="D10883" s="2">
        <v>0.40600000000000003</v>
      </c>
      <c r="E10883" s="2">
        <v>37</v>
      </c>
      <c r="F10883" s="2" t="s">
        <v>16</v>
      </c>
    </row>
    <row r="10884" spans="1:6" ht="25.5">
      <c r="A10884" s="2">
        <v>10881</v>
      </c>
      <c r="B10884" s="2" t="s">
        <v>10958</v>
      </c>
      <c r="C10884" s="2" t="str">
        <f>"13499092"</f>
        <v>13499092</v>
      </c>
      <c r="D10884" s="2">
        <v>0.69799999999999995</v>
      </c>
      <c r="E10884" s="2">
        <v>39</v>
      </c>
      <c r="F10884" s="2" t="s">
        <v>131</v>
      </c>
    </row>
    <row r="10885" spans="1:6" ht="25.5">
      <c r="A10885" s="2">
        <v>10882</v>
      </c>
      <c r="B10885" s="2" t="s">
        <v>10959</v>
      </c>
      <c r="C10885" s="2" t="str">
        <f>"14702738"</f>
        <v>14702738</v>
      </c>
      <c r="D10885" s="2">
        <v>1.3420000000000001</v>
      </c>
      <c r="E10885" s="2">
        <v>102</v>
      </c>
      <c r="F10885" s="2" t="s">
        <v>16</v>
      </c>
    </row>
    <row r="10886" spans="1:6" ht="25.5">
      <c r="A10886" s="2">
        <v>10883</v>
      </c>
      <c r="B10886" s="2" t="s">
        <v>10960</v>
      </c>
      <c r="C10886" s="2" t="str">
        <f>"22106006"</f>
        <v>22106006</v>
      </c>
      <c r="D10886" s="2">
        <v>0.105</v>
      </c>
      <c r="E10886" s="2">
        <v>2</v>
      </c>
      <c r="F10886" s="2" t="s">
        <v>75</v>
      </c>
    </row>
    <row r="10887" spans="1:6" ht="25.5">
      <c r="A10887" s="2">
        <v>10884</v>
      </c>
      <c r="B10887" s="2" t="s">
        <v>10961</v>
      </c>
      <c r="C10887" s="2" t="str">
        <f>"16762649"</f>
        <v>16762649</v>
      </c>
      <c r="D10887" s="2">
        <v>0.13400000000000001</v>
      </c>
      <c r="E10887" s="2">
        <v>8</v>
      </c>
      <c r="F10887" s="2" t="s">
        <v>159</v>
      </c>
    </row>
    <row r="10888" spans="1:6" ht="25.5">
      <c r="A10888" s="2">
        <v>10885</v>
      </c>
      <c r="B10888" s="2" t="s">
        <v>10962</v>
      </c>
      <c r="C10888" s="2" t="str">
        <f>"18750443"</f>
        <v>18750443</v>
      </c>
      <c r="D10888" s="2">
        <v>0.123</v>
      </c>
      <c r="E10888" s="2">
        <v>2</v>
      </c>
      <c r="F10888" s="2" t="s">
        <v>75</v>
      </c>
    </row>
    <row r="10889" spans="1:6" ht="25.5">
      <c r="A10889" s="2">
        <v>10886</v>
      </c>
      <c r="B10889" s="2" t="s">
        <v>10963</v>
      </c>
      <c r="C10889" s="2" t="str">
        <f>"13403516"</f>
        <v>13403516</v>
      </c>
      <c r="D10889" s="2">
        <v>0.114</v>
      </c>
      <c r="E10889" s="2">
        <v>10</v>
      </c>
      <c r="F10889" s="2" t="s">
        <v>131</v>
      </c>
    </row>
    <row r="10890" spans="1:6" ht="25.5">
      <c r="A10890" s="2">
        <v>10887</v>
      </c>
      <c r="B10890" s="2" t="s">
        <v>10964</v>
      </c>
      <c r="C10890" s="2" t="str">
        <f>"15427412"</f>
        <v>15427412</v>
      </c>
      <c r="D10890" s="2">
        <v>0.25</v>
      </c>
      <c r="E10890" s="2">
        <v>18</v>
      </c>
      <c r="F10890" s="2" t="s">
        <v>16</v>
      </c>
    </row>
    <row r="10891" spans="1:6" ht="25.5">
      <c r="A10891" s="2">
        <v>10888</v>
      </c>
      <c r="B10891" s="2" t="s">
        <v>10965</v>
      </c>
      <c r="C10891" s="2" t="str">
        <f>"0972060X"</f>
        <v>0972060X</v>
      </c>
      <c r="D10891" s="2">
        <v>0.19800000000000001</v>
      </c>
      <c r="E10891" s="2">
        <v>7</v>
      </c>
      <c r="F10891" s="2" t="s">
        <v>488</v>
      </c>
    </row>
    <row r="10892" spans="1:6" ht="25.5">
      <c r="A10892" s="2">
        <v>10889</v>
      </c>
      <c r="B10892" s="2" t="s">
        <v>10966</v>
      </c>
      <c r="C10892" s="2" t="str">
        <f>"10412905"</f>
        <v>10412905</v>
      </c>
      <c r="D10892" s="2">
        <v>0.311</v>
      </c>
      <c r="E10892" s="2">
        <v>31</v>
      </c>
      <c r="F10892" s="2" t="s">
        <v>6</v>
      </c>
    </row>
    <row r="10893" spans="1:6" ht="25.5">
      <c r="A10893" s="2">
        <v>10890</v>
      </c>
      <c r="B10893" s="2" t="s">
        <v>10967</v>
      </c>
      <c r="C10893" s="2" t="str">
        <f>"17088240"</f>
        <v>17088240</v>
      </c>
      <c r="D10893" s="2">
        <v>0.42799999999999999</v>
      </c>
      <c r="E10893" s="2">
        <v>35</v>
      </c>
      <c r="F10893" s="2" t="s">
        <v>16</v>
      </c>
    </row>
    <row r="10894" spans="1:6" ht="25.5">
      <c r="A10894" s="2">
        <v>10891</v>
      </c>
      <c r="B10894" s="2" t="s">
        <v>10968</v>
      </c>
      <c r="C10894" s="2" t="str">
        <f>"13824554"</f>
        <v>13824554</v>
      </c>
      <c r="D10894" s="2">
        <v>0.35799999999999998</v>
      </c>
      <c r="E10894" s="2">
        <v>15</v>
      </c>
      <c r="F10894" s="2" t="s">
        <v>75</v>
      </c>
    </row>
    <row r="10895" spans="1:6" ht="25.5">
      <c r="A10895" s="2">
        <v>10892</v>
      </c>
      <c r="B10895" s="2" t="s">
        <v>10969</v>
      </c>
      <c r="C10895" s="2" t="str">
        <f>"15313204"</f>
        <v>15313204</v>
      </c>
      <c r="D10895" s="2">
        <v>0.313</v>
      </c>
      <c r="E10895" s="2">
        <v>8</v>
      </c>
      <c r="F10895" s="2" t="s">
        <v>16</v>
      </c>
    </row>
    <row r="10896" spans="1:6" ht="25.5">
      <c r="A10896" s="2">
        <v>10893</v>
      </c>
      <c r="B10896" s="2" t="s">
        <v>10970</v>
      </c>
      <c r="C10896" s="2" t="str">
        <f>"14699451"</f>
        <v>14699451</v>
      </c>
      <c r="D10896" s="2">
        <v>1.2</v>
      </c>
      <c r="E10896" s="2">
        <v>32</v>
      </c>
      <c r="F10896" s="2" t="s">
        <v>16</v>
      </c>
    </row>
    <row r="10897" spans="1:6" ht="25.5">
      <c r="A10897" s="2">
        <v>10894</v>
      </c>
      <c r="B10897" s="2" t="s">
        <v>10971</v>
      </c>
      <c r="C10897" s="2" t="str">
        <f>"15377938"</f>
        <v>15377938</v>
      </c>
      <c r="D10897" s="2">
        <v>0.19900000000000001</v>
      </c>
      <c r="E10897" s="2">
        <v>5</v>
      </c>
      <c r="F10897" s="2" t="s">
        <v>16</v>
      </c>
    </row>
    <row r="10898" spans="1:6" ht="25.5">
      <c r="A10898" s="2">
        <v>10895</v>
      </c>
      <c r="B10898" s="2" t="s">
        <v>10972</v>
      </c>
      <c r="C10898" s="2" t="str">
        <f>"15332659"</f>
        <v>15332659</v>
      </c>
      <c r="D10898" s="2">
        <v>0.33500000000000002</v>
      </c>
      <c r="E10898" s="2">
        <v>16</v>
      </c>
      <c r="F10898" s="2" t="s">
        <v>16</v>
      </c>
    </row>
    <row r="10899" spans="1:6" ht="25.5">
      <c r="A10899" s="2">
        <v>10896</v>
      </c>
      <c r="B10899" s="2" t="s">
        <v>10973</v>
      </c>
      <c r="C10899" s="2" t="str">
        <f>"02780771"</f>
        <v>02780771</v>
      </c>
      <c r="D10899" s="2">
        <v>0.28699999999999998</v>
      </c>
      <c r="E10899" s="2">
        <v>7</v>
      </c>
      <c r="F10899" s="2" t="s">
        <v>6</v>
      </c>
    </row>
    <row r="10900" spans="1:6" ht="25.5">
      <c r="A10900" s="2">
        <v>10897</v>
      </c>
      <c r="B10900" s="2" t="s">
        <v>10974</v>
      </c>
      <c r="C10900" s="2" t="str">
        <f>"17464269"</f>
        <v>17464269</v>
      </c>
      <c r="D10900" s="2">
        <v>0.82299999999999995</v>
      </c>
      <c r="E10900" s="2">
        <v>27</v>
      </c>
      <c r="F10900" s="2" t="s">
        <v>16</v>
      </c>
    </row>
    <row r="10901" spans="1:6" ht="25.5">
      <c r="A10901" s="2">
        <v>10898</v>
      </c>
      <c r="B10901" s="2" t="s">
        <v>10975</v>
      </c>
      <c r="C10901" s="2" t="str">
        <f>"03788741"</f>
        <v>03788741</v>
      </c>
      <c r="D10901" s="2">
        <v>0.99399999999999999</v>
      </c>
      <c r="E10901" s="2">
        <v>102</v>
      </c>
      <c r="F10901" s="2" t="s">
        <v>732</v>
      </c>
    </row>
    <row r="10902" spans="1:6" ht="25.5">
      <c r="A10902" s="2">
        <v>10899</v>
      </c>
      <c r="B10902" s="2" t="s">
        <v>10976</v>
      </c>
      <c r="C10902" s="2" t="str">
        <f>"14395444"</f>
        <v>14395444</v>
      </c>
      <c r="D10902" s="2">
        <v>0.42699999999999999</v>
      </c>
      <c r="E10902" s="2">
        <v>19</v>
      </c>
      <c r="F10902" s="2" t="s">
        <v>131</v>
      </c>
    </row>
    <row r="10903" spans="1:6" ht="25.5">
      <c r="A10903" s="2">
        <v>10900</v>
      </c>
      <c r="B10903" s="2" t="s">
        <v>10977</v>
      </c>
      <c r="C10903" s="2" t="str">
        <f>"15507408"</f>
        <v>15507408</v>
      </c>
      <c r="D10903" s="2">
        <v>0.96299999999999997</v>
      </c>
      <c r="E10903" s="2">
        <v>55</v>
      </c>
      <c r="F10903" s="2" t="s">
        <v>16</v>
      </c>
    </row>
    <row r="10904" spans="1:6" ht="25.5">
      <c r="A10904" s="2">
        <v>10901</v>
      </c>
      <c r="B10904" s="2" t="s">
        <v>10978</v>
      </c>
      <c r="C10904" s="2" t="str">
        <f>"18793665"</f>
        <v>18793665</v>
      </c>
      <c r="D10904" s="2">
        <v>0.32800000000000001</v>
      </c>
      <c r="E10904" s="2">
        <v>3</v>
      </c>
      <c r="F10904" s="2" t="s">
        <v>75</v>
      </c>
    </row>
    <row r="10905" spans="1:6" ht="25.5">
      <c r="A10905" s="2">
        <v>10902</v>
      </c>
      <c r="B10905" s="2" t="s">
        <v>10979</v>
      </c>
      <c r="C10905" s="2" t="str">
        <f>"03915115"</f>
        <v>03915115</v>
      </c>
      <c r="D10905" s="2">
        <v>0</v>
      </c>
      <c r="E10905" s="2">
        <v>2</v>
      </c>
      <c r="F10905" s="2" t="s">
        <v>190</v>
      </c>
    </row>
    <row r="10906" spans="1:6" ht="25.5">
      <c r="A10906" s="2">
        <v>10903</v>
      </c>
      <c r="B10906" s="2" t="s">
        <v>10980</v>
      </c>
      <c r="C10906" s="2" t="str">
        <f>"14772280"</f>
        <v>14772280</v>
      </c>
      <c r="D10906" s="2">
        <v>0.47299999999999998</v>
      </c>
      <c r="E10906" s="2">
        <v>5</v>
      </c>
      <c r="F10906" s="2" t="s">
        <v>16</v>
      </c>
    </row>
    <row r="10907" spans="1:6" ht="25.5">
      <c r="A10907" s="2">
        <v>10904</v>
      </c>
      <c r="B10907" s="2" t="s">
        <v>10981</v>
      </c>
      <c r="C10907" s="2" t="str">
        <f>"14664429"</f>
        <v>14664429</v>
      </c>
      <c r="D10907" s="2">
        <v>1.149</v>
      </c>
      <c r="E10907" s="2">
        <v>46</v>
      </c>
      <c r="F10907" s="2" t="s">
        <v>6</v>
      </c>
    </row>
    <row r="10908" spans="1:6" ht="25.5">
      <c r="A10908" s="2">
        <v>10905</v>
      </c>
      <c r="B10908" s="2" t="s">
        <v>10982</v>
      </c>
      <c r="C10908" s="2" t="str">
        <f>"17539269"</f>
        <v>17539269</v>
      </c>
      <c r="D10908" s="2">
        <v>0.21299999999999999</v>
      </c>
      <c r="E10908" s="2">
        <v>2</v>
      </c>
      <c r="F10908" s="2" t="s">
        <v>16</v>
      </c>
    </row>
    <row r="10909" spans="1:6" ht="25.5">
      <c r="A10909" s="2">
        <v>10906</v>
      </c>
      <c r="B10909" s="2" t="s">
        <v>10983</v>
      </c>
      <c r="C10909" s="2" t="str">
        <f>"09589287"</f>
        <v>09589287</v>
      </c>
      <c r="D10909" s="2">
        <v>1.413</v>
      </c>
      <c r="E10909" s="2">
        <v>31</v>
      </c>
      <c r="F10909" s="2" t="s">
        <v>16</v>
      </c>
    </row>
    <row r="10910" spans="1:6" ht="25.5">
      <c r="A10910" s="2">
        <v>10907</v>
      </c>
      <c r="B10910" s="2" t="s">
        <v>10984</v>
      </c>
      <c r="C10910" s="2" t="str">
        <f>"17402379"</f>
        <v>17402379</v>
      </c>
      <c r="D10910" s="2">
        <v>0.10299999999999999</v>
      </c>
      <c r="E10910" s="2">
        <v>6</v>
      </c>
      <c r="F10910" s="2" t="s">
        <v>16</v>
      </c>
    </row>
    <row r="10911" spans="1:6" ht="25.5">
      <c r="A10911" s="2">
        <v>10908</v>
      </c>
      <c r="B10911" s="2" t="s">
        <v>10985</v>
      </c>
      <c r="C10911" s="2" t="str">
        <f>"13561294"</f>
        <v>13561294</v>
      </c>
      <c r="D10911" s="2">
        <v>0.70499999999999996</v>
      </c>
      <c r="E10911" s="2">
        <v>44</v>
      </c>
      <c r="F10911" s="2" t="s">
        <v>16</v>
      </c>
    </row>
    <row r="10912" spans="1:6" ht="25.5">
      <c r="A10912" s="2">
        <v>10909</v>
      </c>
      <c r="B10912" s="2" t="s">
        <v>10986</v>
      </c>
      <c r="C10912" s="2" t="str">
        <f>"21565899"</f>
        <v>21565899</v>
      </c>
      <c r="D10912" s="2">
        <v>0.19400000000000001</v>
      </c>
      <c r="E10912" s="2">
        <v>8</v>
      </c>
      <c r="F10912" s="2" t="s">
        <v>6</v>
      </c>
    </row>
    <row r="10913" spans="1:6" ht="25.5">
      <c r="A10913" s="2">
        <v>10910</v>
      </c>
      <c r="B10913" s="2" t="s">
        <v>10987</v>
      </c>
      <c r="C10913" s="2" t="str">
        <f>"15323390"</f>
        <v>15323390</v>
      </c>
      <c r="D10913" s="2">
        <v>0.16500000000000001</v>
      </c>
      <c r="E10913" s="2">
        <v>8</v>
      </c>
      <c r="F10913" s="2" t="s">
        <v>6</v>
      </c>
    </row>
    <row r="10914" spans="1:6" ht="25.5">
      <c r="A10914" s="2">
        <v>10911</v>
      </c>
      <c r="B10914" s="2" t="s">
        <v>10988</v>
      </c>
      <c r="C10914" s="2" t="str">
        <f>"17565383"</f>
        <v>17565383</v>
      </c>
      <c r="D10914" s="2">
        <v>0.21299999999999999</v>
      </c>
      <c r="E10914" s="2">
        <v>8</v>
      </c>
      <c r="F10914" s="2" t="s">
        <v>16</v>
      </c>
    </row>
    <row r="10915" spans="1:6" ht="25.5">
      <c r="A10915" s="2">
        <v>10912</v>
      </c>
      <c r="B10915" s="2" t="s">
        <v>10989</v>
      </c>
      <c r="C10915" s="2" t="str">
        <f>"15433722"</f>
        <v>15433722</v>
      </c>
      <c r="D10915" s="2">
        <v>0.17599999999999999</v>
      </c>
      <c r="E10915" s="2">
        <v>7</v>
      </c>
      <c r="F10915" s="2" t="s">
        <v>16</v>
      </c>
    </row>
    <row r="10916" spans="1:6" ht="25.5">
      <c r="A10916" s="2">
        <v>10913</v>
      </c>
      <c r="B10916" s="2" t="s">
        <v>10990</v>
      </c>
      <c r="C10916" s="2" t="str">
        <f>"16083202"</f>
        <v>16083202</v>
      </c>
      <c r="D10916" s="2">
        <v>0.11700000000000001</v>
      </c>
      <c r="E10916" s="2">
        <v>7</v>
      </c>
      <c r="F10916" s="2" t="s">
        <v>129</v>
      </c>
    </row>
    <row r="10917" spans="1:6" ht="25.5">
      <c r="A10917" s="2">
        <v>10914</v>
      </c>
      <c r="B10917" s="2" t="s">
        <v>10991</v>
      </c>
      <c r="C10917" s="2" t="str">
        <f>"14209101"</f>
        <v>14209101</v>
      </c>
      <c r="D10917" s="2">
        <v>1.724</v>
      </c>
      <c r="E10917" s="2">
        <v>77</v>
      </c>
      <c r="F10917" s="2" t="s">
        <v>16</v>
      </c>
    </row>
    <row r="10918" spans="1:6" ht="25.5">
      <c r="A10918" s="2">
        <v>10915</v>
      </c>
      <c r="B10918" s="2" t="s">
        <v>10992</v>
      </c>
      <c r="C10918" s="2" t="str">
        <f>"14321386"</f>
        <v>14321386</v>
      </c>
      <c r="D10918" s="2">
        <v>0.78500000000000003</v>
      </c>
      <c r="E10918" s="2">
        <v>33</v>
      </c>
      <c r="F10918" s="2" t="s">
        <v>6</v>
      </c>
    </row>
    <row r="10919" spans="1:6" ht="25.5">
      <c r="A10919" s="2">
        <v>10916</v>
      </c>
      <c r="B10919" s="2" t="s">
        <v>10993</v>
      </c>
      <c r="C10919" s="2" t="str">
        <f>"17892082"</f>
        <v>17892082</v>
      </c>
      <c r="D10919" s="2">
        <v>0.43099999999999999</v>
      </c>
      <c r="E10919" s="2">
        <v>9</v>
      </c>
      <c r="F10919" s="2" t="s">
        <v>135</v>
      </c>
    </row>
    <row r="10920" spans="1:6" ht="25.5">
      <c r="A10920" s="2">
        <v>10917</v>
      </c>
      <c r="B10920" s="2" t="s">
        <v>10994</v>
      </c>
      <c r="C10920" s="2" t="str">
        <f>"14243202"</f>
        <v>14243202</v>
      </c>
      <c r="D10920" s="2">
        <v>1.0129999999999999</v>
      </c>
      <c r="E10920" s="2">
        <v>19</v>
      </c>
      <c r="F10920" s="2" t="s">
        <v>31</v>
      </c>
    </row>
    <row r="10921" spans="1:6" ht="25.5">
      <c r="A10921" s="2">
        <v>10918</v>
      </c>
      <c r="B10921" s="2" t="s">
        <v>10995</v>
      </c>
      <c r="C10921" s="2" t="str">
        <f>"10979751"</f>
        <v>10979751</v>
      </c>
      <c r="D10921" s="2">
        <v>0.15</v>
      </c>
      <c r="E10921" s="2">
        <v>13</v>
      </c>
      <c r="F10921" s="2" t="s">
        <v>6</v>
      </c>
    </row>
    <row r="10922" spans="1:6" ht="25.5">
      <c r="A10922" s="2">
        <v>10919</v>
      </c>
      <c r="B10922" s="2" t="s">
        <v>10996</v>
      </c>
      <c r="C10922" s="2" t="str">
        <f>"1728869X"</f>
        <v>1728869X</v>
      </c>
      <c r="D10922" s="2">
        <v>0.21299999999999999</v>
      </c>
      <c r="E10922" s="2">
        <v>6</v>
      </c>
      <c r="F10922" s="2" t="s">
        <v>75</v>
      </c>
    </row>
    <row r="10923" spans="1:6" ht="25.5">
      <c r="A10923" s="2">
        <v>10920</v>
      </c>
      <c r="B10923" s="2" t="s">
        <v>10997</v>
      </c>
      <c r="C10923" s="2" t="str">
        <f>"19316283"</f>
        <v>19316283</v>
      </c>
      <c r="D10923" s="2">
        <v>0.186</v>
      </c>
      <c r="E10923" s="2">
        <v>13</v>
      </c>
      <c r="F10923" s="2" t="s">
        <v>16</v>
      </c>
    </row>
    <row r="10924" spans="1:6" ht="25.5">
      <c r="A10924" s="2">
        <v>10921</v>
      </c>
      <c r="B10924" s="2" t="s">
        <v>10998</v>
      </c>
      <c r="C10924" s="2" t="str">
        <f>"10846654"</f>
        <v>10846654</v>
      </c>
      <c r="D10924" s="2">
        <v>0.42299999999999999</v>
      </c>
      <c r="E10924" s="2">
        <v>6</v>
      </c>
      <c r="F10924" s="2" t="s">
        <v>6</v>
      </c>
    </row>
    <row r="10925" spans="1:6" ht="25.5">
      <c r="A10925" s="2">
        <v>10922</v>
      </c>
      <c r="B10925" s="2" t="s">
        <v>10999</v>
      </c>
      <c r="C10925" s="2" t="str">
        <f>"17431050"</f>
        <v>17431050</v>
      </c>
      <c r="D10925" s="2">
        <v>0.36699999999999999</v>
      </c>
      <c r="E10925" s="2">
        <v>10</v>
      </c>
      <c r="F10925" s="2" t="s">
        <v>16</v>
      </c>
    </row>
    <row r="10926" spans="1:6" ht="25.5">
      <c r="A10926" s="2">
        <v>10923</v>
      </c>
      <c r="B10926" s="2" t="s">
        <v>11000</v>
      </c>
      <c r="C10926" s="2" t="str">
        <f>"17569966"</f>
        <v>17569966</v>
      </c>
      <c r="D10926" s="2">
        <v>0.94099999999999995</v>
      </c>
      <c r="E10926" s="2">
        <v>36</v>
      </c>
      <c r="F10926" s="2" t="s">
        <v>16</v>
      </c>
    </row>
    <row r="10927" spans="1:6" ht="25.5">
      <c r="A10927" s="2">
        <v>10924</v>
      </c>
      <c r="B10927" s="2" t="s">
        <v>11001</v>
      </c>
      <c r="C10927" s="2" t="str">
        <f>"18783317"</f>
        <v>18783317</v>
      </c>
      <c r="D10927" s="2">
        <v>0.16300000000000001</v>
      </c>
      <c r="E10927" s="2">
        <v>5</v>
      </c>
      <c r="F10927" s="2" t="s">
        <v>165</v>
      </c>
    </row>
    <row r="10928" spans="1:6" ht="25.5">
      <c r="A10928" s="2">
        <v>10925</v>
      </c>
      <c r="B10928" s="2" t="s">
        <v>11002</v>
      </c>
      <c r="C10928" s="2" t="str">
        <f>"13623079"</f>
        <v>13623079</v>
      </c>
      <c r="D10928" s="2">
        <v>0.17699999999999999</v>
      </c>
      <c r="E10928" s="2">
        <v>23</v>
      </c>
      <c r="F10928" s="2" t="s">
        <v>16</v>
      </c>
    </row>
    <row r="10929" spans="1:6" ht="25.5">
      <c r="A10929" s="2">
        <v>10926</v>
      </c>
      <c r="B10929" s="2" t="s">
        <v>11003</v>
      </c>
      <c r="C10929" s="2" t="str">
        <f>"10906509"</f>
        <v>10906509</v>
      </c>
      <c r="D10929" s="2">
        <v>0.52</v>
      </c>
      <c r="E10929" s="2">
        <v>33</v>
      </c>
      <c r="F10929" s="2" t="s">
        <v>129</v>
      </c>
    </row>
    <row r="10930" spans="1:6" ht="25.5">
      <c r="A10930" s="2">
        <v>10927</v>
      </c>
      <c r="B10930" s="2" t="s">
        <v>11004</v>
      </c>
      <c r="C10930" s="2" t="str">
        <f>"14779145"</f>
        <v>14779145</v>
      </c>
      <c r="D10930" s="2">
        <v>1.349</v>
      </c>
      <c r="E10930" s="2">
        <v>109</v>
      </c>
      <c r="F10930" s="2" t="s">
        <v>16</v>
      </c>
    </row>
    <row r="10931" spans="1:6" ht="25.5">
      <c r="A10931" s="2">
        <v>10928</v>
      </c>
      <c r="B10931" s="2" t="s">
        <v>11005</v>
      </c>
      <c r="C10931" s="2" t="str">
        <f>"14602431"</f>
        <v>14602431</v>
      </c>
      <c r="D10931" s="2">
        <v>2.1779999999999999</v>
      </c>
      <c r="E10931" s="2">
        <v>122</v>
      </c>
      <c r="F10931" s="2" t="s">
        <v>16</v>
      </c>
    </row>
    <row r="10932" spans="1:6" ht="25.5">
      <c r="A10932" s="2">
        <v>10929</v>
      </c>
      <c r="B10932" s="2" t="s">
        <v>11006</v>
      </c>
      <c r="C10932" s="2" t="str">
        <f>"10960457"</f>
        <v>10960457</v>
      </c>
      <c r="D10932" s="2">
        <v>1.643</v>
      </c>
      <c r="E10932" s="2">
        <v>66</v>
      </c>
      <c r="F10932" s="2" t="s">
        <v>6</v>
      </c>
    </row>
    <row r="10933" spans="1:6" ht="25.5">
      <c r="A10933" s="2">
        <v>10930</v>
      </c>
      <c r="B10933" s="2" t="s">
        <v>11007</v>
      </c>
      <c r="C10933" s="2" t="str">
        <f>"15733750"</f>
        <v>15733750</v>
      </c>
      <c r="D10933" s="2">
        <v>1.075</v>
      </c>
      <c r="E10933" s="2">
        <v>17</v>
      </c>
      <c r="F10933" s="2" t="s">
        <v>75</v>
      </c>
    </row>
    <row r="10934" spans="1:6" ht="25.5">
      <c r="A10934" s="2">
        <v>10931</v>
      </c>
      <c r="B10934" s="2" t="s">
        <v>11008</v>
      </c>
      <c r="C10934" s="2" t="str">
        <f>"00220973"</f>
        <v>00220973</v>
      </c>
      <c r="D10934" s="2">
        <v>0.57899999999999996</v>
      </c>
      <c r="E10934" s="2">
        <v>26</v>
      </c>
      <c r="F10934" s="2" t="s">
        <v>16</v>
      </c>
    </row>
    <row r="10935" spans="1:6" ht="25.5">
      <c r="A10935" s="2">
        <v>10932</v>
      </c>
      <c r="B10935" s="2" t="s">
        <v>11009</v>
      </c>
      <c r="C10935" s="2" t="str">
        <f>"00220981"</f>
        <v>00220981</v>
      </c>
      <c r="D10935" s="2">
        <v>1</v>
      </c>
      <c r="E10935" s="2">
        <v>74</v>
      </c>
      <c r="F10935" s="2" t="s">
        <v>75</v>
      </c>
    </row>
    <row r="10936" spans="1:6" ht="25.5">
      <c r="A10936" s="2">
        <v>10933</v>
      </c>
      <c r="B10936" s="2" t="s">
        <v>11010</v>
      </c>
      <c r="C10936" s="2" t="str">
        <f>"15409538"</f>
        <v>15409538</v>
      </c>
      <c r="D10936" s="2">
        <v>9.9149999999999991</v>
      </c>
      <c r="E10936" s="2">
        <v>323</v>
      </c>
      <c r="F10936" s="2" t="s">
        <v>6</v>
      </c>
    </row>
    <row r="10937" spans="1:6" ht="25.5">
      <c r="A10937" s="2">
        <v>10934</v>
      </c>
      <c r="B10937" s="2" t="s">
        <v>11011</v>
      </c>
      <c r="C10937" s="2" t="str">
        <f>"17458099"</f>
        <v>17458099</v>
      </c>
      <c r="D10937" s="2">
        <v>0.32600000000000001</v>
      </c>
      <c r="E10937" s="2">
        <v>10</v>
      </c>
      <c r="F10937" s="2" t="s">
        <v>16</v>
      </c>
    </row>
    <row r="10938" spans="1:6" ht="25.5">
      <c r="A10938" s="2">
        <v>10935</v>
      </c>
      <c r="B10938" s="2" t="s">
        <v>11012</v>
      </c>
      <c r="C10938" s="2" t="str">
        <f>"11790695"</f>
        <v>11790695</v>
      </c>
      <c r="D10938" s="2">
        <v>0.54800000000000004</v>
      </c>
      <c r="E10938" s="2">
        <v>2</v>
      </c>
      <c r="F10938" s="2" t="s">
        <v>503</v>
      </c>
    </row>
    <row r="10939" spans="1:6" ht="25.5">
      <c r="A10939" s="2">
        <v>10936</v>
      </c>
      <c r="B10939" s="2" t="s">
        <v>11013</v>
      </c>
      <c r="C10939" s="2" t="str">
        <f>"00977403"</f>
        <v>00977403</v>
      </c>
      <c r="D10939" s="2">
        <v>1.393</v>
      </c>
      <c r="E10939" s="2">
        <v>47</v>
      </c>
      <c r="F10939" s="2" t="s">
        <v>6</v>
      </c>
    </row>
    <row r="10940" spans="1:6" ht="25.5">
      <c r="A10940" s="2">
        <v>10937</v>
      </c>
      <c r="B10940" s="2" t="s">
        <v>11014</v>
      </c>
      <c r="C10940" s="2" t="str">
        <f>"1076898X"</f>
        <v>1076898X</v>
      </c>
      <c r="D10940" s="2">
        <v>1.0469999999999999</v>
      </c>
      <c r="E10940" s="2">
        <v>48</v>
      </c>
      <c r="F10940" s="2" t="s">
        <v>6</v>
      </c>
    </row>
    <row r="10941" spans="1:6" ht="25.5">
      <c r="A10941" s="2">
        <v>10938</v>
      </c>
      <c r="B10941" s="2" t="s">
        <v>11015</v>
      </c>
      <c r="C10941" s="2" t="str">
        <f>"00963445"</f>
        <v>00963445</v>
      </c>
      <c r="D10941" s="2">
        <v>3.3250000000000002</v>
      </c>
      <c r="E10941" s="2">
        <v>92</v>
      </c>
      <c r="F10941" s="2" t="s">
        <v>6</v>
      </c>
    </row>
    <row r="10942" spans="1:6" ht="25.5">
      <c r="A10942" s="2">
        <v>10939</v>
      </c>
      <c r="B10942" s="2" t="s">
        <v>11016</v>
      </c>
      <c r="C10942" s="2" t="str">
        <f>"00961523"</f>
        <v>00961523</v>
      </c>
      <c r="D10942" s="2">
        <v>1.768</v>
      </c>
      <c r="E10942" s="2">
        <v>99</v>
      </c>
      <c r="F10942" s="2" t="s">
        <v>6</v>
      </c>
    </row>
    <row r="10943" spans="1:6" ht="25.5">
      <c r="A10943" s="2">
        <v>10940</v>
      </c>
      <c r="B10943" s="2" t="s">
        <v>11017</v>
      </c>
      <c r="C10943" s="2" t="str">
        <f>"02787393"</f>
        <v>02787393</v>
      </c>
      <c r="D10943" s="2">
        <v>2.2559999999999998</v>
      </c>
      <c r="E10943" s="2">
        <v>94</v>
      </c>
      <c r="F10943" s="2" t="s">
        <v>6</v>
      </c>
    </row>
    <row r="10944" spans="1:6" ht="25.5">
      <c r="A10944" s="2">
        <v>10941</v>
      </c>
      <c r="B10944" s="2" t="s">
        <v>11018</v>
      </c>
      <c r="C10944" s="2" t="str">
        <f>"10960465"</f>
        <v>10960465</v>
      </c>
      <c r="D10944" s="2">
        <v>2.2069999999999999</v>
      </c>
      <c r="E10944" s="2">
        <v>69</v>
      </c>
      <c r="F10944" s="2" t="s">
        <v>6</v>
      </c>
    </row>
    <row r="10945" spans="1:6" ht="25.5">
      <c r="A10945" s="2">
        <v>10942</v>
      </c>
      <c r="B10945" s="2" t="s">
        <v>11019</v>
      </c>
      <c r="C10945" s="2" t="str">
        <f>"1939067X"</f>
        <v>1939067X</v>
      </c>
      <c r="D10945" s="2">
        <v>0.44400000000000001</v>
      </c>
      <c r="E10945" s="2">
        <v>4</v>
      </c>
      <c r="F10945" s="2" t="s">
        <v>6</v>
      </c>
    </row>
    <row r="10946" spans="1:6" ht="25.5">
      <c r="A10946" s="2">
        <v>10943</v>
      </c>
      <c r="B10946" s="2" t="s">
        <v>11020</v>
      </c>
      <c r="C10946" s="2" t="str">
        <f>"13594117"</f>
        <v>13594117</v>
      </c>
      <c r="D10946" s="2">
        <v>0.378</v>
      </c>
      <c r="E10946" s="2">
        <v>25</v>
      </c>
      <c r="F10946" s="2" t="s">
        <v>6</v>
      </c>
    </row>
    <row r="10947" spans="1:6" ht="25.5">
      <c r="A10947" s="2">
        <v>10944</v>
      </c>
      <c r="B10947" s="2" t="s">
        <v>11021</v>
      </c>
      <c r="C10947" s="2" t="str">
        <f>"19325223"</f>
        <v>19325223</v>
      </c>
      <c r="D10947" s="2">
        <v>0.57799999999999996</v>
      </c>
      <c r="E10947" s="2">
        <v>28</v>
      </c>
      <c r="F10947" s="2" t="s">
        <v>6</v>
      </c>
    </row>
    <row r="10948" spans="1:6" ht="25.5">
      <c r="A10948" s="2">
        <v>10945</v>
      </c>
      <c r="B10948" s="2" t="s">
        <v>11022</v>
      </c>
      <c r="C10948" s="2" t="str">
        <f>"15525015"</f>
        <v>15525015</v>
      </c>
      <c r="D10948" s="2">
        <v>0.91700000000000004</v>
      </c>
      <c r="E10948" s="2">
        <v>38</v>
      </c>
      <c r="F10948" s="2" t="s">
        <v>6</v>
      </c>
    </row>
    <row r="10949" spans="1:6" ht="25.5">
      <c r="A10949" s="2">
        <v>10946</v>
      </c>
      <c r="B10949" s="2" t="s">
        <v>11023</v>
      </c>
      <c r="C10949" s="2" t="str">
        <f>"1559064X"</f>
        <v>1559064X</v>
      </c>
      <c r="D10949" s="2">
        <v>1.1439999999999999</v>
      </c>
      <c r="E10949" s="2">
        <v>53</v>
      </c>
      <c r="F10949" s="2" t="s">
        <v>16</v>
      </c>
    </row>
    <row r="10950" spans="1:6" ht="25.5">
      <c r="A10950" s="2">
        <v>10947</v>
      </c>
      <c r="B10950" s="2" t="s">
        <v>11024</v>
      </c>
      <c r="C10950" s="2" t="str">
        <f>"10775315"</f>
        <v>10775315</v>
      </c>
      <c r="D10950" s="2">
        <v>0.20799999999999999</v>
      </c>
      <c r="E10950" s="2">
        <v>15</v>
      </c>
      <c r="F10950" s="2" t="s">
        <v>6</v>
      </c>
    </row>
    <row r="10951" spans="1:6" ht="25.5">
      <c r="A10951" s="2">
        <v>10948</v>
      </c>
      <c r="B10951" s="2" t="s">
        <v>11025</v>
      </c>
      <c r="C10951" s="2" t="str">
        <f>"00221058"</f>
        <v>00221058</v>
      </c>
      <c r="D10951" s="2">
        <v>0.311</v>
      </c>
      <c r="E10951" s="2">
        <v>22</v>
      </c>
      <c r="F10951" s="2" t="s">
        <v>6</v>
      </c>
    </row>
    <row r="10952" spans="1:6" ht="25.5">
      <c r="A10952" s="2">
        <v>10949</v>
      </c>
      <c r="B10952" s="2" t="s">
        <v>11026</v>
      </c>
      <c r="C10952" s="2" t="str">
        <f>"15477029"</f>
        <v>15477029</v>
      </c>
      <c r="D10952" s="2">
        <v>0.184</v>
      </c>
      <c r="E10952" s="2">
        <v>9</v>
      </c>
      <c r="F10952" s="2" t="s">
        <v>6</v>
      </c>
    </row>
    <row r="10953" spans="1:6" ht="25.5">
      <c r="A10953" s="2">
        <v>10950</v>
      </c>
      <c r="B10953" s="2" t="s">
        <v>11027</v>
      </c>
      <c r="C10953" s="2" t="str">
        <f>"15733475"</f>
        <v>15733475</v>
      </c>
      <c r="D10953" s="2">
        <v>0.46500000000000002</v>
      </c>
      <c r="E10953" s="2">
        <v>24</v>
      </c>
      <c r="F10953" s="2" t="s">
        <v>6</v>
      </c>
    </row>
    <row r="10954" spans="1:6" ht="25.5">
      <c r="A10954" s="2">
        <v>10951</v>
      </c>
      <c r="B10954" s="2" t="s">
        <v>11028</v>
      </c>
      <c r="C10954" s="2" t="str">
        <f>"18778585"</f>
        <v>18778585</v>
      </c>
      <c r="D10954" s="2">
        <v>0.57699999999999996</v>
      </c>
      <c r="E10954" s="2">
        <v>8</v>
      </c>
      <c r="F10954" s="2" t="s">
        <v>16</v>
      </c>
    </row>
    <row r="10955" spans="1:6" ht="25.5">
      <c r="A10955" s="2">
        <v>10952</v>
      </c>
      <c r="B10955" s="2" t="s">
        <v>11029</v>
      </c>
      <c r="C10955" s="2" t="str">
        <f>"15327698"</f>
        <v>15327698</v>
      </c>
      <c r="D10955" s="2">
        <v>0.36299999999999999</v>
      </c>
      <c r="E10955" s="2">
        <v>3</v>
      </c>
      <c r="F10955" s="2" t="s">
        <v>6</v>
      </c>
    </row>
    <row r="10956" spans="1:6" ht="25.5">
      <c r="A10956" s="2">
        <v>10953</v>
      </c>
      <c r="B10956" s="2" t="s">
        <v>11030</v>
      </c>
      <c r="C10956" s="2" t="str">
        <f>"14749114"</f>
        <v>14749114</v>
      </c>
      <c r="D10956" s="2">
        <v>0.126</v>
      </c>
      <c r="E10956" s="2">
        <v>8</v>
      </c>
      <c r="F10956" s="2" t="s">
        <v>16</v>
      </c>
    </row>
    <row r="10957" spans="1:6" ht="25.5">
      <c r="A10957" s="2">
        <v>10954</v>
      </c>
      <c r="B10957" s="2" t="s">
        <v>11031</v>
      </c>
      <c r="C10957" s="2" t="str">
        <f>"03631990"</f>
        <v>03631990</v>
      </c>
      <c r="D10957" s="2">
        <v>0.22600000000000001</v>
      </c>
      <c r="E10957" s="2">
        <v>11</v>
      </c>
      <c r="F10957" s="2" t="s">
        <v>6</v>
      </c>
    </row>
    <row r="10958" spans="1:6" ht="25.5">
      <c r="A10958" s="2">
        <v>10955</v>
      </c>
      <c r="B10958" s="2" t="s">
        <v>11032</v>
      </c>
      <c r="C10958" s="2" t="str">
        <f>"0192513X"</f>
        <v>0192513X</v>
      </c>
      <c r="D10958" s="2">
        <v>0.89700000000000002</v>
      </c>
      <c r="E10958" s="2">
        <v>42</v>
      </c>
      <c r="F10958" s="2" t="s">
        <v>6</v>
      </c>
    </row>
    <row r="10959" spans="1:6" ht="25.5">
      <c r="A10959" s="2">
        <v>10956</v>
      </c>
      <c r="B10959" s="2" t="s">
        <v>11033</v>
      </c>
      <c r="C10959" s="2" t="str">
        <f>"1552549X"</f>
        <v>1552549X</v>
      </c>
      <c r="D10959" s="2">
        <v>0.44800000000000001</v>
      </c>
      <c r="E10959" s="2">
        <v>24</v>
      </c>
      <c r="F10959" s="2" t="s">
        <v>6</v>
      </c>
    </row>
    <row r="10960" spans="1:6" ht="25.5">
      <c r="A10960" s="2">
        <v>10957</v>
      </c>
      <c r="B10960" s="2" t="s">
        <v>11034</v>
      </c>
      <c r="C10960" s="2" t="str">
        <f>"14711893"</f>
        <v>14711893</v>
      </c>
      <c r="D10960" s="2">
        <v>0.32900000000000001</v>
      </c>
      <c r="E10960" s="2">
        <v>24</v>
      </c>
      <c r="F10960" s="2" t="s">
        <v>16</v>
      </c>
    </row>
    <row r="10961" spans="1:6" ht="25.5">
      <c r="A10961" s="2">
        <v>10958</v>
      </c>
      <c r="B10961" s="2" t="s">
        <v>11035</v>
      </c>
      <c r="C10961" s="2" t="str">
        <f>"00943509"</f>
        <v>00943509</v>
      </c>
      <c r="D10961" s="2">
        <v>0.19900000000000001</v>
      </c>
      <c r="E10961" s="2">
        <v>70</v>
      </c>
      <c r="F10961" s="2" t="s">
        <v>6</v>
      </c>
    </row>
    <row r="10962" spans="1:6" ht="25.5">
      <c r="A10962" s="2">
        <v>10959</v>
      </c>
      <c r="B10962" s="2" t="s">
        <v>11036</v>
      </c>
      <c r="C10962" s="2" t="str">
        <f>"08933200"</f>
        <v>08933200</v>
      </c>
      <c r="D10962" s="2">
        <v>1.21</v>
      </c>
      <c r="E10962" s="2">
        <v>64</v>
      </c>
      <c r="F10962" s="2" t="s">
        <v>6</v>
      </c>
    </row>
    <row r="10963" spans="1:6" ht="25.5">
      <c r="A10963" s="2">
        <v>10960</v>
      </c>
      <c r="B10963" s="2" t="s">
        <v>11037</v>
      </c>
      <c r="C10963" s="2" t="str">
        <f>"15404080"</f>
        <v>15404080</v>
      </c>
      <c r="D10963" s="2">
        <v>0.23899999999999999</v>
      </c>
      <c r="E10963" s="2">
        <v>9</v>
      </c>
      <c r="F10963" s="2" t="s">
        <v>16</v>
      </c>
    </row>
    <row r="10964" spans="1:6" ht="25.5">
      <c r="A10964" s="2">
        <v>10961</v>
      </c>
      <c r="B10964" s="2" t="s">
        <v>11038</v>
      </c>
      <c r="C10964" s="2" t="str">
        <f>"10522158"</f>
        <v>10522158</v>
      </c>
      <c r="D10964" s="2">
        <v>0.215</v>
      </c>
      <c r="E10964" s="2">
        <v>6</v>
      </c>
      <c r="F10964" s="2" t="s">
        <v>16</v>
      </c>
    </row>
    <row r="10965" spans="1:6" ht="25.5">
      <c r="A10965" s="2">
        <v>10962</v>
      </c>
      <c r="B10965" s="2" t="s">
        <v>11039</v>
      </c>
      <c r="C10965" s="2" t="str">
        <f>"13229400"</f>
        <v>13229400</v>
      </c>
      <c r="D10965" s="2">
        <v>0.27</v>
      </c>
      <c r="E10965" s="2">
        <v>8</v>
      </c>
      <c r="F10965" s="2" t="s">
        <v>127</v>
      </c>
    </row>
    <row r="10966" spans="1:6" ht="25.5">
      <c r="A10966" s="2">
        <v>10963</v>
      </c>
      <c r="B10966" s="2" t="s">
        <v>11040</v>
      </c>
      <c r="C10966" s="2" t="str">
        <f>"14676427"</f>
        <v>14676427</v>
      </c>
      <c r="D10966" s="2">
        <v>0.313</v>
      </c>
      <c r="E10966" s="2">
        <v>24</v>
      </c>
      <c r="F10966" s="2" t="s">
        <v>16</v>
      </c>
    </row>
    <row r="10967" spans="1:6" ht="25.5">
      <c r="A10967" s="2">
        <v>10964</v>
      </c>
      <c r="B10967" s="2" t="s">
        <v>11041</v>
      </c>
      <c r="C10967" s="2" t="str">
        <f>"15732851"</f>
        <v>15732851</v>
      </c>
      <c r="D10967" s="2">
        <v>0.621</v>
      </c>
      <c r="E10967" s="2">
        <v>42</v>
      </c>
      <c r="F10967" s="2" t="s">
        <v>6</v>
      </c>
    </row>
    <row r="10968" spans="1:6" ht="25.5">
      <c r="A10968" s="2">
        <v>10965</v>
      </c>
      <c r="B10968" s="2" t="s">
        <v>11042</v>
      </c>
      <c r="C10968" s="2" t="str">
        <f>"13612026"</f>
        <v>13612026</v>
      </c>
      <c r="D10968" s="2">
        <v>0.48899999999999999</v>
      </c>
      <c r="E10968" s="2">
        <v>19</v>
      </c>
      <c r="F10968" s="2" t="s">
        <v>16</v>
      </c>
    </row>
    <row r="10969" spans="1:6" ht="25.5">
      <c r="A10969" s="2">
        <v>10966</v>
      </c>
      <c r="B10969" s="2" t="s">
        <v>11043</v>
      </c>
      <c r="C10969" s="2" t="str">
        <f>"1098612X"</f>
        <v>1098612X</v>
      </c>
      <c r="D10969" s="2">
        <v>0.79100000000000004</v>
      </c>
      <c r="E10969" s="2">
        <v>30</v>
      </c>
      <c r="F10969" s="2" t="s">
        <v>16</v>
      </c>
    </row>
    <row r="10970" spans="1:6" ht="25.5">
      <c r="A10970" s="2">
        <v>10967</v>
      </c>
      <c r="B10970" s="2" t="s">
        <v>11044</v>
      </c>
      <c r="C10970" s="2" t="str">
        <f>"08952833"</f>
        <v>08952833</v>
      </c>
      <c r="D10970" s="2">
        <v>0.34699999999999998</v>
      </c>
      <c r="E10970" s="2">
        <v>5</v>
      </c>
      <c r="F10970" s="2" t="s">
        <v>16</v>
      </c>
    </row>
    <row r="10971" spans="1:6" ht="25.5">
      <c r="A10971" s="2">
        <v>10968</v>
      </c>
      <c r="B10971" s="2" t="s">
        <v>11045</v>
      </c>
      <c r="C10971" s="2" t="str">
        <f>"87554178"</f>
        <v>87554178</v>
      </c>
      <c r="D10971" s="2">
        <v>0.10199999999999999</v>
      </c>
      <c r="E10971" s="2">
        <v>3</v>
      </c>
      <c r="F10971" s="2" t="s">
        <v>6</v>
      </c>
    </row>
    <row r="10972" spans="1:6" ht="25.5">
      <c r="A10972" s="2">
        <v>10969</v>
      </c>
      <c r="B10972" s="2" t="s">
        <v>11046</v>
      </c>
      <c r="C10972" s="2" t="str">
        <f>"00934690"</f>
        <v>00934690</v>
      </c>
      <c r="D10972" s="2">
        <v>0.54300000000000004</v>
      </c>
      <c r="E10972" s="2">
        <v>12</v>
      </c>
      <c r="F10972" s="2" t="s">
        <v>16</v>
      </c>
    </row>
    <row r="10973" spans="1:6" ht="25.5">
      <c r="A10973" s="2">
        <v>10970</v>
      </c>
      <c r="B10973" s="2" t="s">
        <v>11047</v>
      </c>
      <c r="C10973" s="2" t="str">
        <f>"15579263"</f>
        <v>15579263</v>
      </c>
      <c r="D10973" s="2">
        <v>0.623</v>
      </c>
      <c r="E10973" s="2">
        <v>30</v>
      </c>
      <c r="F10973" s="2" t="s">
        <v>16</v>
      </c>
    </row>
    <row r="10974" spans="1:6" ht="25.5">
      <c r="A10974" s="2">
        <v>10971</v>
      </c>
      <c r="B10974" s="2" t="s">
        <v>11048</v>
      </c>
      <c r="C10974" s="2" t="str">
        <f>"15564967"</f>
        <v>15564967</v>
      </c>
      <c r="D10974" s="2">
        <v>3.161</v>
      </c>
      <c r="E10974" s="2">
        <v>46</v>
      </c>
      <c r="F10974" s="2" t="s">
        <v>6</v>
      </c>
    </row>
    <row r="10975" spans="1:6" ht="25.5">
      <c r="A10975" s="2">
        <v>10972</v>
      </c>
      <c r="B10975" s="2" t="s">
        <v>11049</v>
      </c>
      <c r="C10975" s="2" t="str">
        <f>"07424671"</f>
        <v>07424671</v>
      </c>
      <c r="D10975" s="2">
        <v>0.17499999999999999</v>
      </c>
      <c r="E10975" s="2">
        <v>3</v>
      </c>
      <c r="F10975" s="2" t="s">
        <v>6</v>
      </c>
    </row>
    <row r="10976" spans="1:6" ht="25.5">
      <c r="A10976" s="2">
        <v>10973</v>
      </c>
      <c r="B10976" s="2" t="s">
        <v>11050</v>
      </c>
      <c r="C10976" s="2" t="str">
        <f>"15406261"</f>
        <v>15406261</v>
      </c>
      <c r="D10976" s="2">
        <v>14.465</v>
      </c>
      <c r="E10976" s="2">
        <v>157</v>
      </c>
      <c r="F10976" s="2" t="s">
        <v>16</v>
      </c>
    </row>
    <row r="10977" spans="1:6" ht="25.5">
      <c r="A10977" s="2">
        <v>10974</v>
      </c>
      <c r="B10977" s="2" t="s">
        <v>11051</v>
      </c>
      <c r="C10977" s="2" t="str">
        <f>"00221090"</f>
        <v>00221090</v>
      </c>
      <c r="D10977" s="2">
        <v>4.0030000000000001</v>
      </c>
      <c r="E10977" s="2">
        <v>60</v>
      </c>
      <c r="F10977" s="2" t="s">
        <v>16</v>
      </c>
    </row>
    <row r="10978" spans="1:6" ht="25.5">
      <c r="A10978" s="2">
        <v>10975</v>
      </c>
      <c r="B10978" s="2" t="s">
        <v>11052</v>
      </c>
      <c r="C10978" s="2" t="str">
        <f>"10523073"</f>
        <v>10523073</v>
      </c>
      <c r="D10978" s="2">
        <v>0.30299999999999999</v>
      </c>
      <c r="E10978" s="2">
        <v>6</v>
      </c>
      <c r="F10978" s="2" t="s">
        <v>6</v>
      </c>
    </row>
    <row r="10979" spans="1:6" ht="25.5">
      <c r="A10979" s="2">
        <v>10976</v>
      </c>
      <c r="B10979" s="2" t="s">
        <v>11053</v>
      </c>
      <c r="C10979" s="2" t="str">
        <f>"17587239"</f>
        <v>17587239</v>
      </c>
      <c r="D10979" s="2">
        <v>0.13300000000000001</v>
      </c>
      <c r="E10979" s="2">
        <v>1</v>
      </c>
      <c r="F10979" s="2" t="s">
        <v>16</v>
      </c>
    </row>
    <row r="10980" spans="1:6" ht="25.5">
      <c r="A10980" s="2">
        <v>10977</v>
      </c>
      <c r="B10980" s="2" t="s">
        <v>11054</v>
      </c>
      <c r="C10980" s="2" t="str">
        <f>"14798409"</f>
        <v>14798409</v>
      </c>
      <c r="D10980" s="2">
        <v>2.3959999999999999</v>
      </c>
      <c r="E10980" s="2">
        <v>19</v>
      </c>
      <c r="F10980" s="2" t="s">
        <v>16</v>
      </c>
    </row>
    <row r="10981" spans="1:6" ht="25.5">
      <c r="A10981" s="2">
        <v>10978</v>
      </c>
      <c r="B10981" s="2" t="s">
        <v>11055</v>
      </c>
      <c r="C10981" s="2" t="str">
        <f>"0304405X"</f>
        <v>0304405X</v>
      </c>
      <c r="D10981" s="2">
        <v>9.6069999999999993</v>
      </c>
      <c r="E10981" s="2">
        <v>123</v>
      </c>
      <c r="F10981" s="2" t="s">
        <v>75</v>
      </c>
    </row>
    <row r="10982" spans="1:6" ht="25.5">
      <c r="A10982" s="2">
        <v>10979</v>
      </c>
      <c r="B10982" s="2" t="s">
        <v>11056</v>
      </c>
      <c r="C10982" s="2" t="str">
        <f>"10960473"</f>
        <v>10960473</v>
      </c>
      <c r="D10982" s="2">
        <v>3.91</v>
      </c>
      <c r="E10982" s="2">
        <v>37</v>
      </c>
      <c r="F10982" s="2" t="s">
        <v>6</v>
      </c>
    </row>
    <row r="10983" spans="1:6" ht="25.5">
      <c r="A10983" s="2">
        <v>10980</v>
      </c>
      <c r="B10983" s="2" t="s">
        <v>11057</v>
      </c>
      <c r="C10983" s="2" t="str">
        <f>"13864181"</f>
        <v>13864181</v>
      </c>
      <c r="D10983" s="2">
        <v>2.8540000000000001</v>
      </c>
      <c r="E10983" s="2">
        <v>30</v>
      </c>
      <c r="F10983" s="2" t="s">
        <v>75</v>
      </c>
    </row>
    <row r="10984" spans="1:6" ht="25.5">
      <c r="A10984" s="2">
        <v>10981</v>
      </c>
      <c r="B10984" s="2" t="s">
        <v>11058</v>
      </c>
      <c r="C10984" s="2" t="str">
        <f>"14756803"</f>
        <v>14756803</v>
      </c>
      <c r="D10984" s="2">
        <v>0.746</v>
      </c>
      <c r="E10984" s="2">
        <v>17</v>
      </c>
      <c r="F10984" s="2" t="s">
        <v>16</v>
      </c>
    </row>
    <row r="10985" spans="1:6" ht="25.5">
      <c r="A10985" s="2">
        <v>10982</v>
      </c>
      <c r="B10985" s="2" t="s">
        <v>11059</v>
      </c>
      <c r="C10985" s="2" t="str">
        <f>"14791846"</f>
        <v>14791846</v>
      </c>
      <c r="D10985" s="2">
        <v>0.26900000000000002</v>
      </c>
      <c r="E10985" s="2">
        <v>5</v>
      </c>
      <c r="F10985" s="2" t="s">
        <v>16</v>
      </c>
    </row>
    <row r="10986" spans="1:6" ht="25.5">
      <c r="A10986" s="2">
        <v>10983</v>
      </c>
      <c r="B10986" s="2" t="s">
        <v>11060</v>
      </c>
      <c r="C10986" s="2" t="str">
        <f>"15730735"</f>
        <v>15730735</v>
      </c>
      <c r="D10986" s="2">
        <v>1.234</v>
      </c>
      <c r="E10986" s="2">
        <v>25</v>
      </c>
      <c r="F10986" s="2" t="s">
        <v>75</v>
      </c>
    </row>
    <row r="10987" spans="1:6" ht="25.5">
      <c r="A10987" s="2">
        <v>10984</v>
      </c>
      <c r="B10987" s="2" t="s">
        <v>11061</v>
      </c>
      <c r="C10987" s="2" t="str">
        <f>"15723089"</f>
        <v>15723089</v>
      </c>
      <c r="D10987" s="2">
        <v>1.1100000000000001</v>
      </c>
      <c r="E10987" s="2">
        <v>12</v>
      </c>
      <c r="F10987" s="2" t="s">
        <v>75</v>
      </c>
    </row>
    <row r="10988" spans="1:6" ht="25.5">
      <c r="A10988" s="2">
        <v>10985</v>
      </c>
      <c r="B10988" s="2" t="s">
        <v>11062</v>
      </c>
      <c r="C10988" s="2" t="str">
        <f>"1532172X"</f>
        <v>1532172X</v>
      </c>
      <c r="D10988" s="2">
        <v>0.48599999999999999</v>
      </c>
      <c r="E10988" s="2">
        <v>15</v>
      </c>
      <c r="F10988" s="2" t="s">
        <v>16</v>
      </c>
    </row>
    <row r="10989" spans="1:6" ht="25.5">
      <c r="A10989" s="2">
        <v>10986</v>
      </c>
      <c r="B10989" s="2" t="s">
        <v>11063</v>
      </c>
      <c r="C10989" s="2" t="str">
        <f>"07349041"</f>
        <v>07349041</v>
      </c>
      <c r="D10989" s="2">
        <v>0.60599999999999998</v>
      </c>
      <c r="E10989" s="2">
        <v>22</v>
      </c>
      <c r="F10989" s="2" t="s">
        <v>16</v>
      </c>
    </row>
    <row r="10990" spans="1:6" ht="25.5">
      <c r="A10990" s="2">
        <v>10987</v>
      </c>
      <c r="B10990" s="2" t="s">
        <v>11064</v>
      </c>
      <c r="C10990" s="2" t="str">
        <f>"10958649"</f>
        <v>10958649</v>
      </c>
      <c r="D10990" s="2">
        <v>0.78900000000000003</v>
      </c>
      <c r="E10990" s="2">
        <v>66</v>
      </c>
      <c r="F10990" s="2" t="s">
        <v>16</v>
      </c>
    </row>
    <row r="10991" spans="1:6" ht="25.5">
      <c r="A10991" s="2">
        <v>10988</v>
      </c>
      <c r="B10991" s="2" t="s">
        <v>11065</v>
      </c>
      <c r="C10991" s="2" t="str">
        <f>"13652761"</f>
        <v>13652761</v>
      </c>
      <c r="D10991" s="2">
        <v>0.65400000000000003</v>
      </c>
      <c r="E10991" s="2">
        <v>49</v>
      </c>
      <c r="F10991" s="2" t="s">
        <v>16</v>
      </c>
    </row>
    <row r="10992" spans="1:6" ht="25.5">
      <c r="A10992" s="2">
        <v>10989</v>
      </c>
      <c r="B10992" s="2" t="s">
        <v>11066</v>
      </c>
      <c r="C10992" s="2" t="str">
        <f>"18164927"</f>
        <v>18164927</v>
      </c>
      <c r="D10992" s="2">
        <v>0.41</v>
      </c>
      <c r="E10992" s="2">
        <v>5</v>
      </c>
      <c r="F10992" s="2" t="s">
        <v>43</v>
      </c>
    </row>
    <row r="10993" spans="1:6" ht="25.5">
      <c r="A10993" s="2">
        <v>10990</v>
      </c>
      <c r="B10993" s="2" t="s">
        <v>11067</v>
      </c>
      <c r="C10993" s="2" t="str">
        <f>"10598596"</f>
        <v>10598596</v>
      </c>
      <c r="D10993" s="2">
        <v>0.622</v>
      </c>
      <c r="E10993" s="2">
        <v>4</v>
      </c>
      <c r="F10993" s="2" t="s">
        <v>6</v>
      </c>
    </row>
    <row r="10994" spans="1:6" ht="25.5">
      <c r="A10994" s="2">
        <v>10991</v>
      </c>
      <c r="B10994" s="2" t="s">
        <v>11068</v>
      </c>
      <c r="C10994" s="2" t="str">
        <f>"16617746"</f>
        <v>16617746</v>
      </c>
      <c r="D10994" s="2">
        <v>0.79100000000000004</v>
      </c>
      <c r="E10994" s="2">
        <v>8</v>
      </c>
      <c r="F10994" s="2" t="s">
        <v>31</v>
      </c>
    </row>
    <row r="10995" spans="1:6" ht="25.5">
      <c r="A10995" s="2">
        <v>10992</v>
      </c>
      <c r="B10995" s="2" t="s">
        <v>11069</v>
      </c>
      <c r="C10995" s="2" t="str">
        <f>"1753318X"</f>
        <v>1753318X</v>
      </c>
      <c r="D10995" s="2">
        <v>0.75600000000000001</v>
      </c>
      <c r="E10995" s="2">
        <v>7</v>
      </c>
      <c r="F10995" s="2" t="s">
        <v>163</v>
      </c>
    </row>
    <row r="10996" spans="1:6" ht="25.5">
      <c r="A10996" s="2">
        <v>10993</v>
      </c>
      <c r="B10996" s="2" t="s">
        <v>11070</v>
      </c>
      <c r="C10996" s="2" t="str">
        <f>"10653090"</f>
        <v>10653090</v>
      </c>
      <c r="D10996" s="2">
        <v>0.13200000000000001</v>
      </c>
      <c r="E10996" s="2">
        <v>8</v>
      </c>
      <c r="F10996" s="2" t="s">
        <v>6</v>
      </c>
    </row>
    <row r="10997" spans="1:6" ht="25.5">
      <c r="A10997" s="2">
        <v>10994</v>
      </c>
      <c r="B10997" s="2" t="s">
        <v>11071</v>
      </c>
      <c r="C10997" s="2" t="str">
        <f>"0094730X"</f>
        <v>0094730X</v>
      </c>
      <c r="D10997" s="2">
        <v>1.417</v>
      </c>
      <c r="E10997" s="2">
        <v>28</v>
      </c>
      <c r="F10997" s="2" t="s">
        <v>6</v>
      </c>
    </row>
    <row r="10998" spans="1:6" ht="25.5">
      <c r="A10998" s="2">
        <v>10995</v>
      </c>
      <c r="B10998" s="2" t="s">
        <v>11072</v>
      </c>
      <c r="C10998" s="2" t="str">
        <f>"14697645"</f>
        <v>14697645</v>
      </c>
      <c r="D10998" s="2">
        <v>1.5509999999999999</v>
      </c>
      <c r="E10998" s="2">
        <v>121</v>
      </c>
      <c r="F10998" s="2" t="s">
        <v>16</v>
      </c>
    </row>
    <row r="10999" spans="1:6" ht="25.5">
      <c r="A10999" s="2">
        <v>10996</v>
      </c>
      <c r="B10999" s="2" t="s">
        <v>11073</v>
      </c>
      <c r="C10999" s="2" t="str">
        <f>"10958622"</f>
        <v>10958622</v>
      </c>
      <c r="D10999" s="2">
        <v>0.91700000000000004</v>
      </c>
      <c r="E10999" s="2">
        <v>50</v>
      </c>
      <c r="F10999" s="2" t="s">
        <v>6</v>
      </c>
    </row>
    <row r="11000" spans="1:6" ht="25.5">
      <c r="A11000" s="2">
        <v>10997</v>
      </c>
      <c r="B11000" s="2" t="s">
        <v>11074</v>
      </c>
      <c r="C11000" s="2" t="str">
        <f>"00982202"</f>
        <v>00982202</v>
      </c>
      <c r="D11000" s="2">
        <v>0.52100000000000002</v>
      </c>
      <c r="E11000" s="2">
        <v>57</v>
      </c>
      <c r="F11000" s="2" t="s">
        <v>6</v>
      </c>
    </row>
    <row r="11001" spans="1:6" ht="25.5">
      <c r="A11001" s="2">
        <v>10998</v>
      </c>
      <c r="B11001" s="2" t="s">
        <v>11075</v>
      </c>
      <c r="C11001" s="2" t="str">
        <f>"15734994"</f>
        <v>15734994</v>
      </c>
      <c r="D11001" s="2">
        <v>0.56999999999999995</v>
      </c>
      <c r="E11001" s="2">
        <v>44</v>
      </c>
      <c r="F11001" s="2" t="s">
        <v>6</v>
      </c>
    </row>
    <row r="11002" spans="1:6" ht="25.5">
      <c r="A11002" s="2">
        <v>10999</v>
      </c>
      <c r="B11002" s="2" t="s">
        <v>11076</v>
      </c>
      <c r="C11002" s="2" t="str">
        <f>"00221139"</f>
        <v>00221139</v>
      </c>
      <c r="D11002" s="2">
        <v>0.71199999999999997</v>
      </c>
      <c r="E11002" s="2">
        <v>52</v>
      </c>
      <c r="F11002" s="2" t="s">
        <v>75</v>
      </c>
    </row>
    <row r="11003" spans="1:6" ht="25.5">
      <c r="A11003" s="2">
        <v>11000</v>
      </c>
      <c r="B11003" s="2" t="s">
        <v>11077</v>
      </c>
      <c r="C11003" s="2" t="str">
        <f>"15430413"</f>
        <v>15430413</v>
      </c>
      <c r="D11003" s="2">
        <v>0.16400000000000001</v>
      </c>
      <c r="E11003" s="2">
        <v>5</v>
      </c>
      <c r="F11003" s="2" t="s">
        <v>6</v>
      </c>
    </row>
    <row r="11004" spans="1:6" ht="25.5">
      <c r="A11004" s="2">
        <v>11001</v>
      </c>
      <c r="B11004" s="2" t="s">
        <v>11078</v>
      </c>
      <c r="C11004" s="2" t="str">
        <f>"14590255"</f>
        <v>14590255</v>
      </c>
      <c r="D11004" s="2">
        <v>0.27</v>
      </c>
      <c r="E11004" s="2">
        <v>14</v>
      </c>
      <c r="F11004" s="2" t="s">
        <v>751</v>
      </c>
    </row>
    <row r="11005" spans="1:6" ht="25.5">
      <c r="A11005" s="2">
        <v>11002</v>
      </c>
      <c r="B11005" s="2" t="s">
        <v>11079</v>
      </c>
      <c r="C11005" s="2" t="str">
        <f>"10219498"</f>
        <v>10219498</v>
      </c>
      <c r="D11005" s="2">
        <v>0.20799999999999999</v>
      </c>
      <c r="E11005" s="2">
        <v>21</v>
      </c>
      <c r="F11005" s="2" t="s">
        <v>165</v>
      </c>
    </row>
    <row r="11006" spans="1:6" ht="25.5">
      <c r="A11006" s="2">
        <v>11003</v>
      </c>
      <c r="B11006" s="2" t="s">
        <v>11080</v>
      </c>
      <c r="C11006" s="2" t="str">
        <f>"13368672"</f>
        <v>13368672</v>
      </c>
      <c r="D11006" s="2">
        <v>0.27800000000000002</v>
      </c>
      <c r="E11006" s="2">
        <v>9</v>
      </c>
      <c r="F11006" s="2" t="s">
        <v>241</v>
      </c>
    </row>
    <row r="11007" spans="1:6" ht="25.5">
      <c r="A11007" s="2">
        <v>11004</v>
      </c>
      <c r="B11007" s="2" t="s">
        <v>11081</v>
      </c>
      <c r="C11007" s="2" t="str">
        <f>"01458884"</f>
        <v>01458884</v>
      </c>
      <c r="D11007" s="2">
        <v>0.40600000000000003</v>
      </c>
      <c r="E11007" s="2">
        <v>25</v>
      </c>
      <c r="F11007" s="2" t="s">
        <v>16</v>
      </c>
    </row>
    <row r="11008" spans="1:6" ht="25.5">
      <c r="A11008" s="2">
        <v>11005</v>
      </c>
      <c r="B11008" s="2" t="s">
        <v>11082</v>
      </c>
      <c r="C11008" s="2" t="str">
        <f>"10960481"</f>
        <v>10960481</v>
      </c>
      <c r="D11008" s="2">
        <v>0.98899999999999999</v>
      </c>
      <c r="E11008" s="2">
        <v>53</v>
      </c>
      <c r="F11008" s="2" t="s">
        <v>6</v>
      </c>
    </row>
    <row r="11009" spans="1:6" ht="25.5">
      <c r="A11009" s="2">
        <v>11006</v>
      </c>
      <c r="B11009" s="2" t="s">
        <v>11083</v>
      </c>
      <c r="C11009" s="2" t="str">
        <f>"02608774"</f>
        <v>02608774</v>
      </c>
      <c r="D11009" s="2">
        <v>1.218</v>
      </c>
      <c r="E11009" s="2">
        <v>82</v>
      </c>
      <c r="F11009" s="2" t="s">
        <v>16</v>
      </c>
    </row>
    <row r="11010" spans="1:6" ht="25.5">
      <c r="A11010" s="2">
        <v>11007</v>
      </c>
      <c r="B11010" s="2" t="s">
        <v>11084</v>
      </c>
      <c r="C11010" s="2" t="str">
        <f>"17454530"</f>
        <v>17454530</v>
      </c>
      <c r="D11010" s="2">
        <v>0.31</v>
      </c>
      <c r="E11010" s="2">
        <v>23</v>
      </c>
      <c r="F11010" s="2" t="s">
        <v>16</v>
      </c>
    </row>
    <row r="11011" spans="1:6" ht="25.5">
      <c r="A11011" s="2">
        <v>11008</v>
      </c>
      <c r="B11011" s="2" t="s">
        <v>11085</v>
      </c>
      <c r="C11011" s="2" t="str">
        <f>"01458892"</f>
        <v>01458892</v>
      </c>
      <c r="D11011" s="2">
        <v>0.38400000000000001</v>
      </c>
      <c r="E11011" s="2">
        <v>21</v>
      </c>
      <c r="F11011" s="2" t="s">
        <v>16</v>
      </c>
    </row>
    <row r="11012" spans="1:6" ht="25.5">
      <c r="A11012" s="2">
        <v>11009</v>
      </c>
      <c r="B11012" s="2" t="s">
        <v>11086</v>
      </c>
      <c r="C11012" s="2" t="str">
        <f>"15404102"</f>
        <v>15404102</v>
      </c>
      <c r="D11012" s="2">
        <v>0.28599999999999998</v>
      </c>
      <c r="E11012" s="2">
        <v>9</v>
      </c>
      <c r="F11012" s="2" t="s">
        <v>16</v>
      </c>
    </row>
    <row r="11013" spans="1:6" ht="25.5">
      <c r="A11013" s="2">
        <v>11010</v>
      </c>
      <c r="B11013" s="2" t="s">
        <v>11087</v>
      </c>
      <c r="C11013" s="2" t="str">
        <f>"0362028X"</f>
        <v>0362028X</v>
      </c>
      <c r="D11013" s="2">
        <v>0.93400000000000005</v>
      </c>
      <c r="E11013" s="2">
        <v>84</v>
      </c>
      <c r="F11013" s="2" t="s">
        <v>6</v>
      </c>
    </row>
    <row r="11014" spans="1:6" ht="25.5">
      <c r="A11014" s="2">
        <v>11011</v>
      </c>
      <c r="B11014" s="2" t="s">
        <v>11088</v>
      </c>
      <c r="C11014" s="2" t="str">
        <f>"17454557"</f>
        <v>17454557</v>
      </c>
      <c r="D11014" s="2">
        <v>0.46200000000000002</v>
      </c>
      <c r="E11014" s="2">
        <v>21</v>
      </c>
      <c r="F11014" s="2" t="s">
        <v>16</v>
      </c>
    </row>
    <row r="11015" spans="1:6" ht="25.5">
      <c r="A11015" s="2">
        <v>11012</v>
      </c>
      <c r="B11015" s="2" t="s">
        <v>11089</v>
      </c>
      <c r="C11015" s="2" t="str">
        <f>"01496085"</f>
        <v>01496085</v>
      </c>
      <c r="D11015" s="2">
        <v>0.36799999999999999</v>
      </c>
      <c r="E11015" s="2">
        <v>23</v>
      </c>
      <c r="F11015" s="2" t="s">
        <v>16</v>
      </c>
    </row>
    <row r="11016" spans="1:6" ht="25.5">
      <c r="A11016" s="2">
        <v>11013</v>
      </c>
      <c r="B11016" s="2" t="s">
        <v>11090</v>
      </c>
      <c r="C11016" s="2" t="str">
        <f>"17503841"</f>
        <v>17503841</v>
      </c>
      <c r="D11016" s="2">
        <v>0.86299999999999999</v>
      </c>
      <c r="E11016" s="2">
        <v>75</v>
      </c>
      <c r="F11016" s="2" t="s">
        <v>16</v>
      </c>
    </row>
    <row r="11017" spans="1:6" ht="25.5">
      <c r="A11017" s="2">
        <v>11014</v>
      </c>
      <c r="B11017" s="2" t="s">
        <v>11091</v>
      </c>
      <c r="C11017" s="2" t="str">
        <f>"00221155"</f>
        <v>00221155</v>
      </c>
      <c r="D11017" s="2">
        <v>0.36699999999999999</v>
      </c>
      <c r="E11017" s="2">
        <v>19</v>
      </c>
      <c r="F11017" s="2" t="s">
        <v>488</v>
      </c>
    </row>
    <row r="11018" spans="1:6" ht="25.5">
      <c r="A11018" s="2">
        <v>11015</v>
      </c>
      <c r="B11018" s="2" t="s">
        <v>11092</v>
      </c>
      <c r="C11018" s="2" t="str">
        <f>"15414329"</f>
        <v>15414329</v>
      </c>
      <c r="D11018" s="2">
        <v>0.23499999999999999</v>
      </c>
      <c r="E11018" s="2">
        <v>3</v>
      </c>
      <c r="F11018" s="2" t="s">
        <v>6</v>
      </c>
    </row>
    <row r="11019" spans="1:6" ht="25.5">
      <c r="A11019" s="2">
        <v>11016</v>
      </c>
      <c r="B11019" s="2" t="s">
        <v>11093</v>
      </c>
      <c r="C11019" s="2" t="str">
        <f>"1226332X"</f>
        <v>1226332X</v>
      </c>
      <c r="D11019" s="2">
        <v>0.158</v>
      </c>
      <c r="E11019" s="2">
        <v>6</v>
      </c>
      <c r="F11019" s="2" t="s">
        <v>274</v>
      </c>
    </row>
    <row r="11020" spans="1:6" ht="25.5">
      <c r="A11020" s="2">
        <v>11017</v>
      </c>
      <c r="B11020" s="2" t="s">
        <v>11094</v>
      </c>
      <c r="C11020" s="2" t="str">
        <f>"15378039"</f>
        <v>15378039</v>
      </c>
      <c r="D11020" s="2">
        <v>0.25600000000000001</v>
      </c>
      <c r="E11020" s="2">
        <v>6</v>
      </c>
      <c r="F11020" s="2" t="s">
        <v>16</v>
      </c>
    </row>
    <row r="11021" spans="1:6" ht="25.5">
      <c r="A11021" s="2">
        <v>11018</v>
      </c>
      <c r="B11021" s="2" t="s">
        <v>11095</v>
      </c>
      <c r="C11021" s="2" t="str">
        <f>"17571146"</f>
        <v>17571146</v>
      </c>
      <c r="D11021" s="2">
        <v>0.95</v>
      </c>
      <c r="E11021" s="2">
        <v>11</v>
      </c>
      <c r="F11021" s="2" t="s">
        <v>16</v>
      </c>
    </row>
    <row r="11022" spans="1:6" ht="25.5">
      <c r="A11022" s="2">
        <v>11019</v>
      </c>
      <c r="B11022" s="2" t="s">
        <v>11096</v>
      </c>
      <c r="C11022" s="2" t="str">
        <f>"15422224"</f>
        <v>15422224</v>
      </c>
      <c r="D11022" s="2">
        <v>0.52700000000000002</v>
      </c>
      <c r="E11022" s="2">
        <v>37</v>
      </c>
      <c r="F11022" s="2" t="s">
        <v>6</v>
      </c>
    </row>
    <row r="11023" spans="1:6" ht="25.5">
      <c r="A11023" s="2">
        <v>11020</v>
      </c>
      <c r="B11023" s="2" t="s">
        <v>11097</v>
      </c>
      <c r="C11023" s="2" t="str">
        <f>"00961191"</f>
        <v>00961191</v>
      </c>
      <c r="D11023" s="2">
        <v>0.53900000000000003</v>
      </c>
      <c r="E11023" s="2">
        <v>39</v>
      </c>
      <c r="F11023" s="2" t="s">
        <v>6</v>
      </c>
    </row>
    <row r="11024" spans="1:6" ht="25.5">
      <c r="A11024" s="2">
        <v>11021</v>
      </c>
      <c r="B11024" s="2" t="s">
        <v>11098</v>
      </c>
      <c r="C11024" s="2" t="str">
        <f>"1099131X"</f>
        <v>1099131X</v>
      </c>
      <c r="D11024" s="2">
        <v>0.57499999999999996</v>
      </c>
      <c r="E11024" s="2">
        <v>31</v>
      </c>
      <c r="F11024" s="2" t="s">
        <v>16</v>
      </c>
    </row>
    <row r="11025" spans="1:6" ht="25.5">
      <c r="A11025" s="2">
        <v>11022</v>
      </c>
      <c r="B11025" s="2" t="s">
        <v>11099</v>
      </c>
      <c r="C11025" s="2" t="str">
        <f>"1752928X"</f>
        <v>1752928X</v>
      </c>
      <c r="D11025" s="2">
        <v>0.63400000000000001</v>
      </c>
      <c r="E11025" s="2">
        <v>21</v>
      </c>
      <c r="F11025" s="2" t="s">
        <v>16</v>
      </c>
    </row>
    <row r="11026" spans="1:6" ht="25.5">
      <c r="A11026" s="2">
        <v>11023</v>
      </c>
      <c r="B11026" s="2" t="s">
        <v>11100</v>
      </c>
      <c r="C11026" s="2" t="str">
        <f>"0895173X"</f>
        <v>0895173X</v>
      </c>
      <c r="D11026" s="2">
        <v>0.45400000000000001</v>
      </c>
      <c r="E11026" s="2">
        <v>13</v>
      </c>
      <c r="F11026" s="2" t="s">
        <v>6</v>
      </c>
    </row>
    <row r="11027" spans="1:6" ht="25.5">
      <c r="A11027" s="2">
        <v>11024</v>
      </c>
      <c r="B11027" s="2" t="s">
        <v>11101</v>
      </c>
      <c r="C11027" s="2" t="str">
        <f>"10045619"</f>
        <v>10045619</v>
      </c>
      <c r="D11027" s="2">
        <v>0.13300000000000001</v>
      </c>
      <c r="E11027" s="2">
        <v>4</v>
      </c>
      <c r="F11027" s="2" t="s">
        <v>46</v>
      </c>
    </row>
    <row r="11028" spans="1:6" ht="25.5">
      <c r="A11028" s="2">
        <v>11025</v>
      </c>
      <c r="B11028" s="2" t="s">
        <v>11102</v>
      </c>
      <c r="C11028" s="2" t="str">
        <f>"15563693"</f>
        <v>15563693</v>
      </c>
      <c r="D11028" s="2">
        <v>0.377</v>
      </c>
      <c r="E11028" s="2">
        <v>9</v>
      </c>
      <c r="F11028" s="2" t="s">
        <v>16</v>
      </c>
    </row>
    <row r="11029" spans="1:6" ht="25.5">
      <c r="A11029" s="2">
        <v>11026</v>
      </c>
      <c r="B11029" s="2" t="s">
        <v>11103</v>
      </c>
      <c r="C11029" s="2" t="str">
        <f>"0258414X"</f>
        <v>0258414X</v>
      </c>
      <c r="D11029" s="2">
        <v>0.31</v>
      </c>
      <c r="E11029" s="2">
        <v>14</v>
      </c>
      <c r="F11029" s="2" t="s">
        <v>151</v>
      </c>
    </row>
    <row r="11030" spans="1:6" ht="25.5">
      <c r="A11030" s="2">
        <v>11027</v>
      </c>
      <c r="B11030" s="2" t="s">
        <v>11104</v>
      </c>
      <c r="C11030" s="2" t="str">
        <f>"14789957"</f>
        <v>14789957</v>
      </c>
      <c r="D11030" s="2">
        <v>0.55600000000000005</v>
      </c>
      <c r="E11030" s="2">
        <v>23</v>
      </c>
      <c r="F11030" s="2" t="s">
        <v>16</v>
      </c>
    </row>
    <row r="11031" spans="1:6" ht="25.5">
      <c r="A11031" s="2">
        <v>11028</v>
      </c>
      <c r="B11031" s="2" t="s">
        <v>11105</v>
      </c>
      <c r="C11031" s="2" t="str">
        <f>"15229092"</f>
        <v>15229092</v>
      </c>
      <c r="D11031" s="2">
        <v>0.21199999999999999</v>
      </c>
      <c r="E11031" s="2">
        <v>11</v>
      </c>
      <c r="F11031" s="2" t="s">
        <v>16</v>
      </c>
    </row>
    <row r="11032" spans="1:6" ht="25.5">
      <c r="A11032" s="2">
        <v>11029</v>
      </c>
      <c r="B11032" s="2" t="s">
        <v>11106</v>
      </c>
      <c r="C11032" s="2" t="str">
        <f>"00221198"</f>
        <v>00221198</v>
      </c>
      <c r="D11032" s="2">
        <v>0.78800000000000003</v>
      </c>
      <c r="E11032" s="2">
        <v>53</v>
      </c>
      <c r="F11032" s="2" t="s">
        <v>16</v>
      </c>
    </row>
    <row r="11033" spans="1:6" ht="25.5">
      <c r="A11033" s="2">
        <v>11030</v>
      </c>
      <c r="B11033" s="2" t="s">
        <v>11107</v>
      </c>
      <c r="C11033" s="2" t="str">
        <f>"11046899"</f>
        <v>11046899</v>
      </c>
      <c r="D11033" s="2">
        <v>0.63800000000000001</v>
      </c>
      <c r="E11033" s="2">
        <v>17</v>
      </c>
      <c r="F11033" s="2" t="s">
        <v>12</v>
      </c>
    </row>
    <row r="11034" spans="1:6" ht="25.5">
      <c r="A11034" s="2">
        <v>11031</v>
      </c>
      <c r="B11034" s="2" t="s">
        <v>11108</v>
      </c>
      <c r="C11034" s="2" t="str">
        <f>"16107403"</f>
        <v>16107403</v>
      </c>
      <c r="D11034" s="2">
        <v>0.45900000000000002</v>
      </c>
      <c r="E11034" s="2">
        <v>21</v>
      </c>
      <c r="F11034" s="2" t="s">
        <v>131</v>
      </c>
    </row>
    <row r="11035" spans="1:6" ht="25.5">
      <c r="A11035" s="2">
        <v>11032</v>
      </c>
      <c r="B11035" s="2" t="s">
        <v>11109</v>
      </c>
      <c r="C11035" s="2" t="str">
        <f>"00221201"</f>
        <v>00221201</v>
      </c>
      <c r="D11035" s="2">
        <v>0.625</v>
      </c>
      <c r="E11035" s="2">
        <v>44</v>
      </c>
      <c r="F11035" s="2" t="s">
        <v>6</v>
      </c>
    </row>
    <row r="11036" spans="1:6" ht="25.5">
      <c r="A11036" s="2">
        <v>11033</v>
      </c>
      <c r="B11036" s="2" t="s">
        <v>11110</v>
      </c>
      <c r="C11036" s="2" t="str">
        <f>"1007662X"</f>
        <v>1007662X</v>
      </c>
      <c r="D11036" s="2">
        <v>0.23699999999999999</v>
      </c>
      <c r="E11036" s="2">
        <v>8</v>
      </c>
      <c r="F11036" s="2" t="s">
        <v>46</v>
      </c>
    </row>
    <row r="11037" spans="1:6" ht="25.5">
      <c r="A11037" s="2">
        <v>11034</v>
      </c>
      <c r="B11037" s="2" t="s">
        <v>11111</v>
      </c>
      <c r="C11037" s="2" t="str">
        <f>"12124834"</f>
        <v>12124834</v>
      </c>
      <c r="D11037" s="2">
        <v>0.40400000000000003</v>
      </c>
      <c r="E11037" s="2">
        <v>12</v>
      </c>
      <c r="F11037" s="2" t="s">
        <v>208</v>
      </c>
    </row>
    <row r="11038" spans="1:6" ht="25.5">
      <c r="A11038" s="2">
        <v>11035</v>
      </c>
      <c r="B11038" s="2" t="s">
        <v>11112</v>
      </c>
      <c r="C11038" s="2" t="str">
        <f>"10695869"</f>
        <v>10695869</v>
      </c>
      <c r="D11038" s="2">
        <v>1.054</v>
      </c>
      <c r="E11038" s="2">
        <v>33</v>
      </c>
      <c r="F11038" s="2" t="s">
        <v>6</v>
      </c>
    </row>
    <row r="11039" spans="1:6" ht="25.5">
      <c r="A11039" s="2">
        <v>11036</v>
      </c>
      <c r="B11039" s="2" t="s">
        <v>11113</v>
      </c>
      <c r="C11039" s="2" t="str">
        <f>"09592695"</f>
        <v>09592695</v>
      </c>
      <c r="D11039" s="2">
        <v>0.183</v>
      </c>
      <c r="E11039" s="2">
        <v>5</v>
      </c>
      <c r="F11039" s="2" t="s">
        <v>16</v>
      </c>
    </row>
    <row r="11040" spans="1:6" ht="25.5">
      <c r="A11040" s="2">
        <v>11037</v>
      </c>
      <c r="B11040" s="2" t="s">
        <v>11114</v>
      </c>
      <c r="C11040" s="2" t="str">
        <f>"02705060"</f>
        <v>02705060</v>
      </c>
      <c r="D11040" s="2">
        <v>0.217</v>
      </c>
      <c r="E11040" s="2">
        <v>23</v>
      </c>
      <c r="F11040" s="2" t="s">
        <v>6</v>
      </c>
    </row>
    <row r="11041" spans="1:6" ht="25.5">
      <c r="A11041" s="2">
        <v>11038</v>
      </c>
      <c r="B11041" s="2" t="s">
        <v>11115</v>
      </c>
      <c r="C11041" s="2" t="str">
        <f>"10683666"</f>
        <v>10683666</v>
      </c>
      <c r="D11041" s="2">
        <v>0.23599999999999999</v>
      </c>
      <c r="E11041" s="2">
        <v>6</v>
      </c>
      <c r="F11041" s="2" t="s">
        <v>6</v>
      </c>
    </row>
    <row r="11042" spans="1:6" ht="25.5">
      <c r="A11042" s="2">
        <v>11039</v>
      </c>
      <c r="B11042" s="2" t="s">
        <v>11116</v>
      </c>
      <c r="C11042" s="2" t="str">
        <f>"1550624X"</f>
        <v>1550624X</v>
      </c>
      <c r="D11042" s="2">
        <v>0.29399999999999998</v>
      </c>
      <c r="E11042" s="2">
        <v>19</v>
      </c>
      <c r="F11042" s="2" t="s">
        <v>6</v>
      </c>
    </row>
    <row r="11043" spans="1:6" ht="25.5">
      <c r="A11043" s="2">
        <v>11040</v>
      </c>
      <c r="B11043" s="2" t="s">
        <v>11117</v>
      </c>
      <c r="C11043" s="2" t="str">
        <f>"18725813"</f>
        <v>18725813</v>
      </c>
      <c r="D11043" s="2">
        <v>0.32400000000000001</v>
      </c>
      <c r="E11043" s="2">
        <v>13</v>
      </c>
      <c r="F11043" s="2" t="s">
        <v>46</v>
      </c>
    </row>
    <row r="11044" spans="1:6" ht="25.5">
      <c r="A11044" s="2">
        <v>11041</v>
      </c>
      <c r="B11044" s="2" t="s">
        <v>11118</v>
      </c>
      <c r="C11044" s="2" t="str">
        <f>"10960783"</f>
        <v>10960783</v>
      </c>
      <c r="D11044" s="2">
        <v>2.1520000000000001</v>
      </c>
      <c r="E11044" s="2">
        <v>51</v>
      </c>
      <c r="F11044" s="2" t="s">
        <v>6</v>
      </c>
    </row>
    <row r="11045" spans="1:6" ht="25.5">
      <c r="A11045" s="2">
        <v>11042</v>
      </c>
      <c r="B11045" s="2" t="s">
        <v>11119</v>
      </c>
      <c r="C11045" s="2" t="str">
        <f>"17564646"</f>
        <v>17564646</v>
      </c>
      <c r="D11045" s="2">
        <v>1.022</v>
      </c>
      <c r="E11045" s="2">
        <v>13</v>
      </c>
      <c r="F11045" s="2" t="s">
        <v>16</v>
      </c>
    </row>
    <row r="11046" spans="1:6" ht="25.5">
      <c r="A11046" s="2">
        <v>11043</v>
      </c>
      <c r="B11046" s="2" t="s">
        <v>11120</v>
      </c>
      <c r="C11046" s="2" t="str">
        <f>"10074252"</f>
        <v>10074252</v>
      </c>
      <c r="D11046" s="2">
        <v>0.106</v>
      </c>
      <c r="E11046" s="2">
        <v>5</v>
      </c>
      <c r="F11046" s="2" t="s">
        <v>46</v>
      </c>
    </row>
    <row r="11047" spans="1:6" ht="25.5">
      <c r="A11047" s="2">
        <v>11044</v>
      </c>
      <c r="B11047" s="2" t="s">
        <v>11121</v>
      </c>
      <c r="C11047" s="2" t="str">
        <f>"14697653"</f>
        <v>14697653</v>
      </c>
      <c r="D11047" s="2">
        <v>1.5409999999999999</v>
      </c>
      <c r="E11047" s="2">
        <v>32</v>
      </c>
      <c r="F11047" s="2" t="s">
        <v>16</v>
      </c>
    </row>
    <row r="11048" spans="1:6" ht="25.5">
      <c r="A11048" s="2">
        <v>11045</v>
      </c>
      <c r="B11048" s="2" t="s">
        <v>11122</v>
      </c>
      <c r="C11048" s="2" t="str">
        <f>"17584965"</f>
        <v>17584965</v>
      </c>
      <c r="D11048" s="2">
        <v>0.51800000000000002</v>
      </c>
      <c r="E11048" s="2">
        <v>5</v>
      </c>
      <c r="F11048" s="2" t="s">
        <v>6</v>
      </c>
    </row>
    <row r="11049" spans="1:6" ht="25.5">
      <c r="A11049" s="2">
        <v>11046</v>
      </c>
      <c r="B11049" s="2" t="s">
        <v>11123</v>
      </c>
      <c r="C11049" s="2" t="str">
        <f>"15729591"</f>
        <v>15729591</v>
      </c>
      <c r="D11049" s="2">
        <v>0.42899999999999999</v>
      </c>
      <c r="E11049" s="2">
        <v>14</v>
      </c>
      <c r="F11049" s="2" t="s">
        <v>6</v>
      </c>
    </row>
    <row r="11050" spans="1:6" ht="25.5">
      <c r="A11050" s="2">
        <v>11047</v>
      </c>
      <c r="B11050" s="2" t="s">
        <v>11124</v>
      </c>
      <c r="C11050" s="2" t="str">
        <f>"10969934"</f>
        <v>10969934</v>
      </c>
      <c r="D11050" s="2">
        <v>0.76700000000000002</v>
      </c>
      <c r="E11050" s="2">
        <v>28</v>
      </c>
      <c r="F11050" s="2" t="s">
        <v>6</v>
      </c>
    </row>
    <row r="11051" spans="1:6" ht="25.5">
      <c r="A11051" s="2">
        <v>11048</v>
      </c>
      <c r="B11051" s="2" t="s">
        <v>11125</v>
      </c>
      <c r="C11051" s="2" t="str">
        <f>"10276084"</f>
        <v>10276084</v>
      </c>
      <c r="D11051" s="2">
        <v>0.27300000000000002</v>
      </c>
      <c r="E11051" s="2">
        <v>7</v>
      </c>
      <c r="F11051" s="2" t="s">
        <v>165</v>
      </c>
    </row>
    <row r="11052" spans="1:6" ht="25.5">
      <c r="A11052" s="2">
        <v>11049</v>
      </c>
      <c r="B11052" s="2" t="s">
        <v>11126</v>
      </c>
      <c r="C11052" s="2" t="str">
        <f>"19107595"</f>
        <v>19107595</v>
      </c>
      <c r="D11052" s="2">
        <v>0</v>
      </c>
      <c r="E11052" s="2">
        <v>1</v>
      </c>
      <c r="F11052" s="2" t="s">
        <v>64</v>
      </c>
    </row>
    <row r="11053" spans="1:6" ht="25.5">
      <c r="A11053" s="2">
        <v>11050</v>
      </c>
      <c r="B11053" s="2" t="s">
        <v>11127</v>
      </c>
      <c r="C11053" s="2" t="str">
        <f>"15733602"</f>
        <v>15733602</v>
      </c>
      <c r="D11053" s="2">
        <v>0.755</v>
      </c>
      <c r="E11053" s="2">
        <v>44</v>
      </c>
      <c r="F11053" s="2" t="s">
        <v>6</v>
      </c>
    </row>
    <row r="11054" spans="1:6" ht="25.5">
      <c r="A11054" s="2">
        <v>11051</v>
      </c>
      <c r="B11054" s="2" t="s">
        <v>11128</v>
      </c>
      <c r="C11054" s="2" t="str">
        <f>"10793062"</f>
        <v>10793062</v>
      </c>
      <c r="D11054" s="2">
        <v>0.13900000000000001</v>
      </c>
      <c r="E11054" s="2">
        <v>5</v>
      </c>
      <c r="F11054" s="2" t="s">
        <v>6</v>
      </c>
    </row>
    <row r="11055" spans="1:6" ht="25.5">
      <c r="A11055" s="2">
        <v>11052</v>
      </c>
      <c r="B11055" s="2" t="s">
        <v>11129</v>
      </c>
      <c r="C11055" s="2" t="str">
        <f>"2093582X"</f>
        <v>2093582X</v>
      </c>
      <c r="D11055" s="2">
        <v>0.19400000000000001</v>
      </c>
      <c r="E11055" s="2">
        <v>3</v>
      </c>
      <c r="F11055" s="2" t="s">
        <v>274</v>
      </c>
    </row>
    <row r="11056" spans="1:6" ht="25.5">
      <c r="A11056" s="2">
        <v>11053</v>
      </c>
      <c r="B11056" s="2" t="s">
        <v>11130</v>
      </c>
      <c r="C11056" s="2" t="str">
        <f>"09441174"</f>
        <v>09441174</v>
      </c>
      <c r="D11056" s="2">
        <v>1.377</v>
      </c>
      <c r="E11056" s="2">
        <v>64</v>
      </c>
      <c r="F11056" s="2" t="s">
        <v>131</v>
      </c>
    </row>
    <row r="11057" spans="1:6" ht="25.5">
      <c r="A11057" s="2">
        <v>11054</v>
      </c>
      <c r="B11057" s="2" t="s">
        <v>11131</v>
      </c>
      <c r="C11057" s="2" t="str">
        <f>"14401746"</f>
        <v>14401746</v>
      </c>
      <c r="D11057" s="2">
        <v>0.98499999999999999</v>
      </c>
      <c r="E11057" s="2">
        <v>74</v>
      </c>
      <c r="F11057" s="2" t="s">
        <v>16</v>
      </c>
    </row>
    <row r="11058" spans="1:6" ht="25.5">
      <c r="A11058" s="2">
        <v>11055</v>
      </c>
      <c r="B11058" s="2" t="s">
        <v>11132</v>
      </c>
      <c r="C11058" s="2" t="str">
        <f>"18418724"</f>
        <v>18418724</v>
      </c>
      <c r="D11058" s="2">
        <v>0.47899999999999998</v>
      </c>
      <c r="E11058" s="2">
        <v>22</v>
      </c>
      <c r="F11058" s="2" t="s">
        <v>19</v>
      </c>
    </row>
    <row r="11059" spans="1:6" ht="25.5">
      <c r="A11059" s="2">
        <v>11056</v>
      </c>
      <c r="B11059" s="2" t="s">
        <v>11133</v>
      </c>
      <c r="C11059" s="2" t="str">
        <f>"19416636"</f>
        <v>19416636</v>
      </c>
      <c r="D11059" s="2">
        <v>0.313</v>
      </c>
      <c r="E11059" s="2">
        <v>34</v>
      </c>
      <c r="F11059" s="2" t="s">
        <v>6</v>
      </c>
    </row>
    <row r="11060" spans="1:6" ht="25.5">
      <c r="A11060" s="2">
        <v>11057</v>
      </c>
      <c r="B11060" s="2" t="s">
        <v>11134</v>
      </c>
      <c r="C11060" s="2" t="str">
        <f>"1091255X"</f>
        <v>1091255X</v>
      </c>
      <c r="D11060" s="2">
        <v>1.1339999999999999</v>
      </c>
      <c r="E11060" s="2">
        <v>79</v>
      </c>
      <c r="F11060" s="2" t="s">
        <v>6</v>
      </c>
    </row>
    <row r="11061" spans="1:6" ht="25.5">
      <c r="A11061" s="2">
        <v>11058</v>
      </c>
      <c r="B11061" s="2" t="s">
        <v>11135</v>
      </c>
      <c r="C11061" s="2" t="str">
        <f>"19359713"</f>
        <v>19359713</v>
      </c>
      <c r="D11061" s="2">
        <v>0.24</v>
      </c>
      <c r="E11061" s="2">
        <v>6</v>
      </c>
      <c r="F11061" s="2" t="s">
        <v>16</v>
      </c>
    </row>
    <row r="11062" spans="1:6" ht="25.5">
      <c r="A11062" s="2">
        <v>11059</v>
      </c>
      <c r="B11062" s="2" t="s">
        <v>11136</v>
      </c>
      <c r="C11062" s="2" t="str">
        <f>"10538720"</f>
        <v>10538720</v>
      </c>
      <c r="D11062" s="2">
        <v>0.31</v>
      </c>
      <c r="E11062" s="2">
        <v>8</v>
      </c>
      <c r="F11062" s="2" t="s">
        <v>16</v>
      </c>
    </row>
    <row r="11063" spans="1:6" ht="25.5">
      <c r="A11063" s="2">
        <v>11060</v>
      </c>
      <c r="B11063" s="2" t="s">
        <v>11137</v>
      </c>
      <c r="C11063" s="2" t="str">
        <f>"14653869"</f>
        <v>14653869</v>
      </c>
      <c r="D11063" s="2">
        <v>0.21299999999999999</v>
      </c>
      <c r="E11063" s="2">
        <v>13</v>
      </c>
      <c r="F11063" s="2" t="s">
        <v>16</v>
      </c>
    </row>
    <row r="11064" spans="1:6" ht="25.5">
      <c r="A11064" s="2">
        <v>11061</v>
      </c>
      <c r="B11064" s="2" t="s">
        <v>11138</v>
      </c>
      <c r="C11064" s="2" t="str">
        <f>"15212254"</f>
        <v>15212254</v>
      </c>
      <c r="D11064" s="2">
        <v>0.68500000000000005</v>
      </c>
      <c r="E11064" s="2">
        <v>67</v>
      </c>
      <c r="F11064" s="2" t="s">
        <v>16</v>
      </c>
    </row>
    <row r="11065" spans="1:6" ht="25.5">
      <c r="A11065" s="2">
        <v>11062</v>
      </c>
      <c r="B11065" s="2" t="s">
        <v>11139</v>
      </c>
      <c r="C11065" s="2" t="str">
        <f>"00221260"</f>
        <v>00221260</v>
      </c>
      <c r="D11065" s="2">
        <v>0.39100000000000001</v>
      </c>
      <c r="E11065" s="2">
        <v>32</v>
      </c>
      <c r="F11065" s="2" t="s">
        <v>131</v>
      </c>
    </row>
    <row r="11066" spans="1:6" ht="25.5">
      <c r="A11066" s="2">
        <v>11063</v>
      </c>
      <c r="B11066" s="2" t="s">
        <v>11140</v>
      </c>
      <c r="C11066" s="2" t="str">
        <f>"15272060"</f>
        <v>15272060</v>
      </c>
      <c r="D11066" s="2">
        <v>0.125</v>
      </c>
      <c r="E11066" s="2">
        <v>2</v>
      </c>
      <c r="F11066" s="2" t="s">
        <v>6</v>
      </c>
    </row>
    <row r="11067" spans="1:6" ht="25.5">
      <c r="A11067" s="2">
        <v>11064</v>
      </c>
      <c r="B11067" s="2" t="s">
        <v>11141</v>
      </c>
      <c r="C11067" s="2" t="str">
        <f>"15251497"</f>
        <v>15251497</v>
      </c>
      <c r="D11067" s="2">
        <v>1.601</v>
      </c>
      <c r="E11067" s="2">
        <v>106</v>
      </c>
      <c r="F11067" s="2" t="s">
        <v>6</v>
      </c>
    </row>
    <row r="11068" spans="1:6" ht="25.5">
      <c r="A11068" s="2">
        <v>11065</v>
      </c>
      <c r="B11068" s="2" t="s">
        <v>11142</v>
      </c>
      <c r="C11068" s="2" t="str">
        <f>"03063070"</f>
        <v>03063070</v>
      </c>
      <c r="D11068" s="2">
        <v>0.55500000000000005</v>
      </c>
      <c r="E11068" s="2">
        <v>7</v>
      </c>
      <c r="F11068" s="2" t="s">
        <v>16</v>
      </c>
    </row>
    <row r="11069" spans="1:6" ht="25.5">
      <c r="A11069" s="2">
        <v>11066</v>
      </c>
      <c r="B11069" s="2" t="s">
        <v>11143</v>
      </c>
      <c r="C11069" s="2" t="str">
        <f>"00221295"</f>
        <v>00221295</v>
      </c>
      <c r="D11069" s="2">
        <v>2.1469999999999998</v>
      </c>
      <c r="E11069" s="2">
        <v>94</v>
      </c>
      <c r="F11069" s="2" t="s">
        <v>6</v>
      </c>
    </row>
    <row r="11070" spans="1:6" ht="25.5">
      <c r="A11070" s="2">
        <v>11067</v>
      </c>
      <c r="B11070" s="2" t="s">
        <v>11144</v>
      </c>
      <c r="C11070" s="2" t="str">
        <f>"1610739X"</f>
        <v>1610739X</v>
      </c>
      <c r="D11070" s="2">
        <v>0.45900000000000002</v>
      </c>
      <c r="E11070" s="2">
        <v>15</v>
      </c>
      <c r="F11070" s="2" t="s">
        <v>131</v>
      </c>
    </row>
    <row r="11071" spans="1:6" ht="25.5">
      <c r="A11071" s="2">
        <v>11068</v>
      </c>
      <c r="B11071" s="2" t="s">
        <v>11145</v>
      </c>
      <c r="C11071" s="2" t="str">
        <f>"00221309"</f>
        <v>00221309</v>
      </c>
      <c r="D11071" s="2">
        <v>0.49199999999999999</v>
      </c>
      <c r="E11071" s="2">
        <v>26</v>
      </c>
      <c r="F11071" s="2" t="s">
        <v>16</v>
      </c>
    </row>
    <row r="11072" spans="1:6" ht="25.5">
      <c r="A11072" s="2">
        <v>11069</v>
      </c>
      <c r="B11072" s="2" t="s">
        <v>11146</v>
      </c>
      <c r="C11072" s="2" t="str">
        <f>"14652099"</f>
        <v>14652099</v>
      </c>
      <c r="D11072" s="2">
        <v>1.2450000000000001</v>
      </c>
      <c r="E11072" s="2">
        <v>115</v>
      </c>
      <c r="F11072" s="2" t="s">
        <v>16</v>
      </c>
    </row>
    <row r="11073" spans="1:6" ht="25.5">
      <c r="A11073" s="2">
        <v>11070</v>
      </c>
      <c r="B11073" s="2" t="s">
        <v>11147</v>
      </c>
      <c r="C11073" s="2" t="str">
        <f>"17411343"</f>
        <v>17411343</v>
      </c>
      <c r="D11073" s="2">
        <v>0.20100000000000001</v>
      </c>
      <c r="E11073" s="2">
        <v>7</v>
      </c>
      <c r="F11073" s="2" t="s">
        <v>16</v>
      </c>
    </row>
    <row r="11074" spans="1:6" ht="25.5">
      <c r="A11074" s="2">
        <v>11071</v>
      </c>
      <c r="B11074" s="2" t="s">
        <v>11148</v>
      </c>
      <c r="C11074" s="2" t="str">
        <f>"15733599"</f>
        <v>15733599</v>
      </c>
      <c r="D11074" s="2">
        <v>0.44</v>
      </c>
      <c r="E11074" s="2">
        <v>29</v>
      </c>
      <c r="F11074" s="2" t="s">
        <v>6</v>
      </c>
    </row>
    <row r="11075" spans="1:6" ht="25.5">
      <c r="A11075" s="2">
        <v>11072</v>
      </c>
      <c r="B11075" s="2" t="s">
        <v>11149</v>
      </c>
      <c r="C11075" s="2" t="str">
        <f>"00221325"</f>
        <v>00221325</v>
      </c>
      <c r="D11075" s="2">
        <v>0.371</v>
      </c>
      <c r="E11075" s="2">
        <v>29</v>
      </c>
      <c r="F11075" s="2" t="s">
        <v>16</v>
      </c>
    </row>
    <row r="11076" spans="1:6" ht="25.5">
      <c r="A11076" s="2">
        <v>11073</v>
      </c>
      <c r="B11076" s="2" t="s">
        <v>11150</v>
      </c>
      <c r="C11076" s="2" t="str">
        <f>"00221333"</f>
        <v>00221333</v>
      </c>
      <c r="D11076" s="2">
        <v>0.40699999999999997</v>
      </c>
      <c r="E11076" s="2">
        <v>21</v>
      </c>
      <c r="F11076" s="2" t="s">
        <v>488</v>
      </c>
    </row>
    <row r="11077" spans="1:6" ht="25.5">
      <c r="A11077" s="2">
        <v>11074</v>
      </c>
      <c r="B11077" s="2" t="s">
        <v>11151</v>
      </c>
      <c r="C11077" s="2" t="str">
        <f>"16738527"</f>
        <v>16738527</v>
      </c>
      <c r="D11077" s="2">
        <v>0.83299999999999996</v>
      </c>
      <c r="E11077" s="2">
        <v>21</v>
      </c>
      <c r="F11077" s="2" t="s">
        <v>46</v>
      </c>
    </row>
    <row r="11078" spans="1:6" ht="25.5">
      <c r="A11078" s="2">
        <v>11075</v>
      </c>
      <c r="B11078" s="2" t="s">
        <v>11152</v>
      </c>
      <c r="C11078" s="2" t="str">
        <f>"14699494"</f>
        <v>14699494</v>
      </c>
      <c r="D11078" s="2">
        <v>0.14899999999999999</v>
      </c>
      <c r="E11078" s="2">
        <v>2</v>
      </c>
      <c r="F11078" s="2" t="s">
        <v>16</v>
      </c>
    </row>
    <row r="11079" spans="1:6" ht="25.5">
      <c r="A11079" s="2">
        <v>11076</v>
      </c>
      <c r="B11079" s="2" t="s">
        <v>11153</v>
      </c>
      <c r="C11079" s="2" t="str">
        <f>"03756742"</f>
        <v>03756742</v>
      </c>
      <c r="D11079" s="2">
        <v>0.64900000000000002</v>
      </c>
      <c r="E11079" s="2">
        <v>42</v>
      </c>
      <c r="F11079" s="2" t="s">
        <v>75</v>
      </c>
    </row>
    <row r="11080" spans="1:6" ht="25.5">
      <c r="A11080" s="2">
        <v>11077</v>
      </c>
      <c r="B11080" s="2" t="s">
        <v>11154</v>
      </c>
      <c r="C11080" s="2" t="str">
        <f>"14321394"</f>
        <v>14321394</v>
      </c>
      <c r="D11080" s="2">
        <v>1.911</v>
      </c>
      <c r="E11080" s="2">
        <v>41</v>
      </c>
      <c r="F11080" s="2" t="s">
        <v>12</v>
      </c>
    </row>
    <row r="11081" spans="1:6" ht="25.5">
      <c r="A11081" s="2">
        <v>11078</v>
      </c>
      <c r="B11081" s="2" t="s">
        <v>11155</v>
      </c>
      <c r="C11081" s="2" t="str">
        <f>"02643707"</f>
        <v>02643707</v>
      </c>
      <c r="D11081" s="2">
        <v>1.208</v>
      </c>
      <c r="E11081" s="2">
        <v>46</v>
      </c>
      <c r="F11081" s="2" t="s">
        <v>16</v>
      </c>
    </row>
    <row r="11082" spans="1:6" ht="25.5">
      <c r="A11082" s="2">
        <v>11079</v>
      </c>
      <c r="B11082" s="2" t="s">
        <v>11156</v>
      </c>
      <c r="C11082" s="2" t="str">
        <f>"19908326"</f>
        <v>19908326</v>
      </c>
      <c r="D11082" s="2">
        <v>0.152</v>
      </c>
      <c r="E11082" s="2">
        <v>1</v>
      </c>
      <c r="F11082" s="2" t="s">
        <v>75</v>
      </c>
    </row>
    <row r="11083" spans="1:6" ht="25.5">
      <c r="A11083" s="2">
        <v>11080</v>
      </c>
      <c r="B11083" s="2" t="s">
        <v>11157</v>
      </c>
      <c r="C11083" s="2" t="str">
        <f>"1009637X"</f>
        <v>1009637X</v>
      </c>
      <c r="D11083" s="2">
        <v>0.38800000000000001</v>
      </c>
      <c r="E11083" s="2">
        <v>11</v>
      </c>
      <c r="F11083" s="2" t="s">
        <v>46</v>
      </c>
    </row>
    <row r="11084" spans="1:6" ht="25.5">
      <c r="A11084" s="2">
        <v>11081</v>
      </c>
      <c r="B11084" s="2" t="s">
        <v>11158</v>
      </c>
      <c r="C11084" s="2" t="str">
        <f>"14355949"</f>
        <v>14355949</v>
      </c>
      <c r="D11084" s="2">
        <v>0.73599999999999999</v>
      </c>
      <c r="E11084" s="2">
        <v>28</v>
      </c>
      <c r="F11084" s="2" t="s">
        <v>12</v>
      </c>
    </row>
    <row r="11085" spans="1:6" ht="25.5">
      <c r="A11085" s="2">
        <v>11082</v>
      </c>
      <c r="B11085" s="2" t="s">
        <v>11159</v>
      </c>
      <c r="C11085" s="2" t="str">
        <f>"00221341"</f>
        <v>00221341</v>
      </c>
      <c r="D11085" s="2">
        <v>0.31</v>
      </c>
      <c r="E11085" s="2">
        <v>16</v>
      </c>
      <c r="F11085" s="2" t="s">
        <v>16</v>
      </c>
    </row>
    <row r="11086" spans="1:6" ht="25.5">
      <c r="A11086" s="2">
        <v>11083</v>
      </c>
      <c r="B11086" s="2" t="s">
        <v>11160</v>
      </c>
      <c r="C11086" s="2" t="str">
        <f>"14661845"</f>
        <v>14661845</v>
      </c>
      <c r="D11086" s="2">
        <v>0.54300000000000004</v>
      </c>
      <c r="E11086" s="2">
        <v>26</v>
      </c>
      <c r="F11086" s="2" t="s">
        <v>16</v>
      </c>
    </row>
    <row r="11087" spans="1:6" ht="25.5">
      <c r="A11087" s="2">
        <v>11084</v>
      </c>
      <c r="B11087" s="2" t="s">
        <v>11161</v>
      </c>
      <c r="C11087" s="2" t="str">
        <f>"15375269"</f>
        <v>15375269</v>
      </c>
      <c r="D11087" s="2">
        <v>1.2629999999999999</v>
      </c>
      <c r="E11087" s="2">
        <v>60</v>
      </c>
      <c r="F11087" s="2" t="s">
        <v>6</v>
      </c>
    </row>
    <row r="11088" spans="1:6" ht="25.5">
      <c r="A11088" s="2">
        <v>11085</v>
      </c>
      <c r="B11088" s="2" t="s">
        <v>11162</v>
      </c>
      <c r="C11088" s="2" t="str">
        <f>"10073817"</f>
        <v>10073817</v>
      </c>
      <c r="D11088" s="2">
        <v>0.10100000000000001</v>
      </c>
      <c r="E11088" s="2">
        <v>3</v>
      </c>
      <c r="F11088" s="2" t="s">
        <v>46</v>
      </c>
    </row>
    <row r="11089" spans="1:6" ht="25.5">
      <c r="A11089" s="2">
        <v>11086</v>
      </c>
      <c r="B11089" s="2" t="s">
        <v>11163</v>
      </c>
      <c r="C11089" s="2" t="str">
        <f>"10506926"</f>
        <v>10506926</v>
      </c>
      <c r="D11089" s="2">
        <v>0.879</v>
      </c>
      <c r="E11089" s="2">
        <v>21</v>
      </c>
      <c r="F11089" s="2" t="s">
        <v>6</v>
      </c>
    </row>
    <row r="11090" spans="1:6" ht="25.5">
      <c r="A11090" s="2">
        <v>11087</v>
      </c>
      <c r="B11090" s="2" t="s">
        <v>11164</v>
      </c>
      <c r="C11090" s="2" t="str">
        <f>"19414889"</f>
        <v>19414889</v>
      </c>
      <c r="D11090" s="2">
        <v>0.58199999999999996</v>
      </c>
      <c r="E11090" s="2">
        <v>3</v>
      </c>
      <c r="F11090" s="2" t="s">
        <v>6</v>
      </c>
    </row>
    <row r="11091" spans="1:6" ht="25.5">
      <c r="A11091" s="2">
        <v>11088</v>
      </c>
      <c r="B11091" s="2" t="s">
        <v>11165</v>
      </c>
      <c r="C11091" s="2" t="str">
        <f>"14208997"</f>
        <v>14208997</v>
      </c>
      <c r="D11091" s="2">
        <v>0.26</v>
      </c>
      <c r="E11091" s="2">
        <v>11</v>
      </c>
      <c r="F11091" s="2" t="s">
        <v>31</v>
      </c>
    </row>
    <row r="11092" spans="1:6" ht="25.5">
      <c r="A11092" s="2">
        <v>11089</v>
      </c>
      <c r="B11092" s="2" t="s">
        <v>11166</v>
      </c>
      <c r="C11092" s="2" t="str">
        <f>"03930440"</f>
        <v>03930440</v>
      </c>
      <c r="D11092" s="2">
        <v>0.56200000000000006</v>
      </c>
      <c r="E11092" s="2">
        <v>33</v>
      </c>
      <c r="F11092" s="2" t="s">
        <v>75</v>
      </c>
    </row>
    <row r="11093" spans="1:6" ht="25.5">
      <c r="A11093" s="2">
        <v>11090</v>
      </c>
      <c r="B11093" s="2" t="s">
        <v>11167</v>
      </c>
      <c r="C11093" s="2" t="str">
        <f>"13145673"</f>
        <v>13145673</v>
      </c>
      <c r="D11093" s="2">
        <v>0.438</v>
      </c>
      <c r="E11093" s="2">
        <v>6</v>
      </c>
      <c r="F11093" s="2" t="s">
        <v>293</v>
      </c>
    </row>
    <row r="11094" spans="1:6" ht="25.5">
      <c r="A11094" s="2">
        <v>11091</v>
      </c>
      <c r="B11094" s="2" t="s">
        <v>11168</v>
      </c>
      <c r="C11094" s="2" t="str">
        <f>"01480227"</f>
        <v>01480227</v>
      </c>
      <c r="D11094" s="2">
        <v>1.91</v>
      </c>
      <c r="E11094" s="2">
        <v>209</v>
      </c>
      <c r="F11094" s="2" t="s">
        <v>6</v>
      </c>
    </row>
    <row r="11095" spans="1:6" ht="25.5">
      <c r="A11095" s="2">
        <v>11092</v>
      </c>
      <c r="B11095" s="2" t="s">
        <v>11169</v>
      </c>
      <c r="C11095" s="2" t="str">
        <f>"17422140"</f>
        <v>17422140</v>
      </c>
      <c r="D11095" s="2">
        <v>0.45300000000000001</v>
      </c>
      <c r="E11095" s="2">
        <v>15</v>
      </c>
      <c r="F11095" s="2" t="s">
        <v>16</v>
      </c>
    </row>
    <row r="11096" spans="1:6" ht="25.5">
      <c r="A11096" s="2">
        <v>11093</v>
      </c>
      <c r="B11096" s="2" t="s">
        <v>11170</v>
      </c>
      <c r="C11096" s="2" t="str">
        <f>"10899995"</f>
        <v>10899995</v>
      </c>
      <c r="D11096" s="2">
        <v>0.36099999999999999</v>
      </c>
      <c r="E11096" s="2">
        <v>17</v>
      </c>
      <c r="F11096" s="2" t="s">
        <v>6</v>
      </c>
    </row>
    <row r="11097" spans="1:6" ht="25.5">
      <c r="A11097" s="2">
        <v>11094</v>
      </c>
      <c r="B11097" s="2" t="s">
        <v>11171</v>
      </c>
      <c r="C11097" s="2" t="str">
        <f>"18031943"</f>
        <v>18031943</v>
      </c>
      <c r="D11097" s="2">
        <v>0.35599999999999998</v>
      </c>
      <c r="E11097" s="2">
        <v>17</v>
      </c>
      <c r="F11097" s="2" t="s">
        <v>208</v>
      </c>
    </row>
    <row r="11098" spans="1:6" ht="25.5">
      <c r="A11098" s="2">
        <v>11095</v>
      </c>
      <c r="B11098" s="2" t="s">
        <v>11171</v>
      </c>
      <c r="C11098" s="2" t="str">
        <f>"04492560"</f>
        <v>04492560</v>
      </c>
      <c r="D11098" s="2">
        <v>0.22900000000000001</v>
      </c>
      <c r="E11098" s="2">
        <v>9</v>
      </c>
      <c r="F11098" s="2" t="s">
        <v>131</v>
      </c>
    </row>
    <row r="11099" spans="1:6" ht="25.5">
      <c r="A11099" s="2">
        <v>11096</v>
      </c>
      <c r="B11099" s="2" t="s">
        <v>11172</v>
      </c>
      <c r="C11099" s="2" t="str">
        <f>"10900241"</f>
        <v>10900241</v>
      </c>
      <c r="D11099" s="2">
        <v>1.655</v>
      </c>
      <c r="E11099" s="2">
        <v>68</v>
      </c>
      <c r="F11099" s="2" t="s">
        <v>6</v>
      </c>
    </row>
    <row r="11100" spans="1:6" ht="25.5">
      <c r="A11100" s="2">
        <v>11097</v>
      </c>
      <c r="B11100" s="2" t="s">
        <v>11173</v>
      </c>
      <c r="C11100" s="2" t="str">
        <f>"16715411"</f>
        <v>16715411</v>
      </c>
      <c r="D11100" s="2">
        <v>0.111</v>
      </c>
      <c r="E11100" s="2">
        <v>4</v>
      </c>
      <c r="F11100" s="2" t="s">
        <v>46</v>
      </c>
    </row>
    <row r="11101" spans="1:6" ht="25.5">
      <c r="A11101" s="2">
        <v>11098</v>
      </c>
      <c r="B11101" s="2" t="s">
        <v>11174</v>
      </c>
      <c r="C11101" s="2" t="str">
        <f>"18794076"</f>
        <v>18794076</v>
      </c>
      <c r="D11101" s="2">
        <v>0.37</v>
      </c>
      <c r="E11101" s="2">
        <v>4</v>
      </c>
      <c r="F11101" s="2" t="s">
        <v>16</v>
      </c>
    </row>
    <row r="11102" spans="1:6" ht="25.5">
      <c r="A11102" s="2">
        <v>11099</v>
      </c>
      <c r="B11102" s="2" t="s">
        <v>11175</v>
      </c>
      <c r="C11102" s="2" t="str">
        <f>"15398412"</f>
        <v>15398412</v>
      </c>
      <c r="D11102" s="2">
        <v>0.56899999999999995</v>
      </c>
      <c r="E11102" s="2">
        <v>15</v>
      </c>
      <c r="F11102" s="2" t="s">
        <v>6</v>
      </c>
    </row>
    <row r="11103" spans="1:6" ht="25.5">
      <c r="A11103" s="2">
        <v>11100</v>
      </c>
      <c r="B11103" s="2" t="s">
        <v>11176</v>
      </c>
      <c r="C11103" s="2" t="str">
        <f>"15525708"</f>
        <v>15525708</v>
      </c>
      <c r="D11103" s="2">
        <v>1.1910000000000001</v>
      </c>
      <c r="E11103" s="2">
        <v>44</v>
      </c>
      <c r="F11103" s="2" t="s">
        <v>6</v>
      </c>
    </row>
    <row r="11104" spans="1:6" ht="25.5">
      <c r="A11104" s="2">
        <v>11101</v>
      </c>
      <c r="B11104" s="2" t="s">
        <v>11177</v>
      </c>
      <c r="C11104" s="2" t="str">
        <f>"14753014"</f>
        <v>14753014</v>
      </c>
      <c r="D11104" s="2">
        <v>0.13600000000000001</v>
      </c>
      <c r="E11104" s="2">
        <v>2</v>
      </c>
      <c r="F11104" s="2" t="s">
        <v>16</v>
      </c>
    </row>
    <row r="11105" spans="1:6" ht="25.5">
      <c r="A11105" s="2">
        <v>11102</v>
      </c>
      <c r="B11105" s="2" t="s">
        <v>11178</v>
      </c>
      <c r="C11105" s="2" t="str">
        <f>"00989134"</f>
        <v>00989134</v>
      </c>
      <c r="D11105" s="2">
        <v>0.35399999999999998</v>
      </c>
      <c r="E11105" s="2">
        <v>33</v>
      </c>
      <c r="F11105" s="2" t="s">
        <v>6</v>
      </c>
    </row>
    <row r="11106" spans="1:6" ht="25.5">
      <c r="A11106" s="2">
        <v>11103</v>
      </c>
      <c r="B11106" s="2" t="s">
        <v>11179</v>
      </c>
      <c r="C11106" s="2" t="str">
        <f>"15404048"</f>
        <v>15404048</v>
      </c>
      <c r="D11106" s="2">
        <v>0.45900000000000002</v>
      </c>
      <c r="E11106" s="2">
        <v>16</v>
      </c>
      <c r="F11106" s="2" t="s">
        <v>16</v>
      </c>
    </row>
    <row r="11107" spans="1:6" ht="25.5">
      <c r="A11107" s="2">
        <v>11104</v>
      </c>
      <c r="B11107" s="2" t="s">
        <v>11180</v>
      </c>
      <c r="C11107" s="2" t="str">
        <f>"20934947"</f>
        <v>20934947</v>
      </c>
      <c r="D11107" s="2">
        <v>0.503</v>
      </c>
      <c r="E11107" s="2">
        <v>8</v>
      </c>
      <c r="F11107" s="2" t="s">
        <v>274</v>
      </c>
    </row>
    <row r="11108" spans="1:6" ht="25.5">
      <c r="A11108" s="2">
        <v>11105</v>
      </c>
      <c r="B11108" s="2" t="s">
        <v>11181</v>
      </c>
      <c r="C11108" s="2" t="str">
        <f>"00221430"</f>
        <v>00221430</v>
      </c>
      <c r="D11108" s="2">
        <v>1.8540000000000001</v>
      </c>
      <c r="E11108" s="2">
        <v>56</v>
      </c>
      <c r="F11108" s="2" t="s">
        <v>16</v>
      </c>
    </row>
    <row r="11109" spans="1:6" ht="25.5">
      <c r="A11109" s="2">
        <v>11106</v>
      </c>
      <c r="B11109" s="2" t="s">
        <v>11182</v>
      </c>
      <c r="C11109" s="2" t="str">
        <f>"00754250"</f>
        <v>00754250</v>
      </c>
      <c r="D11109" s="2">
        <v>0.128</v>
      </c>
      <c r="E11109" s="2">
        <v>4</v>
      </c>
      <c r="F11109" s="2" t="s">
        <v>6</v>
      </c>
    </row>
    <row r="11110" spans="1:6" ht="25.5">
      <c r="A11110" s="2">
        <v>11107</v>
      </c>
      <c r="B11110" s="2" t="s">
        <v>11183</v>
      </c>
      <c r="C11110" s="2" t="str">
        <f>"1536481X"</f>
        <v>1536481X</v>
      </c>
      <c r="D11110" s="2">
        <v>1.42</v>
      </c>
      <c r="E11110" s="2">
        <v>54</v>
      </c>
      <c r="F11110" s="2" t="s">
        <v>6</v>
      </c>
    </row>
    <row r="11111" spans="1:6" ht="25.5">
      <c r="A11111" s="2">
        <v>11108</v>
      </c>
      <c r="B11111" s="2" t="s">
        <v>11184</v>
      </c>
      <c r="C11111" s="2" t="str">
        <f>"15504298"</f>
        <v>15504298</v>
      </c>
      <c r="D11111" s="2">
        <v>0.39200000000000002</v>
      </c>
      <c r="E11111" s="2">
        <v>9</v>
      </c>
      <c r="F11111" s="2" t="s">
        <v>16</v>
      </c>
    </row>
    <row r="11112" spans="1:6" ht="25.5">
      <c r="A11112" s="2">
        <v>11109</v>
      </c>
      <c r="B11112" s="2" t="s">
        <v>11185</v>
      </c>
      <c r="C11112" s="2" t="str">
        <f>"19344708"</f>
        <v>19344708</v>
      </c>
      <c r="D11112" s="2">
        <v>0.129</v>
      </c>
      <c r="E11112" s="2">
        <v>2</v>
      </c>
      <c r="F11112" s="2" t="s">
        <v>6</v>
      </c>
    </row>
    <row r="11113" spans="1:6" ht="25.5">
      <c r="A11113" s="2">
        <v>11110</v>
      </c>
      <c r="B11113" s="2" t="s">
        <v>11186</v>
      </c>
      <c r="C11113" s="2" t="str">
        <f>"13411268"</f>
        <v>13411268</v>
      </c>
      <c r="D11113" s="2">
        <v>0.106</v>
      </c>
      <c r="E11113" s="2">
        <v>6</v>
      </c>
      <c r="F11113" s="2" t="s">
        <v>131</v>
      </c>
    </row>
    <row r="11114" spans="1:6" ht="25.5">
      <c r="A11114" s="2">
        <v>11111</v>
      </c>
      <c r="B11114" s="2" t="s">
        <v>11187</v>
      </c>
      <c r="C11114" s="2" t="str">
        <f>"17449626"</f>
        <v>17449626</v>
      </c>
      <c r="D11114" s="2">
        <v>0.121</v>
      </c>
      <c r="E11114" s="2">
        <v>1</v>
      </c>
      <c r="F11114" s="2" t="s">
        <v>6</v>
      </c>
    </row>
    <row r="11115" spans="1:6" ht="25.5">
      <c r="A11115" s="2">
        <v>11112</v>
      </c>
      <c r="B11115" s="2" t="s">
        <v>11188</v>
      </c>
      <c r="C11115" s="2" t="str">
        <f>"17400236"</f>
        <v>17400236</v>
      </c>
      <c r="D11115" s="2">
        <v>0.54600000000000004</v>
      </c>
      <c r="E11115" s="2">
        <v>10</v>
      </c>
      <c r="F11115" s="2" t="s">
        <v>16</v>
      </c>
    </row>
    <row r="11116" spans="1:6" ht="25.5">
      <c r="A11116" s="2">
        <v>11113</v>
      </c>
      <c r="B11116" s="2" t="s">
        <v>11189</v>
      </c>
      <c r="C11116" s="2" t="str">
        <f>"15337995"</f>
        <v>15337995</v>
      </c>
      <c r="D11116" s="2">
        <v>0.32300000000000001</v>
      </c>
      <c r="E11116" s="2">
        <v>24</v>
      </c>
      <c r="F11116" s="2" t="s">
        <v>6</v>
      </c>
    </row>
    <row r="11117" spans="1:6" ht="25.5">
      <c r="A11117" s="2">
        <v>11114</v>
      </c>
      <c r="B11117" s="2" t="s">
        <v>11190</v>
      </c>
      <c r="C11117" s="2" t="str">
        <f>"1097198X"</f>
        <v>1097198X</v>
      </c>
      <c r="D11117" s="2">
        <v>0.36699999999999999</v>
      </c>
      <c r="E11117" s="2">
        <v>3</v>
      </c>
      <c r="F11117" s="2" t="s">
        <v>6</v>
      </c>
    </row>
    <row r="11118" spans="1:6" ht="25.5">
      <c r="A11118" s="2">
        <v>11115</v>
      </c>
      <c r="B11118" s="2" t="s">
        <v>11191</v>
      </c>
      <c r="C11118" s="2" t="str">
        <f>"15286975"</f>
        <v>15286975</v>
      </c>
      <c r="D11118" s="2">
        <v>0.24099999999999999</v>
      </c>
      <c r="E11118" s="2">
        <v>17</v>
      </c>
      <c r="F11118" s="2" t="s">
        <v>16</v>
      </c>
    </row>
    <row r="11119" spans="1:6" ht="25.5">
      <c r="A11119" s="2">
        <v>11116</v>
      </c>
      <c r="B11119" s="2" t="s">
        <v>11192</v>
      </c>
      <c r="C11119" s="2" t="str">
        <f>"15732916"</f>
        <v>15732916</v>
      </c>
      <c r="D11119" s="2">
        <v>1.149</v>
      </c>
      <c r="E11119" s="2">
        <v>46</v>
      </c>
      <c r="F11119" s="2" t="s">
        <v>75</v>
      </c>
    </row>
    <row r="11120" spans="1:6" ht="25.5">
      <c r="A11120" s="2">
        <v>11117</v>
      </c>
      <c r="B11120" s="2" t="s">
        <v>11193</v>
      </c>
      <c r="C11120" s="2" t="str">
        <f>"15261719"</f>
        <v>15261719</v>
      </c>
      <c r="D11120" s="2">
        <v>0.79300000000000004</v>
      </c>
      <c r="E11120" s="2">
        <v>20</v>
      </c>
      <c r="F11120" s="2" t="s">
        <v>6</v>
      </c>
    </row>
    <row r="11121" spans="1:6" ht="25.5">
      <c r="A11121" s="2">
        <v>11118</v>
      </c>
      <c r="B11121" s="2" t="s">
        <v>11194</v>
      </c>
      <c r="C11121" s="2" t="str">
        <f>"21504865"</f>
        <v>21504865</v>
      </c>
      <c r="D11121" s="2">
        <v>0.11700000000000001</v>
      </c>
      <c r="E11121" s="2">
        <v>2</v>
      </c>
      <c r="F11121" s="2" t="s">
        <v>6</v>
      </c>
    </row>
    <row r="11122" spans="1:6" ht="25.5">
      <c r="A11122" s="2">
        <v>11119</v>
      </c>
      <c r="B11122" s="2" t="s">
        <v>11195</v>
      </c>
      <c r="C11122" s="2" t="str">
        <f>"10970118"</f>
        <v>10970118</v>
      </c>
      <c r="D11122" s="2">
        <v>1.482</v>
      </c>
      <c r="E11122" s="2">
        <v>31</v>
      </c>
      <c r="F11122" s="2" t="s">
        <v>6</v>
      </c>
    </row>
    <row r="11123" spans="1:6" ht="25.5">
      <c r="A11123" s="2">
        <v>11120</v>
      </c>
      <c r="B11123" s="2" t="s">
        <v>11196</v>
      </c>
      <c r="C11123" s="2" t="str">
        <f>"03801330"</f>
        <v>03801330</v>
      </c>
      <c r="D11123" s="2">
        <v>0.88900000000000001</v>
      </c>
      <c r="E11123" s="2">
        <v>41</v>
      </c>
      <c r="F11123" s="2" t="s">
        <v>6</v>
      </c>
    </row>
    <row r="11124" spans="1:6" ht="25.5">
      <c r="A11124" s="2">
        <v>11121</v>
      </c>
      <c r="B11124" s="2" t="s">
        <v>11197</v>
      </c>
      <c r="C11124" s="2" t="str">
        <f>"15665844"</f>
        <v>15665844</v>
      </c>
      <c r="D11124" s="2">
        <v>0.20599999999999999</v>
      </c>
      <c r="E11124" s="2">
        <v>1</v>
      </c>
      <c r="F11124" s="2" t="s">
        <v>75</v>
      </c>
    </row>
    <row r="11125" spans="1:6" ht="25.5">
      <c r="A11125" s="2">
        <v>11122</v>
      </c>
      <c r="B11125" s="2" t="s">
        <v>11198</v>
      </c>
      <c r="C11125" s="2" t="str">
        <f>"19434618"</f>
        <v>19434618</v>
      </c>
      <c r="D11125" s="2">
        <v>0.17399999999999999</v>
      </c>
      <c r="E11125" s="2">
        <v>6</v>
      </c>
      <c r="F11125" s="2" t="s">
        <v>6</v>
      </c>
    </row>
    <row r="11126" spans="1:6" ht="25.5">
      <c r="A11126" s="2">
        <v>11123</v>
      </c>
      <c r="B11126" s="2" t="s">
        <v>11199</v>
      </c>
      <c r="C11126" s="2" t="str">
        <f>"09573720"</f>
        <v>09573720</v>
      </c>
      <c r="D11126" s="2">
        <v>0.34899999999999998</v>
      </c>
      <c r="E11126" s="2">
        <v>7</v>
      </c>
      <c r="F11126" s="2" t="s">
        <v>16</v>
      </c>
    </row>
    <row r="11127" spans="1:6" ht="25.5">
      <c r="A11127" s="2">
        <v>11124</v>
      </c>
      <c r="B11127" s="2" t="s">
        <v>11200</v>
      </c>
      <c r="C11127" s="2" t="str">
        <f>"15707873"</f>
        <v>15707873</v>
      </c>
      <c r="D11127" s="2">
        <v>0.81100000000000005</v>
      </c>
      <c r="E11127" s="2">
        <v>29</v>
      </c>
      <c r="F11127" s="2" t="s">
        <v>75</v>
      </c>
    </row>
    <row r="11128" spans="1:6" ht="25.5">
      <c r="A11128" s="2">
        <v>11125</v>
      </c>
      <c r="B11128" s="2" t="s">
        <v>11201</v>
      </c>
      <c r="C11128" s="2" t="str">
        <f>"15560368"</f>
        <v>15560368</v>
      </c>
      <c r="D11128" s="2">
        <v>0.20399999999999999</v>
      </c>
      <c r="E11128" s="2">
        <v>5</v>
      </c>
      <c r="F11128" s="2" t="s">
        <v>16</v>
      </c>
    </row>
    <row r="11129" spans="1:6" ht="25.5">
      <c r="A11129" s="2">
        <v>11126</v>
      </c>
      <c r="B11129" s="2" t="s">
        <v>11202</v>
      </c>
      <c r="C11129" s="2" t="str">
        <f>"14354446"</f>
        <v>14354446</v>
      </c>
      <c r="D11129" s="2">
        <v>0.76400000000000001</v>
      </c>
      <c r="E11129" s="2">
        <v>16</v>
      </c>
      <c r="F11129" s="2" t="s">
        <v>12</v>
      </c>
    </row>
    <row r="11130" spans="1:6" ht="25.5">
      <c r="A11130" s="2">
        <v>11127</v>
      </c>
      <c r="B11130" s="2" t="s">
        <v>11203</v>
      </c>
      <c r="C11130" s="2" t="str">
        <f>"15333884"</f>
        <v>15333884</v>
      </c>
      <c r="D11130" s="2">
        <v>1.389</v>
      </c>
      <c r="E11130" s="2">
        <v>73</v>
      </c>
      <c r="F11130" s="2" t="s">
        <v>6</v>
      </c>
    </row>
    <row r="11131" spans="1:6" ht="25.5">
      <c r="A11131" s="2">
        <v>11128</v>
      </c>
      <c r="B11131" s="2" t="s">
        <v>11204</v>
      </c>
      <c r="C11131" s="2" t="str">
        <f>"09747818"</f>
        <v>09747818</v>
      </c>
      <c r="D11131" s="2">
        <v>0.13300000000000001</v>
      </c>
      <c r="E11131" s="2">
        <v>2</v>
      </c>
      <c r="F11131" s="2" t="s">
        <v>488</v>
      </c>
    </row>
    <row r="11132" spans="1:6" ht="25.5">
      <c r="A11132" s="2">
        <v>11129</v>
      </c>
      <c r="B11132" s="2" t="s">
        <v>11205</v>
      </c>
      <c r="C11132" s="2" t="str">
        <f>"20050399"</f>
        <v>20050399</v>
      </c>
      <c r="D11132" s="2">
        <v>0.66200000000000003</v>
      </c>
      <c r="E11132" s="2">
        <v>11</v>
      </c>
      <c r="F11132" s="2" t="s">
        <v>274</v>
      </c>
    </row>
    <row r="11133" spans="1:6" ht="25.5">
      <c r="A11133" s="2">
        <v>11130</v>
      </c>
      <c r="B11133" s="2" t="s">
        <v>11206</v>
      </c>
      <c r="C11133" s="2" t="str">
        <f>"15369935"</f>
        <v>15369935</v>
      </c>
      <c r="D11133" s="2">
        <v>0.10100000000000001</v>
      </c>
      <c r="E11133" s="2">
        <v>1</v>
      </c>
      <c r="F11133" s="2" t="s">
        <v>6</v>
      </c>
    </row>
    <row r="11134" spans="1:6" ht="25.5">
      <c r="A11134" s="2">
        <v>11131</v>
      </c>
      <c r="B11134" s="2" t="s">
        <v>11207</v>
      </c>
      <c r="C11134" s="2" t="str">
        <f>"10424067"</f>
        <v>10424067</v>
      </c>
      <c r="D11134" s="2">
        <v>0.126</v>
      </c>
      <c r="E11134" s="2">
        <v>11</v>
      </c>
      <c r="F11134" s="2" t="s">
        <v>6</v>
      </c>
    </row>
    <row r="11135" spans="1:6" ht="25.5">
      <c r="A11135" s="2">
        <v>11132</v>
      </c>
      <c r="B11135" s="2" t="s">
        <v>11208</v>
      </c>
      <c r="C11135" s="2" t="str">
        <f>"15316564"</f>
        <v>15316564</v>
      </c>
      <c r="D11135" s="2">
        <v>1.002</v>
      </c>
      <c r="E11135" s="2">
        <v>70</v>
      </c>
      <c r="F11135" s="2" t="s">
        <v>16</v>
      </c>
    </row>
    <row r="11136" spans="1:6" ht="25.5">
      <c r="A11136" s="2">
        <v>11133</v>
      </c>
      <c r="B11136" s="2" t="s">
        <v>11209</v>
      </c>
      <c r="C11136" s="2" t="str">
        <f>"17531934"</f>
        <v>17531934</v>
      </c>
      <c r="D11136" s="2">
        <v>0.83099999999999996</v>
      </c>
      <c r="E11136" s="2">
        <v>42</v>
      </c>
      <c r="F11136" s="2" t="s">
        <v>16</v>
      </c>
    </row>
    <row r="11137" spans="1:6" ht="25.5">
      <c r="A11137" s="2">
        <v>11134</v>
      </c>
      <c r="B11137" s="2" t="s">
        <v>11210</v>
      </c>
      <c r="C11137" s="2" t="str">
        <f>"1545004X"</f>
        <v>1545004X</v>
      </c>
      <c r="D11137" s="2">
        <v>0.57099999999999995</v>
      </c>
      <c r="E11137" s="2">
        <v>33</v>
      </c>
      <c r="F11137" s="2" t="s">
        <v>6</v>
      </c>
    </row>
    <row r="11138" spans="1:6" ht="25.5">
      <c r="A11138" s="2">
        <v>11135</v>
      </c>
      <c r="B11138" s="2" t="s">
        <v>11211</v>
      </c>
      <c r="C11138" s="2" t="str">
        <f>"13894978"</f>
        <v>13894978</v>
      </c>
      <c r="D11138" s="2">
        <v>0.89300000000000002</v>
      </c>
      <c r="E11138" s="2">
        <v>25</v>
      </c>
      <c r="F11138" s="2" t="s">
        <v>75</v>
      </c>
    </row>
    <row r="11139" spans="1:6" ht="25.5">
      <c r="A11139" s="2">
        <v>11136</v>
      </c>
      <c r="B11139" s="2" t="s">
        <v>11212</v>
      </c>
      <c r="C11139" s="2" t="str">
        <f>"10059113"</f>
        <v>10059113</v>
      </c>
      <c r="D11139" s="2">
        <v>0.128</v>
      </c>
      <c r="E11139" s="2">
        <v>8</v>
      </c>
      <c r="F11139" s="2" t="s">
        <v>46</v>
      </c>
    </row>
    <row r="11140" spans="1:6" ht="25.5">
      <c r="A11140" s="2">
        <v>11137</v>
      </c>
      <c r="B11140" s="2" t="s">
        <v>11213</v>
      </c>
      <c r="C11140" s="2" t="str">
        <f>"1880828X"</f>
        <v>1880828X</v>
      </c>
      <c r="D11140" s="2">
        <v>0.16600000000000001</v>
      </c>
      <c r="E11140" s="2">
        <v>5</v>
      </c>
      <c r="F11140" s="2" t="s">
        <v>131</v>
      </c>
    </row>
    <row r="11141" spans="1:6" ht="25.5">
      <c r="A11141" s="2">
        <v>11138</v>
      </c>
      <c r="B11141" s="2" t="s">
        <v>11214</v>
      </c>
      <c r="C11141" s="2" t="str">
        <f>"03043894"</f>
        <v>03043894</v>
      </c>
      <c r="D11141" s="2">
        <v>1.7170000000000001</v>
      </c>
      <c r="E11141" s="2">
        <v>107</v>
      </c>
      <c r="F11141" s="2" t="s">
        <v>75</v>
      </c>
    </row>
    <row r="11142" spans="1:6" ht="25.5">
      <c r="A11142" s="2">
        <v>11139</v>
      </c>
      <c r="B11142" s="2" t="s">
        <v>11215</v>
      </c>
      <c r="C11142" s="2" t="str">
        <f>"21535515"</f>
        <v>21535515</v>
      </c>
      <c r="D11142" s="2">
        <v>0.33700000000000002</v>
      </c>
      <c r="E11142" s="2">
        <v>15</v>
      </c>
      <c r="F11142" s="2" t="s">
        <v>6</v>
      </c>
    </row>
    <row r="11143" spans="1:6" ht="25.5">
      <c r="A11143" s="2">
        <v>11140</v>
      </c>
      <c r="B11143" s="2" t="s">
        <v>11216</v>
      </c>
      <c r="C11143" s="2" t="str">
        <f>"11292377"</f>
        <v>11292377</v>
      </c>
      <c r="D11143" s="2">
        <v>0.79600000000000004</v>
      </c>
      <c r="E11143" s="2">
        <v>24</v>
      </c>
      <c r="F11143" s="2" t="s">
        <v>190</v>
      </c>
    </row>
    <row r="11144" spans="1:6" ht="25.5">
      <c r="A11144" s="2">
        <v>11141</v>
      </c>
      <c r="B11144" s="2" t="s">
        <v>11217</v>
      </c>
      <c r="C11144" s="2" t="str">
        <f>"1550509X"</f>
        <v>1550509X</v>
      </c>
      <c r="D11144" s="2">
        <v>1.5820000000000001</v>
      </c>
      <c r="E11144" s="2">
        <v>56</v>
      </c>
      <c r="F11144" s="2" t="s">
        <v>6</v>
      </c>
    </row>
    <row r="11145" spans="1:6" ht="25.5">
      <c r="A11145" s="2">
        <v>11142</v>
      </c>
      <c r="B11145" s="2" t="s">
        <v>11218</v>
      </c>
      <c r="C11145" s="2" t="str">
        <f>"10793739"</f>
        <v>10793739</v>
      </c>
      <c r="D11145" s="2">
        <v>0.24399999999999999</v>
      </c>
      <c r="E11145" s="2">
        <v>12</v>
      </c>
      <c r="F11145" s="2" t="s">
        <v>6</v>
      </c>
    </row>
    <row r="11146" spans="1:6" ht="25.5">
      <c r="A11146" s="2">
        <v>11143</v>
      </c>
      <c r="B11146" s="2" t="s">
        <v>11219</v>
      </c>
      <c r="C11146" s="2" t="str">
        <f>"00221465"</f>
        <v>00221465</v>
      </c>
      <c r="D11146" s="2">
        <v>2.4129999999999998</v>
      </c>
      <c r="E11146" s="2">
        <v>71</v>
      </c>
      <c r="F11146" s="2" t="s">
        <v>6</v>
      </c>
    </row>
    <row r="11147" spans="1:6" ht="25.5">
      <c r="A11147" s="2">
        <v>11144</v>
      </c>
      <c r="B11147" s="2" t="s">
        <v>11220</v>
      </c>
      <c r="C11147" s="2" t="str">
        <f>"15286916"</f>
        <v>15286916</v>
      </c>
      <c r="D11147" s="2">
        <v>0.30399999999999999</v>
      </c>
      <c r="E11147" s="2">
        <v>7</v>
      </c>
      <c r="F11147" s="2" t="s">
        <v>16</v>
      </c>
    </row>
    <row r="11148" spans="1:6" ht="25.5">
      <c r="A11148" s="2">
        <v>11145</v>
      </c>
      <c r="B11148" s="2" t="s">
        <v>11221</v>
      </c>
      <c r="C11148" s="2" t="str">
        <f>"20402295"</f>
        <v>20402295</v>
      </c>
      <c r="D11148" s="2">
        <v>0.189</v>
      </c>
      <c r="E11148" s="2">
        <v>4</v>
      </c>
      <c r="F11148" s="2" t="s">
        <v>16</v>
      </c>
    </row>
    <row r="11149" spans="1:6" ht="25.5">
      <c r="A11149" s="2">
        <v>11146</v>
      </c>
      <c r="B11149" s="2" t="s">
        <v>11222</v>
      </c>
      <c r="C11149" s="2" t="str">
        <f>"10786767"</f>
        <v>10786767</v>
      </c>
      <c r="D11149" s="2">
        <v>0.185</v>
      </c>
      <c r="E11149" s="2">
        <v>17</v>
      </c>
      <c r="F11149" s="2" t="s">
        <v>6</v>
      </c>
    </row>
    <row r="11150" spans="1:6" ht="25.5">
      <c r="A11150" s="2">
        <v>11147</v>
      </c>
      <c r="B11150" s="2" t="s">
        <v>11223</v>
      </c>
      <c r="C11150" s="2" t="str">
        <f>"10492089"</f>
        <v>10492089</v>
      </c>
      <c r="D11150" s="2">
        <v>0.61299999999999999</v>
      </c>
      <c r="E11150" s="2">
        <v>32</v>
      </c>
      <c r="F11150" s="2" t="s">
        <v>6</v>
      </c>
    </row>
    <row r="11151" spans="1:6" ht="25.5">
      <c r="A11151" s="2">
        <v>11148</v>
      </c>
      <c r="B11151" s="2" t="s">
        <v>11224</v>
      </c>
      <c r="C11151" s="2" t="str">
        <f>"10969012"</f>
        <v>10969012</v>
      </c>
      <c r="D11151" s="2">
        <v>0.503</v>
      </c>
      <c r="E11151" s="2">
        <v>29</v>
      </c>
      <c r="F11151" s="2" t="s">
        <v>6</v>
      </c>
    </row>
    <row r="11152" spans="1:6" ht="25.5">
      <c r="A11152" s="2">
        <v>11149</v>
      </c>
      <c r="B11152" s="2" t="s">
        <v>11225</v>
      </c>
      <c r="C11152" s="2" t="str">
        <f>"08917930"</f>
        <v>08917930</v>
      </c>
      <c r="D11152" s="2">
        <v>0.10299999999999999</v>
      </c>
      <c r="E11152" s="2">
        <v>3</v>
      </c>
      <c r="F11152" s="2" t="s">
        <v>6</v>
      </c>
    </row>
    <row r="11153" spans="1:6" ht="25.5">
      <c r="A11153" s="2">
        <v>11150</v>
      </c>
      <c r="B11153" s="2" t="s">
        <v>11226</v>
      </c>
      <c r="C11153" s="2" t="str">
        <f>"10744797"</f>
        <v>10744797</v>
      </c>
      <c r="D11153" s="2">
        <v>0.161</v>
      </c>
      <c r="E11153" s="2">
        <v>8</v>
      </c>
      <c r="F11153" s="2" t="s">
        <v>6</v>
      </c>
    </row>
    <row r="11154" spans="1:6" ht="25.5">
      <c r="A11154" s="2">
        <v>11151</v>
      </c>
      <c r="B11154" s="2" t="s">
        <v>11227</v>
      </c>
      <c r="C11154" s="2" t="str">
        <f>"10870415"</f>
        <v>10870415</v>
      </c>
      <c r="D11154" s="2">
        <v>1.077</v>
      </c>
      <c r="E11154" s="2">
        <v>43</v>
      </c>
      <c r="F11154" s="2" t="s">
        <v>16</v>
      </c>
    </row>
    <row r="11155" spans="1:6" ht="25.5">
      <c r="A11155" s="2">
        <v>11152</v>
      </c>
      <c r="B11155" s="2" t="s">
        <v>11228</v>
      </c>
      <c r="C11155" s="2" t="str">
        <f>"01676296"</f>
        <v>01676296</v>
      </c>
      <c r="D11155" s="2">
        <v>1.7010000000000001</v>
      </c>
      <c r="E11155" s="2">
        <v>68</v>
      </c>
      <c r="F11155" s="2" t="s">
        <v>75</v>
      </c>
    </row>
    <row r="11156" spans="1:6" ht="25.5">
      <c r="A11156" s="2">
        <v>11153</v>
      </c>
      <c r="B11156" s="2" t="s">
        <v>11229</v>
      </c>
      <c r="C11156" s="2" t="str">
        <f>"09720634"</f>
        <v>09720634</v>
      </c>
      <c r="D11156" s="2">
        <v>0.14899999999999999</v>
      </c>
      <c r="E11156" s="2">
        <v>4</v>
      </c>
      <c r="F11156" s="2" t="s">
        <v>488</v>
      </c>
    </row>
    <row r="11157" spans="1:6" ht="25.5">
      <c r="A11157" s="2">
        <v>11154</v>
      </c>
      <c r="B11157" s="2" t="s">
        <v>11230</v>
      </c>
      <c r="C11157" s="2" t="str">
        <f>"14777266"</f>
        <v>14777266</v>
      </c>
      <c r="D11157" s="2">
        <v>0.30099999999999999</v>
      </c>
      <c r="E11157" s="2">
        <v>19</v>
      </c>
      <c r="F11157" s="2" t="s">
        <v>16</v>
      </c>
    </row>
    <row r="11158" spans="1:6" ht="25.5">
      <c r="A11158" s="2">
        <v>11155</v>
      </c>
      <c r="B11158" s="2" t="s">
        <v>11231</v>
      </c>
      <c r="C11158" s="2" t="str">
        <f>"15271927"</f>
        <v>15271927</v>
      </c>
      <c r="D11158" s="2">
        <v>0.49099999999999999</v>
      </c>
      <c r="E11158" s="2">
        <v>33</v>
      </c>
      <c r="F11158" s="2" t="s">
        <v>6</v>
      </c>
    </row>
    <row r="11159" spans="1:6" ht="25.5">
      <c r="A11159" s="2">
        <v>11156</v>
      </c>
      <c r="B11159" s="2" t="s">
        <v>11232</v>
      </c>
      <c r="C11159" s="2" t="str">
        <f>"16060997"</f>
        <v>16060997</v>
      </c>
      <c r="D11159" s="2">
        <v>0.60299999999999998</v>
      </c>
      <c r="E11159" s="2">
        <v>28</v>
      </c>
      <c r="F11159" s="2" t="s">
        <v>2282</v>
      </c>
    </row>
    <row r="11160" spans="1:6" ht="25.5">
      <c r="A11160" s="2">
        <v>11157</v>
      </c>
      <c r="B11160" s="2" t="s">
        <v>11233</v>
      </c>
      <c r="C11160" s="2" t="str">
        <f>"13591053"</f>
        <v>13591053</v>
      </c>
      <c r="D11160" s="2">
        <v>0.88100000000000001</v>
      </c>
      <c r="E11160" s="2">
        <v>42</v>
      </c>
      <c r="F11160" s="2" t="s">
        <v>16</v>
      </c>
    </row>
    <row r="11161" spans="1:6" ht="25.5">
      <c r="A11161" s="2">
        <v>11158</v>
      </c>
      <c r="B11161" s="2" t="s">
        <v>11234</v>
      </c>
      <c r="C11161" s="2" t="str">
        <f>"13475207"</f>
        <v>13475207</v>
      </c>
      <c r="D11161" s="2">
        <v>0.27900000000000003</v>
      </c>
      <c r="E11161" s="2">
        <v>26</v>
      </c>
      <c r="F11161" s="2" t="s">
        <v>131</v>
      </c>
    </row>
    <row r="11162" spans="1:6" ht="25.5">
      <c r="A11162" s="2">
        <v>11159</v>
      </c>
      <c r="B11162" s="2" t="s">
        <v>11235</v>
      </c>
      <c r="C11162" s="2" t="str">
        <f>"17581060"</f>
        <v>17581060</v>
      </c>
      <c r="D11162" s="2">
        <v>0.72899999999999998</v>
      </c>
      <c r="E11162" s="2">
        <v>47</v>
      </c>
      <c r="F11162" s="2" t="s">
        <v>16</v>
      </c>
    </row>
    <row r="11163" spans="1:6" ht="25.5">
      <c r="A11163" s="2">
        <v>11160</v>
      </c>
      <c r="B11163" s="2" t="s">
        <v>11236</v>
      </c>
      <c r="C11163" s="2" t="str">
        <f>"10532498"</f>
        <v>10532498</v>
      </c>
      <c r="D11163" s="2">
        <v>2.2210000000000001</v>
      </c>
      <c r="E11163" s="2">
        <v>78</v>
      </c>
      <c r="F11163" s="2" t="s">
        <v>6</v>
      </c>
    </row>
    <row r="11164" spans="1:6" ht="25.5">
      <c r="A11164" s="2">
        <v>11161</v>
      </c>
      <c r="B11164" s="2" t="s">
        <v>11237</v>
      </c>
      <c r="C11164" s="2" t="str">
        <f>"09668519"</f>
        <v>09668519</v>
      </c>
      <c r="D11164" s="2">
        <v>0.64300000000000002</v>
      </c>
      <c r="E11164" s="2">
        <v>47</v>
      </c>
      <c r="F11164" s="2" t="s">
        <v>16</v>
      </c>
    </row>
    <row r="11165" spans="1:6" ht="25.5">
      <c r="A11165" s="2">
        <v>11162</v>
      </c>
      <c r="B11165" s="2" t="s">
        <v>11238</v>
      </c>
      <c r="C11165" s="2" t="str">
        <f>"00221481"</f>
        <v>00221481</v>
      </c>
      <c r="D11165" s="2">
        <v>0.995</v>
      </c>
      <c r="E11165" s="2">
        <v>73</v>
      </c>
      <c r="F11165" s="2" t="s">
        <v>6</v>
      </c>
    </row>
    <row r="11166" spans="1:6" ht="25.5">
      <c r="A11166" s="2">
        <v>11163</v>
      </c>
      <c r="B11166" s="2" t="s">
        <v>11239</v>
      </c>
      <c r="C11166" s="2" t="str">
        <f>"00754269"</f>
        <v>00754269</v>
      </c>
      <c r="D11166" s="2">
        <v>0.20599999999999999</v>
      </c>
      <c r="E11166" s="2">
        <v>7</v>
      </c>
      <c r="F11166" s="2" t="s">
        <v>16</v>
      </c>
    </row>
    <row r="11167" spans="1:6" ht="25.5">
      <c r="A11167" s="2">
        <v>11164</v>
      </c>
      <c r="B11167" s="2" t="s">
        <v>11240</v>
      </c>
      <c r="C11167" s="2" t="str">
        <f>"14752697"</f>
        <v>14752697</v>
      </c>
      <c r="D11167" s="2">
        <v>0.52700000000000002</v>
      </c>
      <c r="E11167" s="2">
        <v>31</v>
      </c>
      <c r="F11167" s="2" t="s">
        <v>16</v>
      </c>
    </row>
    <row r="11168" spans="1:6" ht="25.5">
      <c r="A11168" s="2">
        <v>11165</v>
      </c>
      <c r="B11168" s="2" t="s">
        <v>11241</v>
      </c>
      <c r="C11168" s="2" t="str">
        <f>"17568722"</f>
        <v>17568722</v>
      </c>
      <c r="D11168" s="2">
        <v>1.3080000000000001</v>
      </c>
      <c r="E11168" s="2">
        <v>19</v>
      </c>
      <c r="F11168" s="2" t="s">
        <v>16</v>
      </c>
    </row>
    <row r="11169" spans="1:6" ht="25.5">
      <c r="A11169" s="2">
        <v>11166</v>
      </c>
      <c r="B11169" s="2" t="s">
        <v>11242</v>
      </c>
      <c r="C11169" s="2" t="str">
        <f>"18655785"</f>
        <v>18655785</v>
      </c>
      <c r="D11169" s="2">
        <v>0</v>
      </c>
      <c r="E11169" s="2">
        <v>1</v>
      </c>
      <c r="F11169" s="2" t="s">
        <v>12</v>
      </c>
    </row>
    <row r="11170" spans="1:6" ht="25.5">
      <c r="A11170" s="2">
        <v>11167</v>
      </c>
      <c r="B11170" s="2" t="s">
        <v>11243</v>
      </c>
      <c r="C11170" s="2" t="str">
        <f>"18689674"</f>
        <v>18689674</v>
      </c>
      <c r="D11170" s="2">
        <v>1.087</v>
      </c>
      <c r="E11170" s="2">
        <v>50</v>
      </c>
      <c r="F11170" s="2" t="s">
        <v>12</v>
      </c>
    </row>
    <row r="11171" spans="1:6" ht="25.5">
      <c r="A11171" s="2">
        <v>11168</v>
      </c>
      <c r="B11171" s="2" t="s">
        <v>11244</v>
      </c>
      <c r="C11171" s="2" t="str">
        <f>"16000641"</f>
        <v>16000641</v>
      </c>
      <c r="D11171" s="2">
        <v>2.7970000000000002</v>
      </c>
      <c r="E11171" s="2">
        <v>139</v>
      </c>
      <c r="F11171" s="2" t="s">
        <v>75</v>
      </c>
    </row>
    <row r="11172" spans="1:6" ht="25.5">
      <c r="A11172" s="2">
        <v>11169</v>
      </c>
      <c r="B11172" s="2" t="s">
        <v>11245</v>
      </c>
      <c r="C11172" s="2" t="str">
        <f>"15403580"</f>
        <v>15403580</v>
      </c>
      <c r="D11172" s="2">
        <v>0.16400000000000001</v>
      </c>
      <c r="E11172" s="2">
        <v>15</v>
      </c>
      <c r="F11172" s="2" t="s">
        <v>6</v>
      </c>
    </row>
    <row r="11173" spans="1:6" ht="25.5">
      <c r="A11173" s="2">
        <v>11170</v>
      </c>
      <c r="B11173" s="2" t="s">
        <v>11246</v>
      </c>
      <c r="C11173" s="2" t="str">
        <f>"14657333"</f>
        <v>14657333</v>
      </c>
      <c r="D11173" s="2">
        <v>1.08</v>
      </c>
      <c r="E11173" s="2">
        <v>62</v>
      </c>
      <c r="F11173" s="2" t="s">
        <v>16</v>
      </c>
    </row>
    <row r="11174" spans="1:6" ht="25.5">
      <c r="A11174" s="2">
        <v>11171</v>
      </c>
      <c r="B11174" s="2" t="s">
        <v>11247</v>
      </c>
      <c r="C11174" s="2" t="str">
        <f>"00221511"</f>
        <v>00221511</v>
      </c>
      <c r="D11174" s="2">
        <v>0.51700000000000002</v>
      </c>
      <c r="E11174" s="2">
        <v>37</v>
      </c>
      <c r="F11174" s="2" t="s">
        <v>6</v>
      </c>
    </row>
    <row r="11175" spans="1:6" ht="25.5">
      <c r="A11175" s="2">
        <v>11172</v>
      </c>
      <c r="B11175" s="2" t="s">
        <v>11248</v>
      </c>
      <c r="C11175" s="2" t="str">
        <f>"0022152X"</f>
        <v>0022152X</v>
      </c>
      <c r="D11175" s="2">
        <v>0.42799999999999999</v>
      </c>
      <c r="E11175" s="2">
        <v>42</v>
      </c>
      <c r="F11175" s="2" t="s">
        <v>6</v>
      </c>
    </row>
    <row r="11176" spans="1:6" ht="25.5">
      <c r="A11176" s="2">
        <v>11173</v>
      </c>
      <c r="B11176" s="2" t="s">
        <v>11249</v>
      </c>
      <c r="C11176" s="2" t="str">
        <f>"15729397"</f>
        <v>15729397</v>
      </c>
      <c r="D11176" s="2">
        <v>1.843</v>
      </c>
      <c r="E11176" s="2">
        <v>39</v>
      </c>
      <c r="F11176" s="2" t="s">
        <v>75</v>
      </c>
    </row>
    <row r="11177" spans="1:6" ht="25.5">
      <c r="A11177" s="2">
        <v>11174</v>
      </c>
      <c r="B11177" s="2" t="s">
        <v>11250</v>
      </c>
      <c r="C11177" s="2" t="str">
        <f>"10298479"</f>
        <v>10298479</v>
      </c>
      <c r="D11177" s="2">
        <v>0.93100000000000005</v>
      </c>
      <c r="E11177" s="2">
        <v>134</v>
      </c>
      <c r="F11177" s="2" t="s">
        <v>12</v>
      </c>
    </row>
    <row r="11178" spans="1:6" ht="25.5">
      <c r="A11178" s="2">
        <v>11175</v>
      </c>
      <c r="B11178" s="2" t="s">
        <v>11251</v>
      </c>
      <c r="C11178" s="2" t="str">
        <f>"15384640"</f>
        <v>15384640</v>
      </c>
      <c r="D11178" s="2">
        <v>1.139</v>
      </c>
      <c r="E11178" s="2">
        <v>40</v>
      </c>
      <c r="F11178" s="2" t="s">
        <v>6</v>
      </c>
    </row>
    <row r="11179" spans="1:6" ht="25.5">
      <c r="A11179" s="2">
        <v>11176</v>
      </c>
      <c r="B11179" s="2" t="s">
        <v>11252</v>
      </c>
      <c r="C11179" s="2" t="str">
        <f>"14699508"</f>
        <v>14699508</v>
      </c>
      <c r="D11179" s="2">
        <v>0.61099999999999999</v>
      </c>
      <c r="E11179" s="2">
        <v>16</v>
      </c>
      <c r="F11179" s="2" t="s">
        <v>16</v>
      </c>
    </row>
    <row r="11180" spans="1:6" ht="25.5">
      <c r="A11180" s="2">
        <v>11177</v>
      </c>
      <c r="B11180" s="2" t="s">
        <v>11253</v>
      </c>
      <c r="C11180" s="2" t="str">
        <f>"09266801"</f>
        <v>09266801</v>
      </c>
      <c r="D11180" s="2">
        <v>0.10100000000000001</v>
      </c>
      <c r="E11180" s="2">
        <v>14</v>
      </c>
      <c r="F11180" s="2" t="s">
        <v>75</v>
      </c>
    </row>
    <row r="11181" spans="1:6" ht="25.5">
      <c r="A11181" s="2">
        <v>11178</v>
      </c>
      <c r="B11181" s="2" t="s">
        <v>11254</v>
      </c>
      <c r="C11181" s="2" t="str">
        <f>"10478310"</f>
        <v>10478310</v>
      </c>
      <c r="D11181" s="2">
        <v>0.27700000000000002</v>
      </c>
      <c r="E11181" s="2">
        <v>23</v>
      </c>
      <c r="F11181" s="2" t="s">
        <v>75</v>
      </c>
    </row>
    <row r="11182" spans="1:6" ht="25.5">
      <c r="A11182" s="2">
        <v>11179</v>
      </c>
      <c r="B11182" s="2" t="s">
        <v>11255</v>
      </c>
      <c r="C11182" s="2" t="str">
        <f>"17564263"</f>
        <v>17564263</v>
      </c>
      <c r="D11182" s="2">
        <v>0.159</v>
      </c>
      <c r="E11182" s="2">
        <v>2</v>
      </c>
      <c r="F11182" s="2" t="s">
        <v>488</v>
      </c>
    </row>
    <row r="11183" spans="1:6" ht="25.5">
      <c r="A11183" s="2">
        <v>11180</v>
      </c>
      <c r="B11183" s="2" t="s">
        <v>11256</v>
      </c>
      <c r="C11183" s="2" t="str">
        <f>"15381927"</f>
        <v>15381927</v>
      </c>
      <c r="D11183" s="2">
        <v>0.56299999999999994</v>
      </c>
      <c r="E11183" s="2">
        <v>5</v>
      </c>
      <c r="F11183" s="2" t="s">
        <v>6</v>
      </c>
    </row>
    <row r="11184" spans="1:6" ht="25.5">
      <c r="A11184" s="2">
        <v>11181</v>
      </c>
      <c r="B11184" s="2" t="s">
        <v>11257</v>
      </c>
      <c r="C11184" s="2" t="str">
        <f>"00221554"</f>
        <v>00221554</v>
      </c>
      <c r="D11184" s="2">
        <v>0.92800000000000005</v>
      </c>
      <c r="E11184" s="2">
        <v>85</v>
      </c>
      <c r="F11184" s="2" t="s">
        <v>6</v>
      </c>
    </row>
    <row r="11185" spans="1:6" ht="25.5">
      <c r="A11185" s="2">
        <v>11182</v>
      </c>
      <c r="B11185" s="2" t="s">
        <v>11258</v>
      </c>
      <c r="C11185" s="2" t="str">
        <f>"10958614"</f>
        <v>10958614</v>
      </c>
      <c r="D11185" s="2">
        <v>0.55300000000000005</v>
      </c>
      <c r="E11185" s="2">
        <v>20</v>
      </c>
      <c r="F11185" s="2" t="s">
        <v>6</v>
      </c>
    </row>
    <row r="11186" spans="1:6" ht="25.5">
      <c r="A11186" s="2">
        <v>11183</v>
      </c>
      <c r="B11186" s="2" t="s">
        <v>11259</v>
      </c>
      <c r="C11186" s="2" t="str">
        <f>"15699854"</f>
        <v>15699854</v>
      </c>
      <c r="D11186" s="2">
        <v>0.374</v>
      </c>
      <c r="E11186" s="2">
        <v>5</v>
      </c>
      <c r="F11186" s="2" t="s">
        <v>75</v>
      </c>
    </row>
    <row r="11187" spans="1:6" ht="25.5">
      <c r="A11187" s="2">
        <v>11184</v>
      </c>
      <c r="B11187" s="2" t="s">
        <v>11260</v>
      </c>
      <c r="C11187" s="2" t="str">
        <f>"14676443"</f>
        <v>14676443</v>
      </c>
      <c r="D11187" s="2">
        <v>0.13400000000000001</v>
      </c>
      <c r="E11187" s="2">
        <v>10</v>
      </c>
      <c r="F11187" s="2" t="s">
        <v>16</v>
      </c>
    </row>
    <row r="11188" spans="1:6" ht="25.5">
      <c r="A11188" s="2">
        <v>11185</v>
      </c>
      <c r="B11188" s="2" t="s">
        <v>11261</v>
      </c>
      <c r="C11188" s="2" t="str">
        <f>"01478885"</f>
        <v>01478885</v>
      </c>
      <c r="D11188" s="2">
        <v>0.11700000000000001</v>
      </c>
      <c r="E11188" s="2">
        <v>14</v>
      </c>
      <c r="F11188" s="2" t="s">
        <v>6</v>
      </c>
    </row>
    <row r="11189" spans="1:6" ht="25.5">
      <c r="A11189" s="2">
        <v>11186</v>
      </c>
      <c r="B11189" s="2" t="s">
        <v>11262</v>
      </c>
      <c r="C11189" s="2" t="str">
        <f>"1538151X"</f>
        <v>1538151X</v>
      </c>
      <c r="D11189" s="2">
        <v>0.191</v>
      </c>
      <c r="E11189" s="2">
        <v>7</v>
      </c>
      <c r="F11189" s="2" t="s">
        <v>16</v>
      </c>
    </row>
    <row r="11190" spans="1:6" ht="25.5">
      <c r="A11190" s="2">
        <v>11187</v>
      </c>
      <c r="B11190" s="2" t="s">
        <v>11263</v>
      </c>
      <c r="C11190" s="2" t="str">
        <f>"10001980"</f>
        <v>10001980</v>
      </c>
      <c r="D11190" s="2">
        <v>0</v>
      </c>
      <c r="E11190" s="2">
        <v>1</v>
      </c>
      <c r="F11190" s="2" t="s">
        <v>46</v>
      </c>
    </row>
    <row r="11191" spans="1:6" ht="25.5">
      <c r="A11191" s="2">
        <v>11188</v>
      </c>
      <c r="B11191" s="2" t="s">
        <v>11264</v>
      </c>
      <c r="C11191" s="2" t="str">
        <f>"08980101"</f>
        <v>08980101</v>
      </c>
      <c r="D11191" s="2">
        <v>0.307</v>
      </c>
      <c r="E11191" s="2">
        <v>24</v>
      </c>
      <c r="F11191" s="2" t="s">
        <v>6</v>
      </c>
    </row>
    <row r="11192" spans="1:6" ht="25.5">
      <c r="A11192" s="2">
        <v>11189</v>
      </c>
      <c r="B11192" s="2" t="s">
        <v>11265</v>
      </c>
      <c r="C11192" s="2" t="str">
        <f>"15477355"</f>
        <v>15477355</v>
      </c>
      <c r="D11192" s="2">
        <v>0.14499999999999999</v>
      </c>
      <c r="E11192" s="2">
        <v>8</v>
      </c>
      <c r="F11192" s="2" t="s">
        <v>6</v>
      </c>
    </row>
    <row r="11193" spans="1:6" ht="25.5">
      <c r="A11193" s="2">
        <v>11190</v>
      </c>
      <c r="B11193" s="2" t="s">
        <v>11266</v>
      </c>
      <c r="C11193" s="2" t="str">
        <f>"15403602"</f>
        <v>15403602</v>
      </c>
      <c r="D11193" s="2">
        <v>0.51200000000000001</v>
      </c>
      <c r="E11193" s="2">
        <v>35</v>
      </c>
      <c r="F11193" s="2" t="s">
        <v>16</v>
      </c>
    </row>
    <row r="11194" spans="1:6" ht="25.5">
      <c r="A11194" s="2">
        <v>11191</v>
      </c>
      <c r="B11194" s="2" t="s">
        <v>11267</v>
      </c>
      <c r="C11194" s="2" t="str">
        <f>"14620316"</f>
        <v>14620316</v>
      </c>
      <c r="D11194" s="2">
        <v>0.38700000000000001</v>
      </c>
      <c r="E11194" s="2">
        <v>35</v>
      </c>
      <c r="F11194" s="2" t="s">
        <v>16</v>
      </c>
    </row>
    <row r="11195" spans="1:6" ht="25.5">
      <c r="A11195" s="2">
        <v>11192</v>
      </c>
      <c r="B11195" s="2" t="s">
        <v>11268</v>
      </c>
      <c r="C11195" s="2" t="str">
        <f>"15390705"</f>
        <v>15390705</v>
      </c>
      <c r="D11195" s="2">
        <v>0.308</v>
      </c>
      <c r="E11195" s="2">
        <v>10</v>
      </c>
      <c r="F11195" s="2" t="s">
        <v>6</v>
      </c>
    </row>
    <row r="11196" spans="1:6" ht="25.5">
      <c r="A11196" s="2">
        <v>11193</v>
      </c>
      <c r="B11196" s="2" t="s">
        <v>11269</v>
      </c>
      <c r="C11196" s="2" t="str">
        <f>"01956701"</f>
        <v>01956701</v>
      </c>
      <c r="D11196" s="2">
        <v>1.2130000000000001</v>
      </c>
      <c r="E11196" s="2">
        <v>76</v>
      </c>
      <c r="F11196" s="2" t="s">
        <v>16</v>
      </c>
    </row>
    <row r="11197" spans="1:6" ht="25.5">
      <c r="A11197" s="2">
        <v>11194</v>
      </c>
      <c r="B11197" s="2" t="s">
        <v>11270</v>
      </c>
      <c r="C11197" s="2" t="str">
        <f>"15577554"</f>
        <v>15577554</v>
      </c>
      <c r="D11197" s="2">
        <v>0.874</v>
      </c>
      <c r="E11197" s="2">
        <v>13</v>
      </c>
      <c r="F11197" s="2" t="s">
        <v>6</v>
      </c>
    </row>
    <row r="11198" spans="1:6" ht="25.5">
      <c r="A11198" s="2">
        <v>11195</v>
      </c>
      <c r="B11198" s="2" t="s">
        <v>11271</v>
      </c>
      <c r="C11198" s="2" t="str">
        <f>"17579880"</f>
        <v>17579880</v>
      </c>
      <c r="D11198" s="2">
        <v>0.23400000000000001</v>
      </c>
      <c r="E11198" s="2">
        <v>3</v>
      </c>
      <c r="F11198" s="2" t="s">
        <v>16</v>
      </c>
    </row>
    <row r="11199" spans="1:6" ht="25.5">
      <c r="A11199" s="2">
        <v>11196</v>
      </c>
      <c r="B11199" s="2" t="s">
        <v>11272</v>
      </c>
      <c r="C11199" s="2" t="str">
        <f>"14738376"</f>
        <v>14738376</v>
      </c>
      <c r="D11199" s="2">
        <v>0.161</v>
      </c>
      <c r="E11199" s="2">
        <v>5</v>
      </c>
      <c r="F11199" s="2" t="s">
        <v>16</v>
      </c>
    </row>
    <row r="11200" spans="1:6" ht="25.5">
      <c r="A11200" s="2">
        <v>11197</v>
      </c>
      <c r="B11200" s="2" t="s">
        <v>11273</v>
      </c>
      <c r="C11200" s="2" t="str">
        <f>"19368631"</f>
        <v>19368631</v>
      </c>
      <c r="D11200" s="2">
        <v>0.503</v>
      </c>
      <c r="E11200" s="2">
        <v>8</v>
      </c>
      <c r="F11200" s="2" t="s">
        <v>16</v>
      </c>
    </row>
    <row r="11201" spans="1:6" ht="25.5">
      <c r="A11201" s="2">
        <v>11198</v>
      </c>
      <c r="B11201" s="2" t="s">
        <v>11274</v>
      </c>
      <c r="C11201" s="2" t="str">
        <f>"15323269"</f>
        <v>15323269</v>
      </c>
      <c r="D11201" s="2">
        <v>0.33900000000000002</v>
      </c>
      <c r="E11201" s="2">
        <v>4</v>
      </c>
      <c r="F11201" s="2" t="s">
        <v>16</v>
      </c>
    </row>
    <row r="11202" spans="1:6" ht="25.5">
      <c r="A11202" s="2">
        <v>11199</v>
      </c>
      <c r="B11202" s="2" t="s">
        <v>11275</v>
      </c>
      <c r="C11202" s="2" t="str">
        <f>"15535592"</f>
        <v>15535592</v>
      </c>
      <c r="D11202" s="2">
        <v>0.84399999999999997</v>
      </c>
      <c r="E11202" s="2">
        <v>20</v>
      </c>
      <c r="F11202" s="2" t="s">
        <v>6</v>
      </c>
    </row>
    <row r="11203" spans="1:6" ht="25.5">
      <c r="A11203" s="2">
        <v>11200</v>
      </c>
      <c r="B11203" s="2" t="s">
        <v>11276</v>
      </c>
      <c r="C11203" s="2" t="str">
        <f>"15535606"</f>
        <v>15535606</v>
      </c>
      <c r="D11203" s="2">
        <v>0.21099999999999999</v>
      </c>
      <c r="E11203" s="2">
        <v>16</v>
      </c>
      <c r="F11203" s="2" t="s">
        <v>6</v>
      </c>
    </row>
    <row r="11204" spans="1:6" ht="25.5">
      <c r="A11204" s="2">
        <v>11201</v>
      </c>
      <c r="B11204" s="2" t="s">
        <v>11277</v>
      </c>
      <c r="C11204" s="2" t="str">
        <f>"15737772"</f>
        <v>15737772</v>
      </c>
      <c r="D11204" s="2">
        <v>0.499</v>
      </c>
      <c r="E11204" s="2">
        <v>18</v>
      </c>
      <c r="F11204" s="2" t="s">
        <v>75</v>
      </c>
    </row>
    <row r="11205" spans="1:6" ht="25.5">
      <c r="A11205" s="2">
        <v>11202</v>
      </c>
      <c r="B11205" s="2" t="s">
        <v>11278</v>
      </c>
      <c r="C11205" s="2" t="str">
        <f>"10960791"</f>
        <v>10960791</v>
      </c>
      <c r="D11205" s="2">
        <v>0.67400000000000004</v>
      </c>
      <c r="E11205" s="2">
        <v>24</v>
      </c>
      <c r="F11205" s="2" t="s">
        <v>6</v>
      </c>
    </row>
    <row r="11206" spans="1:6" ht="25.5">
      <c r="A11206" s="2">
        <v>11203</v>
      </c>
      <c r="B11206" s="2" t="s">
        <v>11279</v>
      </c>
      <c r="C11206" s="2" t="str">
        <f>"1540353X"</f>
        <v>1540353X</v>
      </c>
      <c r="D11206" s="2">
        <v>0.23300000000000001</v>
      </c>
      <c r="E11206" s="2">
        <v>7</v>
      </c>
      <c r="F11206" s="2" t="s">
        <v>16</v>
      </c>
    </row>
    <row r="11207" spans="1:6" ht="25.5">
      <c r="A11207" s="2">
        <v>11204</v>
      </c>
      <c r="B11207" s="2" t="s">
        <v>11280</v>
      </c>
      <c r="C11207" s="2" t="str">
        <f>"16720733"</f>
        <v>16720733</v>
      </c>
      <c r="D11207" s="2">
        <v>0.23899999999999999</v>
      </c>
      <c r="E11207" s="2">
        <v>13</v>
      </c>
      <c r="F11207" s="2" t="s">
        <v>46</v>
      </c>
    </row>
    <row r="11208" spans="1:6" ht="25.5">
      <c r="A11208" s="2">
        <v>11205</v>
      </c>
      <c r="B11208" s="2" t="s">
        <v>11281</v>
      </c>
      <c r="C11208" s="2" t="str">
        <f>"10911359"</f>
        <v>10911359</v>
      </c>
      <c r="D11208" s="2">
        <v>0.23499999999999999</v>
      </c>
      <c r="E11208" s="2">
        <v>7</v>
      </c>
      <c r="F11208" s="2" t="s">
        <v>16</v>
      </c>
    </row>
    <row r="11209" spans="1:6" ht="25.5">
      <c r="A11209" s="2">
        <v>11206</v>
      </c>
      <c r="B11209" s="2" t="s">
        <v>11282</v>
      </c>
      <c r="C11209" s="2" t="str">
        <f>"19328575"</f>
        <v>19328575</v>
      </c>
      <c r="D11209" s="2">
        <v>0.88700000000000001</v>
      </c>
      <c r="E11209" s="2">
        <v>5</v>
      </c>
      <c r="F11209" s="2" t="s">
        <v>6</v>
      </c>
    </row>
    <row r="11210" spans="1:6" ht="25.5">
      <c r="A11210" s="2">
        <v>11207</v>
      </c>
      <c r="B11210" s="2" t="s">
        <v>11283</v>
      </c>
      <c r="C11210" s="2" t="str">
        <f>"19452837"</f>
        <v>19452837</v>
      </c>
      <c r="D11210" s="2">
        <v>0.24099999999999999</v>
      </c>
      <c r="E11210" s="2">
        <v>3</v>
      </c>
      <c r="F11210" s="2" t="s">
        <v>6</v>
      </c>
    </row>
    <row r="11211" spans="1:6" ht="25.5">
      <c r="A11211" s="2">
        <v>11208</v>
      </c>
      <c r="B11211" s="2" t="s">
        <v>11284</v>
      </c>
      <c r="C11211" s="2" t="str">
        <f>"10958606"</f>
        <v>10958606</v>
      </c>
      <c r="D11211" s="2">
        <v>2.0939999999999999</v>
      </c>
      <c r="E11211" s="2">
        <v>68</v>
      </c>
      <c r="F11211" s="2" t="s">
        <v>6</v>
      </c>
    </row>
    <row r="11212" spans="1:6" ht="25.5">
      <c r="A11212" s="2">
        <v>11209</v>
      </c>
      <c r="B11212" s="2" t="s">
        <v>11285</v>
      </c>
      <c r="C11212" s="2" t="str">
        <f>"1435232X"</f>
        <v>1435232X</v>
      </c>
      <c r="D11212" s="2">
        <v>0.93500000000000005</v>
      </c>
      <c r="E11212" s="2">
        <v>53</v>
      </c>
      <c r="F11212" s="2" t="s">
        <v>16</v>
      </c>
    </row>
    <row r="11213" spans="1:6" ht="25.5">
      <c r="A11213" s="2">
        <v>11210</v>
      </c>
      <c r="B11213" s="2" t="s">
        <v>11286</v>
      </c>
      <c r="C11213" s="2" t="str">
        <f>"09509240"</f>
        <v>09509240</v>
      </c>
      <c r="D11213" s="2">
        <v>0.89800000000000002</v>
      </c>
      <c r="E11213" s="2">
        <v>65</v>
      </c>
      <c r="F11213" s="2" t="s">
        <v>16</v>
      </c>
    </row>
    <row r="11214" spans="1:6" ht="25.5">
      <c r="A11214" s="2">
        <v>11211</v>
      </c>
      <c r="B11214" s="2" t="s">
        <v>11287</v>
      </c>
      <c r="C11214" s="2" t="str">
        <f>"21611939"</f>
        <v>21611939</v>
      </c>
      <c r="D11214" s="2">
        <v>0.26200000000000001</v>
      </c>
      <c r="E11214" s="2">
        <v>4</v>
      </c>
      <c r="F11214" s="2" t="s">
        <v>16</v>
      </c>
    </row>
    <row r="11215" spans="1:6" ht="25.5">
      <c r="A11215" s="2">
        <v>11212</v>
      </c>
      <c r="B11215" s="2" t="s">
        <v>11288</v>
      </c>
      <c r="C11215" s="2" t="str">
        <f>"00221678"</f>
        <v>00221678</v>
      </c>
      <c r="D11215" s="2">
        <v>0.33900000000000002</v>
      </c>
      <c r="E11215" s="2">
        <v>15</v>
      </c>
      <c r="F11215" s="2" t="s">
        <v>6</v>
      </c>
    </row>
    <row r="11216" spans="1:6" ht="25.5">
      <c r="A11216" s="2">
        <v>11213</v>
      </c>
      <c r="B11216" s="2" t="s">
        <v>11289</v>
      </c>
      <c r="C11216" s="2" t="str">
        <f>"19347227"</f>
        <v>19347227</v>
      </c>
      <c r="D11216" s="2">
        <v>0.222</v>
      </c>
      <c r="E11216" s="2">
        <v>1</v>
      </c>
      <c r="F11216" s="2" t="s">
        <v>6</v>
      </c>
    </row>
    <row r="11217" spans="1:6" ht="25.5">
      <c r="A11217" s="2">
        <v>11214</v>
      </c>
      <c r="B11217" s="2" t="s">
        <v>11290</v>
      </c>
      <c r="C11217" s="2" t="str">
        <f>"16405544"</f>
        <v>16405544</v>
      </c>
      <c r="D11217" s="2">
        <v>0.23200000000000001</v>
      </c>
      <c r="E11217" s="2">
        <v>4</v>
      </c>
      <c r="F11217" s="2" t="s">
        <v>169</v>
      </c>
    </row>
    <row r="11218" spans="1:6" ht="25.5">
      <c r="A11218" s="2">
        <v>11215</v>
      </c>
      <c r="B11218" s="2" t="s">
        <v>11291</v>
      </c>
      <c r="C11218" s="2" t="str">
        <f>"08903344"</f>
        <v>08903344</v>
      </c>
      <c r="D11218" s="2">
        <v>0.47399999999999998</v>
      </c>
      <c r="E11218" s="2">
        <v>36</v>
      </c>
      <c r="F11218" s="2" t="s">
        <v>6</v>
      </c>
    </row>
    <row r="11219" spans="1:6" ht="25.5">
      <c r="A11219" s="2">
        <v>11216</v>
      </c>
      <c r="B11219" s="2" t="s">
        <v>11292</v>
      </c>
      <c r="C11219" s="2" t="str">
        <f>"1365277X"</f>
        <v>1365277X</v>
      </c>
      <c r="D11219" s="2">
        <v>0.71799999999999997</v>
      </c>
      <c r="E11219" s="2">
        <v>33</v>
      </c>
      <c r="F11219" s="2" t="s">
        <v>16</v>
      </c>
    </row>
    <row r="11220" spans="1:6" ht="25.5">
      <c r="A11220" s="2">
        <v>11217</v>
      </c>
      <c r="B11220" s="2" t="s">
        <v>11293</v>
      </c>
      <c r="C11220" s="2" t="str">
        <f>"09741208"</f>
        <v>09741208</v>
      </c>
      <c r="D11220" s="2">
        <v>0.50800000000000001</v>
      </c>
      <c r="E11220" s="2">
        <v>6</v>
      </c>
      <c r="F11220" s="2" t="s">
        <v>488</v>
      </c>
    </row>
    <row r="11221" spans="1:6" ht="25.5">
      <c r="A11221" s="2">
        <v>11218</v>
      </c>
      <c r="B11221" s="2" t="s">
        <v>11294</v>
      </c>
      <c r="C11221" s="2" t="str">
        <f>"15488004"</f>
        <v>15488004</v>
      </c>
      <c r="D11221" s="2">
        <v>3.3039999999999998</v>
      </c>
      <c r="E11221" s="2">
        <v>52</v>
      </c>
      <c r="F11221" s="2" t="s">
        <v>6</v>
      </c>
    </row>
    <row r="11222" spans="1:6" ht="25.5">
      <c r="A11222" s="2">
        <v>11219</v>
      </c>
      <c r="B11222" s="2" t="s">
        <v>11295</v>
      </c>
      <c r="C11222" s="2" t="str">
        <f>"15332853"</f>
        <v>15332853</v>
      </c>
      <c r="D11222" s="2">
        <v>0.248</v>
      </c>
      <c r="E11222" s="2">
        <v>6</v>
      </c>
      <c r="F11222" s="2" t="s">
        <v>16</v>
      </c>
    </row>
    <row r="11223" spans="1:6" ht="25.5">
      <c r="A11223" s="2">
        <v>11220</v>
      </c>
      <c r="B11223" s="2" t="s">
        <v>11296</v>
      </c>
      <c r="C11223" s="2" t="str">
        <f>"14754835"</f>
        <v>14754835</v>
      </c>
      <c r="D11223" s="2">
        <v>0.26300000000000001</v>
      </c>
      <c r="E11223" s="2">
        <v>3</v>
      </c>
      <c r="F11223" s="2" t="s">
        <v>16</v>
      </c>
    </row>
    <row r="11224" spans="1:6" ht="25.5">
      <c r="A11224" s="2">
        <v>11221</v>
      </c>
      <c r="B11224" s="2" t="s">
        <v>11297</v>
      </c>
      <c r="C11224" s="2" t="str">
        <f>"17579627"</f>
        <v>17579627</v>
      </c>
      <c r="D11224" s="2">
        <v>0.55900000000000005</v>
      </c>
      <c r="E11224" s="2">
        <v>4</v>
      </c>
      <c r="F11224" s="2" t="s">
        <v>16</v>
      </c>
    </row>
    <row r="11225" spans="1:6" ht="25.5">
      <c r="A11225" s="2">
        <v>11222</v>
      </c>
      <c r="B11225" s="2" t="s">
        <v>11298</v>
      </c>
      <c r="C11225" s="2" t="str">
        <f>"18353800"</f>
        <v>18353800</v>
      </c>
      <c r="D11225" s="2">
        <v>0.115</v>
      </c>
      <c r="E11225" s="2">
        <v>2</v>
      </c>
      <c r="F11225" s="2" t="s">
        <v>127</v>
      </c>
    </row>
    <row r="11226" spans="1:6" ht="25.5">
      <c r="A11226" s="2">
        <v>11223</v>
      </c>
      <c r="B11226" s="2" t="s">
        <v>11299</v>
      </c>
      <c r="C11226" s="2" t="str">
        <f>"19885202"</f>
        <v>19885202</v>
      </c>
      <c r="D11226" s="2">
        <v>0.13600000000000001</v>
      </c>
      <c r="E11226" s="2">
        <v>2</v>
      </c>
      <c r="F11226" s="2" t="s">
        <v>351</v>
      </c>
    </row>
    <row r="11227" spans="1:6" ht="25.5">
      <c r="A11227" s="2">
        <v>11224</v>
      </c>
      <c r="B11227" s="2" t="s">
        <v>11300</v>
      </c>
      <c r="C11227" s="2" t="str">
        <f>"09716858"</f>
        <v>09716858</v>
      </c>
      <c r="D11227" s="2">
        <v>0.125</v>
      </c>
      <c r="E11227" s="2">
        <v>5</v>
      </c>
      <c r="F11227" s="2" t="s">
        <v>488</v>
      </c>
    </row>
    <row r="11228" spans="1:6" ht="25.5">
      <c r="A11228" s="2">
        <v>11225</v>
      </c>
      <c r="B11228" s="2" t="s">
        <v>11301</v>
      </c>
      <c r="C11228" s="2" t="str">
        <f>"19320256"</f>
        <v>19320256</v>
      </c>
      <c r="D11228" s="2">
        <v>0.28999999999999998</v>
      </c>
      <c r="E11228" s="2">
        <v>7</v>
      </c>
      <c r="F11228" s="2" t="s">
        <v>6</v>
      </c>
    </row>
    <row r="11229" spans="1:6" ht="25.5">
      <c r="A11229" s="2">
        <v>11226</v>
      </c>
      <c r="B11229" s="2" t="s">
        <v>11302</v>
      </c>
      <c r="C11229" s="2" t="str">
        <f>"07339429"</f>
        <v>07339429</v>
      </c>
      <c r="D11229" s="2">
        <v>0.85899999999999999</v>
      </c>
      <c r="E11229" s="2">
        <v>62</v>
      </c>
      <c r="F11229" s="2" t="s">
        <v>6</v>
      </c>
    </row>
    <row r="11230" spans="1:6" ht="25.5">
      <c r="A11230" s="2">
        <v>11227</v>
      </c>
      <c r="B11230" s="2" t="s">
        <v>11303</v>
      </c>
      <c r="C11230" s="2" t="str">
        <f>"00221686"</f>
        <v>00221686</v>
      </c>
      <c r="D11230" s="2">
        <v>0.80800000000000005</v>
      </c>
      <c r="E11230" s="2">
        <v>38</v>
      </c>
      <c r="F11230" s="2" t="s">
        <v>351</v>
      </c>
    </row>
    <row r="11231" spans="1:6" ht="25.5">
      <c r="A11231" s="2">
        <v>11228</v>
      </c>
      <c r="B11231" s="2" t="s">
        <v>11304</v>
      </c>
      <c r="C11231" s="2" t="str">
        <f>"10016058"</f>
        <v>10016058</v>
      </c>
      <c r="D11231" s="2">
        <v>0.44400000000000001</v>
      </c>
      <c r="E11231" s="2">
        <v>16</v>
      </c>
      <c r="F11231" s="2" t="s">
        <v>46</v>
      </c>
    </row>
    <row r="11232" spans="1:6" ht="25.5">
      <c r="A11232" s="2">
        <v>11229</v>
      </c>
      <c r="B11232" s="2" t="s">
        <v>11305</v>
      </c>
      <c r="C11232" s="2" t="str">
        <f>"15706443"</f>
        <v>15706443</v>
      </c>
      <c r="D11232" s="2">
        <v>0.497</v>
      </c>
      <c r="E11232" s="2">
        <v>10</v>
      </c>
      <c r="F11232" s="2" t="s">
        <v>75</v>
      </c>
    </row>
    <row r="11233" spans="1:6" ht="25.5">
      <c r="A11233" s="2">
        <v>11230</v>
      </c>
      <c r="B11233" s="2" t="s">
        <v>11306</v>
      </c>
      <c r="C11233" s="2" t="str">
        <f>"14651734"</f>
        <v>14651734</v>
      </c>
      <c r="D11233" s="2">
        <v>0.57399999999999995</v>
      </c>
      <c r="E11233" s="2">
        <v>16</v>
      </c>
      <c r="F11233" s="2" t="s">
        <v>16</v>
      </c>
    </row>
    <row r="11234" spans="1:6" ht="25.5">
      <c r="A11234" s="2">
        <v>11231</v>
      </c>
      <c r="B11234" s="2" t="s">
        <v>11307</v>
      </c>
      <c r="C11234" s="2" t="str">
        <f>"10840699"</f>
        <v>10840699</v>
      </c>
      <c r="D11234" s="2">
        <v>0.80100000000000005</v>
      </c>
      <c r="E11234" s="2">
        <v>45</v>
      </c>
      <c r="F11234" s="2" t="s">
        <v>6</v>
      </c>
    </row>
    <row r="11235" spans="1:6" ht="25.5">
      <c r="A11235" s="2">
        <v>11232</v>
      </c>
      <c r="B11235" s="2" t="s">
        <v>11308</v>
      </c>
      <c r="C11235" s="2" t="str">
        <f>"00221694"</f>
        <v>00221694</v>
      </c>
      <c r="D11235" s="2">
        <v>1.583</v>
      </c>
      <c r="E11235" s="2">
        <v>110</v>
      </c>
      <c r="F11235" s="2" t="s">
        <v>75</v>
      </c>
    </row>
    <row r="11236" spans="1:6" ht="25.5">
      <c r="A11236" s="2">
        <v>11233</v>
      </c>
      <c r="B11236" s="2" t="s">
        <v>11309</v>
      </c>
      <c r="C11236" s="2" t="str">
        <f>"00221708"</f>
        <v>00221708</v>
      </c>
      <c r="D11236" s="2">
        <v>0.16900000000000001</v>
      </c>
      <c r="E11236" s="2">
        <v>11</v>
      </c>
      <c r="F11236" s="2" t="s">
        <v>503</v>
      </c>
    </row>
    <row r="11237" spans="1:6" ht="25.5">
      <c r="A11237" s="2">
        <v>11234</v>
      </c>
      <c r="B11237" s="2" t="s">
        <v>11310</v>
      </c>
      <c r="C11237" s="2" t="str">
        <f>"1525755X"</f>
        <v>1525755X</v>
      </c>
      <c r="D11237" s="2">
        <v>1.9430000000000001</v>
      </c>
      <c r="E11237" s="2">
        <v>61</v>
      </c>
      <c r="F11237" s="2" t="s">
        <v>6</v>
      </c>
    </row>
    <row r="11238" spans="1:6" ht="25.5">
      <c r="A11238" s="2">
        <v>11235</v>
      </c>
      <c r="B11238" s="2" t="s">
        <v>11311</v>
      </c>
      <c r="C11238" s="2" t="str">
        <f>"10709428"</f>
        <v>10709428</v>
      </c>
      <c r="D11238" s="2">
        <v>0.313</v>
      </c>
      <c r="E11238" s="2">
        <v>5</v>
      </c>
      <c r="F11238" s="2" t="s">
        <v>6</v>
      </c>
    </row>
    <row r="11239" spans="1:6" ht="25.5">
      <c r="A11239" s="2">
        <v>11236</v>
      </c>
      <c r="B11239" s="2" t="s">
        <v>11312</v>
      </c>
      <c r="C11239" s="2" t="str">
        <f>"02198916"</f>
        <v>02198916</v>
      </c>
      <c r="D11239" s="2">
        <v>0.56699999999999995</v>
      </c>
      <c r="E11239" s="2">
        <v>10</v>
      </c>
      <c r="F11239" s="2" t="s">
        <v>543</v>
      </c>
    </row>
    <row r="11240" spans="1:6" ht="25.5">
      <c r="A11240" s="2">
        <v>11237</v>
      </c>
      <c r="B11240" s="2" t="s">
        <v>11313</v>
      </c>
      <c r="C11240" s="2" t="str">
        <f>"02636352"</f>
        <v>02636352</v>
      </c>
      <c r="D11240" s="2">
        <v>1.5229999999999999</v>
      </c>
      <c r="E11240" s="2">
        <v>120</v>
      </c>
      <c r="F11240" s="2" t="s">
        <v>6</v>
      </c>
    </row>
    <row r="11241" spans="1:6" ht="25.5">
      <c r="A11241" s="2">
        <v>11238</v>
      </c>
      <c r="B11241" s="2" t="s">
        <v>11314</v>
      </c>
      <c r="C11241" s="2" t="str">
        <f>"21519668"</f>
        <v>21519668</v>
      </c>
      <c r="D11241" s="2">
        <v>0.10100000000000001</v>
      </c>
      <c r="E11241" s="2">
        <v>1</v>
      </c>
      <c r="F11241" s="2" t="s">
        <v>6</v>
      </c>
    </row>
    <row r="11242" spans="1:6" ht="25.5">
      <c r="A11242" s="2">
        <v>11239</v>
      </c>
      <c r="B11242" s="2" t="s">
        <v>11315</v>
      </c>
      <c r="C11242" s="2" t="str">
        <f>"18867995"</f>
        <v>18867995</v>
      </c>
      <c r="D11242" s="2">
        <v>0.54700000000000004</v>
      </c>
      <c r="E11242" s="2">
        <v>9</v>
      </c>
      <c r="F11242" s="2" t="s">
        <v>351</v>
      </c>
    </row>
    <row r="11243" spans="1:6" ht="25.5">
      <c r="A11243" s="2">
        <v>11240</v>
      </c>
      <c r="B11243" s="2" t="s">
        <v>11316</v>
      </c>
      <c r="C11243" s="2" t="str">
        <f>"00329452"</f>
        <v>00329452</v>
      </c>
      <c r="D11243" s="2">
        <v>0.16700000000000001</v>
      </c>
      <c r="E11243" s="2">
        <v>5</v>
      </c>
      <c r="F11243" s="2" t="s">
        <v>129</v>
      </c>
    </row>
    <row r="11244" spans="1:6" ht="25.5">
      <c r="A11244" s="2">
        <v>11241</v>
      </c>
      <c r="B11244" s="2" t="s">
        <v>11317</v>
      </c>
      <c r="C11244" s="2" t="str">
        <f>"19320191"</f>
        <v>19320191</v>
      </c>
      <c r="D11244" s="2">
        <v>0.36</v>
      </c>
      <c r="E11244" s="2">
        <v>3</v>
      </c>
      <c r="F11244" s="2" t="s">
        <v>6</v>
      </c>
    </row>
    <row r="11245" spans="1:6" ht="25.5">
      <c r="A11245" s="2">
        <v>11242</v>
      </c>
      <c r="B11245" s="2" t="s">
        <v>11318</v>
      </c>
      <c r="C11245" s="2" t="str">
        <f>"10623701"</f>
        <v>10623701</v>
      </c>
      <c r="D11245" s="2">
        <v>0.60599999999999998</v>
      </c>
      <c r="E11245" s="2">
        <v>31</v>
      </c>
      <c r="F11245" s="2" t="s">
        <v>6</v>
      </c>
    </row>
    <row r="11246" spans="1:6" ht="25.5">
      <c r="A11246" s="2">
        <v>11243</v>
      </c>
      <c r="B11246" s="2" t="s">
        <v>11319</v>
      </c>
      <c r="C11246" s="2" t="str">
        <f>"15571920"</f>
        <v>15571920</v>
      </c>
      <c r="D11246" s="2">
        <v>0.48499999999999999</v>
      </c>
      <c r="E11246" s="2">
        <v>25</v>
      </c>
      <c r="F11246" s="2" t="s">
        <v>6</v>
      </c>
    </row>
    <row r="11247" spans="1:6" ht="25.5">
      <c r="A11247" s="2">
        <v>11244</v>
      </c>
      <c r="B11247" s="2" t="s">
        <v>11320</v>
      </c>
      <c r="C11247" s="2" t="str">
        <f>"15562956"</f>
        <v>15562956</v>
      </c>
      <c r="D11247" s="2">
        <v>0.17499999999999999</v>
      </c>
      <c r="E11247" s="2">
        <v>6</v>
      </c>
      <c r="F11247" s="2" t="s">
        <v>16</v>
      </c>
    </row>
    <row r="11248" spans="1:6" ht="25.5">
      <c r="A11248" s="2">
        <v>11245</v>
      </c>
      <c r="B11248" s="2" t="s">
        <v>11321</v>
      </c>
      <c r="C11248" s="2" t="str">
        <f>"14768518"</f>
        <v>14768518</v>
      </c>
      <c r="D11248" s="2">
        <v>0.64700000000000002</v>
      </c>
      <c r="E11248" s="2">
        <v>12</v>
      </c>
      <c r="F11248" s="2" t="s">
        <v>16</v>
      </c>
    </row>
    <row r="11249" spans="1:6" ht="25.5">
      <c r="A11249" s="2">
        <v>11246</v>
      </c>
      <c r="B11249" s="2" t="s">
        <v>11322</v>
      </c>
      <c r="C11249" s="2" t="str">
        <f>"15324230"</f>
        <v>15324230</v>
      </c>
      <c r="D11249" s="2">
        <v>0.25</v>
      </c>
      <c r="E11249" s="2">
        <v>19</v>
      </c>
      <c r="F11249" s="2" t="s">
        <v>16</v>
      </c>
    </row>
    <row r="11250" spans="1:6" ht="25.5">
      <c r="A11250" s="2">
        <v>11247</v>
      </c>
      <c r="B11250" s="2" t="s">
        <v>11323</v>
      </c>
      <c r="C11250" s="2" t="str">
        <f>"00221759"</f>
        <v>00221759</v>
      </c>
      <c r="D11250" s="2">
        <v>0.96799999999999997</v>
      </c>
      <c r="E11250" s="2">
        <v>92</v>
      </c>
      <c r="F11250" s="2" t="s">
        <v>75</v>
      </c>
    </row>
    <row r="11251" spans="1:6" ht="25.5">
      <c r="A11251" s="2">
        <v>11248</v>
      </c>
      <c r="B11251" s="2" t="s">
        <v>11324</v>
      </c>
      <c r="C11251" s="2" t="str">
        <f>"15506606"</f>
        <v>15506606</v>
      </c>
      <c r="D11251" s="2">
        <v>3.17</v>
      </c>
      <c r="E11251" s="2">
        <v>266</v>
      </c>
      <c r="F11251" s="2" t="s">
        <v>6</v>
      </c>
    </row>
    <row r="11252" spans="1:6" ht="25.5">
      <c r="A11252" s="2">
        <v>11249</v>
      </c>
      <c r="B11252" s="2" t="s">
        <v>11325</v>
      </c>
      <c r="C11252" s="2" t="str">
        <f>"15249557"</f>
        <v>15249557</v>
      </c>
      <c r="D11252" s="2">
        <v>1.212</v>
      </c>
      <c r="E11252" s="2">
        <v>61</v>
      </c>
      <c r="F11252" s="2" t="s">
        <v>6</v>
      </c>
    </row>
    <row r="11253" spans="1:6" ht="25.5">
      <c r="A11253" s="2">
        <v>11250</v>
      </c>
      <c r="B11253" s="2" t="s">
        <v>11326</v>
      </c>
      <c r="C11253" s="2" t="str">
        <f>"1547691X"</f>
        <v>1547691X</v>
      </c>
      <c r="D11253" s="2">
        <v>0.48099999999999998</v>
      </c>
      <c r="E11253" s="2">
        <v>14</v>
      </c>
      <c r="F11253" s="2" t="s">
        <v>16</v>
      </c>
    </row>
    <row r="11254" spans="1:6" ht="25.5">
      <c r="A11254" s="2">
        <v>11251</v>
      </c>
      <c r="B11254" s="2" t="s">
        <v>11327</v>
      </c>
      <c r="C11254" s="2" t="str">
        <f>"17439329"</f>
        <v>17439329</v>
      </c>
      <c r="D11254" s="2">
        <v>0.35699999999999998</v>
      </c>
      <c r="E11254" s="2">
        <v>9</v>
      </c>
      <c r="F11254" s="2" t="s">
        <v>16</v>
      </c>
    </row>
    <row r="11255" spans="1:6" ht="25.5">
      <c r="A11255" s="2">
        <v>11252</v>
      </c>
      <c r="B11255" s="2" t="s">
        <v>11328</v>
      </c>
      <c r="C11255" s="2" t="str">
        <f>"13883127"</f>
        <v>13883127</v>
      </c>
      <c r="D11255" s="2">
        <v>0.46300000000000002</v>
      </c>
      <c r="E11255" s="2">
        <v>38</v>
      </c>
      <c r="F11255" s="2" t="s">
        <v>75</v>
      </c>
    </row>
    <row r="11256" spans="1:6" ht="25.5">
      <c r="A11256" s="2">
        <v>11253</v>
      </c>
      <c r="B11256" s="2" t="s">
        <v>11329</v>
      </c>
      <c r="C11256" s="2" t="str">
        <f>"09266437"</f>
        <v>09266437</v>
      </c>
      <c r="D11256" s="2">
        <v>0.121</v>
      </c>
      <c r="E11256" s="2">
        <v>5</v>
      </c>
      <c r="F11256" s="2" t="s">
        <v>6</v>
      </c>
    </row>
    <row r="11257" spans="1:6" ht="25.5">
      <c r="A11257" s="2">
        <v>11254</v>
      </c>
      <c r="B11257" s="2" t="s">
        <v>11330</v>
      </c>
      <c r="C11257" s="2" t="str">
        <f>"09710973"</f>
        <v>09710973</v>
      </c>
      <c r="D11257" s="2">
        <v>0.13700000000000001</v>
      </c>
      <c r="E11257" s="2">
        <v>1</v>
      </c>
      <c r="F11257" s="2" t="s">
        <v>488</v>
      </c>
    </row>
    <row r="11258" spans="1:6" ht="25.5">
      <c r="A11258" s="2">
        <v>11255</v>
      </c>
      <c r="B11258" s="2" t="s">
        <v>11331</v>
      </c>
      <c r="C11258" s="2" t="str">
        <f>"09731342"</f>
        <v>09731342</v>
      </c>
      <c r="D11258" s="2">
        <v>0.10299999999999999</v>
      </c>
      <c r="E11258" s="2">
        <v>2</v>
      </c>
      <c r="F11258" s="2" t="s">
        <v>488</v>
      </c>
    </row>
    <row r="11259" spans="1:6" ht="25.5">
      <c r="A11259" s="2">
        <v>11256</v>
      </c>
      <c r="B11259" s="2" t="s">
        <v>11332</v>
      </c>
      <c r="C11259" s="2" t="str">
        <f>"19983891"</f>
        <v>19983891</v>
      </c>
      <c r="D11259" s="2">
        <v>0.156</v>
      </c>
      <c r="E11259" s="2">
        <v>6</v>
      </c>
      <c r="F11259" s="2" t="s">
        <v>488</v>
      </c>
    </row>
    <row r="11260" spans="1:6" ht="25.5">
      <c r="A11260" s="2">
        <v>11257</v>
      </c>
      <c r="B11260" s="2" t="s">
        <v>11333</v>
      </c>
      <c r="C11260" s="2" t="str">
        <f>"00221791"</f>
        <v>00221791</v>
      </c>
      <c r="D11260" s="2">
        <v>0.247</v>
      </c>
      <c r="E11260" s="2">
        <v>6</v>
      </c>
      <c r="F11260" s="2" t="s">
        <v>75</v>
      </c>
    </row>
    <row r="11261" spans="1:6" ht="25.5">
      <c r="A11261" s="2">
        <v>11258</v>
      </c>
      <c r="B11261" s="2" t="s">
        <v>11334</v>
      </c>
      <c r="C11261" s="2" t="str">
        <f>"09724052"</f>
        <v>09724052</v>
      </c>
      <c r="D11261" s="2">
        <v>0.127</v>
      </c>
      <c r="E11261" s="2">
        <v>4</v>
      </c>
      <c r="F11261" s="2" t="s">
        <v>488</v>
      </c>
    </row>
    <row r="11262" spans="1:6" ht="25.5">
      <c r="A11262" s="2">
        <v>11259</v>
      </c>
      <c r="B11262" s="2" t="s">
        <v>11335</v>
      </c>
      <c r="C11262" s="2" t="str">
        <f>"0972124X"</f>
        <v>0972124X</v>
      </c>
      <c r="D11262" s="2">
        <v>0.13700000000000001</v>
      </c>
      <c r="E11262" s="2">
        <v>3</v>
      </c>
      <c r="F11262" s="2" t="s">
        <v>488</v>
      </c>
    </row>
    <row r="11263" spans="1:6" ht="25.5">
      <c r="A11263" s="2">
        <v>11260</v>
      </c>
      <c r="B11263" s="2" t="s">
        <v>11336</v>
      </c>
      <c r="C11263" s="2" t="str">
        <f>"16140001"</f>
        <v>16140001</v>
      </c>
      <c r="D11263" s="2">
        <v>0.56599999999999995</v>
      </c>
      <c r="E11263" s="2">
        <v>14</v>
      </c>
      <c r="F11263" s="2" t="s">
        <v>6</v>
      </c>
    </row>
    <row r="11264" spans="1:6" ht="25.5">
      <c r="A11264" s="2">
        <v>11261</v>
      </c>
      <c r="B11264" s="2" t="s">
        <v>11337</v>
      </c>
      <c r="C11264" s="2" t="str">
        <f>"00922323"</f>
        <v>00922323</v>
      </c>
      <c r="D11264" s="2">
        <v>0.1</v>
      </c>
      <c r="E11264" s="2">
        <v>3</v>
      </c>
      <c r="F11264" s="2" t="s">
        <v>6</v>
      </c>
    </row>
    <row r="11265" spans="1:6" ht="25.5">
      <c r="A11265" s="2">
        <v>11262</v>
      </c>
      <c r="B11265" s="2" t="s">
        <v>11338</v>
      </c>
      <c r="C11265" s="2" t="str">
        <f>"1226086X"</f>
        <v>1226086X</v>
      </c>
      <c r="D11265" s="2">
        <v>0.73499999999999999</v>
      </c>
      <c r="E11265" s="2">
        <v>28</v>
      </c>
      <c r="F11265" s="2" t="s">
        <v>274</v>
      </c>
    </row>
    <row r="11266" spans="1:6" ht="25.5">
      <c r="A11266" s="2">
        <v>11263</v>
      </c>
      <c r="B11266" s="2" t="s">
        <v>11339</v>
      </c>
      <c r="C11266" s="2" t="str">
        <f>"1553166X"</f>
        <v>1553166X</v>
      </c>
      <c r="D11266" s="2">
        <v>0.57999999999999996</v>
      </c>
      <c r="E11266" s="2">
        <v>12</v>
      </c>
      <c r="F11266" s="2" t="s">
        <v>6</v>
      </c>
    </row>
    <row r="11267" spans="1:6" ht="25.5">
      <c r="A11267" s="2">
        <v>11264</v>
      </c>
      <c r="B11267" s="2" t="s">
        <v>11340</v>
      </c>
      <c r="C11267" s="2" t="str">
        <f>"15309290"</f>
        <v>15309290</v>
      </c>
      <c r="D11267" s="2">
        <v>0.86699999999999999</v>
      </c>
      <c r="E11267" s="2">
        <v>44</v>
      </c>
      <c r="F11267" s="2" t="s">
        <v>16</v>
      </c>
    </row>
    <row r="11268" spans="1:6" ht="25.5">
      <c r="A11268" s="2">
        <v>11265</v>
      </c>
      <c r="B11268" s="2" t="s">
        <v>11341</v>
      </c>
      <c r="C11268" s="2" t="str">
        <f>"14676451"</f>
        <v>14676451</v>
      </c>
      <c r="D11268" s="2">
        <v>2.028</v>
      </c>
      <c r="E11268" s="2">
        <v>49</v>
      </c>
      <c r="F11268" s="2" t="s">
        <v>16</v>
      </c>
    </row>
    <row r="11269" spans="1:6" ht="25.5">
      <c r="A11269" s="2">
        <v>11266</v>
      </c>
      <c r="B11269" s="2" t="s">
        <v>11342</v>
      </c>
      <c r="C11269" s="2" t="str">
        <f>"14765535"</f>
        <v>14765535</v>
      </c>
      <c r="D11269" s="2">
        <v>0.97299999999999998</v>
      </c>
      <c r="E11269" s="2">
        <v>62</v>
      </c>
      <c r="F11269" s="2" t="s">
        <v>12</v>
      </c>
    </row>
    <row r="11270" spans="1:6" ht="25.5">
      <c r="A11270" s="2">
        <v>11267</v>
      </c>
      <c r="B11270" s="2" t="s">
        <v>11343</v>
      </c>
      <c r="C11270" s="2" t="str">
        <f>"09702083"</f>
        <v>09702083</v>
      </c>
      <c r="D11270" s="2">
        <v>0.114</v>
      </c>
      <c r="E11270" s="2">
        <v>9</v>
      </c>
      <c r="F11270" s="2" t="s">
        <v>488</v>
      </c>
    </row>
    <row r="11271" spans="1:6" ht="25.5">
      <c r="A11271" s="2">
        <v>11268</v>
      </c>
      <c r="B11271" s="2" t="s">
        <v>11344</v>
      </c>
      <c r="C11271" s="2" t="str">
        <f>"14729296"</f>
        <v>14729296</v>
      </c>
      <c r="D11271" s="2">
        <v>0.378</v>
      </c>
      <c r="E11271" s="2">
        <v>9</v>
      </c>
      <c r="F11271" s="2" t="s">
        <v>16</v>
      </c>
    </row>
    <row r="11272" spans="1:6" ht="25.5">
      <c r="A11272" s="2">
        <v>11269</v>
      </c>
      <c r="B11272" s="2" t="s">
        <v>11345</v>
      </c>
      <c r="C11272" s="2" t="str">
        <f>"08826404"</f>
        <v>08826404</v>
      </c>
      <c r="D11272" s="2">
        <v>0.126</v>
      </c>
      <c r="E11272" s="2">
        <v>10</v>
      </c>
      <c r="F11272" s="2" t="s">
        <v>6</v>
      </c>
    </row>
    <row r="11273" spans="1:6" ht="25.5">
      <c r="A11273" s="2">
        <v>11270</v>
      </c>
      <c r="B11273" s="2" t="s">
        <v>11346</v>
      </c>
      <c r="C11273" s="2" t="str">
        <f>"15308057"</f>
        <v>15308057</v>
      </c>
      <c r="D11273" s="2">
        <v>0.58599999999999997</v>
      </c>
      <c r="E11273" s="2">
        <v>16</v>
      </c>
      <c r="F11273" s="2" t="s">
        <v>16</v>
      </c>
    </row>
    <row r="11274" spans="1:6" ht="25.5">
      <c r="A11274" s="2">
        <v>11271</v>
      </c>
      <c r="B11274" s="2" t="s">
        <v>11347</v>
      </c>
      <c r="C11274" s="2" t="str">
        <f>"15661679"</f>
        <v>15661679</v>
      </c>
      <c r="D11274" s="2">
        <v>0.379</v>
      </c>
      <c r="E11274" s="2">
        <v>8</v>
      </c>
      <c r="F11274" s="2" t="s">
        <v>75</v>
      </c>
    </row>
    <row r="11275" spans="1:6" ht="25.5">
      <c r="A11275" s="2">
        <v>11272</v>
      </c>
      <c r="B11275" s="2" t="s">
        <v>11348</v>
      </c>
      <c r="C11275" s="2" t="str">
        <f>"1029242X"</f>
        <v>1029242X</v>
      </c>
      <c r="D11275" s="2">
        <v>0.46800000000000003</v>
      </c>
      <c r="E11275" s="2">
        <v>20</v>
      </c>
      <c r="F11275" s="2" t="s">
        <v>6</v>
      </c>
    </row>
    <row r="11276" spans="1:6" ht="25.5">
      <c r="A11276" s="2">
        <v>11273</v>
      </c>
      <c r="B11276" s="2" t="s">
        <v>11349</v>
      </c>
      <c r="C11276" s="2" t="str">
        <f>"01634453"</f>
        <v>01634453</v>
      </c>
      <c r="D11276" s="2">
        <v>1.4890000000000001</v>
      </c>
      <c r="E11276" s="2">
        <v>61</v>
      </c>
      <c r="F11276" s="2" t="s">
        <v>16</v>
      </c>
    </row>
    <row r="11277" spans="1:6" ht="25.5">
      <c r="A11277" s="2">
        <v>11274</v>
      </c>
      <c r="B11277" s="2" t="s">
        <v>11350</v>
      </c>
      <c r="C11277" s="2" t="str">
        <f>"14377780"</f>
        <v>14377780</v>
      </c>
      <c r="D11277" s="2">
        <v>0.628</v>
      </c>
      <c r="E11277" s="2">
        <v>35</v>
      </c>
      <c r="F11277" s="2" t="s">
        <v>131</v>
      </c>
    </row>
    <row r="11278" spans="1:6" ht="25.5">
      <c r="A11278" s="2">
        <v>11275</v>
      </c>
      <c r="B11278" s="2" t="s">
        <v>11351</v>
      </c>
      <c r="C11278" s="2" t="str">
        <f>"18760341"</f>
        <v>18760341</v>
      </c>
      <c r="D11278" s="2">
        <v>0.5</v>
      </c>
      <c r="E11278" s="2">
        <v>9</v>
      </c>
      <c r="F11278" s="2" t="s">
        <v>75</v>
      </c>
    </row>
    <row r="11279" spans="1:6" ht="25.5">
      <c r="A11279" s="2">
        <v>11276</v>
      </c>
      <c r="B11279" s="2" t="s">
        <v>11352</v>
      </c>
      <c r="C11279" s="2" t="str">
        <f>"19722680"</f>
        <v>19722680</v>
      </c>
      <c r="D11279" s="2">
        <v>0.498</v>
      </c>
      <c r="E11279" s="2">
        <v>15</v>
      </c>
      <c r="F11279" s="2" t="s">
        <v>64</v>
      </c>
    </row>
    <row r="11280" spans="1:6" ht="25.5">
      <c r="A11280" s="2">
        <v>11277</v>
      </c>
      <c r="B11280" s="2" t="s">
        <v>11353</v>
      </c>
      <c r="C11280" s="2" t="str">
        <f>"17571782"</f>
        <v>17571782</v>
      </c>
      <c r="D11280" s="2">
        <v>0.249</v>
      </c>
      <c r="E11280" s="2">
        <v>6</v>
      </c>
      <c r="F11280" s="2" t="s">
        <v>16</v>
      </c>
    </row>
    <row r="11281" spans="1:6" ht="25.5">
      <c r="A11281" s="2">
        <v>11278</v>
      </c>
      <c r="B11281" s="2" t="s">
        <v>11354</v>
      </c>
      <c r="C11281" s="2" t="str">
        <f>"15376613"</f>
        <v>15376613</v>
      </c>
      <c r="D11281" s="2">
        <v>2.7229999999999999</v>
      </c>
      <c r="E11281" s="2">
        <v>176</v>
      </c>
      <c r="F11281" s="2" t="s">
        <v>16</v>
      </c>
    </row>
    <row r="11282" spans="1:6" ht="25.5">
      <c r="A11282" s="2">
        <v>11279</v>
      </c>
      <c r="B11282" s="2" t="s">
        <v>11355</v>
      </c>
      <c r="C11282" s="2" t="str">
        <f>"10787852"</f>
        <v>10787852</v>
      </c>
      <c r="D11282" s="2">
        <v>1.01</v>
      </c>
      <c r="E11282" s="2">
        <v>22</v>
      </c>
      <c r="F11282" s="2" t="s">
        <v>16</v>
      </c>
    </row>
    <row r="11283" spans="1:6" ht="25.5">
      <c r="A11283" s="2">
        <v>11280</v>
      </c>
      <c r="B11283" s="2" t="s">
        <v>11356</v>
      </c>
      <c r="C11283" s="2" t="str">
        <f>"11787031"</f>
        <v>11787031</v>
      </c>
      <c r="D11283" s="2">
        <v>0.32100000000000001</v>
      </c>
      <c r="E11283" s="2">
        <v>4</v>
      </c>
      <c r="F11283" s="2" t="s">
        <v>503</v>
      </c>
    </row>
    <row r="11284" spans="1:6" ht="25.5">
      <c r="A11284" s="2">
        <v>11281</v>
      </c>
      <c r="B11284" s="2" t="s">
        <v>11357</v>
      </c>
      <c r="C11284" s="2" t="str">
        <f>"21803862"</f>
        <v>21803862</v>
      </c>
      <c r="D11284" s="2">
        <v>0.10299999999999999</v>
      </c>
      <c r="E11284" s="2">
        <v>0</v>
      </c>
      <c r="F11284" s="2" t="s">
        <v>37</v>
      </c>
    </row>
    <row r="11285" spans="1:6" ht="25.5">
      <c r="A11285" s="2">
        <v>11282</v>
      </c>
      <c r="B11285" s="2" t="s">
        <v>11358</v>
      </c>
      <c r="C11285" s="2" t="str">
        <f>"15487741"</f>
        <v>15487741</v>
      </c>
      <c r="D11285" s="2">
        <v>0.16</v>
      </c>
      <c r="E11285" s="2">
        <v>9</v>
      </c>
      <c r="F11285" s="2" t="s">
        <v>6</v>
      </c>
    </row>
    <row r="11286" spans="1:6" ht="25.5">
      <c r="A11286" s="2">
        <v>11283</v>
      </c>
      <c r="B11286" s="2" t="s">
        <v>11359</v>
      </c>
      <c r="C11286" s="2" t="str">
        <f>"18469418"</f>
        <v>18469418</v>
      </c>
      <c r="D11286" s="2">
        <v>0.16600000000000001</v>
      </c>
      <c r="E11286" s="2">
        <v>3</v>
      </c>
      <c r="F11286" s="2" t="s">
        <v>149</v>
      </c>
    </row>
    <row r="11287" spans="1:6" ht="25.5">
      <c r="A11287" s="2">
        <v>11284</v>
      </c>
      <c r="B11287" s="2" t="s">
        <v>11360</v>
      </c>
      <c r="C11287" s="2" t="str">
        <f>"21581606"</f>
        <v>21581606</v>
      </c>
      <c r="D11287" s="2">
        <v>0.25</v>
      </c>
      <c r="E11287" s="2">
        <v>3</v>
      </c>
      <c r="F11287" s="2" t="s">
        <v>274</v>
      </c>
    </row>
    <row r="11288" spans="1:6" ht="25.5">
      <c r="A11288" s="2">
        <v>11285</v>
      </c>
      <c r="B11288" s="2" t="s">
        <v>11361</v>
      </c>
      <c r="C11288" s="2" t="str">
        <f>"10619321"</f>
        <v>10619321</v>
      </c>
      <c r="D11288" s="2">
        <v>0.126</v>
      </c>
      <c r="E11288" s="2">
        <v>5</v>
      </c>
      <c r="F11288" s="2" t="s">
        <v>6</v>
      </c>
    </row>
    <row r="11289" spans="1:6" ht="25.5">
      <c r="A11289" s="2">
        <v>11286</v>
      </c>
      <c r="B11289" s="2" t="s">
        <v>11362</v>
      </c>
      <c r="C11289" s="2" t="str">
        <f>"20734239"</f>
        <v>20734239</v>
      </c>
      <c r="D11289" s="2">
        <v>1.292</v>
      </c>
      <c r="E11289" s="2">
        <v>10</v>
      </c>
      <c r="F11289" s="2" t="s">
        <v>165</v>
      </c>
    </row>
    <row r="11290" spans="1:6" ht="25.5">
      <c r="A11290" s="2">
        <v>11287</v>
      </c>
      <c r="B11290" s="2" t="s">
        <v>11363</v>
      </c>
      <c r="C11290" s="2" t="str">
        <f>"15571327"</f>
        <v>15571327</v>
      </c>
      <c r="D11290" s="2">
        <v>0.106</v>
      </c>
      <c r="E11290" s="2">
        <v>1</v>
      </c>
      <c r="F11290" s="2" t="s">
        <v>6</v>
      </c>
    </row>
    <row r="11291" spans="1:6" ht="25.5">
      <c r="A11291" s="2">
        <v>11288</v>
      </c>
      <c r="B11291" s="2" t="s">
        <v>11364</v>
      </c>
      <c r="C11291" s="2" t="str">
        <f>"03876101"</f>
        <v>03876101</v>
      </c>
      <c r="D11291" s="2">
        <v>0</v>
      </c>
      <c r="E11291" s="2">
        <v>1</v>
      </c>
      <c r="F11291" s="2" t="s">
        <v>131</v>
      </c>
    </row>
    <row r="11292" spans="1:6" ht="25.5">
      <c r="A11292" s="2">
        <v>11289</v>
      </c>
      <c r="B11292" s="2" t="s">
        <v>11365</v>
      </c>
      <c r="C11292" s="2" t="str">
        <f>"1976913X"</f>
        <v>1976913X</v>
      </c>
      <c r="D11292" s="2">
        <v>0</v>
      </c>
      <c r="E11292" s="2">
        <v>1</v>
      </c>
      <c r="F11292" s="2" t="s">
        <v>274</v>
      </c>
    </row>
    <row r="11293" spans="1:6" ht="25.5">
      <c r="A11293" s="2">
        <v>11290</v>
      </c>
      <c r="B11293" s="2" t="s">
        <v>11366</v>
      </c>
      <c r="C11293" s="2" t="str">
        <f>"01655515"</f>
        <v>01655515</v>
      </c>
      <c r="D11293" s="2">
        <v>1.1990000000000001</v>
      </c>
      <c r="E11293" s="2">
        <v>35</v>
      </c>
      <c r="F11293" s="2" t="s">
        <v>16</v>
      </c>
    </row>
    <row r="11294" spans="1:6" ht="25.5">
      <c r="A11294" s="2">
        <v>11291</v>
      </c>
      <c r="B11294" s="2" t="s">
        <v>11367</v>
      </c>
      <c r="C11294" s="2" t="str">
        <f>"10162364"</f>
        <v>10162364</v>
      </c>
      <c r="D11294" s="2">
        <v>0.24299999999999999</v>
      </c>
      <c r="E11294" s="2">
        <v>21</v>
      </c>
      <c r="F11294" s="2" t="s">
        <v>165</v>
      </c>
    </row>
    <row r="11295" spans="1:6" ht="25.5">
      <c r="A11295" s="2">
        <v>11292</v>
      </c>
      <c r="B11295" s="2" t="s">
        <v>11368</v>
      </c>
      <c r="C11295" s="2" t="str">
        <f>"08887985"</f>
        <v>08887985</v>
      </c>
      <c r="D11295" s="2">
        <v>0.68899999999999995</v>
      </c>
      <c r="E11295" s="2">
        <v>7</v>
      </c>
      <c r="F11295" s="2" t="s">
        <v>6</v>
      </c>
    </row>
    <row r="11296" spans="1:6" ht="25.5">
      <c r="A11296" s="2">
        <v>11293</v>
      </c>
      <c r="B11296" s="2" t="s">
        <v>11369</v>
      </c>
      <c r="C11296" s="2" t="str">
        <f>"14664437"</f>
        <v>14664437</v>
      </c>
      <c r="D11296" s="2">
        <v>1.387</v>
      </c>
      <c r="E11296" s="2">
        <v>38</v>
      </c>
      <c r="F11296" s="2" t="s">
        <v>16</v>
      </c>
    </row>
    <row r="11297" spans="1:6" ht="25.5">
      <c r="A11297" s="2">
        <v>11294</v>
      </c>
      <c r="B11297" s="2" t="s">
        <v>11370</v>
      </c>
      <c r="C11297" s="2" t="str">
        <f>"1933169X"</f>
        <v>1933169X</v>
      </c>
      <c r="D11297" s="2">
        <v>0.95599999999999996</v>
      </c>
      <c r="E11297" s="2">
        <v>11</v>
      </c>
      <c r="F11297" s="2" t="s">
        <v>6</v>
      </c>
    </row>
    <row r="11298" spans="1:6" ht="25.5">
      <c r="A11298" s="2">
        <v>11295</v>
      </c>
      <c r="B11298" s="2" t="s">
        <v>11371</v>
      </c>
      <c r="C11298" s="2" t="str">
        <f>"15479714"</f>
        <v>15479714</v>
      </c>
      <c r="D11298" s="2">
        <v>0.115</v>
      </c>
      <c r="E11298" s="2">
        <v>2</v>
      </c>
      <c r="F11298" s="2" t="s">
        <v>6</v>
      </c>
    </row>
    <row r="11299" spans="1:6" ht="25.5">
      <c r="A11299" s="2">
        <v>11296</v>
      </c>
      <c r="B11299" s="2" t="s">
        <v>11372</v>
      </c>
      <c r="C11299" s="2" t="str">
        <f>"17511577"</f>
        <v>17511577</v>
      </c>
      <c r="D11299" s="2">
        <v>3.0750000000000002</v>
      </c>
      <c r="E11299" s="2">
        <v>26</v>
      </c>
      <c r="F11299" s="2" t="s">
        <v>75</v>
      </c>
    </row>
    <row r="11300" spans="1:6" ht="25.5">
      <c r="A11300" s="2">
        <v>11297</v>
      </c>
      <c r="B11300" s="2" t="s">
        <v>11373</v>
      </c>
      <c r="C11300" s="2" t="str">
        <f>"18666892"</f>
        <v>18666892</v>
      </c>
      <c r="D11300" s="2">
        <v>0.56999999999999995</v>
      </c>
      <c r="E11300" s="2">
        <v>27</v>
      </c>
      <c r="F11300" s="2" t="s">
        <v>6</v>
      </c>
    </row>
    <row r="11301" spans="1:6" ht="25.5">
      <c r="A11301" s="2">
        <v>11298</v>
      </c>
      <c r="B11301" s="2" t="s">
        <v>11374</v>
      </c>
      <c r="C11301" s="2" t="str">
        <f>"10760342"</f>
        <v>10760342</v>
      </c>
      <c r="D11301" s="2">
        <v>0.752</v>
      </c>
      <c r="E11301" s="2">
        <v>34</v>
      </c>
      <c r="F11301" s="2" t="s">
        <v>6</v>
      </c>
    </row>
    <row r="11302" spans="1:6" ht="25.5">
      <c r="A11302" s="2">
        <v>11299</v>
      </c>
      <c r="B11302" s="2" t="s">
        <v>11375</v>
      </c>
      <c r="C11302" s="2" t="str">
        <f>"15331458"</f>
        <v>15331458</v>
      </c>
      <c r="D11302" s="2">
        <v>0.249</v>
      </c>
      <c r="E11302" s="2">
        <v>19</v>
      </c>
      <c r="F11302" s="2" t="s">
        <v>6</v>
      </c>
    </row>
    <row r="11303" spans="1:6" ht="25.5">
      <c r="A11303" s="2">
        <v>11300</v>
      </c>
      <c r="B11303" s="2" t="s">
        <v>11376</v>
      </c>
      <c r="C11303" s="2" t="str">
        <f>"15732665"</f>
        <v>15732665</v>
      </c>
      <c r="D11303" s="2">
        <v>0.85599999999999998</v>
      </c>
      <c r="E11303" s="2">
        <v>59</v>
      </c>
      <c r="F11303" s="2" t="s">
        <v>75</v>
      </c>
    </row>
    <row r="11304" spans="1:6" ht="25.5">
      <c r="A11304" s="2">
        <v>11301</v>
      </c>
      <c r="B11304" s="2" t="s">
        <v>11377</v>
      </c>
      <c r="C11304" s="2" t="str">
        <f>"20084072"</f>
        <v>20084072</v>
      </c>
      <c r="D11304" s="2">
        <v>0.17399999999999999</v>
      </c>
      <c r="E11304" s="2">
        <v>3</v>
      </c>
      <c r="F11304" s="2" t="s">
        <v>299</v>
      </c>
    </row>
    <row r="11305" spans="1:6" ht="25.5">
      <c r="A11305" s="2">
        <v>11302</v>
      </c>
      <c r="B11305" s="2" t="s">
        <v>11378</v>
      </c>
      <c r="C11305" s="2" t="str">
        <f>"16628128"</f>
        <v>16628128</v>
      </c>
      <c r="D11305" s="2">
        <v>1.8240000000000001</v>
      </c>
      <c r="E11305" s="2">
        <v>20</v>
      </c>
      <c r="F11305" s="2" t="s">
        <v>31</v>
      </c>
    </row>
    <row r="11306" spans="1:6" ht="25.5">
      <c r="A11306" s="2">
        <v>11303</v>
      </c>
      <c r="B11306" s="2" t="s">
        <v>11379</v>
      </c>
      <c r="C11306" s="2" t="str">
        <f>"17937205"</f>
        <v>17937205</v>
      </c>
      <c r="D11306" s="2">
        <v>0.28299999999999997</v>
      </c>
      <c r="E11306" s="2">
        <v>8</v>
      </c>
      <c r="F11306" s="2" t="s">
        <v>543</v>
      </c>
    </row>
    <row r="11307" spans="1:6" ht="25.5">
      <c r="A11307" s="2">
        <v>11304</v>
      </c>
      <c r="B11307" s="2" t="s">
        <v>11380</v>
      </c>
      <c r="C11307" s="2" t="str">
        <f>"15741451"</f>
        <v>15741451</v>
      </c>
      <c r="D11307" s="2">
        <v>0.39900000000000002</v>
      </c>
      <c r="E11307" s="2">
        <v>26</v>
      </c>
      <c r="F11307" s="2" t="s">
        <v>6</v>
      </c>
    </row>
    <row r="11308" spans="1:6" ht="25.5">
      <c r="A11308" s="2">
        <v>11305</v>
      </c>
      <c r="B11308" s="2" t="s">
        <v>11381</v>
      </c>
      <c r="C11308" s="2" t="str">
        <f>"01620134"</f>
        <v>01620134</v>
      </c>
      <c r="D11308" s="2">
        <v>0.80700000000000005</v>
      </c>
      <c r="E11308" s="2">
        <v>79</v>
      </c>
      <c r="F11308" s="2" t="s">
        <v>6</v>
      </c>
    </row>
    <row r="11309" spans="1:6" ht="25.5">
      <c r="A11309" s="2">
        <v>11306</v>
      </c>
      <c r="B11309" s="2" t="s">
        <v>11382</v>
      </c>
      <c r="C11309" s="2" t="str">
        <f>"15728889"</f>
        <v>15728889</v>
      </c>
      <c r="D11309" s="2">
        <v>0.45600000000000002</v>
      </c>
      <c r="E11309" s="2">
        <v>34</v>
      </c>
      <c r="F11309" s="2" t="s">
        <v>6</v>
      </c>
    </row>
    <row r="11310" spans="1:6" ht="25.5">
      <c r="A11310" s="2">
        <v>11307</v>
      </c>
      <c r="B11310" s="2" t="s">
        <v>11383</v>
      </c>
      <c r="C11310" s="2" t="str">
        <f>"13468073"</f>
        <v>13468073</v>
      </c>
      <c r="D11310" s="2">
        <v>0.28599999999999998</v>
      </c>
      <c r="E11310" s="2">
        <v>11</v>
      </c>
      <c r="F11310" s="2" t="s">
        <v>131</v>
      </c>
    </row>
    <row r="11311" spans="1:6" ht="25.5">
      <c r="A11311" s="2">
        <v>11308</v>
      </c>
      <c r="B11311" s="2" t="s">
        <v>11384</v>
      </c>
      <c r="C11311" s="2" t="str">
        <f>"15729753"</f>
        <v>15729753</v>
      </c>
      <c r="D11311" s="2">
        <v>0.83899999999999997</v>
      </c>
      <c r="E11311" s="2">
        <v>32</v>
      </c>
      <c r="F11311" s="2" t="s">
        <v>75</v>
      </c>
    </row>
    <row r="11312" spans="1:6" ht="25.5">
      <c r="A11312" s="2">
        <v>11309</v>
      </c>
      <c r="B11312" s="2" t="s">
        <v>11385</v>
      </c>
      <c r="C11312" s="2" t="str">
        <f>"00221910"</f>
        <v>00221910</v>
      </c>
      <c r="D11312" s="2">
        <v>0.93799999999999994</v>
      </c>
      <c r="E11312" s="2">
        <v>60</v>
      </c>
      <c r="F11312" s="2" t="s">
        <v>16</v>
      </c>
    </row>
    <row r="11313" spans="1:6" ht="25.5">
      <c r="A11313" s="2">
        <v>11310</v>
      </c>
      <c r="B11313" s="2" t="s">
        <v>11386</v>
      </c>
      <c r="C11313" s="2" t="str">
        <f>"15362442"</f>
        <v>15362442</v>
      </c>
      <c r="D11313" s="2">
        <v>0.35</v>
      </c>
      <c r="E11313" s="2">
        <v>23</v>
      </c>
      <c r="F11313" s="2" t="s">
        <v>6</v>
      </c>
    </row>
    <row r="11314" spans="1:6" ht="25.5">
      <c r="A11314" s="2">
        <v>11311</v>
      </c>
      <c r="B11314" s="2" t="s">
        <v>11387</v>
      </c>
      <c r="C11314" s="2" t="str">
        <f>"19765622"</f>
        <v>19765622</v>
      </c>
      <c r="D11314" s="2">
        <v>0.20200000000000001</v>
      </c>
      <c r="E11314" s="2">
        <v>5</v>
      </c>
      <c r="F11314" s="2" t="s">
        <v>274</v>
      </c>
    </row>
    <row r="11315" spans="1:6" ht="25.5">
      <c r="A11315" s="2">
        <v>11312</v>
      </c>
      <c r="B11315" s="2" t="s">
        <v>11388</v>
      </c>
      <c r="C11315" s="2" t="str">
        <f>"09324569"</f>
        <v>09324569</v>
      </c>
      <c r="D11315" s="2">
        <v>0.255</v>
      </c>
      <c r="E11315" s="2">
        <v>19</v>
      </c>
      <c r="F11315" s="2" t="s">
        <v>12</v>
      </c>
    </row>
    <row r="11316" spans="1:6" ht="25.5">
      <c r="A11316" s="2">
        <v>11313</v>
      </c>
      <c r="B11316" s="2" t="s">
        <v>11389</v>
      </c>
      <c r="C11316" s="2" t="str">
        <f>"17441382"</f>
        <v>17441382</v>
      </c>
      <c r="D11316" s="2">
        <v>1.4890000000000001</v>
      </c>
      <c r="E11316" s="2">
        <v>5</v>
      </c>
      <c r="F11316" s="2" t="s">
        <v>16</v>
      </c>
    </row>
    <row r="11317" spans="1:6" ht="25.5">
      <c r="A11317" s="2">
        <v>11314</v>
      </c>
      <c r="B11317" s="2" t="s">
        <v>11390</v>
      </c>
      <c r="C11317" s="2" t="str">
        <f>"16756061"</f>
        <v>16756061</v>
      </c>
      <c r="D11317" s="2">
        <v>0.11799999999999999</v>
      </c>
      <c r="E11317" s="2">
        <v>2</v>
      </c>
      <c r="F11317" s="2" t="s">
        <v>127</v>
      </c>
    </row>
    <row r="11318" spans="1:6" ht="25.5">
      <c r="A11318" s="2">
        <v>11315</v>
      </c>
      <c r="B11318" s="2" t="s">
        <v>11391</v>
      </c>
      <c r="C11318" s="2" t="str">
        <f>"19429525"</f>
        <v>19429525</v>
      </c>
      <c r="D11318" s="2">
        <v>0.17599999999999999</v>
      </c>
      <c r="E11318" s="2">
        <v>13</v>
      </c>
      <c r="F11318" s="2" t="s">
        <v>6</v>
      </c>
    </row>
    <row r="11319" spans="1:6" ht="25.5">
      <c r="A11319" s="2">
        <v>11316</v>
      </c>
      <c r="B11319" s="2" t="s">
        <v>11392</v>
      </c>
      <c r="C11319" s="2" t="str">
        <f>"17480221"</f>
        <v>17480221</v>
      </c>
      <c r="D11319" s="2">
        <v>0.33</v>
      </c>
      <c r="E11319" s="2">
        <v>21</v>
      </c>
      <c r="F11319" s="2" t="s">
        <v>16</v>
      </c>
    </row>
    <row r="11320" spans="1:6" ht="25.5">
      <c r="A11320" s="2">
        <v>11317</v>
      </c>
      <c r="B11320" s="2" t="s">
        <v>11393</v>
      </c>
      <c r="C11320" s="2" t="str">
        <f>"07436661"</f>
        <v>07436661</v>
      </c>
      <c r="D11320" s="2">
        <v>0.115</v>
      </c>
      <c r="E11320" s="2">
        <v>12</v>
      </c>
      <c r="F11320" s="2" t="s">
        <v>6</v>
      </c>
    </row>
    <row r="11321" spans="1:6" ht="25.5">
      <c r="A11321" s="2">
        <v>11318</v>
      </c>
      <c r="B11321" s="2" t="s">
        <v>11394</v>
      </c>
      <c r="C11321" s="2" t="str">
        <f>"15307638"</f>
        <v>15307638</v>
      </c>
      <c r="D11321" s="2">
        <v>0.23499999999999999</v>
      </c>
      <c r="E11321" s="2">
        <v>13</v>
      </c>
      <c r="F11321" s="2" t="s">
        <v>64</v>
      </c>
    </row>
    <row r="11322" spans="1:6" ht="25.5">
      <c r="A11322" s="2">
        <v>11319</v>
      </c>
      <c r="B11322" s="2" t="s">
        <v>11395</v>
      </c>
      <c r="C11322" s="2" t="str">
        <f>"20428685"</f>
        <v>20428685</v>
      </c>
      <c r="D11322" s="2">
        <v>0.22500000000000001</v>
      </c>
      <c r="E11322" s="2">
        <v>4</v>
      </c>
      <c r="F11322" s="2" t="s">
        <v>16</v>
      </c>
    </row>
    <row r="11323" spans="1:6" ht="25.5">
      <c r="A11323" s="2">
        <v>11320</v>
      </c>
      <c r="B11323" s="2" t="s">
        <v>11396</v>
      </c>
      <c r="C11323" s="2" t="str">
        <f>"18071953"</f>
        <v>18071953</v>
      </c>
      <c r="D11323" s="2">
        <v>0.17</v>
      </c>
      <c r="E11323" s="2">
        <v>4</v>
      </c>
      <c r="F11323" s="2" t="s">
        <v>159</v>
      </c>
    </row>
    <row r="11324" spans="1:6" ht="25.5">
      <c r="A11324" s="2">
        <v>11321</v>
      </c>
      <c r="B11324" s="2" t="s">
        <v>11397</v>
      </c>
      <c r="C11324" s="2" t="str">
        <f>"10920617"</f>
        <v>10920617</v>
      </c>
      <c r="D11324" s="2">
        <v>0.153</v>
      </c>
      <c r="E11324" s="2">
        <v>5</v>
      </c>
      <c r="F11324" s="2" t="s">
        <v>75</v>
      </c>
    </row>
    <row r="11325" spans="1:6" ht="25.5">
      <c r="A11325" s="2">
        <v>11322</v>
      </c>
      <c r="B11325" s="2" t="s">
        <v>11398</v>
      </c>
      <c r="C11325" s="2" t="str">
        <f>"20953119"</f>
        <v>20953119</v>
      </c>
      <c r="D11325" s="2">
        <v>0.26</v>
      </c>
      <c r="E11325" s="2">
        <v>12</v>
      </c>
      <c r="F11325" s="2" t="s">
        <v>75</v>
      </c>
    </row>
    <row r="11326" spans="1:6" ht="25.5">
      <c r="A11326" s="2">
        <v>11323</v>
      </c>
      <c r="B11326" s="2" t="s">
        <v>11399</v>
      </c>
      <c r="C11326" s="2" t="str">
        <f>"16134516"</f>
        <v>16134516</v>
      </c>
      <c r="D11326" s="2">
        <v>0.42599999999999999</v>
      </c>
      <c r="E11326" s="2">
        <v>6</v>
      </c>
      <c r="F11326" s="2" t="s">
        <v>12</v>
      </c>
    </row>
    <row r="11327" spans="1:6" ht="25.5">
      <c r="A11327" s="2">
        <v>11324</v>
      </c>
      <c r="B11327" s="2" t="s">
        <v>11400</v>
      </c>
      <c r="C11327" s="2" t="str">
        <f>"02196352"</f>
        <v>02196352</v>
      </c>
      <c r="D11327" s="2">
        <v>0.439</v>
      </c>
      <c r="E11327" s="2">
        <v>19</v>
      </c>
      <c r="F11327" s="2" t="s">
        <v>543</v>
      </c>
    </row>
    <row r="11328" spans="1:6" ht="25.5">
      <c r="A11328" s="2">
        <v>11325</v>
      </c>
      <c r="B11328" s="2" t="s">
        <v>11401</v>
      </c>
      <c r="C11328" s="2" t="str">
        <f>"17447909"</f>
        <v>17447909</v>
      </c>
      <c r="D11328" s="2">
        <v>1.093</v>
      </c>
      <c r="E11328" s="2">
        <v>27</v>
      </c>
      <c r="F11328" s="2" t="s">
        <v>16</v>
      </c>
    </row>
    <row r="11329" spans="1:6" ht="25.5">
      <c r="A11329" s="2">
        <v>11326</v>
      </c>
      <c r="B11329" s="2" t="s">
        <v>11402</v>
      </c>
      <c r="C11329" s="2" t="str">
        <f>"14699532"</f>
        <v>14699532</v>
      </c>
      <c r="D11329" s="2">
        <v>0.64200000000000002</v>
      </c>
      <c r="E11329" s="2">
        <v>29</v>
      </c>
      <c r="F11329" s="2" t="s">
        <v>16</v>
      </c>
    </row>
    <row r="11330" spans="1:6" ht="25.5">
      <c r="A11330" s="2">
        <v>11327</v>
      </c>
      <c r="B11330" s="2" t="s">
        <v>11403</v>
      </c>
      <c r="C11330" s="2" t="str">
        <f>"14691930"</f>
        <v>14691930</v>
      </c>
      <c r="D11330" s="2">
        <v>0.48299999999999998</v>
      </c>
      <c r="E11330" s="2">
        <v>22</v>
      </c>
      <c r="F11330" s="2" t="s">
        <v>16</v>
      </c>
    </row>
    <row r="11331" spans="1:6" ht="25.5">
      <c r="A11331" s="2">
        <v>11328</v>
      </c>
      <c r="B11331" s="2" t="s">
        <v>11404</v>
      </c>
      <c r="C11331" s="2" t="str">
        <f>"17446309"</f>
        <v>17446309</v>
      </c>
      <c r="D11331" s="2">
        <v>0.222</v>
      </c>
      <c r="E11331" s="2">
        <v>37</v>
      </c>
      <c r="F11331" s="2" t="s">
        <v>16</v>
      </c>
    </row>
    <row r="11332" spans="1:6" ht="25.5">
      <c r="A11332" s="2">
        <v>11329</v>
      </c>
      <c r="B11332" s="2" t="s">
        <v>11405</v>
      </c>
      <c r="C11332" s="2" t="str">
        <f>"13652788"</f>
        <v>13652788</v>
      </c>
      <c r="D11332" s="2">
        <v>0.77900000000000003</v>
      </c>
      <c r="E11332" s="2">
        <v>56</v>
      </c>
      <c r="F11332" s="2" t="s">
        <v>16</v>
      </c>
    </row>
    <row r="11333" spans="1:6" ht="25.5">
      <c r="A11333" s="2">
        <v>11330</v>
      </c>
      <c r="B11333" s="2" t="s">
        <v>11406</v>
      </c>
      <c r="C11333" s="2" t="str">
        <f>"15599493"</f>
        <v>15599493</v>
      </c>
      <c r="D11333" s="2">
        <v>0.13100000000000001</v>
      </c>
      <c r="E11333" s="2">
        <v>2</v>
      </c>
      <c r="F11333" s="2" t="s">
        <v>6</v>
      </c>
    </row>
    <row r="11334" spans="1:6" ht="25.5">
      <c r="A11334" s="2">
        <v>11331</v>
      </c>
      <c r="B11334" s="2" t="s">
        <v>11407</v>
      </c>
      <c r="C11334" s="2" t="str">
        <f>"10641246"</f>
        <v>10641246</v>
      </c>
      <c r="D11334" s="2">
        <v>0.44</v>
      </c>
      <c r="E11334" s="2">
        <v>20</v>
      </c>
      <c r="F11334" s="2" t="s">
        <v>75</v>
      </c>
    </row>
    <row r="11335" spans="1:6" ht="25.5">
      <c r="A11335" s="2">
        <v>11332</v>
      </c>
      <c r="B11335" s="2" t="s">
        <v>11408</v>
      </c>
      <c r="C11335" s="2" t="str">
        <f>"15730409"</f>
        <v>15730409</v>
      </c>
      <c r="D11335" s="2">
        <v>1.0229999999999999</v>
      </c>
      <c r="E11335" s="2">
        <v>31</v>
      </c>
      <c r="F11335" s="2" t="s">
        <v>75</v>
      </c>
    </row>
    <row r="11336" spans="1:6" ht="25.5">
      <c r="A11336" s="2">
        <v>11333</v>
      </c>
      <c r="B11336" s="2" t="s">
        <v>11409</v>
      </c>
      <c r="C11336" s="2" t="str">
        <f>"15737675"</f>
        <v>15737675</v>
      </c>
      <c r="D11336" s="2">
        <v>0.84499999999999997</v>
      </c>
      <c r="E11336" s="2">
        <v>34</v>
      </c>
      <c r="F11336" s="2" t="s">
        <v>75</v>
      </c>
    </row>
    <row r="11337" spans="1:6" ht="25.5">
      <c r="A11337" s="2">
        <v>11334</v>
      </c>
      <c r="B11337" s="2" t="s">
        <v>11410</v>
      </c>
      <c r="C11337" s="2" t="str">
        <f>"15728145"</f>
        <v>15728145</v>
      </c>
      <c r="D11337" s="2">
        <v>0.90900000000000003</v>
      </c>
      <c r="E11337" s="2">
        <v>40</v>
      </c>
      <c r="F11337" s="2" t="s">
        <v>75</v>
      </c>
    </row>
    <row r="11338" spans="1:6" ht="25.5">
      <c r="A11338" s="2">
        <v>11335</v>
      </c>
      <c r="B11338" s="2" t="s">
        <v>11411</v>
      </c>
      <c r="C11338" s="2" t="str">
        <f>"1045389X"</f>
        <v>1045389X</v>
      </c>
      <c r="D11338" s="2">
        <v>0.93300000000000005</v>
      </c>
      <c r="E11338" s="2">
        <v>56</v>
      </c>
      <c r="F11338" s="2" t="s">
        <v>16</v>
      </c>
    </row>
    <row r="11339" spans="1:6" ht="25.5">
      <c r="A11339" s="2">
        <v>11336</v>
      </c>
      <c r="B11339" s="2" t="s">
        <v>11412</v>
      </c>
      <c r="C11339" s="2" t="str">
        <f>"03341860"</f>
        <v>03341860</v>
      </c>
      <c r="D11339" s="2">
        <v>0.22500000000000001</v>
      </c>
      <c r="E11339" s="2">
        <v>9</v>
      </c>
      <c r="F11339" s="2" t="s">
        <v>2065</v>
      </c>
    </row>
    <row r="11340" spans="1:6" ht="25.5">
      <c r="A11340" s="2">
        <v>11337</v>
      </c>
      <c r="B11340" s="2" t="s">
        <v>11413</v>
      </c>
      <c r="C11340" s="2" t="str">
        <f>"15472450"</f>
        <v>15472450</v>
      </c>
      <c r="D11340" s="2">
        <v>0.83899999999999997</v>
      </c>
      <c r="E11340" s="2">
        <v>17</v>
      </c>
      <c r="F11340" s="2" t="s">
        <v>16</v>
      </c>
    </row>
    <row r="11341" spans="1:6" ht="25.5">
      <c r="A11341" s="2">
        <v>11338</v>
      </c>
      <c r="B11341" s="2" t="s">
        <v>11414</v>
      </c>
      <c r="C11341" s="2" t="str">
        <f>"15251489"</f>
        <v>15251489</v>
      </c>
      <c r="D11341" s="2">
        <v>0.76</v>
      </c>
      <c r="E11341" s="2">
        <v>33</v>
      </c>
      <c r="F11341" s="2" t="s">
        <v>6</v>
      </c>
    </row>
    <row r="11342" spans="1:6" ht="25.5">
      <c r="A11342" s="2">
        <v>11339</v>
      </c>
      <c r="B11342" s="2" t="s">
        <v>11415</v>
      </c>
      <c r="C11342" s="2" t="str">
        <f>"1093023X"</f>
        <v>1093023X</v>
      </c>
      <c r="D11342" s="2">
        <v>0.38</v>
      </c>
      <c r="E11342" s="2">
        <v>11</v>
      </c>
      <c r="F11342" s="2" t="s">
        <v>6</v>
      </c>
    </row>
    <row r="11343" spans="1:6" ht="25.5">
      <c r="A11343" s="2">
        <v>11340</v>
      </c>
      <c r="B11343" s="2" t="s">
        <v>11416</v>
      </c>
      <c r="C11343" s="2" t="str">
        <f>"15206653"</f>
        <v>15206653</v>
      </c>
      <c r="D11343" s="2">
        <v>1.4339999999999999</v>
      </c>
      <c r="E11343" s="2">
        <v>48</v>
      </c>
      <c r="F11343" s="2" t="s">
        <v>16</v>
      </c>
    </row>
    <row r="11344" spans="1:6" ht="25.5">
      <c r="A11344" s="2">
        <v>11341</v>
      </c>
      <c r="B11344" s="2" t="s">
        <v>11417</v>
      </c>
      <c r="C11344" s="2" t="str">
        <f>"15414914"</f>
        <v>15414914</v>
      </c>
      <c r="D11344" s="2">
        <v>0.67600000000000005</v>
      </c>
      <c r="E11344" s="2">
        <v>13</v>
      </c>
      <c r="F11344" s="2" t="s">
        <v>6</v>
      </c>
    </row>
    <row r="11345" spans="1:6" ht="25.5">
      <c r="A11345" s="2">
        <v>11342</v>
      </c>
      <c r="B11345" s="2" t="s">
        <v>11418</v>
      </c>
      <c r="C11345" s="2" t="str">
        <f>"17936713"</f>
        <v>17936713</v>
      </c>
      <c r="D11345" s="2">
        <v>0.25800000000000001</v>
      </c>
      <c r="E11345" s="2">
        <v>5</v>
      </c>
      <c r="F11345" s="2" t="s">
        <v>543</v>
      </c>
    </row>
    <row r="11346" spans="1:6" ht="25.5">
      <c r="A11346" s="2">
        <v>11343</v>
      </c>
      <c r="B11346" s="2" t="s">
        <v>11419</v>
      </c>
      <c r="C11346" s="2" t="str">
        <f>"17475759"</f>
        <v>17475759</v>
      </c>
      <c r="D11346" s="2">
        <v>0.30599999999999999</v>
      </c>
      <c r="E11346" s="2">
        <v>3</v>
      </c>
      <c r="F11346" s="2" t="s">
        <v>16</v>
      </c>
    </row>
    <row r="11347" spans="1:6" ht="25.5">
      <c r="A11347" s="2">
        <v>11344</v>
      </c>
      <c r="B11347" s="2" t="s">
        <v>11420</v>
      </c>
      <c r="C11347" s="2" t="str">
        <f>"14699540"</f>
        <v>14699540</v>
      </c>
      <c r="D11347" s="2">
        <v>0.20899999999999999</v>
      </c>
      <c r="E11347" s="2">
        <v>9</v>
      </c>
      <c r="F11347" s="2" t="s">
        <v>16</v>
      </c>
    </row>
    <row r="11348" spans="1:6" ht="25.5">
      <c r="A11348" s="2">
        <v>11345</v>
      </c>
      <c r="B11348" s="2" t="s">
        <v>11421</v>
      </c>
      <c r="C11348" s="2" t="str">
        <f>"02601079"</f>
        <v>02601079</v>
      </c>
      <c r="D11348" s="2">
        <v>0.11</v>
      </c>
      <c r="E11348" s="2">
        <v>3</v>
      </c>
      <c r="F11348" s="2" t="s">
        <v>16</v>
      </c>
    </row>
    <row r="11349" spans="1:6" ht="25.5">
      <c r="A11349" s="2">
        <v>11346</v>
      </c>
      <c r="B11349" s="2" t="s">
        <v>11422</v>
      </c>
      <c r="C11349" s="2" t="str">
        <f>"15309169"</f>
        <v>15309169</v>
      </c>
      <c r="D11349" s="2">
        <v>0.27</v>
      </c>
      <c r="E11349" s="2">
        <v>12</v>
      </c>
      <c r="F11349" s="2" t="s">
        <v>6</v>
      </c>
    </row>
    <row r="11350" spans="1:6" ht="25.5">
      <c r="A11350" s="2">
        <v>11347</v>
      </c>
      <c r="B11350" s="2" t="s">
        <v>11423</v>
      </c>
      <c r="C11350" s="2" t="str">
        <f>"09720502"</f>
        <v>09720502</v>
      </c>
      <c r="D11350" s="2">
        <v>0.158</v>
      </c>
      <c r="E11350" s="2">
        <v>2</v>
      </c>
      <c r="F11350" s="2" t="s">
        <v>488</v>
      </c>
    </row>
    <row r="11351" spans="1:6" ht="25.5">
      <c r="A11351" s="2">
        <v>11348</v>
      </c>
      <c r="B11351" s="2" t="s">
        <v>11424</v>
      </c>
      <c r="C11351" s="2" t="str">
        <f>"10799907"</f>
        <v>10799907</v>
      </c>
      <c r="D11351" s="2">
        <v>1.39</v>
      </c>
      <c r="E11351" s="2">
        <v>66</v>
      </c>
      <c r="F11351" s="2" t="s">
        <v>6</v>
      </c>
    </row>
    <row r="11352" spans="1:6" ht="25.5">
      <c r="A11352" s="2">
        <v>11349</v>
      </c>
      <c r="B11352" s="2" t="s">
        <v>11425</v>
      </c>
      <c r="C11352" s="2" t="str">
        <f>"15350770"</f>
        <v>15350770</v>
      </c>
      <c r="D11352" s="2">
        <v>0.19500000000000001</v>
      </c>
      <c r="E11352" s="2">
        <v>5</v>
      </c>
      <c r="F11352" s="2" t="s">
        <v>16</v>
      </c>
    </row>
    <row r="11353" spans="1:6" ht="25.5">
      <c r="A11353" s="2">
        <v>11350</v>
      </c>
      <c r="B11353" s="2" t="s">
        <v>11426</v>
      </c>
      <c r="C11353" s="2" t="str">
        <f>"15403572"</f>
        <v>15403572</v>
      </c>
      <c r="D11353" s="2">
        <v>0.71799999999999997</v>
      </c>
      <c r="E11353" s="2">
        <v>6</v>
      </c>
      <c r="F11353" s="2" t="s">
        <v>16</v>
      </c>
    </row>
    <row r="11354" spans="1:6" ht="25.5">
      <c r="A11354" s="2">
        <v>11351</v>
      </c>
      <c r="B11354" s="2" t="s">
        <v>11427</v>
      </c>
      <c r="C11354" s="2" t="str">
        <f>"13652796"</f>
        <v>13652796</v>
      </c>
      <c r="D11354" s="2">
        <v>1.8440000000000001</v>
      </c>
      <c r="E11354" s="2">
        <v>101</v>
      </c>
      <c r="F11354" s="2" t="s">
        <v>16</v>
      </c>
    </row>
    <row r="11355" spans="1:6" ht="25.5">
      <c r="A11355" s="2">
        <v>11352</v>
      </c>
      <c r="B11355" s="2" t="s">
        <v>11428</v>
      </c>
      <c r="C11355" s="2" t="str">
        <f>"10167390"</f>
        <v>10167390</v>
      </c>
      <c r="D11355" s="2">
        <v>0.10199999999999999</v>
      </c>
      <c r="E11355" s="2">
        <v>4</v>
      </c>
      <c r="F11355" s="2" t="s">
        <v>165</v>
      </c>
    </row>
    <row r="11356" spans="1:6" ht="25.5">
      <c r="A11356" s="2">
        <v>11353</v>
      </c>
      <c r="B11356" s="2" t="s">
        <v>11429</v>
      </c>
      <c r="C11356" s="2" t="str">
        <f>"10619518"</f>
        <v>10619518</v>
      </c>
      <c r="D11356" s="2">
        <v>0.439</v>
      </c>
      <c r="E11356" s="2">
        <v>17</v>
      </c>
      <c r="F11356" s="2" t="s">
        <v>75</v>
      </c>
    </row>
    <row r="11357" spans="1:6" ht="25.5">
      <c r="A11357" s="2">
        <v>11354</v>
      </c>
      <c r="B11357" s="2" t="s">
        <v>11430</v>
      </c>
      <c r="C11357" s="2" t="str">
        <f>"15588025"</f>
        <v>15588025</v>
      </c>
      <c r="D11357" s="2">
        <v>0.37</v>
      </c>
      <c r="E11357" s="2">
        <v>4</v>
      </c>
      <c r="F11357" s="2" t="s">
        <v>6</v>
      </c>
    </row>
    <row r="11358" spans="1:6" ht="25.5">
      <c r="A11358" s="2">
        <v>11355</v>
      </c>
      <c r="B11358" s="2" t="s">
        <v>11431</v>
      </c>
      <c r="C11358" s="2" t="str">
        <f>"13087649"</f>
        <v>13087649</v>
      </c>
      <c r="D11358" s="2">
        <v>0.216</v>
      </c>
      <c r="E11358" s="2">
        <v>3</v>
      </c>
      <c r="F11358" s="2" t="s">
        <v>345</v>
      </c>
    </row>
    <row r="11359" spans="1:6" ht="25.5">
      <c r="A11359" s="2">
        <v>11356</v>
      </c>
      <c r="B11359" s="2" t="s">
        <v>11432</v>
      </c>
      <c r="C11359" s="2" t="str">
        <f>"10770755"</f>
        <v>10770755</v>
      </c>
      <c r="D11359" s="2">
        <v>0.19600000000000001</v>
      </c>
      <c r="E11359" s="2">
        <v>3</v>
      </c>
      <c r="F11359" s="2" t="s">
        <v>6</v>
      </c>
    </row>
    <row r="11360" spans="1:6" ht="25.5">
      <c r="A11360" s="2">
        <v>11357</v>
      </c>
      <c r="B11360" s="2" t="s">
        <v>11433</v>
      </c>
      <c r="C11360" s="2" t="str">
        <f>"14786990"</f>
        <v>14786990</v>
      </c>
      <c r="D11360" s="2">
        <v>3.278</v>
      </c>
      <c r="E11360" s="2">
        <v>94</v>
      </c>
      <c r="F11360" s="2" t="s">
        <v>16</v>
      </c>
    </row>
    <row r="11361" spans="1:6" ht="25.5">
      <c r="A11361" s="2">
        <v>11358</v>
      </c>
      <c r="B11361" s="2" t="s">
        <v>11434</v>
      </c>
      <c r="C11361" s="2" t="str">
        <f>"19018401"</f>
        <v>19018401</v>
      </c>
      <c r="D11361" s="2">
        <v>0.11</v>
      </c>
      <c r="E11361" s="2">
        <v>4</v>
      </c>
      <c r="F11361" s="2" t="s">
        <v>163</v>
      </c>
    </row>
    <row r="11362" spans="1:6" ht="25.5">
      <c r="A11362" s="2">
        <v>11359</v>
      </c>
      <c r="B11362" s="2" t="s">
        <v>11435</v>
      </c>
      <c r="C11362" s="2" t="str">
        <f>"15287068"</f>
        <v>15287068</v>
      </c>
      <c r="D11362" s="2">
        <v>0.39200000000000002</v>
      </c>
      <c r="E11362" s="2">
        <v>8</v>
      </c>
      <c r="F11362" s="2" t="s">
        <v>16</v>
      </c>
    </row>
    <row r="11363" spans="1:6" ht="25.5">
      <c r="A11363" s="2">
        <v>11360</v>
      </c>
      <c r="B11363" s="2" t="s">
        <v>11436</v>
      </c>
      <c r="C11363" s="2" t="str">
        <f>"14781395"</f>
        <v>14781395</v>
      </c>
      <c r="D11363" s="2">
        <v>0.80600000000000005</v>
      </c>
      <c r="E11363" s="2">
        <v>12</v>
      </c>
      <c r="F11363" s="2" t="s">
        <v>16</v>
      </c>
    </row>
    <row r="11364" spans="1:6" ht="25.5">
      <c r="A11364" s="2">
        <v>11361</v>
      </c>
      <c r="B11364" s="2" t="s">
        <v>11437</v>
      </c>
      <c r="C11364" s="2" t="str">
        <f>"1309100X"</f>
        <v>1309100X</v>
      </c>
      <c r="D11364" s="2">
        <v>0.125</v>
      </c>
      <c r="E11364" s="2">
        <v>4</v>
      </c>
      <c r="F11364" s="2" t="s">
        <v>345</v>
      </c>
    </row>
    <row r="11365" spans="1:6" ht="25.5">
      <c r="A11365" s="2">
        <v>11362</v>
      </c>
      <c r="B11365" s="2" t="s">
        <v>11438</v>
      </c>
      <c r="C11365" s="2" t="str">
        <f>"10991328"</f>
        <v>10991328</v>
      </c>
      <c r="D11365" s="2">
        <v>0.50700000000000001</v>
      </c>
      <c r="E11365" s="2">
        <v>30</v>
      </c>
      <c r="F11365" s="2" t="s">
        <v>16</v>
      </c>
    </row>
    <row r="11366" spans="1:6" ht="25.5">
      <c r="A11366" s="2">
        <v>11363</v>
      </c>
      <c r="B11366" s="2" t="s">
        <v>11439</v>
      </c>
      <c r="C11366" s="2" t="str">
        <f>"14643758"</f>
        <v>14643758</v>
      </c>
      <c r="D11366" s="2">
        <v>0.56100000000000005</v>
      </c>
      <c r="E11366" s="2">
        <v>16</v>
      </c>
      <c r="F11366" s="2" t="s">
        <v>16</v>
      </c>
    </row>
    <row r="11367" spans="1:6" ht="25.5">
      <c r="A11367" s="2">
        <v>11364</v>
      </c>
      <c r="B11367" s="2" t="s">
        <v>11440</v>
      </c>
      <c r="C11367" s="2" t="str">
        <f>"00221996"</f>
        <v>00221996</v>
      </c>
      <c r="D11367" s="2">
        <v>4.1079999999999997</v>
      </c>
      <c r="E11367" s="2">
        <v>73</v>
      </c>
      <c r="F11367" s="2" t="s">
        <v>75</v>
      </c>
    </row>
    <row r="11368" spans="1:6" ht="25.5">
      <c r="A11368" s="2">
        <v>11365</v>
      </c>
      <c r="B11368" s="2" t="s">
        <v>11441</v>
      </c>
      <c r="C11368" s="2" t="str">
        <f>"15707385"</f>
        <v>15707385</v>
      </c>
      <c r="D11368" s="2">
        <v>0.67900000000000005</v>
      </c>
      <c r="E11368" s="2">
        <v>14</v>
      </c>
      <c r="F11368" s="2" t="s">
        <v>75</v>
      </c>
    </row>
    <row r="11369" spans="1:6" ht="25.5">
      <c r="A11369" s="2">
        <v>11366</v>
      </c>
      <c r="B11369" s="2" t="s">
        <v>11442</v>
      </c>
      <c r="C11369" s="2" t="str">
        <f>"1467646X"</f>
        <v>1467646X</v>
      </c>
      <c r="D11369" s="2">
        <v>0.33900000000000002</v>
      </c>
      <c r="E11369" s="2">
        <v>17</v>
      </c>
      <c r="F11369" s="2" t="s">
        <v>16</v>
      </c>
    </row>
    <row r="11370" spans="1:6" ht="25.5">
      <c r="A11370" s="2">
        <v>11367</v>
      </c>
      <c r="B11370" s="2" t="s">
        <v>11443</v>
      </c>
      <c r="C11370" s="2" t="str">
        <f>"10424431"</f>
        <v>10424431</v>
      </c>
      <c r="D11370" s="2">
        <v>0.42799999999999999</v>
      </c>
      <c r="E11370" s="2">
        <v>23</v>
      </c>
      <c r="F11370" s="2" t="s">
        <v>75</v>
      </c>
    </row>
    <row r="11371" spans="1:6" ht="25.5">
      <c r="A11371" s="2">
        <v>11368</v>
      </c>
      <c r="B11371" s="2" t="s">
        <v>11444</v>
      </c>
      <c r="C11371" s="2" t="str">
        <f>"15286983"</f>
        <v>15286983</v>
      </c>
      <c r="D11371" s="2">
        <v>0.45</v>
      </c>
      <c r="E11371" s="2">
        <v>10</v>
      </c>
      <c r="F11371" s="2" t="s">
        <v>16</v>
      </c>
    </row>
    <row r="11372" spans="1:6" ht="25.5">
      <c r="A11372" s="2">
        <v>11369</v>
      </c>
      <c r="B11372" s="2" t="s">
        <v>11445</v>
      </c>
      <c r="C11372" s="2" t="str">
        <f>"10754253"</f>
        <v>10754253</v>
      </c>
      <c r="D11372" s="2">
        <v>1.5920000000000001</v>
      </c>
      <c r="E11372" s="2">
        <v>29</v>
      </c>
      <c r="F11372" s="2" t="s">
        <v>6</v>
      </c>
    </row>
    <row r="11373" spans="1:6" ht="25.5">
      <c r="A11373" s="2">
        <v>11370</v>
      </c>
      <c r="B11373" s="2" t="s">
        <v>11446</v>
      </c>
      <c r="C11373" s="2" t="str">
        <f>"15477215"</f>
        <v>15477215</v>
      </c>
      <c r="D11373" s="2">
        <v>1.6679999999999999</v>
      </c>
      <c r="E11373" s="2">
        <v>42</v>
      </c>
      <c r="F11373" s="2" t="s">
        <v>6</v>
      </c>
    </row>
    <row r="11374" spans="1:6" ht="25.5">
      <c r="A11374" s="2">
        <v>11371</v>
      </c>
      <c r="B11374" s="2" t="s">
        <v>11447</v>
      </c>
      <c r="C11374" s="2" t="str">
        <f>"03000605"</f>
        <v>03000605</v>
      </c>
      <c r="D11374" s="2">
        <v>0.378</v>
      </c>
      <c r="E11374" s="2">
        <v>34</v>
      </c>
      <c r="F11374" s="2" t="s">
        <v>16</v>
      </c>
    </row>
    <row r="11375" spans="1:6" ht="25.5">
      <c r="A11375" s="2">
        <v>11372</v>
      </c>
      <c r="B11375" s="2" t="s">
        <v>11448</v>
      </c>
      <c r="C11375" s="2" t="str">
        <f>"14883473"</f>
        <v>14883473</v>
      </c>
      <c r="D11375" s="2">
        <v>0.26400000000000001</v>
      </c>
      <c r="E11375" s="2">
        <v>6</v>
      </c>
      <c r="F11375" s="2" t="s">
        <v>75</v>
      </c>
    </row>
    <row r="11376" spans="1:6" ht="25.5">
      <c r="A11376" s="2">
        <v>11373</v>
      </c>
      <c r="B11376" s="2" t="s">
        <v>11449</v>
      </c>
      <c r="C11376" s="2" t="str">
        <f>"02615606"</f>
        <v>02615606</v>
      </c>
      <c r="D11376" s="2">
        <v>1.1879999999999999</v>
      </c>
      <c r="E11376" s="2">
        <v>48</v>
      </c>
      <c r="F11376" s="2" t="s">
        <v>75</v>
      </c>
    </row>
    <row r="11377" spans="1:6" ht="25.5">
      <c r="A11377" s="2">
        <v>11374</v>
      </c>
      <c r="B11377" s="2" t="s">
        <v>11450</v>
      </c>
      <c r="C11377" s="2" t="str">
        <f>"16740440"</f>
        <v>16740440</v>
      </c>
      <c r="D11377" s="2">
        <v>0.13300000000000001</v>
      </c>
      <c r="E11377" s="2">
        <v>4</v>
      </c>
      <c r="F11377" s="2" t="s">
        <v>46</v>
      </c>
    </row>
    <row r="11378" spans="1:6" ht="25.5">
      <c r="A11378" s="2">
        <v>11375</v>
      </c>
      <c r="B11378" s="2" t="s">
        <v>11451</v>
      </c>
      <c r="C11378" s="2" t="str">
        <f>"15811980"</f>
        <v>15811980</v>
      </c>
      <c r="D11378" s="2">
        <v>0.31</v>
      </c>
      <c r="E11378" s="2">
        <v>14</v>
      </c>
      <c r="F11378" s="2" t="s">
        <v>16</v>
      </c>
    </row>
    <row r="11379" spans="1:6" ht="25.5">
      <c r="A11379" s="2">
        <v>11376</v>
      </c>
      <c r="B11379" s="2" t="s">
        <v>11452</v>
      </c>
      <c r="C11379" s="2" t="str">
        <f>"14699559"</f>
        <v>14699559</v>
      </c>
      <c r="D11379" s="2">
        <v>0.23200000000000001</v>
      </c>
      <c r="E11379" s="2">
        <v>15</v>
      </c>
      <c r="F11379" s="2" t="s">
        <v>6</v>
      </c>
    </row>
    <row r="11380" spans="1:6" ht="25.5">
      <c r="A11380" s="2">
        <v>11377</v>
      </c>
      <c r="B11380" s="2" t="s">
        <v>11453</v>
      </c>
      <c r="C11380" s="2" t="str">
        <f>"14770024"</f>
        <v>14770024</v>
      </c>
      <c r="D11380" s="2">
        <v>0.13300000000000001</v>
      </c>
      <c r="E11380" s="2">
        <v>1</v>
      </c>
      <c r="F11380" s="2" t="s">
        <v>16</v>
      </c>
    </row>
    <row r="11381" spans="1:6" ht="25.5">
      <c r="A11381" s="2">
        <v>11378</v>
      </c>
      <c r="B11381" s="2" t="s">
        <v>11454</v>
      </c>
      <c r="C11381" s="2" t="str">
        <f>"15481476"</f>
        <v>15481476</v>
      </c>
      <c r="D11381" s="2">
        <v>0.23300000000000001</v>
      </c>
      <c r="E11381" s="2">
        <v>7</v>
      </c>
      <c r="F11381" s="2" t="s">
        <v>16</v>
      </c>
    </row>
    <row r="11382" spans="1:6" ht="25.5">
      <c r="A11382" s="2">
        <v>11379</v>
      </c>
      <c r="B11382" s="2" t="s">
        <v>11455</v>
      </c>
      <c r="C11382" s="2" t="str">
        <f>"15398706"</f>
        <v>15398706</v>
      </c>
      <c r="D11382" s="2">
        <v>0.26700000000000002</v>
      </c>
      <c r="E11382" s="2">
        <v>8</v>
      </c>
      <c r="F11382" s="2" t="s">
        <v>6</v>
      </c>
    </row>
    <row r="11383" spans="1:6" ht="25.5">
      <c r="A11383" s="2">
        <v>11380</v>
      </c>
      <c r="B11383" s="2" t="s">
        <v>11456</v>
      </c>
      <c r="C11383" s="2" t="str">
        <f>"12045357"</f>
        <v>12045357</v>
      </c>
      <c r="D11383" s="2">
        <v>0.26400000000000001</v>
      </c>
      <c r="E11383" s="2">
        <v>5</v>
      </c>
      <c r="F11383" s="2" t="s">
        <v>64</v>
      </c>
    </row>
    <row r="11384" spans="1:6" ht="25.5">
      <c r="A11384" s="2">
        <v>11381</v>
      </c>
      <c r="B11384" s="2" t="s">
        <v>11457</v>
      </c>
      <c r="C11384" s="2" t="str">
        <f>"1533287X"</f>
        <v>1533287X</v>
      </c>
      <c r="D11384" s="2">
        <v>0.23699999999999999</v>
      </c>
      <c r="E11384" s="2">
        <v>8</v>
      </c>
      <c r="F11384" s="2" t="s">
        <v>16</v>
      </c>
    </row>
    <row r="11385" spans="1:6" ht="25.5">
      <c r="A11385" s="2">
        <v>11382</v>
      </c>
      <c r="B11385" s="2" t="s">
        <v>11458</v>
      </c>
      <c r="C11385" s="2" t="str">
        <f>"18690238"</f>
        <v>18690238</v>
      </c>
      <c r="D11385" s="2">
        <v>0.97199999999999998</v>
      </c>
      <c r="E11385" s="2">
        <v>5</v>
      </c>
      <c r="F11385" s="2" t="s">
        <v>16</v>
      </c>
    </row>
    <row r="11386" spans="1:6" ht="25.5">
      <c r="A11386" s="2">
        <v>11383</v>
      </c>
      <c r="B11386" s="2" t="s">
        <v>11459</v>
      </c>
      <c r="C11386" s="2" t="str">
        <f>"16079264"</f>
        <v>16079264</v>
      </c>
      <c r="D11386" s="2">
        <v>0.29799999999999999</v>
      </c>
      <c r="E11386" s="2">
        <v>7</v>
      </c>
      <c r="F11386" s="2" t="s">
        <v>165</v>
      </c>
    </row>
    <row r="11387" spans="1:6" ht="25.5">
      <c r="A11387" s="2">
        <v>11384</v>
      </c>
      <c r="B11387" s="2" t="s">
        <v>11460</v>
      </c>
      <c r="C11387" s="2" t="str">
        <f>"08862605"</f>
        <v>08862605</v>
      </c>
      <c r="D11387" s="2">
        <v>0.874</v>
      </c>
      <c r="E11387" s="2">
        <v>58</v>
      </c>
      <c r="F11387" s="2" t="s">
        <v>6</v>
      </c>
    </row>
    <row r="11388" spans="1:6" ht="25.5">
      <c r="A11388" s="2">
        <v>11385</v>
      </c>
      <c r="B11388" s="2" t="s">
        <v>11461</v>
      </c>
      <c r="C11388" s="2" t="str">
        <f>"14699567"</f>
        <v>14699567</v>
      </c>
      <c r="D11388" s="2">
        <v>0.71699999999999997</v>
      </c>
      <c r="E11388" s="2">
        <v>35</v>
      </c>
      <c r="F11388" s="2" t="s">
        <v>16</v>
      </c>
    </row>
    <row r="11389" spans="1:6" ht="25.5">
      <c r="A11389" s="2">
        <v>11386</v>
      </c>
      <c r="B11389" s="2" t="s">
        <v>11462</v>
      </c>
      <c r="C11389" s="2" t="str">
        <f>"1383875X"</f>
        <v>1383875X</v>
      </c>
      <c r="D11389" s="2">
        <v>0.74099999999999999</v>
      </c>
      <c r="E11389" s="2">
        <v>35</v>
      </c>
      <c r="F11389" s="2" t="s">
        <v>75</v>
      </c>
    </row>
    <row r="11390" spans="1:6" ht="25.5">
      <c r="A11390" s="2">
        <v>11387</v>
      </c>
      <c r="B11390" s="2" t="s">
        <v>11463</v>
      </c>
      <c r="C11390" s="2" t="str">
        <f>"15408183"</f>
        <v>15408183</v>
      </c>
      <c r="D11390" s="2">
        <v>0.68200000000000005</v>
      </c>
      <c r="E11390" s="2">
        <v>34</v>
      </c>
      <c r="F11390" s="2" t="s">
        <v>16</v>
      </c>
    </row>
    <row r="11391" spans="1:6" ht="25.5">
      <c r="A11391" s="2">
        <v>11388</v>
      </c>
      <c r="B11391" s="2" t="s">
        <v>11464</v>
      </c>
      <c r="C11391" s="2" t="str">
        <f>"02680882"</f>
        <v>02680882</v>
      </c>
      <c r="D11391" s="2">
        <v>0.1</v>
      </c>
      <c r="E11391" s="2">
        <v>7</v>
      </c>
      <c r="F11391" s="2" t="s">
        <v>6</v>
      </c>
    </row>
    <row r="11392" spans="1:6" ht="25.5">
      <c r="A11392" s="2">
        <v>11389</v>
      </c>
      <c r="B11392" s="2" t="s">
        <v>11465</v>
      </c>
      <c r="C11392" s="2" t="str">
        <f>"10423931"</f>
        <v>10423931</v>
      </c>
      <c r="D11392" s="2">
        <v>0.51800000000000002</v>
      </c>
      <c r="E11392" s="2">
        <v>41</v>
      </c>
      <c r="F11392" s="2" t="s">
        <v>6</v>
      </c>
    </row>
    <row r="11393" spans="1:6" ht="25.5">
      <c r="A11393" s="2">
        <v>11390</v>
      </c>
      <c r="B11393" s="2" t="s">
        <v>11466</v>
      </c>
      <c r="C11393" s="2" t="str">
        <f>"20403917"</f>
        <v>20403917</v>
      </c>
      <c r="D11393" s="2">
        <v>0.11600000000000001</v>
      </c>
      <c r="E11393" s="2">
        <v>2</v>
      </c>
      <c r="F11393" s="2" t="s">
        <v>16</v>
      </c>
    </row>
    <row r="11394" spans="1:6" ht="25.5">
      <c r="A11394" s="2">
        <v>11391</v>
      </c>
      <c r="B11394" s="2" t="s">
        <v>11467</v>
      </c>
      <c r="C11394" s="2" t="str">
        <f>"15693945"</f>
        <v>15693945</v>
      </c>
      <c r="D11394" s="2">
        <v>0.41099999999999998</v>
      </c>
      <c r="E11394" s="2">
        <v>13</v>
      </c>
      <c r="F11394" s="2" t="s">
        <v>12</v>
      </c>
    </row>
    <row r="11395" spans="1:6" ht="25.5">
      <c r="A11395" s="2">
        <v>11392</v>
      </c>
      <c r="B11395" s="2" t="s">
        <v>11468</v>
      </c>
      <c r="C11395" s="2" t="str">
        <f>"10960805"</f>
        <v>10960805</v>
      </c>
      <c r="D11395" s="2">
        <v>0.95199999999999996</v>
      </c>
      <c r="E11395" s="2">
        <v>47</v>
      </c>
      <c r="F11395" s="2" t="s">
        <v>6</v>
      </c>
    </row>
    <row r="11396" spans="1:6" ht="25.5">
      <c r="A11396" s="2">
        <v>11393</v>
      </c>
      <c r="B11396" s="2" t="s">
        <v>11469</v>
      </c>
      <c r="C11396" s="2" t="str">
        <f>"10189068"</f>
        <v>10189068</v>
      </c>
      <c r="D11396" s="2">
        <v>0.45700000000000002</v>
      </c>
      <c r="E11396" s="2">
        <v>34</v>
      </c>
      <c r="F11396" s="2" t="s">
        <v>351</v>
      </c>
    </row>
    <row r="11397" spans="1:6" ht="25.5">
      <c r="A11397" s="2">
        <v>11394</v>
      </c>
      <c r="B11397" s="2" t="s">
        <v>11470</v>
      </c>
      <c r="C11397" s="2" t="str">
        <f>"20411626"</f>
        <v>20411626</v>
      </c>
      <c r="D11397" s="2">
        <v>0</v>
      </c>
      <c r="E11397" s="2">
        <v>1</v>
      </c>
      <c r="F11397" s="2" t="s">
        <v>6</v>
      </c>
    </row>
    <row r="11398" spans="1:6" ht="25.5">
      <c r="A11398" s="2">
        <v>11395</v>
      </c>
      <c r="B11398" s="2" t="s">
        <v>11471</v>
      </c>
      <c r="C11398" s="2" t="str">
        <f>"0022202X"</f>
        <v>0022202X</v>
      </c>
      <c r="D11398" s="2">
        <v>2.1629999999999998</v>
      </c>
      <c r="E11398" s="2">
        <v>126</v>
      </c>
      <c r="F11398" s="2" t="s">
        <v>16</v>
      </c>
    </row>
    <row r="11399" spans="1:6" ht="25.5">
      <c r="A11399" s="2">
        <v>11396</v>
      </c>
      <c r="B11399" s="2" t="s">
        <v>11472</v>
      </c>
      <c r="C11399" s="2" t="str">
        <f>"15291774"</f>
        <v>15291774</v>
      </c>
      <c r="D11399" s="2">
        <v>1.5129999999999999</v>
      </c>
      <c r="E11399" s="2">
        <v>53</v>
      </c>
      <c r="F11399" s="2" t="s">
        <v>16</v>
      </c>
    </row>
    <row r="11400" spans="1:6" ht="25.5">
      <c r="A11400" s="2">
        <v>11397</v>
      </c>
      <c r="B11400" s="2" t="s">
        <v>11473</v>
      </c>
      <c r="C11400" s="2" t="str">
        <f>"10815589"</f>
        <v>10815589</v>
      </c>
      <c r="D11400" s="2">
        <v>0.61599999999999999</v>
      </c>
      <c r="E11400" s="2">
        <v>48</v>
      </c>
      <c r="F11400" s="2" t="s">
        <v>6</v>
      </c>
    </row>
    <row r="11401" spans="1:6" ht="25.5">
      <c r="A11401" s="2">
        <v>11398</v>
      </c>
      <c r="B11401" s="2" t="s">
        <v>11474</v>
      </c>
      <c r="C11401" s="2" t="str">
        <f>"15444759"</f>
        <v>15444759</v>
      </c>
      <c r="D11401" s="2">
        <v>0.40100000000000002</v>
      </c>
      <c r="E11401" s="2">
        <v>4</v>
      </c>
      <c r="F11401" s="2" t="s">
        <v>16</v>
      </c>
    </row>
    <row r="11402" spans="1:6" ht="25.5">
      <c r="A11402" s="2">
        <v>11399</v>
      </c>
      <c r="B11402" s="2" t="s">
        <v>11475</v>
      </c>
      <c r="C11402" s="2" t="str">
        <f>"08941939"</f>
        <v>08941939</v>
      </c>
      <c r="D11402" s="2">
        <v>0.372</v>
      </c>
      <c r="E11402" s="2">
        <v>27</v>
      </c>
      <c r="F11402" s="2" t="s">
        <v>16</v>
      </c>
    </row>
    <row r="11403" spans="1:6" ht="25.5">
      <c r="A11403" s="2">
        <v>11400</v>
      </c>
      <c r="B11403" s="2" t="s">
        <v>11476</v>
      </c>
      <c r="C11403" s="2" t="str">
        <f>"10010963"</f>
        <v>10010963</v>
      </c>
      <c r="D11403" s="2">
        <v>0.155</v>
      </c>
      <c r="E11403" s="2">
        <v>7</v>
      </c>
      <c r="F11403" s="2" t="s">
        <v>16</v>
      </c>
    </row>
    <row r="11404" spans="1:6" ht="25.5">
      <c r="A11404" s="2">
        <v>11401</v>
      </c>
      <c r="B11404" s="2" t="s">
        <v>11477</v>
      </c>
      <c r="C11404" s="2" t="str">
        <f>"1006706X"</f>
        <v>1006706X</v>
      </c>
      <c r="D11404" s="2">
        <v>0.58599999999999997</v>
      </c>
      <c r="E11404" s="2">
        <v>13</v>
      </c>
      <c r="F11404" s="2" t="s">
        <v>46</v>
      </c>
    </row>
    <row r="11405" spans="1:6" ht="25.5">
      <c r="A11405" s="2">
        <v>11402</v>
      </c>
      <c r="B11405" s="2" t="s">
        <v>11478</v>
      </c>
      <c r="C11405" s="2" t="str">
        <f>"07339437"</f>
        <v>07339437</v>
      </c>
      <c r="D11405" s="2">
        <v>0.55000000000000004</v>
      </c>
      <c r="E11405" s="2">
        <v>38</v>
      </c>
      <c r="F11405" s="2" t="s">
        <v>6</v>
      </c>
    </row>
    <row r="11406" spans="1:6" ht="25.5">
      <c r="A11406" s="2">
        <v>11403</v>
      </c>
      <c r="B11406" s="2" t="s">
        <v>11479</v>
      </c>
      <c r="C11406" s="2" t="str">
        <f>"1735854X"</f>
        <v>1735854X</v>
      </c>
      <c r="D11406" s="2">
        <v>0.122</v>
      </c>
      <c r="E11406" s="2">
        <v>3</v>
      </c>
      <c r="F11406" s="2" t="s">
        <v>299</v>
      </c>
    </row>
    <row r="11407" spans="1:6" ht="25.5">
      <c r="A11407" s="2">
        <v>11404</v>
      </c>
      <c r="B11407" s="2" t="s">
        <v>11480</v>
      </c>
      <c r="C11407" s="2" t="str">
        <f>"14716917"</f>
        <v>14716917</v>
      </c>
      <c r="D11407" s="2">
        <v>0.13700000000000001</v>
      </c>
      <c r="E11407" s="2">
        <v>2</v>
      </c>
      <c r="F11407" s="2" t="s">
        <v>16</v>
      </c>
    </row>
    <row r="11408" spans="1:6" ht="25.5">
      <c r="A11408" s="2">
        <v>11405</v>
      </c>
      <c r="B11408" s="2" t="s">
        <v>11481</v>
      </c>
      <c r="C11408" s="2" t="str">
        <f>"15564894"</f>
        <v>15564894</v>
      </c>
      <c r="D11408" s="2">
        <v>0.47799999999999998</v>
      </c>
      <c r="E11408" s="2">
        <v>9</v>
      </c>
      <c r="F11408" s="2" t="s">
        <v>16</v>
      </c>
    </row>
    <row r="11409" spans="1:6" ht="25.5">
      <c r="A11409" s="2">
        <v>11406</v>
      </c>
      <c r="B11409" s="2" t="s">
        <v>11482</v>
      </c>
      <c r="C11409" s="2" t="str">
        <f>"17440548"</f>
        <v>17440548</v>
      </c>
      <c r="D11409" s="2">
        <v>0.11600000000000001</v>
      </c>
      <c r="E11409" s="2">
        <v>2</v>
      </c>
      <c r="F11409" s="2" t="s">
        <v>16</v>
      </c>
    </row>
    <row r="11410" spans="1:6" ht="25.5">
      <c r="A11410" s="2">
        <v>11407</v>
      </c>
      <c r="B11410" s="2" t="s">
        <v>11483</v>
      </c>
      <c r="C11410" s="2" t="str">
        <f>"00222062"</f>
        <v>00222062</v>
      </c>
      <c r="D11410" s="2">
        <v>0.17899999999999999</v>
      </c>
      <c r="E11410" s="2">
        <v>10</v>
      </c>
      <c r="F11410" s="2" t="s">
        <v>131</v>
      </c>
    </row>
    <row r="11411" spans="1:6" ht="25.5">
      <c r="A11411" s="2">
        <v>11408</v>
      </c>
      <c r="B11411" s="2" t="s">
        <v>11484</v>
      </c>
      <c r="C11411" s="2" t="str">
        <f>"03865835"</f>
        <v>03865835</v>
      </c>
      <c r="D11411" s="2">
        <v>0.1</v>
      </c>
      <c r="E11411" s="2">
        <v>3</v>
      </c>
      <c r="F11411" s="2" t="s">
        <v>131</v>
      </c>
    </row>
    <row r="11412" spans="1:6" ht="25.5">
      <c r="A11412" s="2">
        <v>11409</v>
      </c>
      <c r="B11412" s="2" t="s">
        <v>11485</v>
      </c>
      <c r="C11412" s="2" t="str">
        <f>"00290203"</f>
        <v>00290203</v>
      </c>
      <c r="D11412" s="2">
        <v>0.19500000000000001</v>
      </c>
      <c r="E11412" s="2">
        <v>13</v>
      </c>
      <c r="F11412" s="2" t="s">
        <v>131</v>
      </c>
    </row>
    <row r="11413" spans="1:6" ht="25.5">
      <c r="A11413" s="2">
        <v>11410</v>
      </c>
      <c r="B11413" s="2" t="s">
        <v>11486</v>
      </c>
      <c r="C11413" s="2" t="str">
        <f>"15494721"</f>
        <v>15494721</v>
      </c>
      <c r="D11413" s="2">
        <v>0.221</v>
      </c>
      <c r="E11413" s="2">
        <v>7</v>
      </c>
      <c r="F11413" s="2" t="s">
        <v>6</v>
      </c>
    </row>
    <row r="11414" spans="1:6" ht="25.5">
      <c r="A11414" s="2">
        <v>11411</v>
      </c>
      <c r="B11414" s="2" t="s">
        <v>11487</v>
      </c>
      <c r="C11414" s="2" t="str">
        <f>"13422618"</f>
        <v>13422618</v>
      </c>
      <c r="D11414" s="2">
        <v>0.11600000000000001</v>
      </c>
      <c r="E11414" s="2">
        <v>4</v>
      </c>
      <c r="F11414" s="2" t="s">
        <v>131</v>
      </c>
    </row>
    <row r="11415" spans="1:6" ht="25.5">
      <c r="A11415" s="2">
        <v>11412</v>
      </c>
      <c r="B11415" s="2" t="s">
        <v>11488</v>
      </c>
      <c r="C11415" s="2" t="str">
        <f>"00222097"</f>
        <v>00222097</v>
      </c>
      <c r="D11415" s="2">
        <v>0.14099999999999999</v>
      </c>
      <c r="E11415" s="2">
        <v>4</v>
      </c>
      <c r="F11415" s="2" t="s">
        <v>75</v>
      </c>
    </row>
    <row r="11416" spans="1:6" ht="25.5">
      <c r="A11416" s="2">
        <v>11413</v>
      </c>
      <c r="B11416" s="2" t="s">
        <v>11489</v>
      </c>
      <c r="C11416" s="2" t="str">
        <f>"1477285X"</f>
        <v>1477285X</v>
      </c>
      <c r="D11416" s="2">
        <v>0.111</v>
      </c>
      <c r="E11416" s="2">
        <v>2</v>
      </c>
      <c r="F11416" s="2" t="s">
        <v>75</v>
      </c>
    </row>
    <row r="11417" spans="1:6" ht="25.5">
      <c r="A11417" s="2">
        <v>11414</v>
      </c>
      <c r="B11417" s="2" t="s">
        <v>11490</v>
      </c>
      <c r="C11417" s="2" t="str">
        <f>"1671587X"</f>
        <v>1671587X</v>
      </c>
      <c r="D11417" s="2">
        <v>0.10100000000000001</v>
      </c>
      <c r="E11417" s="2">
        <v>3</v>
      </c>
      <c r="F11417" s="2" t="s">
        <v>46</v>
      </c>
    </row>
    <row r="11418" spans="1:6" ht="25.5">
      <c r="A11418" s="2">
        <v>11415</v>
      </c>
      <c r="B11418" s="2" t="s">
        <v>11491</v>
      </c>
      <c r="C11418" s="2" t="str">
        <f>"20082843"</f>
        <v>20082843</v>
      </c>
      <c r="D11418" s="2">
        <v>0.104</v>
      </c>
      <c r="E11418" s="2">
        <v>2</v>
      </c>
      <c r="F11418" s="2" t="s">
        <v>299</v>
      </c>
    </row>
    <row r="11419" spans="1:6" ht="25.5">
      <c r="A11419" s="2">
        <v>11416</v>
      </c>
      <c r="B11419" s="2" t="s">
        <v>11492</v>
      </c>
      <c r="C11419" s="2" t="str">
        <f>"10128832"</f>
        <v>10128832</v>
      </c>
      <c r="D11419" s="2">
        <v>0.152</v>
      </c>
      <c r="E11419" s="2">
        <v>2</v>
      </c>
      <c r="F11419" s="2" t="s">
        <v>7417</v>
      </c>
    </row>
    <row r="11420" spans="1:6" ht="25.5">
      <c r="A11420" s="2">
        <v>11417</v>
      </c>
      <c r="B11420" s="2" t="s">
        <v>11493</v>
      </c>
      <c r="C11420" s="2" t="str">
        <f>"73831018"</f>
        <v>73831018</v>
      </c>
      <c r="D11420" s="2">
        <v>0.10199999999999999</v>
      </c>
      <c r="E11420" s="2">
        <v>2</v>
      </c>
      <c r="F11420" s="2" t="s">
        <v>7417</v>
      </c>
    </row>
    <row r="11421" spans="1:6" ht="25.5">
      <c r="A11421" s="2">
        <v>11418</v>
      </c>
      <c r="B11421" s="2" t="s">
        <v>11494</v>
      </c>
      <c r="C11421" s="2" t="str">
        <f>"10128840"</f>
        <v>10128840</v>
      </c>
      <c r="D11421" s="2">
        <v>0.11</v>
      </c>
      <c r="E11421" s="2">
        <v>2</v>
      </c>
      <c r="F11421" s="2" t="s">
        <v>7417</v>
      </c>
    </row>
    <row r="11422" spans="1:6" ht="25.5">
      <c r="A11422" s="2">
        <v>11419</v>
      </c>
      <c r="B11422" s="2" t="s">
        <v>11495</v>
      </c>
      <c r="C11422" s="2" t="str">
        <f>"10183647"</f>
        <v>10183647</v>
      </c>
      <c r="D11422" s="2">
        <v>0.248</v>
      </c>
      <c r="E11422" s="2">
        <v>6</v>
      </c>
      <c r="F11422" s="2" t="s">
        <v>75</v>
      </c>
    </row>
    <row r="11423" spans="1:6" ht="25.5">
      <c r="A11423" s="2">
        <v>11420</v>
      </c>
      <c r="B11423" s="2" t="s">
        <v>11496</v>
      </c>
      <c r="C11423" s="2" t="str">
        <f>"15388506"</f>
        <v>15388506</v>
      </c>
      <c r="D11423" s="2">
        <v>0.69199999999999995</v>
      </c>
      <c r="E11423" s="2">
        <v>35</v>
      </c>
      <c r="F11423" s="2" t="s">
        <v>6</v>
      </c>
    </row>
    <row r="11424" spans="1:6" ht="25.5">
      <c r="A11424" s="2">
        <v>11421</v>
      </c>
      <c r="B11424" s="2" t="s">
        <v>11497</v>
      </c>
      <c r="C11424" s="2" t="str">
        <f>"02182165"</f>
        <v>02182165</v>
      </c>
      <c r="D11424" s="2">
        <v>0.49299999999999999</v>
      </c>
      <c r="E11424" s="2">
        <v>20</v>
      </c>
      <c r="F11424" s="2" t="s">
        <v>543</v>
      </c>
    </row>
    <row r="11425" spans="1:6" ht="25.5">
      <c r="A11425" s="2">
        <v>11422</v>
      </c>
      <c r="B11425" s="2" t="s">
        <v>11498</v>
      </c>
      <c r="C11425" s="2" t="str">
        <f>"13673270"</f>
        <v>13673270</v>
      </c>
      <c r="D11425" s="2">
        <v>0.84399999999999997</v>
      </c>
      <c r="E11425" s="2">
        <v>28</v>
      </c>
      <c r="F11425" s="2" t="s">
        <v>16</v>
      </c>
    </row>
    <row r="11426" spans="1:6" ht="25.5">
      <c r="A11426" s="2">
        <v>11423</v>
      </c>
      <c r="B11426" s="2" t="s">
        <v>11499</v>
      </c>
      <c r="C11426" s="2" t="str">
        <f>"20053673"</f>
        <v>20053673</v>
      </c>
      <c r="D11426" s="2">
        <v>0.215</v>
      </c>
      <c r="E11426" s="2">
        <v>9</v>
      </c>
      <c r="F11426" s="2" t="s">
        <v>543</v>
      </c>
    </row>
    <row r="11427" spans="1:6" ht="25.5">
      <c r="A11427" s="2">
        <v>11424</v>
      </c>
      <c r="B11427" s="2" t="s">
        <v>11500</v>
      </c>
      <c r="C11427" s="2" t="str">
        <f>"17388228"</f>
        <v>17388228</v>
      </c>
      <c r="D11427" s="2">
        <v>0.67500000000000004</v>
      </c>
      <c r="E11427" s="2">
        <v>12</v>
      </c>
      <c r="F11427" s="2" t="s">
        <v>274</v>
      </c>
    </row>
    <row r="11428" spans="1:6" ht="25.5">
      <c r="A11428" s="2">
        <v>11425</v>
      </c>
      <c r="B11428" s="2" t="s">
        <v>11501</v>
      </c>
      <c r="C11428" s="2" t="str">
        <f>"15986357"</f>
        <v>15986357</v>
      </c>
      <c r="D11428" s="2">
        <v>0.47599999999999998</v>
      </c>
      <c r="E11428" s="2">
        <v>34</v>
      </c>
      <c r="F11428" s="2" t="s">
        <v>274</v>
      </c>
    </row>
    <row r="11429" spans="1:6" ht="25.5">
      <c r="A11429" s="2">
        <v>11426</v>
      </c>
      <c r="B11429" s="2" t="s">
        <v>11502</v>
      </c>
      <c r="C11429" s="2" t="str">
        <f>"20053711"</f>
        <v>20053711</v>
      </c>
      <c r="D11429" s="2">
        <v>0.36699999999999999</v>
      </c>
      <c r="E11429" s="2">
        <v>9</v>
      </c>
      <c r="F11429" s="2" t="s">
        <v>274</v>
      </c>
    </row>
    <row r="11430" spans="1:6" ht="25.5">
      <c r="A11430" s="2">
        <v>11427</v>
      </c>
      <c r="B11430" s="2" t="s">
        <v>11503</v>
      </c>
      <c r="C11430" s="2" t="str">
        <f>"12255467"</f>
        <v>12255467</v>
      </c>
      <c r="D11430" s="2">
        <v>0.13900000000000001</v>
      </c>
      <c r="E11430" s="2">
        <v>3</v>
      </c>
      <c r="F11430" s="2" t="s">
        <v>274</v>
      </c>
    </row>
    <row r="11431" spans="1:6" ht="25.5">
      <c r="A11431" s="2">
        <v>11428</v>
      </c>
      <c r="B11431" s="2" t="s">
        <v>11504</v>
      </c>
      <c r="C11431" s="2" t="str">
        <f>"07311613"</f>
        <v>07311613</v>
      </c>
      <c r="D11431" s="2">
        <v>0.192</v>
      </c>
      <c r="E11431" s="2">
        <v>1</v>
      </c>
      <c r="F11431" s="2" t="s">
        <v>6</v>
      </c>
    </row>
    <row r="11432" spans="1:6" ht="25.5">
      <c r="A11432" s="2">
        <v>11429</v>
      </c>
      <c r="B11432" s="2" t="s">
        <v>11505</v>
      </c>
      <c r="C11432" s="2" t="str">
        <f>"18652433"</f>
        <v>18652433</v>
      </c>
      <c r="D11432" s="2">
        <v>0.83799999999999997</v>
      </c>
      <c r="E11432" s="2">
        <v>5</v>
      </c>
      <c r="F11432" s="2" t="s">
        <v>6</v>
      </c>
    </row>
    <row r="11433" spans="1:6" ht="25.5">
      <c r="A11433" s="2">
        <v>11430</v>
      </c>
      <c r="B11433" s="2" t="s">
        <v>11506</v>
      </c>
      <c r="C11433" s="2" t="str">
        <f>"10991344"</f>
        <v>10991344</v>
      </c>
      <c r="D11433" s="2">
        <v>0.29099999999999998</v>
      </c>
      <c r="E11433" s="2">
        <v>31</v>
      </c>
      <c r="F11433" s="2" t="s">
        <v>16</v>
      </c>
    </row>
    <row r="11434" spans="1:6" ht="25.5">
      <c r="A11434" s="2">
        <v>11431</v>
      </c>
      <c r="B11434" s="2" t="s">
        <v>11507</v>
      </c>
      <c r="C11434" s="2" t="str">
        <f>"15375307"</f>
        <v>15375307</v>
      </c>
      <c r="D11434" s="2">
        <v>4.4539999999999997</v>
      </c>
      <c r="E11434" s="2">
        <v>58</v>
      </c>
      <c r="F11434" s="2" t="s">
        <v>6</v>
      </c>
    </row>
    <row r="11435" spans="1:6" ht="25.5">
      <c r="A11435" s="2">
        <v>11432</v>
      </c>
      <c r="B11435" s="2" t="s">
        <v>11508</v>
      </c>
      <c r="C11435" s="2" t="str">
        <f>"01953613"</f>
        <v>01953613</v>
      </c>
      <c r="D11435" s="2">
        <v>0.40300000000000002</v>
      </c>
      <c r="E11435" s="2">
        <v>20</v>
      </c>
      <c r="F11435" s="2" t="s">
        <v>6</v>
      </c>
    </row>
    <row r="11436" spans="1:6" ht="25.5">
      <c r="A11436" s="2">
        <v>11433</v>
      </c>
      <c r="B11436" s="2" t="s">
        <v>11509</v>
      </c>
      <c r="C11436" s="2" t="str">
        <f>"2164604X"</f>
        <v>2164604X</v>
      </c>
      <c r="D11436" s="2">
        <v>0.113</v>
      </c>
      <c r="E11436" s="2">
        <v>1</v>
      </c>
      <c r="F11436" s="2" t="s">
        <v>16</v>
      </c>
    </row>
    <row r="11437" spans="1:6" ht="25.5">
      <c r="A11437" s="2">
        <v>11434</v>
      </c>
      <c r="B11437" s="2" t="s">
        <v>11510</v>
      </c>
      <c r="C11437" s="2" t="str">
        <f>"15894673"</f>
        <v>15894673</v>
      </c>
      <c r="D11437" s="2">
        <v>0.125</v>
      </c>
      <c r="E11437" s="2">
        <v>3</v>
      </c>
      <c r="F11437" s="2" t="s">
        <v>135</v>
      </c>
    </row>
    <row r="11438" spans="1:6" ht="25.5">
      <c r="A11438" s="2">
        <v>11435</v>
      </c>
      <c r="B11438" s="2" t="s">
        <v>11511</v>
      </c>
      <c r="C11438" s="2" t="str">
        <f>"1747423X"</f>
        <v>1747423X</v>
      </c>
      <c r="D11438" s="2">
        <v>0.68600000000000005</v>
      </c>
      <c r="E11438" s="2">
        <v>8</v>
      </c>
      <c r="F11438" s="2" t="s">
        <v>16</v>
      </c>
    </row>
    <row r="11439" spans="1:6" ht="25.5">
      <c r="A11439" s="2">
        <v>11436</v>
      </c>
      <c r="B11439" s="2" t="s">
        <v>11512</v>
      </c>
      <c r="C11439" s="2" t="str">
        <f>"20780303"</f>
        <v>20780303</v>
      </c>
      <c r="D11439" s="2">
        <v>0.105</v>
      </c>
      <c r="E11439" s="2">
        <v>0</v>
      </c>
      <c r="F11439" s="2" t="s">
        <v>1516</v>
      </c>
    </row>
    <row r="11440" spans="1:6" ht="25.5">
      <c r="A11440" s="2">
        <v>11437</v>
      </c>
      <c r="B11440" s="2" t="s">
        <v>11513</v>
      </c>
      <c r="C11440" s="2" t="str">
        <f>"15699862"</f>
        <v>15699862</v>
      </c>
      <c r="D11440" s="2">
        <v>0.308</v>
      </c>
      <c r="E11440" s="2">
        <v>4</v>
      </c>
      <c r="F11440" s="2" t="s">
        <v>75</v>
      </c>
    </row>
    <row r="11441" spans="1:6" ht="25.5">
      <c r="A11441" s="2">
        <v>11438</v>
      </c>
      <c r="B11441" s="2" t="s">
        <v>11514</v>
      </c>
      <c r="C11441" s="2" t="str">
        <f>"15526526"</f>
        <v>15526526</v>
      </c>
      <c r="D11441" s="2">
        <v>0.73099999999999998</v>
      </c>
      <c r="E11441" s="2">
        <v>24</v>
      </c>
      <c r="F11441" s="2" t="s">
        <v>6</v>
      </c>
    </row>
    <row r="11442" spans="1:6" ht="25.5">
      <c r="A11442" s="2">
        <v>11439</v>
      </c>
      <c r="B11442" s="2" t="s">
        <v>11515</v>
      </c>
      <c r="C11442" s="2" t="str">
        <f>"15348458"</f>
        <v>15348458</v>
      </c>
      <c r="D11442" s="2">
        <v>0.14899999999999999</v>
      </c>
      <c r="E11442" s="2">
        <v>2</v>
      </c>
      <c r="F11442" s="2" t="s">
        <v>16</v>
      </c>
    </row>
    <row r="11443" spans="1:6" ht="25.5">
      <c r="A11443" s="2">
        <v>11440</v>
      </c>
      <c r="B11443" s="2" t="s">
        <v>11516</v>
      </c>
      <c r="C11443" s="2" t="str">
        <f>"15579034"</f>
        <v>15579034</v>
      </c>
      <c r="D11443" s="2">
        <v>0.55900000000000005</v>
      </c>
      <c r="E11443" s="2">
        <v>39</v>
      </c>
      <c r="F11443" s="2" t="s">
        <v>6</v>
      </c>
    </row>
    <row r="11444" spans="1:6" ht="25.5">
      <c r="A11444" s="2">
        <v>11441</v>
      </c>
      <c r="B11444" s="2" t="s">
        <v>11517</v>
      </c>
      <c r="C11444" s="2" t="str">
        <f>"17485460"</f>
        <v>17485460</v>
      </c>
      <c r="D11444" s="2">
        <v>0.45600000000000002</v>
      </c>
      <c r="E11444" s="2">
        <v>40</v>
      </c>
      <c r="F11444" s="2" t="s">
        <v>16</v>
      </c>
    </row>
    <row r="11445" spans="1:6" ht="25.5">
      <c r="A11445" s="2">
        <v>11442</v>
      </c>
      <c r="B11445" s="2" t="s">
        <v>11518</v>
      </c>
      <c r="C11445" s="2" t="str">
        <f>"1042346X"</f>
        <v>1042346X</v>
      </c>
      <c r="D11445" s="2">
        <v>0.22600000000000001</v>
      </c>
      <c r="E11445" s="2">
        <v>28</v>
      </c>
      <c r="F11445" s="2" t="s">
        <v>6</v>
      </c>
    </row>
    <row r="11446" spans="1:6" ht="25.5">
      <c r="A11446" s="2">
        <v>11443</v>
      </c>
      <c r="B11446" s="2" t="s">
        <v>11519</v>
      </c>
      <c r="C11446" s="2" t="str">
        <f>"18800688"</f>
        <v>18800688</v>
      </c>
      <c r="D11446" s="2">
        <v>0.317</v>
      </c>
      <c r="E11446" s="2">
        <v>5</v>
      </c>
      <c r="F11446" s="2" t="s">
        <v>131</v>
      </c>
    </row>
    <row r="11447" spans="1:6" ht="25.5">
      <c r="A11447" s="2">
        <v>11444</v>
      </c>
      <c r="B11447" s="2" t="s">
        <v>11520</v>
      </c>
      <c r="C11447" s="2" t="str">
        <f>"19354932"</f>
        <v>19354932</v>
      </c>
      <c r="D11447" s="2">
        <v>0.17699999999999999</v>
      </c>
      <c r="E11447" s="2">
        <v>2</v>
      </c>
      <c r="F11447" s="2" t="s">
        <v>6</v>
      </c>
    </row>
    <row r="11448" spans="1:6" ht="25.5">
      <c r="A11448" s="2">
        <v>11445</v>
      </c>
      <c r="B11448" s="2" t="s">
        <v>11521</v>
      </c>
      <c r="C11448" s="2" t="str">
        <f>"14699575"</f>
        <v>14699575</v>
      </c>
      <c r="D11448" s="2">
        <v>0.18</v>
      </c>
      <c r="E11448" s="2">
        <v>3</v>
      </c>
      <c r="F11448" s="2" t="s">
        <v>16</v>
      </c>
    </row>
    <row r="11449" spans="1:6" ht="25.5">
      <c r="A11449" s="2">
        <v>11446</v>
      </c>
      <c r="B11449" s="2" t="s">
        <v>11522</v>
      </c>
      <c r="C11449" s="2" t="str">
        <f>"15485811"</f>
        <v>15485811</v>
      </c>
      <c r="D11449" s="2">
        <v>0.47499999999999998</v>
      </c>
      <c r="E11449" s="2">
        <v>9</v>
      </c>
      <c r="F11449" s="2" t="s">
        <v>6</v>
      </c>
    </row>
    <row r="11450" spans="1:6" ht="25.5">
      <c r="A11450" s="2">
        <v>11447</v>
      </c>
      <c r="B11450" s="2" t="s">
        <v>11523</v>
      </c>
      <c r="C11450" s="2" t="str">
        <f>"1469767X"</f>
        <v>1469767X</v>
      </c>
      <c r="D11450" s="2">
        <v>0.45300000000000001</v>
      </c>
      <c r="E11450" s="2">
        <v>17</v>
      </c>
      <c r="F11450" s="2" t="s">
        <v>16</v>
      </c>
    </row>
    <row r="11451" spans="1:6" ht="25.5">
      <c r="A11451" s="2">
        <v>11448</v>
      </c>
      <c r="B11451" s="2" t="s">
        <v>11524</v>
      </c>
      <c r="C11451" s="2" t="str">
        <f>"15348431"</f>
        <v>15348431</v>
      </c>
      <c r="D11451" s="2">
        <v>0.222</v>
      </c>
      <c r="E11451" s="2">
        <v>2</v>
      </c>
      <c r="F11451" s="2" t="s">
        <v>6</v>
      </c>
    </row>
    <row r="11452" spans="1:6" ht="25.5">
      <c r="A11452" s="2">
        <v>11449</v>
      </c>
      <c r="B11452" s="2" t="s">
        <v>11525</v>
      </c>
      <c r="C11452" s="2" t="str">
        <f>"15375285"</f>
        <v>15375285</v>
      </c>
      <c r="D11452" s="2">
        <v>0.79200000000000004</v>
      </c>
      <c r="E11452" s="2">
        <v>44</v>
      </c>
      <c r="F11452" s="2" t="s">
        <v>6</v>
      </c>
    </row>
    <row r="11453" spans="1:6" ht="25.5">
      <c r="A11453" s="2">
        <v>11450</v>
      </c>
      <c r="B11453" s="2" t="s">
        <v>11526</v>
      </c>
      <c r="C11453" s="2" t="str">
        <f>"1320159X"</f>
        <v>1320159X</v>
      </c>
      <c r="D11453" s="2">
        <v>0.13700000000000001</v>
      </c>
      <c r="E11453" s="2">
        <v>8</v>
      </c>
      <c r="F11453" s="2" t="s">
        <v>127</v>
      </c>
    </row>
    <row r="11454" spans="1:6" ht="25.5">
      <c r="A11454" s="2">
        <v>11451</v>
      </c>
      <c r="B11454" s="2" t="s">
        <v>11527</v>
      </c>
      <c r="C11454" s="2" t="str">
        <f>"0263323X"</f>
        <v>0263323X</v>
      </c>
      <c r="D11454" s="2">
        <v>0.26300000000000001</v>
      </c>
      <c r="E11454" s="2">
        <v>20</v>
      </c>
      <c r="F11454" s="2" t="s">
        <v>16</v>
      </c>
    </row>
    <row r="11455" spans="1:6" ht="25.5">
      <c r="A11455" s="2">
        <v>11452</v>
      </c>
      <c r="B11455" s="2" t="s">
        <v>11528</v>
      </c>
      <c r="C11455" s="2" t="str">
        <f>"87566222"</f>
        <v>87566222</v>
      </c>
      <c r="D11455" s="2">
        <v>1.0309999999999999</v>
      </c>
      <c r="E11455" s="2">
        <v>37</v>
      </c>
      <c r="F11455" s="2" t="s">
        <v>16</v>
      </c>
    </row>
    <row r="11456" spans="1:6" ht="25.5">
      <c r="A11456" s="2">
        <v>11453</v>
      </c>
      <c r="B11456" s="2" t="s">
        <v>11529</v>
      </c>
      <c r="C11456" s="2" t="str">
        <f>"1748720X"</f>
        <v>1748720X</v>
      </c>
      <c r="D11456" s="2">
        <v>0.54100000000000004</v>
      </c>
      <c r="E11456" s="2">
        <v>31</v>
      </c>
      <c r="F11456" s="2" t="s">
        <v>16</v>
      </c>
    </row>
    <row r="11457" spans="1:6" ht="25.5">
      <c r="A11457" s="2">
        <v>11454</v>
      </c>
      <c r="B11457" s="2" t="s">
        <v>11530</v>
      </c>
      <c r="C11457" s="2" t="str">
        <f>"15480518"</f>
        <v>15480518</v>
      </c>
      <c r="D11457" s="2">
        <v>0.40100000000000002</v>
      </c>
      <c r="E11457" s="2">
        <v>11</v>
      </c>
      <c r="F11457" s="2" t="s">
        <v>6</v>
      </c>
    </row>
    <row r="11458" spans="1:6" ht="25.5">
      <c r="A11458" s="2">
        <v>11455</v>
      </c>
      <c r="B11458" s="2" t="s">
        <v>11531</v>
      </c>
      <c r="C11458" s="2" t="str">
        <f>"1935262X"</f>
        <v>1935262X</v>
      </c>
      <c r="D11458" s="2">
        <v>0.123</v>
      </c>
      <c r="E11458" s="2">
        <v>1</v>
      </c>
      <c r="F11458" s="2" t="s">
        <v>16</v>
      </c>
    </row>
    <row r="11459" spans="1:6" ht="25.5">
      <c r="A11459" s="2">
        <v>11456</v>
      </c>
      <c r="B11459" s="2" t="s">
        <v>11532</v>
      </c>
      <c r="C11459" s="2" t="str">
        <f>"00222194"</f>
        <v>00222194</v>
      </c>
      <c r="D11459" s="2">
        <v>1.3169999999999999</v>
      </c>
      <c r="E11459" s="2">
        <v>42</v>
      </c>
      <c r="F11459" s="2" t="s">
        <v>6</v>
      </c>
    </row>
    <row r="11460" spans="1:6" ht="25.5">
      <c r="A11460" s="2">
        <v>11457</v>
      </c>
      <c r="B11460" s="2" t="s">
        <v>11533</v>
      </c>
      <c r="C11460" s="2" t="str">
        <f>"00222208"</f>
        <v>00222208</v>
      </c>
      <c r="D11460" s="2">
        <v>0.315</v>
      </c>
      <c r="E11460" s="2">
        <v>7</v>
      </c>
      <c r="F11460" s="2" t="s">
        <v>6</v>
      </c>
    </row>
    <row r="11461" spans="1:6" ht="25.5">
      <c r="A11461" s="2">
        <v>11458</v>
      </c>
      <c r="B11461" s="2" t="s">
        <v>11534</v>
      </c>
      <c r="C11461" s="2" t="str">
        <f>"17440564"</f>
        <v>17440564</v>
      </c>
      <c r="D11461" s="2">
        <v>0.15</v>
      </c>
      <c r="E11461" s="2">
        <v>2</v>
      </c>
      <c r="F11461" s="2" t="s">
        <v>16</v>
      </c>
    </row>
    <row r="11462" spans="1:6" ht="25.5">
      <c r="A11462" s="2">
        <v>11459</v>
      </c>
      <c r="B11462" s="2" t="s">
        <v>11535</v>
      </c>
      <c r="C11462" s="2" t="str">
        <f>"1521057X"</f>
        <v>1521057X</v>
      </c>
      <c r="D11462" s="2">
        <v>0.14399999999999999</v>
      </c>
      <c r="E11462" s="2">
        <v>11</v>
      </c>
      <c r="F11462" s="2" t="s">
        <v>16</v>
      </c>
    </row>
    <row r="11463" spans="1:6" ht="25.5">
      <c r="A11463" s="2">
        <v>11460</v>
      </c>
      <c r="B11463" s="2" t="s">
        <v>11536</v>
      </c>
      <c r="C11463" s="2" t="str">
        <f>"15375366"</f>
        <v>15375366</v>
      </c>
      <c r="D11463" s="2">
        <v>0.77500000000000002</v>
      </c>
      <c r="E11463" s="2">
        <v>27</v>
      </c>
      <c r="F11463" s="2" t="s">
        <v>6</v>
      </c>
    </row>
    <row r="11464" spans="1:6" ht="25.5">
      <c r="A11464" s="2">
        <v>11461</v>
      </c>
      <c r="B11464" s="2" t="s">
        <v>11537</v>
      </c>
      <c r="C11464" s="2" t="str">
        <f>"17439337"</f>
        <v>17439337</v>
      </c>
      <c r="D11464" s="2">
        <v>0.48799999999999999</v>
      </c>
      <c r="E11464" s="2">
        <v>3</v>
      </c>
      <c r="F11464" s="2" t="s">
        <v>16</v>
      </c>
    </row>
    <row r="11465" spans="1:6" ht="25.5">
      <c r="A11465" s="2">
        <v>11462</v>
      </c>
      <c r="B11465" s="2" t="s">
        <v>11538</v>
      </c>
      <c r="C11465" s="2" t="str">
        <f>"00222216"</f>
        <v>00222216</v>
      </c>
      <c r="D11465" s="2">
        <v>0.82399999999999995</v>
      </c>
      <c r="E11465" s="2">
        <v>36</v>
      </c>
      <c r="F11465" s="2" t="s">
        <v>6</v>
      </c>
    </row>
    <row r="11466" spans="1:6" ht="25.5">
      <c r="A11466" s="2">
        <v>11463</v>
      </c>
      <c r="B11466" s="2" t="s">
        <v>11539</v>
      </c>
      <c r="C11466" s="2" t="str">
        <f>"15403548"</f>
        <v>15403548</v>
      </c>
      <c r="D11466" s="2">
        <v>0.23799999999999999</v>
      </c>
      <c r="E11466" s="2">
        <v>7</v>
      </c>
      <c r="F11466" s="2" t="s">
        <v>16</v>
      </c>
    </row>
    <row r="11467" spans="1:6" ht="25.5">
      <c r="A11467" s="2">
        <v>11464</v>
      </c>
      <c r="B11467" s="2" t="s">
        <v>11540</v>
      </c>
      <c r="C11467" s="2" t="str">
        <f>"10099921"</f>
        <v>10099921</v>
      </c>
      <c r="D11467" s="2">
        <v>0.1</v>
      </c>
      <c r="E11467" s="2">
        <v>1</v>
      </c>
      <c r="F11467" s="2" t="s">
        <v>46</v>
      </c>
    </row>
    <row r="11468" spans="1:6" ht="25.5">
      <c r="A11468" s="2">
        <v>11465</v>
      </c>
      <c r="B11468" s="2" t="s">
        <v>11541</v>
      </c>
      <c r="C11468" s="2" t="str">
        <f>"07415400"</f>
        <v>07415400</v>
      </c>
      <c r="D11468" s="2">
        <v>2.0990000000000002</v>
      </c>
      <c r="E11468" s="2">
        <v>124</v>
      </c>
      <c r="F11468" s="2" t="s">
        <v>6</v>
      </c>
    </row>
    <row r="11469" spans="1:6" ht="25.5">
      <c r="A11469" s="2">
        <v>11466</v>
      </c>
      <c r="B11469" s="2" t="s">
        <v>11542</v>
      </c>
      <c r="C11469" s="2" t="str">
        <f>"15538605"</f>
        <v>15538605</v>
      </c>
      <c r="D11469" s="2">
        <v>0.20599999999999999</v>
      </c>
      <c r="E11469" s="2">
        <v>5</v>
      </c>
      <c r="F11469" s="2" t="s">
        <v>16</v>
      </c>
    </row>
    <row r="11470" spans="1:6" ht="25.5">
      <c r="A11470" s="2">
        <v>11467</v>
      </c>
      <c r="B11470" s="2" t="s">
        <v>11543</v>
      </c>
      <c r="C11470" s="2" t="str">
        <f>"19361653"</f>
        <v>19361653</v>
      </c>
      <c r="D11470" s="2">
        <v>0.24399999999999999</v>
      </c>
      <c r="E11470" s="2">
        <v>7</v>
      </c>
      <c r="F11470" s="2" t="s">
        <v>16</v>
      </c>
    </row>
    <row r="11471" spans="1:6" ht="25.5">
      <c r="A11471" s="2">
        <v>11468</v>
      </c>
      <c r="B11471" s="2" t="s">
        <v>11544</v>
      </c>
      <c r="C11471" s="2" t="str">
        <f>"17416477"</f>
        <v>17416477</v>
      </c>
      <c r="D11471" s="2">
        <v>0.81200000000000006</v>
      </c>
      <c r="E11471" s="2">
        <v>14</v>
      </c>
      <c r="F11471" s="2" t="s">
        <v>16</v>
      </c>
    </row>
    <row r="11472" spans="1:6" ht="25.5">
      <c r="A11472" s="2">
        <v>11469</v>
      </c>
      <c r="B11472" s="2" t="s">
        <v>11545</v>
      </c>
      <c r="C11472" s="2" t="str">
        <f>"01930826"</f>
        <v>01930826</v>
      </c>
      <c r="D11472" s="2">
        <v>1.204</v>
      </c>
      <c r="E11472" s="2">
        <v>10</v>
      </c>
      <c r="F11472" s="2" t="s">
        <v>16</v>
      </c>
    </row>
    <row r="11473" spans="1:6" ht="25.5">
      <c r="A11473" s="2">
        <v>11470</v>
      </c>
      <c r="B11473" s="2" t="s">
        <v>11546</v>
      </c>
      <c r="C11473" s="2" t="str">
        <f>"15332918"</f>
        <v>15332918</v>
      </c>
      <c r="D11473" s="2">
        <v>0.34300000000000003</v>
      </c>
      <c r="E11473" s="2">
        <v>4</v>
      </c>
      <c r="F11473" s="2" t="s">
        <v>16</v>
      </c>
    </row>
    <row r="11474" spans="1:6" ht="25.5">
      <c r="A11474" s="2">
        <v>11471</v>
      </c>
      <c r="B11474" s="2" t="s">
        <v>11547</v>
      </c>
      <c r="C11474" s="2" t="str">
        <f>"19386389"</f>
        <v>19386389</v>
      </c>
      <c r="D11474" s="2">
        <v>0.33300000000000002</v>
      </c>
      <c r="E11474" s="2">
        <v>7</v>
      </c>
      <c r="F11474" s="2" t="s">
        <v>6</v>
      </c>
    </row>
    <row r="11475" spans="1:6" ht="25.5">
      <c r="A11475" s="2">
        <v>11472</v>
      </c>
      <c r="B11475" s="2" t="s">
        <v>11548</v>
      </c>
      <c r="C11475" s="2" t="str">
        <f>"09495932"</f>
        <v>09495932</v>
      </c>
      <c r="D11475" s="2">
        <v>0.504</v>
      </c>
      <c r="E11475" s="2">
        <v>16</v>
      </c>
      <c r="F11475" s="2" t="s">
        <v>12</v>
      </c>
    </row>
    <row r="11476" spans="1:6" ht="25.5">
      <c r="A11476" s="2">
        <v>11473</v>
      </c>
      <c r="B11476" s="2" t="s">
        <v>11549</v>
      </c>
      <c r="C11476" s="2" t="str">
        <f>"03878805"</f>
        <v>03878805</v>
      </c>
      <c r="D11476" s="2">
        <v>0.125</v>
      </c>
      <c r="E11476" s="2">
        <v>9</v>
      </c>
      <c r="F11476" s="2" t="s">
        <v>131</v>
      </c>
    </row>
    <row r="11477" spans="1:6" ht="25.5">
      <c r="A11477" s="2">
        <v>11474</v>
      </c>
      <c r="B11477" s="2" t="s">
        <v>11550</v>
      </c>
      <c r="C11477" s="2" t="str">
        <f>"07338724"</f>
        <v>07338724</v>
      </c>
      <c r="D11477" s="2">
        <v>1.714</v>
      </c>
      <c r="E11477" s="2">
        <v>122</v>
      </c>
      <c r="F11477" s="2" t="s">
        <v>6</v>
      </c>
    </row>
    <row r="11478" spans="1:6" ht="25.5">
      <c r="A11478" s="2">
        <v>11475</v>
      </c>
      <c r="B11478" s="2" t="s">
        <v>11551</v>
      </c>
      <c r="C11478" s="2" t="str">
        <f>"11295767"</f>
        <v>11295767</v>
      </c>
      <c r="D11478" s="2">
        <v>0.54100000000000004</v>
      </c>
      <c r="E11478" s="2">
        <v>24</v>
      </c>
      <c r="F11478" s="2" t="s">
        <v>190</v>
      </c>
    </row>
    <row r="11479" spans="1:6" ht="25.5">
      <c r="A11479" s="2">
        <v>11476</v>
      </c>
      <c r="B11479" s="2" t="s">
        <v>11552</v>
      </c>
      <c r="C11479" s="2" t="str">
        <f>"10551360"</f>
        <v>10551360</v>
      </c>
      <c r="D11479" s="2">
        <v>1.591</v>
      </c>
      <c r="E11479" s="2">
        <v>12</v>
      </c>
      <c r="F11479" s="2" t="s">
        <v>6</v>
      </c>
    </row>
    <row r="11480" spans="1:6" ht="25.5">
      <c r="A11480" s="2">
        <v>11477</v>
      </c>
      <c r="B11480" s="2" t="s">
        <v>11553</v>
      </c>
      <c r="C11480" s="2" t="str">
        <f>"14697742"</f>
        <v>14697742</v>
      </c>
      <c r="D11480" s="2">
        <v>0.68100000000000005</v>
      </c>
      <c r="E11480" s="2">
        <v>14</v>
      </c>
      <c r="F11480" s="2" t="s">
        <v>16</v>
      </c>
    </row>
    <row r="11481" spans="1:6" ht="25.5">
      <c r="A11481" s="2">
        <v>11478</v>
      </c>
      <c r="B11481" s="2" t="s">
        <v>11554</v>
      </c>
      <c r="C11481" s="2" t="str">
        <f>"15397262"</f>
        <v>15397262</v>
      </c>
      <c r="D11481" s="2">
        <v>2.1440000000000001</v>
      </c>
      <c r="E11481" s="2">
        <v>119</v>
      </c>
      <c r="F11481" s="2" t="s">
        <v>6</v>
      </c>
    </row>
    <row r="11482" spans="1:6" ht="25.5">
      <c r="A11482" s="2">
        <v>11479</v>
      </c>
      <c r="B11482" s="2" t="s">
        <v>11555</v>
      </c>
      <c r="C11482" s="2" t="str">
        <f>"15322394"</f>
        <v>15322394</v>
      </c>
      <c r="D11482" s="2">
        <v>0.64</v>
      </c>
      <c r="E11482" s="2">
        <v>28</v>
      </c>
      <c r="F11482" s="2" t="s">
        <v>16</v>
      </c>
    </row>
    <row r="11483" spans="1:6" ht="25.5">
      <c r="A11483" s="2">
        <v>11480</v>
      </c>
      <c r="B11483" s="2" t="s">
        <v>11556</v>
      </c>
      <c r="C11483" s="2" t="str">
        <f>"1520572X"</f>
        <v>1520572X</v>
      </c>
      <c r="D11483" s="2">
        <v>0.28599999999999998</v>
      </c>
      <c r="E11483" s="2">
        <v>33</v>
      </c>
      <c r="F11483" s="2" t="s">
        <v>16</v>
      </c>
    </row>
    <row r="11484" spans="1:6" ht="25.5">
      <c r="A11484" s="2">
        <v>11481</v>
      </c>
      <c r="B11484" s="2" t="s">
        <v>11557</v>
      </c>
      <c r="C11484" s="2" t="str">
        <f>"15548430"</f>
        <v>15548430</v>
      </c>
      <c r="D11484" s="2">
        <v>0.53900000000000003</v>
      </c>
      <c r="E11484" s="2">
        <v>18</v>
      </c>
      <c r="F11484" s="2" t="s">
        <v>6</v>
      </c>
    </row>
    <row r="11485" spans="1:6" ht="25.5">
      <c r="A11485" s="2">
        <v>11482</v>
      </c>
      <c r="B11485" s="2" t="s">
        <v>11558</v>
      </c>
      <c r="C11485" s="2" t="str">
        <f>"03417638"</f>
        <v>03417638</v>
      </c>
      <c r="D11485" s="2">
        <v>0.41299999999999998</v>
      </c>
      <c r="E11485" s="2">
        <v>6</v>
      </c>
      <c r="F11485" s="2" t="s">
        <v>12</v>
      </c>
    </row>
    <row r="11486" spans="1:6" ht="25.5">
      <c r="A11486" s="2">
        <v>11483</v>
      </c>
      <c r="B11486" s="2" t="s">
        <v>11559</v>
      </c>
      <c r="C11486" s="2" t="str">
        <f>"02564718"</f>
        <v>02564718</v>
      </c>
      <c r="D11486" s="2">
        <v>0.11</v>
      </c>
      <c r="E11486" s="2">
        <v>2</v>
      </c>
      <c r="F11486" s="2" t="s">
        <v>16</v>
      </c>
    </row>
    <row r="11487" spans="1:6" ht="25.5">
      <c r="A11487" s="2">
        <v>11484</v>
      </c>
      <c r="B11487" s="2" t="s">
        <v>11560</v>
      </c>
      <c r="C11487" s="2" t="str">
        <f>"17489725"</f>
        <v>17489725</v>
      </c>
      <c r="D11487" s="2">
        <v>0.29899999999999999</v>
      </c>
      <c r="E11487" s="2">
        <v>7</v>
      </c>
      <c r="F11487" s="2" t="s">
        <v>16</v>
      </c>
    </row>
    <row r="11488" spans="1:6" ht="25.5">
      <c r="A11488" s="2">
        <v>11485</v>
      </c>
      <c r="B11488" s="2" t="s">
        <v>11561</v>
      </c>
      <c r="C11488" s="2" t="str">
        <f>"15678326"</f>
        <v>15678326</v>
      </c>
      <c r="D11488" s="2">
        <v>1.1060000000000001</v>
      </c>
      <c r="E11488" s="2">
        <v>36</v>
      </c>
      <c r="F11488" s="2" t="s">
        <v>6</v>
      </c>
    </row>
    <row r="11489" spans="1:6" ht="25.5">
      <c r="A11489" s="2">
        <v>11486</v>
      </c>
      <c r="B11489" s="2" t="s">
        <v>11562</v>
      </c>
      <c r="C11489" s="2" t="str">
        <f>"1465363X"</f>
        <v>1465363X</v>
      </c>
      <c r="D11489" s="2">
        <v>1.327</v>
      </c>
      <c r="E11489" s="2">
        <v>33</v>
      </c>
      <c r="F11489" s="2" t="s">
        <v>16</v>
      </c>
    </row>
    <row r="11490" spans="1:6" ht="25.5">
      <c r="A11490" s="2">
        <v>11487</v>
      </c>
      <c r="B11490" s="2" t="s">
        <v>11563</v>
      </c>
      <c r="C11490" s="2" t="str">
        <f>"09258531"</f>
        <v>09258531</v>
      </c>
      <c r="D11490" s="2">
        <v>0.61199999999999999</v>
      </c>
      <c r="E11490" s="2">
        <v>18</v>
      </c>
      <c r="F11490" s="2" t="s">
        <v>75</v>
      </c>
    </row>
    <row r="11491" spans="1:6" ht="25.5">
      <c r="A11491" s="2">
        <v>11488</v>
      </c>
      <c r="B11491" s="2" t="s">
        <v>11564</v>
      </c>
      <c r="C11491" s="2" t="str">
        <f>"10506934"</f>
        <v>10506934</v>
      </c>
      <c r="D11491" s="2">
        <v>0.20599999999999999</v>
      </c>
      <c r="E11491" s="2">
        <v>23</v>
      </c>
      <c r="F11491" s="2" t="s">
        <v>6</v>
      </c>
    </row>
    <row r="11492" spans="1:6" ht="25.5">
      <c r="A11492" s="2">
        <v>11489</v>
      </c>
      <c r="B11492" s="2" t="s">
        <v>11565</v>
      </c>
      <c r="C11492" s="2" t="str">
        <f>"15325032"</f>
        <v>15325032</v>
      </c>
      <c r="D11492" s="2">
        <v>0.33500000000000002</v>
      </c>
      <c r="E11492" s="2">
        <v>17</v>
      </c>
      <c r="F11492" s="2" t="s">
        <v>16</v>
      </c>
    </row>
    <row r="11493" spans="1:6" ht="25.5">
      <c r="A11493" s="2">
        <v>11490</v>
      </c>
      <c r="B11493" s="2" t="s">
        <v>11566</v>
      </c>
      <c r="C11493" s="2" t="str">
        <f>"09504230"</f>
        <v>09504230</v>
      </c>
      <c r="D11493" s="2">
        <v>0.70599999999999996</v>
      </c>
      <c r="E11493" s="2">
        <v>33</v>
      </c>
      <c r="F11493" s="2" t="s">
        <v>75</v>
      </c>
    </row>
    <row r="11494" spans="1:6" ht="25.5">
      <c r="A11494" s="2">
        <v>11491</v>
      </c>
      <c r="B11494" s="2" t="s">
        <v>11567</v>
      </c>
      <c r="C11494" s="2" t="str">
        <f>"15260976"</f>
        <v>15260976</v>
      </c>
      <c r="D11494" s="2">
        <v>0.40899999999999997</v>
      </c>
      <c r="E11494" s="2">
        <v>23</v>
      </c>
      <c r="F11494" s="2" t="s">
        <v>6</v>
      </c>
    </row>
    <row r="11495" spans="1:6" ht="25.5">
      <c r="A11495" s="2">
        <v>11492</v>
      </c>
      <c r="B11495" s="2" t="s">
        <v>11568</v>
      </c>
      <c r="C11495" s="2" t="str">
        <f>"14613484"</f>
        <v>14613484</v>
      </c>
      <c r="D11495" s="2">
        <v>0.14599999999999999</v>
      </c>
      <c r="E11495" s="2">
        <v>10</v>
      </c>
      <c r="F11495" s="2" t="s">
        <v>16</v>
      </c>
    </row>
    <row r="11496" spans="1:6" ht="25.5">
      <c r="A11496" s="2">
        <v>11493</v>
      </c>
      <c r="B11496" s="2" t="s">
        <v>11569</v>
      </c>
      <c r="C11496" s="2" t="str">
        <f>"15462005"</f>
        <v>15462005</v>
      </c>
      <c r="D11496" s="2">
        <v>0.20100000000000001</v>
      </c>
      <c r="E11496" s="2">
        <v>8</v>
      </c>
      <c r="F11496" s="2" t="s">
        <v>6</v>
      </c>
    </row>
    <row r="11497" spans="1:6" ht="25.5">
      <c r="A11497" s="2">
        <v>11494</v>
      </c>
      <c r="B11497" s="2" t="s">
        <v>11570</v>
      </c>
      <c r="C11497" s="2" t="str">
        <f>"15737357"</f>
        <v>15737357</v>
      </c>
      <c r="D11497" s="2">
        <v>0.98599999999999999</v>
      </c>
      <c r="E11497" s="2">
        <v>45</v>
      </c>
      <c r="F11497" s="2" t="s">
        <v>6</v>
      </c>
    </row>
    <row r="11498" spans="1:6" ht="25.5">
      <c r="A11498" s="2">
        <v>11495</v>
      </c>
      <c r="B11498" s="2" t="s">
        <v>11571</v>
      </c>
      <c r="C11498" s="2" t="str">
        <f>"00222313"</f>
        <v>00222313</v>
      </c>
      <c r="D11498" s="2">
        <v>0.76200000000000001</v>
      </c>
      <c r="E11498" s="2">
        <v>76</v>
      </c>
      <c r="F11498" s="2" t="s">
        <v>75</v>
      </c>
    </row>
    <row r="11499" spans="1:6" ht="25.5">
      <c r="A11499" s="2">
        <v>11496</v>
      </c>
      <c r="B11499" s="2" t="s">
        <v>11572</v>
      </c>
      <c r="C11499" s="2" t="str">
        <f>"15337928"</f>
        <v>15337928</v>
      </c>
      <c r="D11499" s="2">
        <v>2.6920000000000002</v>
      </c>
      <c r="E11499" s="2">
        <v>78</v>
      </c>
      <c r="F11499" s="2" t="s">
        <v>6</v>
      </c>
    </row>
    <row r="11500" spans="1:6" ht="25.5">
      <c r="A11500" s="2">
        <v>11497</v>
      </c>
      <c r="B11500" s="2" t="s">
        <v>11573</v>
      </c>
      <c r="C11500" s="2" t="str">
        <f>"10526188"</f>
        <v>10526188</v>
      </c>
      <c r="D11500" s="2">
        <v>0.128</v>
      </c>
      <c r="E11500" s="2">
        <v>3</v>
      </c>
      <c r="F11500" s="2" t="s">
        <v>6</v>
      </c>
    </row>
    <row r="11501" spans="1:6" ht="25.5">
      <c r="A11501" s="2">
        <v>11498</v>
      </c>
      <c r="B11501" s="2" t="s">
        <v>11574</v>
      </c>
      <c r="C11501" s="2" t="str">
        <f>"01640704"</f>
        <v>01640704</v>
      </c>
      <c r="D11501" s="2">
        <v>0.45400000000000001</v>
      </c>
      <c r="E11501" s="2">
        <v>22</v>
      </c>
      <c r="F11501" s="2" t="s">
        <v>75</v>
      </c>
    </row>
    <row r="11502" spans="1:6" ht="25.5">
      <c r="A11502" s="2">
        <v>11499</v>
      </c>
      <c r="B11502" s="2" t="s">
        <v>11575</v>
      </c>
      <c r="C11502" s="2" t="str">
        <f>"02761467"</f>
        <v>02761467</v>
      </c>
      <c r="D11502" s="2">
        <v>0.54800000000000004</v>
      </c>
      <c r="E11502" s="2">
        <v>19</v>
      </c>
      <c r="F11502" s="2" t="s">
        <v>6</v>
      </c>
    </row>
    <row r="11503" spans="1:6" ht="25.5">
      <c r="A11503" s="2">
        <v>11500</v>
      </c>
      <c r="B11503" s="2" t="s">
        <v>11576</v>
      </c>
      <c r="C11503" s="2" t="str">
        <f>"1525609X"</f>
        <v>1525609X</v>
      </c>
      <c r="D11503" s="2">
        <v>0.318</v>
      </c>
      <c r="E11503" s="2">
        <v>28</v>
      </c>
      <c r="F11503" s="2" t="s">
        <v>16</v>
      </c>
    </row>
    <row r="11504" spans="1:6" ht="25.5">
      <c r="A11504" s="2">
        <v>11501</v>
      </c>
      <c r="B11504" s="2" t="s">
        <v>11577</v>
      </c>
      <c r="C11504" s="2" t="str">
        <f>"10601325"</f>
        <v>10601325</v>
      </c>
      <c r="D11504" s="2">
        <v>0.311</v>
      </c>
      <c r="E11504" s="2">
        <v>32</v>
      </c>
      <c r="F11504" s="2" t="s">
        <v>16</v>
      </c>
    </row>
    <row r="11505" spans="1:6" ht="25.5">
      <c r="A11505" s="2">
        <v>11502</v>
      </c>
      <c r="B11505" s="2" t="s">
        <v>11578</v>
      </c>
      <c r="C11505" s="2" t="str">
        <f>"10907807"</f>
        <v>10907807</v>
      </c>
      <c r="D11505" s="2">
        <v>0.95099999999999996</v>
      </c>
      <c r="E11505" s="2">
        <v>80</v>
      </c>
      <c r="F11505" s="2" t="s">
        <v>6</v>
      </c>
    </row>
    <row r="11506" spans="1:6" ht="25.5">
      <c r="A11506" s="2">
        <v>11503</v>
      </c>
      <c r="B11506" s="2" t="s">
        <v>11579</v>
      </c>
      <c r="C11506" s="2" t="str">
        <f>"15222586"</f>
        <v>15222586</v>
      </c>
      <c r="D11506" s="2">
        <v>1.33</v>
      </c>
      <c r="E11506" s="2">
        <v>100</v>
      </c>
      <c r="F11506" s="2" t="s">
        <v>6</v>
      </c>
    </row>
    <row r="11507" spans="1:6" ht="25.5">
      <c r="A11507" s="2">
        <v>11504</v>
      </c>
      <c r="B11507" s="2" t="s">
        <v>11580</v>
      </c>
      <c r="C11507" s="2" t="str">
        <f>"12261750"</f>
        <v>12261750</v>
      </c>
      <c r="D11507" s="2">
        <v>0.23599999999999999</v>
      </c>
      <c r="E11507" s="2">
        <v>6</v>
      </c>
      <c r="F11507" s="2" t="s">
        <v>274</v>
      </c>
    </row>
    <row r="11508" spans="1:6" ht="25.5">
      <c r="A11508" s="2">
        <v>11505</v>
      </c>
      <c r="B11508" s="2" t="s">
        <v>11581</v>
      </c>
      <c r="C11508" s="2" t="str">
        <f>"03048853"</f>
        <v>03048853</v>
      </c>
      <c r="D11508" s="2">
        <v>0.85799999999999998</v>
      </c>
      <c r="E11508" s="2">
        <v>102</v>
      </c>
      <c r="F11508" s="2" t="s">
        <v>75</v>
      </c>
    </row>
    <row r="11509" spans="1:6" ht="25.5">
      <c r="A11509" s="2">
        <v>11506</v>
      </c>
      <c r="B11509" s="2" t="s">
        <v>11582</v>
      </c>
      <c r="C11509" s="2" t="str">
        <f>"15737055"</f>
        <v>15737055</v>
      </c>
      <c r="D11509" s="2">
        <v>1.0229999999999999</v>
      </c>
      <c r="E11509" s="2">
        <v>30</v>
      </c>
      <c r="F11509" s="2" t="s">
        <v>6</v>
      </c>
    </row>
    <row r="11510" spans="1:6" ht="25.5">
      <c r="A11510" s="2">
        <v>11507</v>
      </c>
      <c r="B11510" s="2" t="s">
        <v>11583</v>
      </c>
      <c r="C11510" s="2" t="str">
        <f>"13417738"</f>
        <v>13417738</v>
      </c>
      <c r="D11510" s="2">
        <v>0.17</v>
      </c>
      <c r="E11510" s="2">
        <v>2</v>
      </c>
      <c r="F11510" s="2" t="s">
        <v>131</v>
      </c>
    </row>
    <row r="11511" spans="1:6" ht="25.5">
      <c r="A11511" s="2">
        <v>11508</v>
      </c>
      <c r="B11511" s="2" t="s">
        <v>11584</v>
      </c>
      <c r="C11511" s="2" t="str">
        <f>"15451542"</f>
        <v>15451542</v>
      </c>
      <c r="D11511" s="2">
        <v>1.117</v>
      </c>
      <c r="E11511" s="2">
        <v>59</v>
      </c>
      <c r="F11511" s="2" t="s">
        <v>6</v>
      </c>
    </row>
    <row r="11512" spans="1:6" ht="25.5">
      <c r="A11512" s="2">
        <v>11509</v>
      </c>
      <c r="B11512" s="2" t="s">
        <v>11585</v>
      </c>
      <c r="C11512" s="2" t="str">
        <f>"15737039"</f>
        <v>15737039</v>
      </c>
      <c r="D11512" s="2">
        <v>2.38</v>
      </c>
      <c r="E11512" s="2">
        <v>68</v>
      </c>
      <c r="F11512" s="2" t="s">
        <v>6</v>
      </c>
    </row>
    <row r="11513" spans="1:6" ht="25.5">
      <c r="A11513" s="2">
        <v>11510</v>
      </c>
      <c r="B11513" s="2" t="s">
        <v>11586</v>
      </c>
      <c r="C11513" s="2" t="str">
        <f>"10834087"</f>
        <v>10834087</v>
      </c>
      <c r="D11513" s="2">
        <v>0.96199999999999997</v>
      </c>
      <c r="E11513" s="2">
        <v>34</v>
      </c>
      <c r="F11513" s="2" t="s">
        <v>6</v>
      </c>
    </row>
    <row r="11514" spans="1:6" ht="25.5">
      <c r="A11514" s="2">
        <v>11511</v>
      </c>
      <c r="B11514" s="2" t="s">
        <v>11587</v>
      </c>
      <c r="C11514" s="2" t="str">
        <f>"15571211"</f>
        <v>15571211</v>
      </c>
      <c r="D11514" s="2">
        <v>4.726</v>
      </c>
      <c r="E11514" s="2">
        <v>101</v>
      </c>
      <c r="F11514" s="2" t="s">
        <v>6</v>
      </c>
    </row>
    <row r="11515" spans="1:6" ht="25.5">
      <c r="A11515" s="2">
        <v>11512</v>
      </c>
      <c r="B11515" s="2" t="s">
        <v>11588</v>
      </c>
      <c r="C11515" s="2" t="str">
        <f>"15588033"</f>
        <v>15588033</v>
      </c>
      <c r="D11515" s="2">
        <v>0.28799999999999998</v>
      </c>
      <c r="E11515" s="2">
        <v>4</v>
      </c>
      <c r="F11515" s="2" t="s">
        <v>6</v>
      </c>
    </row>
    <row r="11516" spans="1:6" ht="25.5">
      <c r="A11516" s="2">
        <v>11513</v>
      </c>
      <c r="B11516" s="2" t="s">
        <v>11589</v>
      </c>
      <c r="C11516" s="2" t="str">
        <f>"13853457"</f>
        <v>13853457</v>
      </c>
      <c r="D11516" s="2">
        <v>0.27</v>
      </c>
      <c r="E11516" s="2">
        <v>21</v>
      </c>
      <c r="F11516" s="2" t="s">
        <v>6</v>
      </c>
    </row>
    <row r="11517" spans="1:6" ht="25.5">
      <c r="A11517" s="2">
        <v>11514</v>
      </c>
      <c r="B11517" s="2" t="s">
        <v>11590</v>
      </c>
      <c r="C11517" s="2" t="str">
        <f>"18333672"</f>
        <v>18333672</v>
      </c>
      <c r="D11517" s="2">
        <v>0.25700000000000001</v>
      </c>
      <c r="E11517" s="2">
        <v>10</v>
      </c>
      <c r="F11517" s="2" t="s">
        <v>127</v>
      </c>
    </row>
    <row r="11518" spans="1:6" ht="25.5">
      <c r="A11518" s="2">
        <v>11515</v>
      </c>
      <c r="B11518" s="2" t="s">
        <v>11591</v>
      </c>
      <c r="C11518" s="2" t="str">
        <f>"2191477X"</f>
        <v>2191477X</v>
      </c>
      <c r="D11518" s="2">
        <v>0.14299999999999999</v>
      </c>
      <c r="E11518" s="2">
        <v>3</v>
      </c>
      <c r="F11518" s="2" t="s">
        <v>12</v>
      </c>
    </row>
    <row r="11519" spans="1:6" ht="25.5">
      <c r="A11519" s="2">
        <v>11516</v>
      </c>
      <c r="B11519" s="2" t="s">
        <v>11592</v>
      </c>
      <c r="C11519" s="2" t="str">
        <f>"02621711"</f>
        <v>02621711</v>
      </c>
      <c r="D11519" s="2">
        <v>0.26800000000000002</v>
      </c>
      <c r="E11519" s="2">
        <v>20</v>
      </c>
      <c r="F11519" s="2" t="s">
        <v>16</v>
      </c>
    </row>
    <row r="11520" spans="1:6" ht="25.5">
      <c r="A11520" s="2">
        <v>11517</v>
      </c>
      <c r="B11520" s="2" t="s">
        <v>11593</v>
      </c>
      <c r="C11520" s="2" t="str">
        <f>"15526658"</f>
        <v>15526658</v>
      </c>
      <c r="D11520" s="2">
        <v>0.52300000000000002</v>
      </c>
      <c r="E11520" s="2">
        <v>14</v>
      </c>
      <c r="F11520" s="2" t="s">
        <v>6</v>
      </c>
    </row>
    <row r="11521" spans="1:6" ht="25.5">
      <c r="A11521" s="2">
        <v>11518</v>
      </c>
      <c r="B11521" s="2" t="s">
        <v>11594</v>
      </c>
      <c r="C11521" s="2" t="str">
        <f>"0742597X"</f>
        <v>0742597X</v>
      </c>
      <c r="D11521" s="2">
        <v>0.56599999999999995</v>
      </c>
      <c r="E11521" s="2">
        <v>28</v>
      </c>
      <c r="F11521" s="2" t="s">
        <v>6</v>
      </c>
    </row>
    <row r="11522" spans="1:6" ht="25.5">
      <c r="A11522" s="2">
        <v>11519</v>
      </c>
      <c r="B11522" s="2" t="s">
        <v>11595</v>
      </c>
      <c r="C11522" s="2" t="str">
        <f>"07421222"</f>
        <v>07421222</v>
      </c>
      <c r="D11522" s="2">
        <v>1.5980000000000001</v>
      </c>
      <c r="E11522" s="2">
        <v>81</v>
      </c>
      <c r="F11522" s="2" t="s">
        <v>6</v>
      </c>
    </row>
    <row r="11523" spans="1:6" ht="25.5">
      <c r="A11523" s="2">
        <v>11520</v>
      </c>
      <c r="B11523" s="2" t="s">
        <v>11596</v>
      </c>
      <c r="C11523" s="2" t="str">
        <f>"10564926"</f>
        <v>10564926</v>
      </c>
      <c r="D11523" s="2">
        <v>0.5</v>
      </c>
      <c r="E11523" s="2">
        <v>28</v>
      </c>
      <c r="F11523" s="2" t="s">
        <v>6</v>
      </c>
    </row>
    <row r="11524" spans="1:6" ht="25.5">
      <c r="A11524" s="2">
        <v>11521</v>
      </c>
      <c r="B11524" s="2" t="s">
        <v>11597</v>
      </c>
      <c r="C11524" s="2" t="str">
        <f>"14766086"</f>
        <v>14766086</v>
      </c>
      <c r="D11524" s="2">
        <v>0.19700000000000001</v>
      </c>
      <c r="E11524" s="2">
        <v>3</v>
      </c>
      <c r="F11524" s="2" t="s">
        <v>16</v>
      </c>
    </row>
    <row r="11525" spans="1:6" ht="25.5">
      <c r="A11525" s="2">
        <v>11522</v>
      </c>
      <c r="B11525" s="2" t="s">
        <v>11598</v>
      </c>
      <c r="C11525" s="2" t="str">
        <f>"14676486"</f>
        <v>14676486</v>
      </c>
      <c r="D11525" s="2">
        <v>2.9950000000000001</v>
      </c>
      <c r="E11525" s="2">
        <v>79</v>
      </c>
      <c r="F11525" s="2" t="s">
        <v>16</v>
      </c>
    </row>
    <row r="11526" spans="1:6" ht="25.5">
      <c r="A11526" s="2">
        <v>11523</v>
      </c>
      <c r="B11526" s="2" t="s">
        <v>11599</v>
      </c>
      <c r="C11526" s="2" t="str">
        <f>"10453695"</f>
        <v>10453695</v>
      </c>
      <c r="D11526" s="2">
        <v>0.3</v>
      </c>
      <c r="E11526" s="2">
        <v>14</v>
      </c>
      <c r="F11526" s="2" t="s">
        <v>6</v>
      </c>
    </row>
    <row r="11527" spans="1:6" ht="25.5">
      <c r="A11527" s="2">
        <v>11524</v>
      </c>
      <c r="B11527" s="2" t="s">
        <v>11600</v>
      </c>
      <c r="C11527" s="2" t="str">
        <f>"02683946"</f>
        <v>02683946</v>
      </c>
      <c r="D11527" s="2">
        <v>0.71</v>
      </c>
      <c r="E11527" s="2">
        <v>28</v>
      </c>
      <c r="F11527" s="2" t="s">
        <v>16</v>
      </c>
    </row>
    <row r="11528" spans="1:6" ht="25.5">
      <c r="A11528" s="2">
        <v>11525</v>
      </c>
      <c r="B11528" s="2" t="s">
        <v>11601</v>
      </c>
      <c r="C11528" s="2" t="str">
        <f>"15326586"</f>
        <v>15326586</v>
      </c>
      <c r="D11528" s="2">
        <v>0.96499999999999997</v>
      </c>
      <c r="E11528" s="2">
        <v>45</v>
      </c>
      <c r="F11528" s="2" t="s">
        <v>6</v>
      </c>
    </row>
    <row r="11529" spans="1:6" ht="25.5">
      <c r="A11529" s="2">
        <v>11526</v>
      </c>
      <c r="B11529" s="2" t="s">
        <v>11602</v>
      </c>
      <c r="C11529" s="2" t="str">
        <f>"10669817"</f>
        <v>10669817</v>
      </c>
      <c r="D11529" s="2">
        <v>0.623</v>
      </c>
      <c r="E11529" s="2">
        <v>15</v>
      </c>
      <c r="F11529" s="2" t="s">
        <v>6</v>
      </c>
    </row>
    <row r="11530" spans="1:6" ht="25.5">
      <c r="A11530" s="2">
        <v>11527</v>
      </c>
      <c r="B11530" s="2" t="s">
        <v>11603</v>
      </c>
      <c r="C11530" s="2" t="str">
        <f>"15266125"</f>
        <v>15266125</v>
      </c>
      <c r="D11530" s="2">
        <v>1</v>
      </c>
      <c r="E11530" s="2">
        <v>14</v>
      </c>
      <c r="F11530" s="2" t="s">
        <v>75</v>
      </c>
    </row>
    <row r="11531" spans="1:6" ht="25.5">
      <c r="A11531" s="2">
        <v>11528</v>
      </c>
      <c r="B11531" s="2" t="s">
        <v>11604</v>
      </c>
      <c r="C11531" s="2" t="str">
        <f>"10871357"</f>
        <v>10871357</v>
      </c>
      <c r="D11531" s="2">
        <v>0.74299999999999999</v>
      </c>
      <c r="E11531" s="2">
        <v>55</v>
      </c>
      <c r="F11531" s="2" t="s">
        <v>6</v>
      </c>
    </row>
    <row r="11532" spans="1:6" ht="25.5">
      <c r="A11532" s="2">
        <v>11529</v>
      </c>
      <c r="B11532" s="2" t="s">
        <v>11605</v>
      </c>
      <c r="C11532" s="2" t="str">
        <f>"02786125"</f>
        <v>02786125</v>
      </c>
      <c r="D11532" s="2">
        <v>0.77500000000000002</v>
      </c>
      <c r="E11532" s="2">
        <v>31</v>
      </c>
      <c r="F11532" s="2" t="s">
        <v>75</v>
      </c>
    </row>
    <row r="11533" spans="1:6" ht="25.5">
      <c r="A11533" s="2">
        <v>11530</v>
      </c>
      <c r="B11533" s="2" t="s">
        <v>11606</v>
      </c>
      <c r="C11533" s="2" t="str">
        <f>"1741038X"</f>
        <v>1741038X</v>
      </c>
      <c r="D11533" s="2">
        <v>0.69099999999999995</v>
      </c>
      <c r="E11533" s="2">
        <v>30</v>
      </c>
      <c r="F11533" s="2" t="s">
        <v>16</v>
      </c>
    </row>
    <row r="11534" spans="1:6" ht="25.5">
      <c r="A11534" s="2">
        <v>11531</v>
      </c>
      <c r="B11534" s="2" t="s">
        <v>11607</v>
      </c>
      <c r="C11534" s="2" t="str">
        <f>"15420361"</f>
        <v>15420361</v>
      </c>
      <c r="D11534" s="2">
        <v>0.16400000000000001</v>
      </c>
      <c r="E11534" s="2">
        <v>4</v>
      </c>
      <c r="F11534" s="2" t="s">
        <v>16</v>
      </c>
    </row>
    <row r="11535" spans="1:6" ht="25.5">
      <c r="A11535" s="2">
        <v>11532</v>
      </c>
      <c r="B11535" s="2" t="s">
        <v>11608</v>
      </c>
      <c r="C11535" s="2" t="str">
        <f>"1061026X"</f>
        <v>1061026X</v>
      </c>
      <c r="D11535" s="2">
        <v>0.105</v>
      </c>
      <c r="E11535" s="2">
        <v>10</v>
      </c>
      <c r="F11535" s="2" t="s">
        <v>6</v>
      </c>
    </row>
    <row r="11536" spans="1:6" ht="25.5">
      <c r="A11536" s="2">
        <v>11533</v>
      </c>
      <c r="B11536" s="2" t="s">
        <v>11609</v>
      </c>
      <c r="C11536" s="2" t="str">
        <f>"15439542"</f>
        <v>15439542</v>
      </c>
      <c r="D11536" s="2">
        <v>0.91800000000000004</v>
      </c>
      <c r="E11536" s="2">
        <v>46</v>
      </c>
      <c r="F11536" s="2" t="s">
        <v>6</v>
      </c>
    </row>
    <row r="11537" spans="1:6" ht="25.5">
      <c r="A11537" s="2">
        <v>11534</v>
      </c>
      <c r="B11537" s="2" t="s">
        <v>11610</v>
      </c>
      <c r="C11537" s="2" t="str">
        <f>"19935048"</f>
        <v>19935048</v>
      </c>
      <c r="D11537" s="2">
        <v>0.35699999999999998</v>
      </c>
      <c r="E11537" s="2">
        <v>6</v>
      </c>
      <c r="F11537" s="2" t="s">
        <v>46</v>
      </c>
    </row>
    <row r="11538" spans="1:6" ht="25.5">
      <c r="A11538" s="2">
        <v>11535</v>
      </c>
      <c r="B11538" s="2" t="s">
        <v>11611</v>
      </c>
      <c r="C11538" s="2" t="str">
        <f>"14378213"</f>
        <v>14378213</v>
      </c>
      <c r="D11538" s="2">
        <v>0.48499999999999999</v>
      </c>
      <c r="E11538" s="2">
        <v>19</v>
      </c>
      <c r="F11538" s="2" t="s">
        <v>131</v>
      </c>
    </row>
    <row r="11539" spans="1:6" ht="25.5">
      <c r="A11539" s="2">
        <v>11536</v>
      </c>
      <c r="B11539" s="2" t="s">
        <v>11611</v>
      </c>
      <c r="C11539" s="2" t="str">
        <f>"10232796"</f>
        <v>10232796</v>
      </c>
      <c r="D11539" s="2">
        <v>0.20899999999999999</v>
      </c>
      <c r="E11539" s="2">
        <v>13</v>
      </c>
      <c r="F11539" s="2" t="s">
        <v>165</v>
      </c>
    </row>
    <row r="11540" spans="1:6" ht="25.5">
      <c r="A11540" s="2">
        <v>11537</v>
      </c>
      <c r="B11540" s="2" t="s">
        <v>11612</v>
      </c>
      <c r="C11540" s="2" t="str">
        <f>"09247963"</f>
        <v>09247963</v>
      </c>
      <c r="D11540" s="2">
        <v>1.252</v>
      </c>
      <c r="E11540" s="2">
        <v>59</v>
      </c>
      <c r="F11540" s="2" t="s">
        <v>75</v>
      </c>
    </row>
    <row r="11541" spans="1:6" ht="25.5">
      <c r="A11541" s="2">
        <v>11538</v>
      </c>
      <c r="B11541" s="2" t="s">
        <v>11613</v>
      </c>
      <c r="C11541" s="2" t="str">
        <f>"17520606"</f>
        <v>17520606</v>
      </c>
      <c r="D11541" s="2">
        <v>0.55500000000000005</v>
      </c>
      <c r="E11541" s="2">
        <v>35</v>
      </c>
      <c r="F11541" s="2" t="s">
        <v>16</v>
      </c>
    </row>
    <row r="11542" spans="1:6" ht="25.5">
      <c r="A11542" s="2">
        <v>11539</v>
      </c>
      <c r="B11542" s="2" t="s">
        <v>11614</v>
      </c>
      <c r="C11542" s="2" t="str">
        <f>"15572293"</f>
        <v>15572293</v>
      </c>
      <c r="D11542" s="2">
        <v>0.29299999999999998</v>
      </c>
      <c r="E11542" s="2">
        <v>4</v>
      </c>
      <c r="F11542" s="2" t="s">
        <v>6</v>
      </c>
    </row>
    <row r="11543" spans="1:6" ht="25.5">
      <c r="A11543" s="2">
        <v>11540</v>
      </c>
      <c r="B11543" s="2" t="s">
        <v>11615</v>
      </c>
      <c r="C11543" s="2" t="str">
        <f>"00222410"</f>
        <v>00222410</v>
      </c>
      <c r="D11543" s="2">
        <v>0.152</v>
      </c>
      <c r="E11543" s="2">
        <v>5</v>
      </c>
      <c r="F11543" s="2" t="s">
        <v>75</v>
      </c>
    </row>
    <row r="11544" spans="1:6" ht="25.5">
      <c r="A11544" s="2">
        <v>11541</v>
      </c>
      <c r="B11544" s="2" t="s">
        <v>11616</v>
      </c>
      <c r="C11544" s="2" t="str">
        <f>"16979133"</f>
        <v>16979133</v>
      </c>
      <c r="D11544" s="2">
        <v>0.13600000000000001</v>
      </c>
      <c r="E11544" s="2">
        <v>3</v>
      </c>
      <c r="F11544" s="2" t="s">
        <v>351</v>
      </c>
    </row>
    <row r="11545" spans="1:6" ht="25.5">
      <c r="A11545" s="2">
        <v>11542</v>
      </c>
      <c r="B11545" s="2" t="s">
        <v>11617</v>
      </c>
      <c r="C11545" s="2" t="str">
        <f>"15477185"</f>
        <v>15477185</v>
      </c>
      <c r="D11545" s="2">
        <v>5.585</v>
      </c>
      <c r="E11545" s="2">
        <v>130</v>
      </c>
      <c r="F11545" s="2" t="s">
        <v>6</v>
      </c>
    </row>
    <row r="11546" spans="1:6" ht="25.5">
      <c r="A11546" s="2">
        <v>11543</v>
      </c>
      <c r="B11546" s="2" t="s">
        <v>11618</v>
      </c>
      <c r="C11546" s="2" t="str">
        <f>"15407039"</f>
        <v>15407039</v>
      </c>
      <c r="D11546" s="2">
        <v>0.21299999999999999</v>
      </c>
      <c r="E11546" s="2">
        <v>5</v>
      </c>
      <c r="F11546" s="2" t="s">
        <v>16</v>
      </c>
    </row>
    <row r="11547" spans="1:6" ht="25.5">
      <c r="A11547" s="2">
        <v>11544</v>
      </c>
      <c r="B11547" s="2" t="s">
        <v>11619</v>
      </c>
      <c r="C11547" s="2" t="str">
        <f>"14664445"</f>
        <v>14664445</v>
      </c>
      <c r="D11547" s="2">
        <v>0.36399999999999999</v>
      </c>
      <c r="E11547" s="2">
        <v>15</v>
      </c>
      <c r="F11547" s="2" t="s">
        <v>16</v>
      </c>
    </row>
    <row r="11548" spans="1:6" ht="25.5">
      <c r="A11548" s="2">
        <v>11545</v>
      </c>
      <c r="B11548" s="2" t="s">
        <v>11620</v>
      </c>
      <c r="C11548" s="2" t="str">
        <f>"15526550"</f>
        <v>15526550</v>
      </c>
      <c r="D11548" s="2">
        <v>0.45500000000000002</v>
      </c>
      <c r="E11548" s="2">
        <v>18</v>
      </c>
      <c r="F11548" s="2" t="s">
        <v>6</v>
      </c>
    </row>
    <row r="11549" spans="1:6" ht="25.5">
      <c r="A11549" s="2">
        <v>11546</v>
      </c>
      <c r="B11549" s="2" t="s">
        <v>11621</v>
      </c>
      <c r="C11549" s="2" t="str">
        <f>"15407144"</f>
        <v>15407144</v>
      </c>
      <c r="D11549" s="2">
        <v>0.51400000000000001</v>
      </c>
      <c r="E11549" s="2">
        <v>8</v>
      </c>
      <c r="F11549" s="2" t="s">
        <v>16</v>
      </c>
    </row>
    <row r="11550" spans="1:6" ht="25.5">
      <c r="A11550" s="2">
        <v>11547</v>
      </c>
      <c r="B11550" s="2" t="s">
        <v>11622</v>
      </c>
      <c r="C11550" s="2" t="str">
        <f>"0267257X"</f>
        <v>0267257X</v>
      </c>
      <c r="D11550" s="2">
        <v>0.27900000000000003</v>
      </c>
      <c r="E11550" s="2">
        <v>4</v>
      </c>
      <c r="F11550" s="2" t="s">
        <v>16</v>
      </c>
    </row>
    <row r="11551" spans="1:6" ht="25.5">
      <c r="A11551" s="2">
        <v>11548</v>
      </c>
      <c r="B11551" s="2" t="s">
        <v>11623</v>
      </c>
      <c r="C11551" s="2" t="str">
        <f>"15477193"</f>
        <v>15477193</v>
      </c>
      <c r="D11551" s="2">
        <v>3.9079999999999999</v>
      </c>
      <c r="E11551" s="2">
        <v>91</v>
      </c>
      <c r="F11551" s="2" t="s">
        <v>6</v>
      </c>
    </row>
    <row r="11552" spans="1:6" ht="25.5">
      <c r="A11552" s="2">
        <v>11549</v>
      </c>
      <c r="B11552" s="2" t="s">
        <v>11624</v>
      </c>
      <c r="C11552" s="2" t="str">
        <f>"10696679"</f>
        <v>10696679</v>
      </c>
      <c r="D11552" s="2">
        <v>1.054</v>
      </c>
      <c r="E11552" s="2">
        <v>15</v>
      </c>
      <c r="F11552" s="2" t="s">
        <v>6</v>
      </c>
    </row>
    <row r="11553" spans="1:6" ht="25.5">
      <c r="A11553" s="2">
        <v>11550</v>
      </c>
      <c r="B11553" s="2" t="s">
        <v>11625</v>
      </c>
      <c r="C11553" s="2" t="str">
        <f>"17413737"</f>
        <v>17413737</v>
      </c>
      <c r="D11553" s="2">
        <v>2.714</v>
      </c>
      <c r="E11553" s="2">
        <v>89</v>
      </c>
      <c r="F11553" s="2" t="s">
        <v>16</v>
      </c>
    </row>
    <row r="11554" spans="1:6" ht="25.5">
      <c r="A11554" s="2">
        <v>11551</v>
      </c>
      <c r="B11554" s="2" t="s">
        <v>11626</v>
      </c>
      <c r="C11554" s="2" t="str">
        <f>"08900523"</f>
        <v>08900523</v>
      </c>
      <c r="D11554" s="2">
        <v>0.14599999999999999</v>
      </c>
      <c r="E11554" s="2">
        <v>2</v>
      </c>
      <c r="F11554" s="2" t="s">
        <v>6</v>
      </c>
    </row>
    <row r="11555" spans="1:6" ht="25.5">
      <c r="A11555" s="2">
        <v>11552</v>
      </c>
      <c r="B11555" s="2" t="s">
        <v>11627</v>
      </c>
      <c r="C11555" s="2" t="str">
        <f>"10969888"</f>
        <v>10969888</v>
      </c>
      <c r="D11555" s="2">
        <v>1.1180000000000001</v>
      </c>
      <c r="E11555" s="2">
        <v>86</v>
      </c>
      <c r="F11555" s="2" t="s">
        <v>16</v>
      </c>
    </row>
    <row r="11556" spans="1:6" ht="25.5">
      <c r="A11556" s="2">
        <v>11553</v>
      </c>
      <c r="B11556" s="2" t="s">
        <v>11628</v>
      </c>
      <c r="C11556" s="2" t="str">
        <f>"13591835"</f>
        <v>13591835</v>
      </c>
      <c r="D11556" s="2">
        <v>0.28599999999999998</v>
      </c>
      <c r="E11556" s="2">
        <v>18</v>
      </c>
      <c r="F11556" s="2" t="s">
        <v>16</v>
      </c>
    </row>
    <row r="11557" spans="1:6" ht="25.5">
      <c r="A11557" s="2">
        <v>11554</v>
      </c>
      <c r="B11557" s="2" t="s">
        <v>11629</v>
      </c>
      <c r="C11557" s="2" t="str">
        <f>"16118227"</f>
        <v>16118227</v>
      </c>
      <c r="D11557" s="2">
        <v>0.32700000000000001</v>
      </c>
      <c r="E11557" s="2">
        <v>13</v>
      </c>
      <c r="F11557" s="2" t="s">
        <v>131</v>
      </c>
    </row>
    <row r="11558" spans="1:6" ht="25.5">
      <c r="A11558" s="2">
        <v>11555</v>
      </c>
      <c r="B11558" s="2" t="s">
        <v>11630</v>
      </c>
      <c r="C11558" s="2" t="str">
        <f>"20282508"</f>
        <v>20282508</v>
      </c>
      <c r="D11558" s="2">
        <v>0.17399999999999999</v>
      </c>
      <c r="E11558" s="2">
        <v>5</v>
      </c>
      <c r="F11558" s="2" t="s">
        <v>11631</v>
      </c>
    </row>
    <row r="11559" spans="1:6" ht="25.5">
      <c r="A11559" s="2">
        <v>11556</v>
      </c>
      <c r="B11559" s="2" t="s">
        <v>11632</v>
      </c>
      <c r="C11559" s="2" t="str">
        <f>"13645501"</f>
        <v>13645501</v>
      </c>
      <c r="D11559" s="2">
        <v>2.3820000000000001</v>
      </c>
      <c r="E11559" s="2">
        <v>150</v>
      </c>
      <c r="F11559" s="2" t="s">
        <v>16</v>
      </c>
    </row>
    <row r="11560" spans="1:6" ht="25.5">
      <c r="A11560" s="2">
        <v>11557</v>
      </c>
      <c r="B11560" s="2" t="s">
        <v>11633</v>
      </c>
      <c r="C11560" s="2" t="str">
        <f>"07387989"</f>
        <v>07387989</v>
      </c>
      <c r="D11560" s="2">
        <v>0.16900000000000001</v>
      </c>
      <c r="E11560" s="2">
        <v>1</v>
      </c>
      <c r="F11560" s="2" t="s">
        <v>6</v>
      </c>
    </row>
    <row r="11561" spans="1:6" ht="25.5">
      <c r="A11561" s="2">
        <v>11558</v>
      </c>
      <c r="B11561" s="2" t="s">
        <v>11634</v>
      </c>
      <c r="C11561" s="2" t="str">
        <f>"15441024"</f>
        <v>15441024</v>
      </c>
      <c r="D11561" s="2">
        <v>0.48199999999999998</v>
      </c>
      <c r="E11561" s="2">
        <v>28</v>
      </c>
      <c r="F11561" s="2" t="s">
        <v>6</v>
      </c>
    </row>
    <row r="11562" spans="1:6" ht="25.5">
      <c r="A11562" s="2">
        <v>11559</v>
      </c>
      <c r="B11562" s="2" t="s">
        <v>11635</v>
      </c>
      <c r="C11562" s="2" t="str">
        <f>"08991561"</f>
        <v>08991561</v>
      </c>
      <c r="D11562" s="2">
        <v>0.75800000000000001</v>
      </c>
      <c r="E11562" s="2">
        <v>40</v>
      </c>
      <c r="F11562" s="2" t="s">
        <v>6</v>
      </c>
    </row>
    <row r="11563" spans="1:6" ht="25.5">
      <c r="A11563" s="2">
        <v>11560</v>
      </c>
      <c r="B11563" s="2" t="s">
        <v>11636</v>
      </c>
      <c r="C11563" s="2" t="str">
        <f>"18734774"</f>
        <v>18734774</v>
      </c>
      <c r="D11563" s="2">
        <v>1.669</v>
      </c>
      <c r="E11563" s="2">
        <v>83</v>
      </c>
      <c r="F11563" s="2" t="s">
        <v>75</v>
      </c>
    </row>
    <row r="11564" spans="1:6" ht="25.5">
      <c r="A11564" s="2">
        <v>11561</v>
      </c>
      <c r="B11564" s="2" t="s">
        <v>11637</v>
      </c>
      <c r="C11564" s="2" t="str">
        <f>"08842914"</f>
        <v>08842914</v>
      </c>
      <c r="D11564" s="2">
        <v>0.83699999999999997</v>
      </c>
      <c r="E11564" s="2">
        <v>100</v>
      </c>
      <c r="F11564" s="2" t="s">
        <v>6</v>
      </c>
    </row>
    <row r="11565" spans="1:6" ht="25.5">
      <c r="A11565" s="2">
        <v>11562</v>
      </c>
      <c r="B11565" s="2" t="s">
        <v>11638</v>
      </c>
      <c r="C11565" s="2" t="str">
        <f>"15734803"</f>
        <v>15734803</v>
      </c>
      <c r="D11565" s="2">
        <v>0.90900000000000003</v>
      </c>
      <c r="E11565" s="2">
        <v>91</v>
      </c>
      <c r="F11565" s="2" t="s">
        <v>75</v>
      </c>
    </row>
    <row r="11566" spans="1:6" ht="25.5">
      <c r="A11566" s="2">
        <v>11563</v>
      </c>
      <c r="B11566" s="2" t="s">
        <v>11639</v>
      </c>
      <c r="C11566" s="2" t="str">
        <f>"10050302"</f>
        <v>10050302</v>
      </c>
      <c r="D11566" s="2">
        <v>0.625</v>
      </c>
      <c r="E11566" s="2">
        <v>23</v>
      </c>
      <c r="F11566" s="2" t="s">
        <v>46</v>
      </c>
    </row>
    <row r="11567" spans="1:6" ht="25.5">
      <c r="A11567" s="2">
        <v>11564</v>
      </c>
      <c r="B11567" s="2" t="s">
        <v>11640</v>
      </c>
      <c r="C11567" s="2" t="str">
        <f>"1573482X"</f>
        <v>1573482X</v>
      </c>
      <c r="D11567" s="2">
        <v>0.52</v>
      </c>
      <c r="E11567" s="2">
        <v>43</v>
      </c>
      <c r="F11567" s="2" t="s">
        <v>6</v>
      </c>
    </row>
    <row r="11568" spans="1:6" ht="25.5">
      <c r="A11568" s="2">
        <v>11565</v>
      </c>
      <c r="B11568" s="2" t="s">
        <v>11641</v>
      </c>
      <c r="C11568" s="2" t="str">
        <f>"14767058"</f>
        <v>14767058</v>
      </c>
      <c r="D11568" s="2">
        <v>0.54600000000000004</v>
      </c>
      <c r="E11568" s="2">
        <v>42</v>
      </c>
      <c r="F11568" s="2" t="s">
        <v>16</v>
      </c>
    </row>
    <row r="11569" spans="1:6" ht="25.5">
      <c r="A11569" s="2">
        <v>11566</v>
      </c>
      <c r="B11569" s="2" t="s">
        <v>11642</v>
      </c>
      <c r="C11569" s="2" t="str">
        <f>"10960813"</f>
        <v>10960813</v>
      </c>
      <c r="D11569" s="2">
        <v>1.1719999999999999</v>
      </c>
      <c r="E11569" s="2">
        <v>80</v>
      </c>
      <c r="F11569" s="2" t="s">
        <v>6</v>
      </c>
    </row>
    <row r="11570" spans="1:6" ht="25.5">
      <c r="A11570" s="2">
        <v>11567</v>
      </c>
      <c r="B11570" s="2" t="s">
        <v>11643</v>
      </c>
      <c r="C11570" s="2" t="str">
        <f>"07323123"</f>
        <v>07323123</v>
      </c>
      <c r="D11570" s="2">
        <v>0.63700000000000001</v>
      </c>
      <c r="E11570" s="2">
        <v>22</v>
      </c>
      <c r="F11570" s="2" t="s">
        <v>6</v>
      </c>
    </row>
    <row r="11571" spans="1:6" ht="25.5">
      <c r="A11571" s="2">
        <v>11568</v>
      </c>
      <c r="B11571" s="2" t="s">
        <v>11644</v>
      </c>
      <c r="C11571" s="2" t="str">
        <f>"14321416"</f>
        <v>14321416</v>
      </c>
      <c r="D11571" s="2">
        <v>1.26</v>
      </c>
      <c r="E11571" s="2">
        <v>55</v>
      </c>
      <c r="F11571" s="2" t="s">
        <v>12</v>
      </c>
    </row>
    <row r="11572" spans="1:6" ht="25.5">
      <c r="A11572" s="2">
        <v>11569</v>
      </c>
      <c r="B11572" s="2" t="s">
        <v>11645</v>
      </c>
      <c r="C11572" s="2" t="str">
        <f>"15728897"</f>
        <v>15728897</v>
      </c>
      <c r="D11572" s="2">
        <v>0.46400000000000002</v>
      </c>
      <c r="E11572" s="2">
        <v>36</v>
      </c>
      <c r="F11572" s="2" t="s">
        <v>75</v>
      </c>
    </row>
    <row r="11573" spans="1:6" ht="25.5">
      <c r="A11573" s="2">
        <v>11570</v>
      </c>
      <c r="B11573" s="2" t="s">
        <v>11646</v>
      </c>
      <c r="C11573" s="2" t="str">
        <f>"18622976"</f>
        <v>18622976</v>
      </c>
      <c r="D11573" s="2">
        <v>0.91</v>
      </c>
      <c r="E11573" s="2">
        <v>8</v>
      </c>
      <c r="F11573" s="2" t="s">
        <v>12</v>
      </c>
    </row>
    <row r="11574" spans="1:6" ht="25.5">
      <c r="A11574" s="2">
        <v>11571</v>
      </c>
      <c r="B11574" s="2" t="s">
        <v>11647</v>
      </c>
      <c r="C11574" s="2" t="str">
        <f>"03044068"</f>
        <v>03044068</v>
      </c>
      <c r="D11574" s="2">
        <v>0.69099999999999995</v>
      </c>
      <c r="E11574" s="2">
        <v>24</v>
      </c>
      <c r="F11574" s="2" t="s">
        <v>75</v>
      </c>
    </row>
    <row r="11575" spans="1:6" ht="25.5">
      <c r="A11575" s="2">
        <v>11572</v>
      </c>
      <c r="B11575" s="2" t="s">
        <v>11648</v>
      </c>
      <c r="C11575" s="2" t="str">
        <f>"14226952"</f>
        <v>14226952</v>
      </c>
      <c r="D11575" s="2">
        <v>1.381</v>
      </c>
      <c r="E11575" s="2">
        <v>14</v>
      </c>
      <c r="F11575" s="2" t="s">
        <v>31</v>
      </c>
    </row>
    <row r="11576" spans="1:6" ht="25.5">
      <c r="A11576" s="2">
        <v>11573</v>
      </c>
      <c r="B11576" s="2" t="s">
        <v>11649</v>
      </c>
      <c r="C11576" s="2" t="str">
        <f>"15737683"</f>
        <v>15737683</v>
      </c>
      <c r="D11576" s="2">
        <v>1.661</v>
      </c>
      <c r="E11576" s="2">
        <v>41</v>
      </c>
      <c r="F11576" s="2" t="s">
        <v>75</v>
      </c>
    </row>
    <row r="11577" spans="1:6" ht="25.5">
      <c r="A11577" s="2">
        <v>11574</v>
      </c>
      <c r="B11577" s="2" t="s">
        <v>11650</v>
      </c>
      <c r="C11577" s="2" t="str">
        <f>"1846579X"</f>
        <v>1846579X</v>
      </c>
      <c r="D11577" s="2">
        <v>0.39800000000000002</v>
      </c>
      <c r="E11577" s="2">
        <v>4</v>
      </c>
      <c r="F11577" s="2" t="s">
        <v>149</v>
      </c>
    </row>
    <row r="11578" spans="1:6" ht="25.5">
      <c r="A11578" s="2">
        <v>11575</v>
      </c>
      <c r="B11578" s="2" t="s">
        <v>11651</v>
      </c>
      <c r="C11578" s="2" t="str">
        <f>"02190613"</f>
        <v>02190613</v>
      </c>
      <c r="D11578" s="2">
        <v>0.68100000000000005</v>
      </c>
      <c r="E11578" s="2">
        <v>4</v>
      </c>
      <c r="F11578" s="2" t="s">
        <v>543</v>
      </c>
    </row>
    <row r="11579" spans="1:6" ht="25.5">
      <c r="A11579" s="2">
        <v>11576</v>
      </c>
      <c r="B11579" s="2" t="s">
        <v>11652</v>
      </c>
      <c r="C11579" s="2" t="str">
        <f>"15701166"</f>
        <v>15701166</v>
      </c>
      <c r="D11579" s="2">
        <v>0.26400000000000001</v>
      </c>
      <c r="E11579" s="2">
        <v>15</v>
      </c>
      <c r="F11579" s="2" t="s">
        <v>75</v>
      </c>
    </row>
    <row r="11580" spans="1:6" ht="25.5">
      <c r="A11580" s="2">
        <v>11577</v>
      </c>
      <c r="B11580" s="2" t="s">
        <v>11653</v>
      </c>
      <c r="C11580" s="2" t="str">
        <f>"21908567"</f>
        <v>21908567</v>
      </c>
      <c r="D11580" s="2">
        <v>0</v>
      </c>
      <c r="E11580" s="2">
        <v>1</v>
      </c>
      <c r="F11580" s="2" t="s">
        <v>12</v>
      </c>
    </row>
    <row r="11581" spans="1:6" ht="25.5">
      <c r="A11581" s="2">
        <v>11578</v>
      </c>
      <c r="B11581" s="2" t="s">
        <v>11654</v>
      </c>
      <c r="C11581" s="2" t="str">
        <f>"10897658"</f>
        <v>10897658</v>
      </c>
      <c r="D11581" s="2">
        <v>0.66300000000000003</v>
      </c>
      <c r="E11581" s="2">
        <v>67</v>
      </c>
      <c r="F11581" s="2" t="s">
        <v>6</v>
      </c>
    </row>
    <row r="11582" spans="1:6" ht="25.5">
      <c r="A11582" s="2">
        <v>11579</v>
      </c>
      <c r="B11582" s="2" t="s">
        <v>11655</v>
      </c>
      <c r="C11582" s="2" t="str">
        <f>"10960880"</f>
        <v>10960880</v>
      </c>
      <c r="D11582" s="2">
        <v>1.2629999999999999</v>
      </c>
      <c r="E11582" s="2">
        <v>36</v>
      </c>
      <c r="F11582" s="2" t="s">
        <v>6</v>
      </c>
    </row>
    <row r="11583" spans="1:6" ht="25.5">
      <c r="A11583" s="2">
        <v>11580</v>
      </c>
      <c r="B11583" s="2" t="s">
        <v>11656</v>
      </c>
      <c r="C11583" s="2" t="str">
        <f>"10723374"</f>
        <v>10723374</v>
      </c>
      <c r="D11583" s="2">
        <v>0.27700000000000002</v>
      </c>
      <c r="E11583" s="2">
        <v>17</v>
      </c>
      <c r="F11583" s="2" t="s">
        <v>12</v>
      </c>
    </row>
    <row r="11584" spans="1:6" ht="25.5">
      <c r="A11584" s="2">
        <v>11581</v>
      </c>
      <c r="B11584" s="2" t="s">
        <v>11657</v>
      </c>
      <c r="C11584" s="2" t="str">
        <f>"13405705"</f>
        <v>13405705</v>
      </c>
      <c r="D11584" s="2">
        <v>0.105</v>
      </c>
      <c r="E11584" s="2">
        <v>0</v>
      </c>
      <c r="F11584" s="2" t="s">
        <v>131</v>
      </c>
    </row>
    <row r="11585" spans="1:6" ht="25.5">
      <c r="A11585" s="2">
        <v>11582</v>
      </c>
      <c r="B11585" s="2" t="s">
        <v>11658</v>
      </c>
      <c r="C11585" s="2" t="str">
        <f>"0022250X"</f>
        <v>0022250X</v>
      </c>
      <c r="D11585" s="2">
        <v>0.27500000000000002</v>
      </c>
      <c r="E11585" s="2">
        <v>18</v>
      </c>
      <c r="F11585" s="2" t="s">
        <v>16</v>
      </c>
    </row>
    <row r="11586" spans="1:6" ht="25.5">
      <c r="A11586" s="2">
        <v>11583</v>
      </c>
      <c r="B11586" s="2" t="s">
        <v>11659</v>
      </c>
      <c r="C11586" s="2" t="str">
        <f>"17459745"</f>
        <v>17459745</v>
      </c>
      <c r="D11586" s="2">
        <v>0.27600000000000002</v>
      </c>
      <c r="E11586" s="2">
        <v>2</v>
      </c>
      <c r="F11586" s="2" t="s">
        <v>16</v>
      </c>
    </row>
    <row r="11587" spans="1:6" ht="25.5">
      <c r="A11587" s="2">
        <v>11584</v>
      </c>
      <c r="B11587" s="2" t="s">
        <v>11660</v>
      </c>
      <c r="C11587" s="2" t="str">
        <f>"15493644"</f>
        <v>15493644</v>
      </c>
      <c r="D11587" s="2">
        <v>0.3</v>
      </c>
      <c r="E11587" s="2">
        <v>7</v>
      </c>
      <c r="F11587" s="2" t="s">
        <v>6</v>
      </c>
    </row>
    <row r="11588" spans="1:6" ht="25.5">
      <c r="A11588" s="2">
        <v>11585</v>
      </c>
      <c r="B11588" s="2" t="s">
        <v>11661</v>
      </c>
      <c r="C11588" s="2" t="str">
        <f>"17513472"</f>
        <v>17513472</v>
      </c>
      <c r="D11588" s="2">
        <v>0.13900000000000001</v>
      </c>
      <c r="E11588" s="2">
        <v>2</v>
      </c>
      <c r="F11588" s="2" t="s">
        <v>16</v>
      </c>
    </row>
    <row r="11589" spans="1:6" ht="25.5">
      <c r="A11589" s="2">
        <v>11586</v>
      </c>
      <c r="B11589" s="2" t="s">
        <v>11662</v>
      </c>
      <c r="C11589" s="2" t="str">
        <f>"21905983"</f>
        <v>21905983</v>
      </c>
      <c r="D11589" s="2">
        <v>0.23100000000000001</v>
      </c>
      <c r="E11589" s="2">
        <v>1</v>
      </c>
      <c r="F11589" s="2" t="s">
        <v>12</v>
      </c>
    </row>
    <row r="11590" spans="1:6" ht="25.5">
      <c r="A11590" s="2">
        <v>11587</v>
      </c>
      <c r="B11590" s="2" t="s">
        <v>11663</v>
      </c>
      <c r="C11590" s="2" t="str">
        <f>"0023608X"</f>
        <v>0023608X</v>
      </c>
      <c r="D11590" s="2">
        <v>0.65800000000000003</v>
      </c>
      <c r="E11590" s="2">
        <v>15</v>
      </c>
      <c r="F11590" s="2" t="s">
        <v>131</v>
      </c>
    </row>
    <row r="11591" spans="1:6" ht="25.5">
      <c r="A11591" s="2">
        <v>11588</v>
      </c>
      <c r="B11591" s="2" t="s">
        <v>11664</v>
      </c>
      <c r="C11591" s="2" t="str">
        <f>"13864416"</f>
        <v>13864416</v>
      </c>
      <c r="D11591" s="2">
        <v>0.49399999999999999</v>
      </c>
      <c r="E11591" s="2">
        <v>12</v>
      </c>
      <c r="F11591" s="2" t="s">
        <v>75</v>
      </c>
    </row>
    <row r="11592" spans="1:6" ht="25.5">
      <c r="A11592" s="2">
        <v>11589</v>
      </c>
      <c r="B11592" s="2" t="s">
        <v>11665</v>
      </c>
      <c r="C11592" s="2" t="str">
        <f>"17359279"</f>
        <v>17359279</v>
      </c>
      <c r="D11592" s="2">
        <v>0.13300000000000001</v>
      </c>
      <c r="E11592" s="2">
        <v>2</v>
      </c>
      <c r="F11592" s="2" t="s">
        <v>299</v>
      </c>
    </row>
    <row r="11593" spans="1:6" ht="25.5">
      <c r="A11593" s="2">
        <v>11590</v>
      </c>
      <c r="B11593" s="2" t="s">
        <v>11666</v>
      </c>
      <c r="C11593" s="2" t="str">
        <f>"10500472"</f>
        <v>10500472</v>
      </c>
      <c r="D11593" s="2">
        <v>0.71299999999999997</v>
      </c>
      <c r="E11593" s="2">
        <v>68</v>
      </c>
      <c r="F11593" s="2" t="s">
        <v>6</v>
      </c>
    </row>
    <row r="11594" spans="1:6" ht="25.5">
      <c r="A11594" s="2">
        <v>11591</v>
      </c>
      <c r="B11594" s="2" t="s">
        <v>11667</v>
      </c>
      <c r="C11594" s="2" t="str">
        <f>"18235514"</f>
        <v>18235514</v>
      </c>
      <c r="D11594" s="2">
        <v>0.10199999999999999</v>
      </c>
      <c r="E11594" s="2">
        <v>0</v>
      </c>
      <c r="F11594" s="2" t="s">
        <v>37</v>
      </c>
    </row>
    <row r="11595" spans="1:6" ht="25.5">
      <c r="A11595" s="2">
        <v>11592</v>
      </c>
      <c r="B11595" s="2" t="s">
        <v>11668</v>
      </c>
      <c r="C11595" s="2" t="str">
        <f>"19763824"</f>
        <v>19763824</v>
      </c>
      <c r="D11595" s="2">
        <v>0.40600000000000003</v>
      </c>
      <c r="E11595" s="2">
        <v>17</v>
      </c>
      <c r="F11595" s="2" t="s">
        <v>274</v>
      </c>
    </row>
    <row r="11596" spans="1:6" ht="25.5">
      <c r="A11596" s="2">
        <v>11593</v>
      </c>
      <c r="B11596" s="2" t="s">
        <v>11669</v>
      </c>
      <c r="C11596" s="2" t="str">
        <f>"17277191"</f>
        <v>17277191</v>
      </c>
      <c r="D11596" s="2">
        <v>0.252</v>
      </c>
      <c r="E11596" s="2">
        <v>11</v>
      </c>
      <c r="F11596" s="2" t="s">
        <v>16</v>
      </c>
    </row>
    <row r="11597" spans="1:6" ht="25.5">
      <c r="A11597" s="2">
        <v>11594</v>
      </c>
      <c r="B11597" s="2" t="s">
        <v>11670</v>
      </c>
      <c r="C11597" s="2" t="str">
        <f>"02195194"</f>
        <v>02195194</v>
      </c>
      <c r="D11597" s="2">
        <v>0.25800000000000001</v>
      </c>
      <c r="E11597" s="2">
        <v>8</v>
      </c>
      <c r="F11597" s="2" t="s">
        <v>543</v>
      </c>
    </row>
    <row r="11598" spans="1:6" ht="25.5">
      <c r="A11598" s="2">
        <v>11595</v>
      </c>
      <c r="B11598" s="2" t="s">
        <v>11671</v>
      </c>
      <c r="C11598" s="2" t="str">
        <f>"15593959"</f>
        <v>15593959</v>
      </c>
      <c r="D11598" s="2">
        <v>0.434</v>
      </c>
      <c r="E11598" s="2">
        <v>12</v>
      </c>
      <c r="F11598" s="2" t="s">
        <v>6</v>
      </c>
    </row>
    <row r="11599" spans="1:6" ht="25.5">
      <c r="A11599" s="2">
        <v>11596</v>
      </c>
      <c r="B11599" s="2" t="s">
        <v>11672</v>
      </c>
      <c r="C11599" s="2" t="str">
        <f>"19424310"</f>
        <v>19424310</v>
      </c>
      <c r="D11599" s="2">
        <v>0.73799999999999999</v>
      </c>
      <c r="E11599" s="2">
        <v>10</v>
      </c>
      <c r="F11599" s="2" t="s">
        <v>6</v>
      </c>
    </row>
    <row r="11600" spans="1:6" ht="25.5">
      <c r="A11600" s="2">
        <v>11597</v>
      </c>
      <c r="B11600" s="2" t="s">
        <v>11673</v>
      </c>
      <c r="C11600" s="2" t="str">
        <f>"16522354"</f>
        <v>16522354</v>
      </c>
      <c r="D11600" s="2">
        <v>0.10199999999999999</v>
      </c>
      <c r="E11600" s="2">
        <v>1</v>
      </c>
      <c r="F11600" s="2" t="s">
        <v>151</v>
      </c>
    </row>
    <row r="11601" spans="1:6" ht="25.5">
      <c r="A11601" s="2">
        <v>11598</v>
      </c>
      <c r="B11601" s="2" t="s">
        <v>11674</v>
      </c>
      <c r="C11601" s="2" t="str">
        <f>"15327736"</f>
        <v>15327736</v>
      </c>
      <c r="D11601" s="2">
        <v>0.249</v>
      </c>
      <c r="E11601" s="2">
        <v>16</v>
      </c>
      <c r="F11601" s="2" t="s">
        <v>16</v>
      </c>
    </row>
    <row r="11602" spans="1:6" ht="25.5">
      <c r="A11602" s="2">
        <v>11599</v>
      </c>
      <c r="B11602" s="2" t="s">
        <v>11675</v>
      </c>
      <c r="C11602" s="2" t="str">
        <f>"18641105"</f>
        <v>18641105</v>
      </c>
      <c r="D11602" s="2">
        <v>0.92700000000000005</v>
      </c>
      <c r="E11602" s="2">
        <v>7</v>
      </c>
      <c r="F11602" s="2" t="s">
        <v>6</v>
      </c>
    </row>
    <row r="11603" spans="1:6" ht="25.5">
      <c r="A11603" s="2">
        <v>11600</v>
      </c>
      <c r="B11603" s="2" t="s">
        <v>11676</v>
      </c>
      <c r="C11603" s="2" t="str">
        <f>"16090985"</f>
        <v>16090985</v>
      </c>
      <c r="D11603" s="2">
        <v>0.377</v>
      </c>
      <c r="E11603" s="2">
        <v>11</v>
      </c>
      <c r="F11603" s="2" t="s">
        <v>165</v>
      </c>
    </row>
    <row r="11604" spans="1:6" ht="25.5">
      <c r="A11604" s="2">
        <v>11601</v>
      </c>
      <c r="B11604" s="2" t="s">
        <v>11677</v>
      </c>
      <c r="C11604" s="2" t="str">
        <f>"13428810"</f>
        <v>13428810</v>
      </c>
      <c r="D11604" s="2">
        <v>0.17499999999999999</v>
      </c>
      <c r="E11604" s="2">
        <v>17</v>
      </c>
      <c r="F11604" s="2" t="s">
        <v>131</v>
      </c>
    </row>
    <row r="11605" spans="1:6" ht="25.5">
      <c r="A11605" s="2">
        <v>11602</v>
      </c>
      <c r="B11605" s="2" t="s">
        <v>11678</v>
      </c>
      <c r="C11605" s="2" t="str">
        <f>"14528266"</f>
        <v>14528266</v>
      </c>
      <c r="D11605" s="2">
        <v>0.223</v>
      </c>
      <c r="E11605" s="2">
        <v>7</v>
      </c>
      <c r="F11605" s="2" t="s">
        <v>212</v>
      </c>
    </row>
    <row r="11606" spans="1:6" ht="25.5">
      <c r="A11606" s="2">
        <v>11603</v>
      </c>
      <c r="B11606" s="2" t="s">
        <v>11679</v>
      </c>
      <c r="C11606" s="2" t="str">
        <f>"17581087"</f>
        <v>17581087</v>
      </c>
      <c r="D11606" s="2">
        <v>0.11600000000000001</v>
      </c>
      <c r="E11606" s="2">
        <v>6</v>
      </c>
      <c r="F11606" s="2" t="s">
        <v>16</v>
      </c>
    </row>
    <row r="11607" spans="1:6" ht="25.5">
      <c r="A11607" s="2">
        <v>11604</v>
      </c>
      <c r="B11607" s="2" t="s">
        <v>11680</v>
      </c>
      <c r="C11607" s="2" t="str">
        <f>"17521947"</f>
        <v>17521947</v>
      </c>
      <c r="D11607" s="2">
        <v>0.21199999999999999</v>
      </c>
      <c r="E11607" s="2">
        <v>12</v>
      </c>
      <c r="F11607" s="2" t="s">
        <v>16</v>
      </c>
    </row>
    <row r="11608" spans="1:6" ht="25.5">
      <c r="A11608" s="2">
        <v>11605</v>
      </c>
      <c r="B11608" s="2" t="s">
        <v>11681</v>
      </c>
      <c r="C11608" s="2" t="str">
        <f>"10001948"</f>
        <v>10001948</v>
      </c>
      <c r="D11608" s="2">
        <v>0.108</v>
      </c>
      <c r="E11608" s="2">
        <v>4</v>
      </c>
      <c r="F11608" s="2" t="s">
        <v>16</v>
      </c>
    </row>
    <row r="11609" spans="1:6" ht="25.5">
      <c r="A11609" s="2">
        <v>11606</v>
      </c>
      <c r="B11609" s="2" t="s">
        <v>11682</v>
      </c>
      <c r="C11609" s="2" t="str">
        <f>"1932619X"</f>
        <v>1932619X</v>
      </c>
      <c r="D11609" s="2">
        <v>0.27700000000000002</v>
      </c>
      <c r="E11609" s="2">
        <v>10</v>
      </c>
      <c r="F11609" s="2" t="s">
        <v>6</v>
      </c>
    </row>
    <row r="11610" spans="1:6" ht="25.5">
      <c r="A11610" s="2">
        <v>11607</v>
      </c>
      <c r="B11610" s="2" t="s">
        <v>11683</v>
      </c>
      <c r="C11610" s="2" t="str">
        <f>"1941837X"</f>
        <v>1941837X</v>
      </c>
      <c r="D11610" s="2">
        <v>0.503</v>
      </c>
      <c r="E11610" s="2">
        <v>17</v>
      </c>
      <c r="F11610" s="2" t="s">
        <v>16</v>
      </c>
    </row>
    <row r="11611" spans="1:6" ht="25.5">
      <c r="A11611" s="2">
        <v>11608</v>
      </c>
      <c r="B11611" s="2" t="s">
        <v>11684</v>
      </c>
      <c r="C11611" s="2" t="str">
        <f>"03091902"</f>
        <v>03091902</v>
      </c>
      <c r="D11611" s="2">
        <v>0.26700000000000002</v>
      </c>
      <c r="E11611" s="2">
        <v>24</v>
      </c>
      <c r="F11611" s="2" t="s">
        <v>16</v>
      </c>
    </row>
    <row r="11612" spans="1:6" ht="25.5">
      <c r="A11612" s="2">
        <v>11609</v>
      </c>
      <c r="B11612" s="2" t="s">
        <v>11685</v>
      </c>
      <c r="C11612" s="2" t="str">
        <f>"00222585"</f>
        <v>00222585</v>
      </c>
      <c r="D11612" s="2">
        <v>0.86699999999999999</v>
      </c>
      <c r="E11612" s="2">
        <v>57</v>
      </c>
      <c r="F11612" s="2" t="s">
        <v>6</v>
      </c>
    </row>
    <row r="11613" spans="1:6" ht="25.5">
      <c r="A11613" s="2">
        <v>11610</v>
      </c>
      <c r="B11613" s="2" t="s">
        <v>11686</v>
      </c>
      <c r="C11613" s="2" t="str">
        <f>"14734257"</f>
        <v>14734257</v>
      </c>
      <c r="D11613" s="2">
        <v>0.63400000000000001</v>
      </c>
      <c r="E11613" s="2">
        <v>38</v>
      </c>
      <c r="F11613" s="2" t="s">
        <v>16</v>
      </c>
    </row>
    <row r="11614" spans="1:6" ht="25.5">
      <c r="A11614" s="2">
        <v>11611</v>
      </c>
      <c r="B11614" s="2" t="s">
        <v>11687</v>
      </c>
      <c r="C11614" s="2" t="str">
        <f>"20080387"</f>
        <v>20080387</v>
      </c>
      <c r="D11614" s="2">
        <v>0.11600000000000001</v>
      </c>
      <c r="E11614" s="2">
        <v>2</v>
      </c>
      <c r="F11614" s="2" t="s">
        <v>299</v>
      </c>
    </row>
    <row r="11615" spans="1:6" ht="25.5">
      <c r="A11615" s="2">
        <v>11612</v>
      </c>
      <c r="B11615" s="2" t="s">
        <v>11688</v>
      </c>
      <c r="C11615" s="2" t="str">
        <f>"14686244"</f>
        <v>14686244</v>
      </c>
      <c r="D11615" s="2">
        <v>2.7149999999999999</v>
      </c>
      <c r="E11615" s="2">
        <v>109</v>
      </c>
      <c r="F11615" s="2" t="s">
        <v>16</v>
      </c>
    </row>
    <row r="11616" spans="1:6" ht="25.5">
      <c r="A11616" s="2">
        <v>11613</v>
      </c>
      <c r="B11616" s="2" t="s">
        <v>11689</v>
      </c>
      <c r="C11616" s="2" t="str">
        <f>"10413545"</f>
        <v>10413545</v>
      </c>
      <c r="D11616" s="2">
        <v>0.19700000000000001</v>
      </c>
      <c r="E11616" s="2">
        <v>11</v>
      </c>
      <c r="F11616" s="2" t="s">
        <v>6</v>
      </c>
    </row>
    <row r="11617" spans="1:6" ht="25.5">
      <c r="A11617" s="2">
        <v>11614</v>
      </c>
      <c r="B11617" s="2" t="s">
        <v>11690</v>
      </c>
      <c r="C11617" s="2" t="str">
        <f>"22517294"</f>
        <v>22517294</v>
      </c>
      <c r="D11617" s="2">
        <v>0.109</v>
      </c>
      <c r="E11617" s="2">
        <v>2</v>
      </c>
      <c r="F11617" s="2" t="s">
        <v>299</v>
      </c>
    </row>
    <row r="11618" spans="1:6" ht="25.5">
      <c r="A11618" s="2">
        <v>11615</v>
      </c>
      <c r="B11618" s="2" t="s">
        <v>11691</v>
      </c>
      <c r="C11618" s="2" t="str">
        <f>"17549485"</f>
        <v>17549485</v>
      </c>
      <c r="D11618" s="2">
        <v>0.378</v>
      </c>
      <c r="E11618" s="2">
        <v>23</v>
      </c>
      <c r="F11618" s="2" t="s">
        <v>16</v>
      </c>
    </row>
    <row r="11619" spans="1:6" ht="25.5">
      <c r="A11619" s="2">
        <v>11616</v>
      </c>
      <c r="B11619" s="2" t="s">
        <v>11692</v>
      </c>
      <c r="C11619" s="2" t="str">
        <f>"19398654"</f>
        <v>19398654</v>
      </c>
      <c r="D11619" s="2">
        <v>0.115</v>
      </c>
      <c r="E11619" s="2">
        <v>2</v>
      </c>
      <c r="F11619" s="2" t="s">
        <v>6</v>
      </c>
    </row>
    <row r="11620" spans="1:6" ht="25.5">
      <c r="A11620" s="2">
        <v>11617</v>
      </c>
      <c r="B11620" s="2" t="s">
        <v>11693</v>
      </c>
      <c r="C11620" s="2" t="str">
        <f>"14388871"</f>
        <v>14388871</v>
      </c>
      <c r="D11620" s="2">
        <v>1.393</v>
      </c>
      <c r="E11620" s="2">
        <v>52</v>
      </c>
      <c r="F11620" s="2" t="s">
        <v>64</v>
      </c>
    </row>
    <row r="11621" spans="1:6" ht="25.5">
      <c r="A11621" s="2">
        <v>11618</v>
      </c>
      <c r="B11621" s="2" t="s">
        <v>11694</v>
      </c>
      <c r="C11621" s="2" t="str">
        <f>"13496867"</f>
        <v>13496867</v>
      </c>
      <c r="D11621" s="2">
        <v>0.29299999999999998</v>
      </c>
      <c r="E11621" s="2">
        <v>29</v>
      </c>
      <c r="F11621" s="2" t="s">
        <v>131</v>
      </c>
    </row>
    <row r="11622" spans="1:6" ht="25.5">
      <c r="A11622" s="2">
        <v>11619</v>
      </c>
      <c r="B11622" s="2" t="s">
        <v>11695</v>
      </c>
      <c r="C11622" s="2" t="str">
        <f>"1547481X"</f>
        <v>1547481X</v>
      </c>
      <c r="D11622" s="2">
        <v>0.13200000000000001</v>
      </c>
      <c r="E11622" s="2">
        <v>3</v>
      </c>
      <c r="F11622" s="2" t="s">
        <v>6</v>
      </c>
    </row>
    <row r="11623" spans="1:6" ht="25.5">
      <c r="A11623" s="2">
        <v>11620</v>
      </c>
      <c r="B11623" s="2" t="s">
        <v>11696</v>
      </c>
      <c r="C11623" s="2" t="str">
        <f>"17457912"</f>
        <v>17457912</v>
      </c>
      <c r="D11623" s="2">
        <v>0.217</v>
      </c>
      <c r="E11623" s="2">
        <v>5</v>
      </c>
      <c r="F11623" s="2" t="s">
        <v>16</v>
      </c>
    </row>
    <row r="11624" spans="1:6" ht="25.5">
      <c r="A11624" s="2">
        <v>11621</v>
      </c>
      <c r="B11624" s="2" t="s">
        <v>11697</v>
      </c>
      <c r="C11624" s="2" t="str">
        <f>"00222615"</f>
        <v>00222615</v>
      </c>
      <c r="D11624" s="2">
        <v>0.88600000000000001</v>
      </c>
      <c r="E11624" s="2">
        <v>71</v>
      </c>
      <c r="F11624" s="2" t="s">
        <v>16</v>
      </c>
    </row>
    <row r="11625" spans="1:6" ht="25.5">
      <c r="A11625" s="2">
        <v>11622</v>
      </c>
      <c r="B11625" s="2" t="s">
        <v>11698</v>
      </c>
      <c r="C11625" s="2" t="str">
        <f>"09716203"</f>
        <v>09716203</v>
      </c>
      <c r="D11625" s="2">
        <v>0.29599999999999999</v>
      </c>
      <c r="E11625" s="2">
        <v>8</v>
      </c>
      <c r="F11625" s="2" t="s">
        <v>488</v>
      </c>
    </row>
    <row r="11626" spans="1:6" ht="25.5">
      <c r="A11626" s="2">
        <v>11623</v>
      </c>
      <c r="B11626" s="2" t="s">
        <v>11699</v>
      </c>
      <c r="C11626" s="2" t="str">
        <f>"87550229"</f>
        <v>87550229</v>
      </c>
      <c r="D11626" s="2">
        <v>0.121</v>
      </c>
      <c r="E11626" s="2">
        <v>10</v>
      </c>
      <c r="F11626" s="2" t="s">
        <v>6</v>
      </c>
    </row>
    <row r="11627" spans="1:6" ht="25.5">
      <c r="A11627" s="2">
        <v>11624</v>
      </c>
      <c r="B11627" s="2" t="s">
        <v>11700</v>
      </c>
      <c r="C11627" s="2" t="str">
        <f>"16000684"</f>
        <v>16000684</v>
      </c>
      <c r="D11627" s="2">
        <v>0.47299999999999998</v>
      </c>
      <c r="E11627" s="2">
        <v>28</v>
      </c>
      <c r="F11627" s="2" t="s">
        <v>163</v>
      </c>
    </row>
    <row r="11628" spans="1:6" ht="25.5">
      <c r="A11628" s="2">
        <v>11625</v>
      </c>
      <c r="B11628" s="2" t="s">
        <v>11701</v>
      </c>
      <c r="C11628" s="2" t="str">
        <f>"10114564"</f>
        <v>10114564</v>
      </c>
      <c r="D11628" s="2">
        <v>0.115</v>
      </c>
      <c r="E11628" s="2">
        <v>6</v>
      </c>
      <c r="F11628" s="2" t="s">
        <v>165</v>
      </c>
    </row>
    <row r="11629" spans="1:6" ht="25.5">
      <c r="A11629" s="2">
        <v>11626</v>
      </c>
      <c r="B11629" s="2" t="s">
        <v>11701</v>
      </c>
      <c r="C11629" s="2" t="str">
        <f>"18125727"</f>
        <v>18125727</v>
      </c>
      <c r="D11629" s="2">
        <v>0.17599999999999999</v>
      </c>
      <c r="E11629" s="2">
        <v>7</v>
      </c>
      <c r="F11629" s="2" t="s">
        <v>43</v>
      </c>
    </row>
    <row r="11630" spans="1:6" ht="25.5">
      <c r="A11630" s="2">
        <v>11627</v>
      </c>
      <c r="B11630" s="2" t="s">
        <v>11702</v>
      </c>
      <c r="C11630" s="2" t="str">
        <f>"14755793"</f>
        <v>14755793</v>
      </c>
      <c r="D11630" s="2">
        <v>0.66900000000000004</v>
      </c>
      <c r="E11630" s="2">
        <v>42</v>
      </c>
      <c r="F11630" s="2" t="s">
        <v>16</v>
      </c>
    </row>
    <row r="11631" spans="1:6" ht="25.5">
      <c r="A11631" s="2">
        <v>11628</v>
      </c>
      <c r="B11631" s="2" t="s">
        <v>11703</v>
      </c>
      <c r="C11631" s="2" t="str">
        <f>"10651438"</f>
        <v>10651438</v>
      </c>
      <c r="D11631" s="2">
        <v>0.23899999999999999</v>
      </c>
      <c r="E11631" s="2">
        <v>19</v>
      </c>
      <c r="F11631" s="2" t="s">
        <v>6</v>
      </c>
    </row>
    <row r="11632" spans="1:6" ht="25.5">
      <c r="A11632" s="2">
        <v>11629</v>
      </c>
      <c r="B11632" s="2" t="s">
        <v>11704</v>
      </c>
      <c r="C11632" s="2" t="str">
        <f>"1573689X"</f>
        <v>1573689X</v>
      </c>
      <c r="D11632" s="2">
        <v>0.41399999999999998</v>
      </c>
      <c r="E11632" s="2">
        <v>28</v>
      </c>
      <c r="F11632" s="2" t="s">
        <v>6</v>
      </c>
    </row>
    <row r="11633" spans="1:6" ht="25.5">
      <c r="A11633" s="2">
        <v>11630</v>
      </c>
      <c r="B11633" s="2" t="s">
        <v>11705</v>
      </c>
      <c r="C11633" s="2" t="str">
        <f>"15569039"</f>
        <v>15569039</v>
      </c>
      <c r="D11633" s="2">
        <v>0.39700000000000002</v>
      </c>
      <c r="E11633" s="2">
        <v>16</v>
      </c>
      <c r="F11633" s="2" t="s">
        <v>6</v>
      </c>
    </row>
    <row r="11634" spans="1:6" ht="25.5">
      <c r="A11634" s="2">
        <v>11631</v>
      </c>
      <c r="B11634" s="2" t="s">
        <v>11706</v>
      </c>
      <c r="C11634" s="2" t="str">
        <f>"13464523"</f>
        <v>13464523</v>
      </c>
      <c r="D11634" s="2">
        <v>0.23300000000000001</v>
      </c>
      <c r="E11634" s="2">
        <v>11</v>
      </c>
      <c r="F11634" s="2" t="s">
        <v>131</v>
      </c>
    </row>
    <row r="11635" spans="1:6" ht="25.5">
      <c r="A11635" s="2">
        <v>11632</v>
      </c>
      <c r="B11635" s="2" t="s">
        <v>11707</v>
      </c>
      <c r="C11635" s="2" t="str">
        <f>"09296441"</f>
        <v>09296441</v>
      </c>
      <c r="D11635" s="2">
        <v>0.14799999999999999</v>
      </c>
      <c r="E11635" s="2">
        <v>9</v>
      </c>
      <c r="F11635" s="2" t="s">
        <v>543</v>
      </c>
    </row>
    <row r="11636" spans="1:6" ht="25.5">
      <c r="A11636" s="2">
        <v>11633</v>
      </c>
      <c r="B11636" s="2" t="s">
        <v>11708</v>
      </c>
      <c r="C11636" s="2" t="str">
        <f>"10969071"</f>
        <v>10969071</v>
      </c>
      <c r="D11636" s="2">
        <v>0.93600000000000005</v>
      </c>
      <c r="E11636" s="2">
        <v>82</v>
      </c>
      <c r="F11636" s="2" t="s">
        <v>6</v>
      </c>
    </row>
    <row r="11637" spans="1:6" ht="25.5">
      <c r="A11637" s="2">
        <v>11634</v>
      </c>
      <c r="B11637" s="2" t="s">
        <v>11709</v>
      </c>
      <c r="C11637" s="2" t="str">
        <f>"00222623"</f>
        <v>00222623</v>
      </c>
      <c r="D11637" s="2">
        <v>1.95</v>
      </c>
      <c r="E11637" s="2">
        <v>166</v>
      </c>
      <c r="F11637" s="2" t="s">
        <v>6</v>
      </c>
    </row>
    <row r="11638" spans="1:6" ht="25.5">
      <c r="A11638" s="2">
        <v>11635</v>
      </c>
      <c r="B11638" s="2" t="s">
        <v>11710</v>
      </c>
      <c r="C11638" s="2" t="str">
        <f>"1096620X"</f>
        <v>1096620X</v>
      </c>
      <c r="D11638" s="2">
        <v>0.54</v>
      </c>
      <c r="E11638" s="2">
        <v>39</v>
      </c>
      <c r="F11638" s="2" t="s">
        <v>6</v>
      </c>
    </row>
    <row r="11639" spans="1:6" ht="25.5">
      <c r="A11639" s="2">
        <v>11636</v>
      </c>
      <c r="B11639" s="2" t="s">
        <v>11711</v>
      </c>
      <c r="C11639" s="2" t="str">
        <f>"19960875"</f>
        <v>19960875</v>
      </c>
      <c r="D11639" s="2">
        <v>0.318</v>
      </c>
      <c r="E11639" s="2">
        <v>15</v>
      </c>
      <c r="F11639" s="2" t="s">
        <v>692</v>
      </c>
    </row>
    <row r="11640" spans="1:6" ht="25.5">
      <c r="A11640" s="2">
        <v>11637</v>
      </c>
      <c r="B11640" s="2" t="s">
        <v>11712</v>
      </c>
      <c r="C11640" s="2" t="str">
        <f>"16840240"</f>
        <v>16840240</v>
      </c>
      <c r="D11640" s="2">
        <v>0.18</v>
      </c>
      <c r="E11640" s="2">
        <v>7</v>
      </c>
      <c r="F11640" s="2" t="s">
        <v>299</v>
      </c>
    </row>
    <row r="11641" spans="1:6" ht="25.5">
      <c r="A11641" s="2">
        <v>11638</v>
      </c>
      <c r="B11641" s="2" t="s">
        <v>11713</v>
      </c>
      <c r="C11641" s="2" t="str">
        <f>"00257850"</f>
        <v>00257850</v>
      </c>
      <c r="D11641" s="2">
        <v>0.11600000000000001</v>
      </c>
      <c r="E11641" s="2">
        <v>20</v>
      </c>
      <c r="F11641" s="2" t="s">
        <v>31</v>
      </c>
    </row>
    <row r="11642" spans="1:6" ht="25.5">
      <c r="A11642" s="2">
        <v>11639</v>
      </c>
      <c r="B11642" s="2" t="s">
        <v>11714</v>
      </c>
      <c r="C11642" s="2" t="str">
        <f>"15966941"</f>
        <v>15966941</v>
      </c>
      <c r="D11642" s="2">
        <v>0</v>
      </c>
      <c r="E11642" s="2">
        <v>1</v>
      </c>
      <c r="F11642" s="2" t="s">
        <v>692</v>
      </c>
    </row>
    <row r="11643" spans="1:6" ht="25.5">
      <c r="A11643" s="2">
        <v>11640</v>
      </c>
      <c r="B11643" s="2" t="s">
        <v>11715</v>
      </c>
      <c r="C11643" s="2" t="str">
        <f>"18443117"</f>
        <v>18443117</v>
      </c>
      <c r="D11643" s="2">
        <v>0.21299999999999999</v>
      </c>
      <c r="E11643" s="2">
        <v>8</v>
      </c>
      <c r="F11643" s="2" t="s">
        <v>19</v>
      </c>
    </row>
    <row r="11644" spans="1:6" ht="25.5">
      <c r="A11644" s="2">
        <v>11641</v>
      </c>
      <c r="B11644" s="2" t="s">
        <v>11716</v>
      </c>
      <c r="C11644" s="2" t="str">
        <f>"17445019"</f>
        <v>17445019</v>
      </c>
      <c r="D11644" s="2">
        <v>0.52600000000000002</v>
      </c>
      <c r="E11644" s="2">
        <v>25</v>
      </c>
      <c r="F11644" s="2" t="s">
        <v>16</v>
      </c>
    </row>
    <row r="11645" spans="1:6" ht="25.5">
      <c r="A11645" s="2">
        <v>11642</v>
      </c>
      <c r="B11645" s="2" t="s">
        <v>11717</v>
      </c>
      <c r="C11645" s="2" t="str">
        <f>"19979797"</f>
        <v>19979797</v>
      </c>
      <c r="D11645" s="2">
        <v>0</v>
      </c>
      <c r="E11645" s="2">
        <v>0</v>
      </c>
      <c r="F11645" s="2" t="s">
        <v>2282</v>
      </c>
    </row>
    <row r="11646" spans="1:6" ht="25.5">
      <c r="A11646" s="2">
        <v>11643</v>
      </c>
      <c r="B11646" s="2" t="s">
        <v>11718</v>
      </c>
      <c r="C11646" s="2" t="str">
        <f>"15278263"</f>
        <v>15278263</v>
      </c>
      <c r="D11646" s="2">
        <v>0.105</v>
      </c>
      <c r="E11646" s="2">
        <v>5</v>
      </c>
      <c r="F11646" s="2" t="s">
        <v>6</v>
      </c>
    </row>
    <row r="11647" spans="1:6" ht="25.5">
      <c r="A11647" s="2">
        <v>11644</v>
      </c>
      <c r="B11647" s="2" t="s">
        <v>11719</v>
      </c>
      <c r="C11647" s="2" t="str">
        <f>"03044181"</f>
        <v>03044181</v>
      </c>
      <c r="D11647" s="2">
        <v>0.17599999999999999</v>
      </c>
      <c r="E11647" s="2">
        <v>7</v>
      </c>
      <c r="F11647" s="2" t="s">
        <v>75</v>
      </c>
    </row>
    <row r="11648" spans="1:6" ht="25.5">
      <c r="A11648" s="2">
        <v>11645</v>
      </c>
      <c r="B11648" s="2" t="s">
        <v>11720</v>
      </c>
      <c r="C11648" s="2" t="str">
        <f>"09527648"</f>
        <v>09527648</v>
      </c>
      <c r="D11648" s="2">
        <v>0.26800000000000002</v>
      </c>
      <c r="E11648" s="2">
        <v>13</v>
      </c>
      <c r="F11648" s="2" t="s">
        <v>16</v>
      </c>
    </row>
    <row r="11649" spans="1:6" ht="25.5">
      <c r="A11649" s="2">
        <v>11646</v>
      </c>
      <c r="B11649" s="2" t="s">
        <v>11721</v>
      </c>
      <c r="C11649" s="2" t="str">
        <f>"22806148"</f>
        <v>22806148</v>
      </c>
      <c r="D11649" s="2">
        <v>0.128</v>
      </c>
      <c r="E11649" s="2">
        <v>10</v>
      </c>
      <c r="F11649" s="2" t="s">
        <v>190</v>
      </c>
    </row>
    <row r="11650" spans="1:6" ht="25.5">
      <c r="A11650" s="2">
        <v>11647</v>
      </c>
      <c r="B11650" s="2" t="s">
        <v>11722</v>
      </c>
      <c r="C11650" s="2" t="str">
        <f>"10163476"</f>
        <v>10163476</v>
      </c>
      <c r="D11650" s="2">
        <v>0.10100000000000001</v>
      </c>
      <c r="E11650" s="2">
        <v>5</v>
      </c>
      <c r="F11650" s="2" t="s">
        <v>11723</v>
      </c>
    </row>
    <row r="11651" spans="1:6" ht="25.5">
      <c r="A11651" s="2">
        <v>11648</v>
      </c>
      <c r="B11651" s="2" t="s">
        <v>11724</v>
      </c>
      <c r="C11651" s="2" t="str">
        <f>"14321424"</f>
        <v>14321424</v>
      </c>
      <c r="D11651" s="2">
        <v>0.77800000000000002</v>
      </c>
      <c r="E11651" s="2">
        <v>73</v>
      </c>
      <c r="F11651" s="2" t="s">
        <v>6</v>
      </c>
    </row>
    <row r="11652" spans="1:6" ht="25.5">
      <c r="A11652" s="2">
        <v>11649</v>
      </c>
      <c r="B11652" s="2" t="s">
        <v>11725</v>
      </c>
      <c r="C11652" s="2" t="str">
        <f>"03767388"</f>
        <v>03767388</v>
      </c>
      <c r="D11652" s="2">
        <v>1.7969999999999999</v>
      </c>
      <c r="E11652" s="2">
        <v>122</v>
      </c>
      <c r="F11652" s="2" t="s">
        <v>75</v>
      </c>
    </row>
    <row r="11653" spans="1:6" ht="25.5">
      <c r="A11653" s="2">
        <v>11650</v>
      </c>
      <c r="B11653" s="2" t="s">
        <v>11726</v>
      </c>
      <c r="C11653" s="2" t="str">
        <f>"10960821"</f>
        <v>10960821</v>
      </c>
      <c r="D11653" s="2">
        <v>2.278</v>
      </c>
      <c r="E11653" s="2">
        <v>83</v>
      </c>
      <c r="F11653" s="2" t="s">
        <v>6</v>
      </c>
    </row>
    <row r="11654" spans="1:6" ht="25.5">
      <c r="A11654" s="2">
        <v>11651</v>
      </c>
      <c r="B11654" s="2" t="s">
        <v>11727</v>
      </c>
      <c r="C11654" s="2" t="str">
        <f>"11772484"</f>
        <v>11772484</v>
      </c>
      <c r="D11654" s="2">
        <v>0.121</v>
      </c>
      <c r="E11654" s="2">
        <v>1</v>
      </c>
      <c r="F11654" s="2" t="s">
        <v>127</v>
      </c>
    </row>
    <row r="11655" spans="1:6" ht="25.5">
      <c r="A11655" s="2">
        <v>11652</v>
      </c>
      <c r="B11655" s="2" t="s">
        <v>11728</v>
      </c>
      <c r="C11655" s="2" t="str">
        <f>"18756867"</f>
        <v>18756867</v>
      </c>
      <c r="D11655" s="2">
        <v>0.19400000000000001</v>
      </c>
      <c r="E11655" s="2">
        <v>17</v>
      </c>
      <c r="F11655" s="2" t="s">
        <v>75</v>
      </c>
    </row>
    <row r="11656" spans="1:6" ht="25.5">
      <c r="A11656" s="2">
        <v>11653</v>
      </c>
      <c r="B11656" s="2" t="s">
        <v>11729</v>
      </c>
      <c r="C11656" s="2" t="str">
        <f>"13600567"</f>
        <v>13600567</v>
      </c>
      <c r="D11656" s="2">
        <v>0.47899999999999998</v>
      </c>
      <c r="E11656" s="2">
        <v>34</v>
      </c>
      <c r="F11656" s="2" t="s">
        <v>16</v>
      </c>
    </row>
    <row r="11657" spans="1:6" ht="25.5">
      <c r="A11657" s="2">
        <v>11654</v>
      </c>
      <c r="B11657" s="2" t="s">
        <v>11730</v>
      </c>
      <c r="C11657" s="2" t="str">
        <f>"10914358"</f>
        <v>10914358</v>
      </c>
      <c r="D11657" s="2">
        <v>0.36599999999999999</v>
      </c>
      <c r="E11657" s="2">
        <v>18</v>
      </c>
      <c r="F11657" s="2" t="s">
        <v>190</v>
      </c>
    </row>
    <row r="11658" spans="1:6" ht="25.5">
      <c r="A11658" s="2">
        <v>11655</v>
      </c>
      <c r="B11658" s="2" t="s">
        <v>11731</v>
      </c>
      <c r="C11658" s="2" t="str">
        <f>"20428707"</f>
        <v>20428707</v>
      </c>
      <c r="D11658" s="2">
        <v>0.124</v>
      </c>
      <c r="E11658" s="2">
        <v>1</v>
      </c>
      <c r="F11658" s="2" t="s">
        <v>16</v>
      </c>
    </row>
    <row r="11659" spans="1:6" ht="25.5">
      <c r="A11659" s="2">
        <v>11656</v>
      </c>
      <c r="B11659" s="2" t="s">
        <v>11732</v>
      </c>
      <c r="C11659" s="2" t="str">
        <f>"15251314"</f>
        <v>15251314</v>
      </c>
      <c r="D11659" s="2">
        <v>2.0030000000000001</v>
      </c>
      <c r="E11659" s="2">
        <v>72</v>
      </c>
      <c r="F11659" s="2" t="s">
        <v>16</v>
      </c>
    </row>
    <row r="11660" spans="1:6" ht="25.5">
      <c r="A11660" s="2">
        <v>11657</v>
      </c>
      <c r="B11660" s="2" t="s">
        <v>11733</v>
      </c>
      <c r="C11660" s="2" t="str">
        <f>"01677012"</f>
        <v>01677012</v>
      </c>
      <c r="D11660" s="2">
        <v>0.73699999999999999</v>
      </c>
      <c r="E11660" s="2">
        <v>81</v>
      </c>
      <c r="F11660" s="2" t="s">
        <v>75</v>
      </c>
    </row>
    <row r="11661" spans="1:6" ht="25.5">
      <c r="A11661" s="2">
        <v>11658</v>
      </c>
      <c r="B11661" s="2" t="s">
        <v>11734</v>
      </c>
      <c r="C11661" s="2" t="str">
        <f>"19763794"</f>
        <v>19763794</v>
      </c>
      <c r="D11661" s="2">
        <v>0.54200000000000004</v>
      </c>
      <c r="E11661" s="2">
        <v>29</v>
      </c>
      <c r="F11661" s="2" t="s">
        <v>274</v>
      </c>
    </row>
    <row r="11662" spans="1:6" ht="25.5">
      <c r="A11662" s="2">
        <v>11659</v>
      </c>
      <c r="B11662" s="2" t="s">
        <v>11735</v>
      </c>
      <c r="C11662" s="2" t="str">
        <f>"10177825"</f>
        <v>10177825</v>
      </c>
      <c r="D11662" s="2">
        <v>0.52900000000000003</v>
      </c>
      <c r="E11662" s="2">
        <v>29</v>
      </c>
      <c r="F11662" s="2" t="s">
        <v>274</v>
      </c>
    </row>
    <row r="11663" spans="1:6" ht="25.5">
      <c r="A11663" s="2">
        <v>11660</v>
      </c>
      <c r="B11663" s="2" t="s">
        <v>11736</v>
      </c>
      <c r="C11663" s="2" t="str">
        <f>"19959133"</f>
        <v>19959133</v>
      </c>
      <c r="D11663" s="2">
        <v>0.53900000000000003</v>
      </c>
      <c r="E11663" s="2">
        <v>34</v>
      </c>
      <c r="F11663" s="2" t="s">
        <v>165</v>
      </c>
    </row>
    <row r="11664" spans="1:6" ht="25.5">
      <c r="A11664" s="2">
        <v>11661</v>
      </c>
      <c r="B11664" s="2" t="s">
        <v>11737</v>
      </c>
      <c r="C11664" s="2" t="str">
        <f>"10577157"</f>
        <v>10577157</v>
      </c>
      <c r="D11664" s="2">
        <v>1.173</v>
      </c>
      <c r="E11664" s="2">
        <v>98</v>
      </c>
      <c r="F11664" s="2" t="s">
        <v>6</v>
      </c>
    </row>
    <row r="11665" spans="1:6" ht="25.5">
      <c r="A11665" s="2">
        <v>11662</v>
      </c>
      <c r="B11665" s="2" t="s">
        <v>11738</v>
      </c>
      <c r="C11665" s="2" t="str">
        <f>"14645246"</f>
        <v>14645246</v>
      </c>
      <c r="D11665" s="2">
        <v>0.60599999999999998</v>
      </c>
      <c r="E11665" s="2">
        <v>45</v>
      </c>
      <c r="F11665" s="2" t="s">
        <v>16</v>
      </c>
    </row>
    <row r="11666" spans="1:6" ht="25.5">
      <c r="A11666" s="2">
        <v>11663</v>
      </c>
      <c r="B11666" s="2" t="s">
        <v>11739</v>
      </c>
      <c r="C11666" s="2" t="str">
        <f>"13616439"</f>
        <v>13616439</v>
      </c>
      <c r="D11666" s="2">
        <v>0.82899999999999996</v>
      </c>
      <c r="E11666" s="2">
        <v>82</v>
      </c>
      <c r="F11666" s="2" t="s">
        <v>16</v>
      </c>
    </row>
    <row r="11667" spans="1:6" ht="25.5">
      <c r="A11667" s="2">
        <v>11664</v>
      </c>
      <c r="B11667" s="2" t="s">
        <v>11740</v>
      </c>
      <c r="C11667" s="2" t="str">
        <f>"19325150"</f>
        <v>19325150</v>
      </c>
      <c r="D11667" s="2">
        <v>0.34699999999999998</v>
      </c>
      <c r="E11667" s="2">
        <v>23</v>
      </c>
      <c r="F11667" s="2" t="s">
        <v>6</v>
      </c>
    </row>
    <row r="11668" spans="1:6" ht="25.5">
      <c r="A11668" s="2">
        <v>11665</v>
      </c>
      <c r="B11668" s="2" t="s">
        <v>11741</v>
      </c>
      <c r="C11668" s="2" t="str">
        <f>"18653936"</f>
        <v>18653936</v>
      </c>
      <c r="D11668" s="2">
        <v>0.28899999999999998</v>
      </c>
      <c r="E11668" s="2">
        <v>5</v>
      </c>
      <c r="F11668" s="2" t="s">
        <v>12</v>
      </c>
    </row>
    <row r="11669" spans="1:6" ht="25.5">
      <c r="A11669" s="2">
        <v>11666</v>
      </c>
      <c r="B11669" s="2" t="s">
        <v>11742</v>
      </c>
      <c r="C11669" s="2" t="str">
        <f>"0262821X"</f>
        <v>0262821X</v>
      </c>
      <c r="D11669" s="2">
        <v>0.3</v>
      </c>
      <c r="E11669" s="2">
        <v>15</v>
      </c>
      <c r="F11669" s="2" t="s">
        <v>16</v>
      </c>
    </row>
    <row r="11670" spans="1:6" ht="25.5">
      <c r="A11670" s="2">
        <v>11667</v>
      </c>
      <c r="B11670" s="2" t="s">
        <v>11743</v>
      </c>
      <c r="C11670" s="2" t="str">
        <f>"13652818"</f>
        <v>13652818</v>
      </c>
      <c r="D11670" s="2">
        <v>0.65500000000000003</v>
      </c>
      <c r="E11670" s="2">
        <v>70</v>
      </c>
      <c r="F11670" s="2" t="s">
        <v>16</v>
      </c>
    </row>
    <row r="11671" spans="1:6" ht="25.5">
      <c r="A11671" s="2">
        <v>11668</v>
      </c>
      <c r="B11671" s="2" t="s">
        <v>11744</v>
      </c>
      <c r="C11671" s="2" t="str">
        <f>"08327823"</f>
        <v>08327823</v>
      </c>
      <c r="D11671" s="2">
        <v>0.223</v>
      </c>
      <c r="E11671" s="2">
        <v>18</v>
      </c>
      <c r="F11671" s="2" t="s">
        <v>6</v>
      </c>
    </row>
    <row r="11672" spans="1:6" ht="25.5">
      <c r="A11672" s="2">
        <v>11669</v>
      </c>
      <c r="B11672" s="2" t="s">
        <v>11745</v>
      </c>
      <c r="C11672" s="2" t="str">
        <f>"21791074"</f>
        <v>21791074</v>
      </c>
      <c r="D11672" s="2">
        <v>0.17599999999999999</v>
      </c>
      <c r="E11672" s="2">
        <v>8</v>
      </c>
      <c r="F11672" s="2" t="s">
        <v>159</v>
      </c>
    </row>
    <row r="11673" spans="1:6" ht="25.5">
      <c r="A11673" s="2">
        <v>11670</v>
      </c>
      <c r="B11673" s="2" t="s">
        <v>11746</v>
      </c>
      <c r="C11673" s="2" t="str">
        <f>"15269523"</f>
        <v>15269523</v>
      </c>
      <c r="D11673" s="2">
        <v>0.439</v>
      </c>
      <c r="E11673" s="2">
        <v>32</v>
      </c>
      <c r="F11673" s="2" t="s">
        <v>6</v>
      </c>
    </row>
    <row r="11674" spans="1:6" ht="25.5">
      <c r="A11674" s="2">
        <v>11671</v>
      </c>
      <c r="B11674" s="2" t="s">
        <v>11747</v>
      </c>
      <c r="C11674" s="2" t="str">
        <f>"15027570"</f>
        <v>15027570</v>
      </c>
      <c r="D11674" s="2">
        <v>0.27100000000000002</v>
      </c>
      <c r="E11674" s="2">
        <v>3</v>
      </c>
      <c r="F11674" s="2" t="s">
        <v>16</v>
      </c>
    </row>
    <row r="11675" spans="1:6" ht="25.5">
      <c r="A11675" s="2">
        <v>11672</v>
      </c>
      <c r="B11675" s="2" t="s">
        <v>11748</v>
      </c>
      <c r="C11675" s="2" t="str">
        <f>"17351537"</f>
        <v>17351537</v>
      </c>
      <c r="D11675" s="2">
        <v>0.19</v>
      </c>
      <c r="E11675" s="2">
        <v>1</v>
      </c>
      <c r="F11675" s="2" t="s">
        <v>299</v>
      </c>
    </row>
    <row r="11676" spans="1:6" ht="25.5">
      <c r="A11676" s="2">
        <v>11673</v>
      </c>
      <c r="B11676" s="2" t="s">
        <v>11749</v>
      </c>
      <c r="C11676" s="2" t="str">
        <f>"02710137"</f>
        <v>02710137</v>
      </c>
      <c r="D11676" s="2">
        <v>0.13200000000000001</v>
      </c>
      <c r="E11676" s="2">
        <v>11</v>
      </c>
      <c r="F11676" s="2" t="s">
        <v>6</v>
      </c>
    </row>
    <row r="11677" spans="1:6" ht="25.5">
      <c r="A11677" s="2">
        <v>11674</v>
      </c>
      <c r="B11677" s="2" t="s">
        <v>11750</v>
      </c>
      <c r="C11677" s="2" t="str">
        <f>"13456296"</f>
        <v>13456296</v>
      </c>
      <c r="D11677" s="2">
        <v>0.38400000000000001</v>
      </c>
      <c r="E11677" s="2">
        <v>15</v>
      </c>
      <c r="F11677" s="2" t="s">
        <v>131</v>
      </c>
    </row>
    <row r="11678" spans="1:6" ht="25.5">
      <c r="A11678" s="2">
        <v>11675</v>
      </c>
      <c r="B11678" s="2" t="s">
        <v>11751</v>
      </c>
      <c r="C11678" s="2" t="str">
        <f>"00222755"</f>
        <v>00222755</v>
      </c>
      <c r="D11678" s="2">
        <v>0.158</v>
      </c>
      <c r="E11678" s="2">
        <v>7</v>
      </c>
      <c r="F11678" s="2" t="s">
        <v>488</v>
      </c>
    </row>
    <row r="11679" spans="1:6" ht="25.5">
      <c r="A11679" s="2">
        <v>11676</v>
      </c>
      <c r="B11679" s="2" t="s">
        <v>11752</v>
      </c>
      <c r="C11679" s="2" t="str">
        <f>"09729941"</f>
        <v>09729941</v>
      </c>
      <c r="D11679" s="2">
        <v>0.41599999999999998</v>
      </c>
      <c r="E11679" s="2">
        <v>9</v>
      </c>
      <c r="F11679" s="2" t="s">
        <v>488</v>
      </c>
    </row>
    <row r="11680" spans="1:6" ht="25.5">
      <c r="A11680" s="2">
        <v>11677</v>
      </c>
      <c r="B11680" s="2" t="s">
        <v>11753</v>
      </c>
      <c r="C11680" s="2" t="str">
        <f>"15534669"</f>
        <v>15534669</v>
      </c>
      <c r="D11680" s="2">
        <v>0.73599999999999999</v>
      </c>
      <c r="E11680" s="2">
        <v>49</v>
      </c>
      <c r="F11680" s="2" t="s">
        <v>75</v>
      </c>
    </row>
    <row r="11681" spans="1:6" ht="25.5">
      <c r="A11681" s="2">
        <v>11678</v>
      </c>
      <c r="B11681" s="2" t="s">
        <v>11754</v>
      </c>
      <c r="C11681" s="2" t="str">
        <f>"14505339"</f>
        <v>14505339</v>
      </c>
      <c r="D11681" s="2">
        <v>0.52</v>
      </c>
      <c r="E11681" s="2">
        <v>8</v>
      </c>
      <c r="F11681" s="2" t="s">
        <v>212</v>
      </c>
    </row>
    <row r="11682" spans="1:6" ht="25.5">
      <c r="A11682" s="2">
        <v>11679</v>
      </c>
      <c r="B11682" s="2" t="s">
        <v>11755</v>
      </c>
      <c r="C11682" s="2" t="str">
        <f>"15738736"</f>
        <v>15738736</v>
      </c>
      <c r="D11682" s="2">
        <v>0.28499999999999998</v>
      </c>
      <c r="E11682" s="2">
        <v>9</v>
      </c>
      <c r="F11682" s="2" t="s">
        <v>6</v>
      </c>
    </row>
    <row r="11683" spans="1:6" ht="25.5">
      <c r="A11683" s="2">
        <v>11680</v>
      </c>
      <c r="B11683" s="2" t="s">
        <v>11756</v>
      </c>
      <c r="C11683" s="2" t="str">
        <f>"15586898"</f>
        <v>15586898</v>
      </c>
      <c r="D11683" s="2">
        <v>0.68</v>
      </c>
      <c r="E11683" s="2">
        <v>12</v>
      </c>
      <c r="F11683" s="2" t="s">
        <v>16</v>
      </c>
    </row>
    <row r="11684" spans="1:6" ht="25.5">
      <c r="A11684" s="2">
        <v>11681</v>
      </c>
      <c r="B11684" s="2" t="s">
        <v>11757</v>
      </c>
      <c r="C11684" s="2" t="str">
        <f>"15504646"</f>
        <v>15504646</v>
      </c>
      <c r="D11684" s="2">
        <v>0.13600000000000001</v>
      </c>
      <c r="E11684" s="2">
        <v>1</v>
      </c>
      <c r="F11684" s="2" t="s">
        <v>6</v>
      </c>
    </row>
    <row r="11685" spans="1:6" ht="25.5">
      <c r="A11685" s="2">
        <v>11682</v>
      </c>
      <c r="B11685" s="2" t="s">
        <v>11758</v>
      </c>
      <c r="C11685" s="2" t="str">
        <f>"14697777"</f>
        <v>14697777</v>
      </c>
      <c r="D11685" s="2">
        <v>0.89500000000000002</v>
      </c>
      <c r="E11685" s="2">
        <v>24</v>
      </c>
      <c r="F11685" s="2" t="s">
        <v>16</v>
      </c>
    </row>
    <row r="11686" spans="1:6" ht="25.5">
      <c r="A11686" s="2">
        <v>11683</v>
      </c>
      <c r="B11686" s="2" t="s">
        <v>11759</v>
      </c>
      <c r="C11686" s="2" t="str">
        <f>"15389472"</f>
        <v>15389472</v>
      </c>
      <c r="D11686" s="2">
        <v>0.19400000000000001</v>
      </c>
      <c r="E11686" s="2">
        <v>12</v>
      </c>
      <c r="F11686" s="2" t="s">
        <v>6</v>
      </c>
    </row>
    <row r="11687" spans="1:6" ht="25.5">
      <c r="A11687" s="2">
        <v>11684</v>
      </c>
      <c r="B11687" s="2" t="s">
        <v>11760</v>
      </c>
      <c r="C11687" s="2" t="str">
        <f>"17535662"</f>
        <v>17535662</v>
      </c>
      <c r="D11687" s="2">
        <v>0.10100000000000001</v>
      </c>
      <c r="E11687" s="2">
        <v>1</v>
      </c>
      <c r="F11687" s="2" t="s">
        <v>16</v>
      </c>
    </row>
    <row r="11688" spans="1:6" ht="25.5">
      <c r="A11688" s="2">
        <v>11685</v>
      </c>
      <c r="B11688" s="2" t="s">
        <v>11761</v>
      </c>
      <c r="C11688" s="2" t="str">
        <f>"17496780"</f>
        <v>17496780</v>
      </c>
      <c r="D11688" s="2">
        <v>0.10100000000000001</v>
      </c>
      <c r="E11688" s="2">
        <v>1</v>
      </c>
      <c r="F11688" s="2" t="s">
        <v>6</v>
      </c>
    </row>
    <row r="11689" spans="1:6" ht="25.5">
      <c r="A11689" s="2">
        <v>11686</v>
      </c>
      <c r="B11689" s="2" t="s">
        <v>11762</v>
      </c>
      <c r="C11689" s="2" t="str">
        <f>"1930532X"</f>
        <v>1930532X</v>
      </c>
      <c r="D11689" s="2">
        <v>1.3420000000000001</v>
      </c>
      <c r="E11689" s="2">
        <v>6</v>
      </c>
      <c r="F11689" s="2" t="s">
        <v>6</v>
      </c>
    </row>
    <row r="11690" spans="1:6" ht="25.5">
      <c r="A11690" s="2">
        <v>11687</v>
      </c>
      <c r="B11690" s="2" t="s">
        <v>11763</v>
      </c>
      <c r="C11690" s="2" t="str">
        <f>"16118944"</f>
        <v>16118944</v>
      </c>
      <c r="D11690" s="2">
        <v>0.184</v>
      </c>
      <c r="E11690" s="2">
        <v>3</v>
      </c>
      <c r="F11690" s="2" t="s">
        <v>12</v>
      </c>
    </row>
    <row r="11691" spans="1:6" ht="25.5">
      <c r="A11691" s="2">
        <v>11688</v>
      </c>
      <c r="B11691" s="2" t="s">
        <v>11764</v>
      </c>
      <c r="C11691" s="2" t="str">
        <f>"10863265"</f>
        <v>10863265</v>
      </c>
      <c r="D11691" s="2">
        <v>0.107</v>
      </c>
      <c r="E11691" s="2">
        <v>7</v>
      </c>
      <c r="F11691" s="2" t="s">
        <v>6</v>
      </c>
    </row>
    <row r="11692" spans="1:6" ht="25.5">
      <c r="A11692" s="2">
        <v>11689</v>
      </c>
      <c r="B11692" s="2" t="s">
        <v>11765</v>
      </c>
      <c r="C11692" s="2" t="str">
        <f>"15375358"</f>
        <v>15375358</v>
      </c>
      <c r="D11692" s="2">
        <v>0.26500000000000001</v>
      </c>
      <c r="E11692" s="2">
        <v>12</v>
      </c>
      <c r="F11692" s="2" t="s">
        <v>6</v>
      </c>
    </row>
    <row r="11693" spans="1:6" ht="25.5">
      <c r="A11693" s="2">
        <v>11690</v>
      </c>
      <c r="B11693" s="2" t="s">
        <v>11766</v>
      </c>
      <c r="C11693" s="2" t="str">
        <f>"14699583"</f>
        <v>14699583</v>
      </c>
      <c r="D11693" s="2">
        <v>0.17899999999999999</v>
      </c>
      <c r="E11693" s="2">
        <v>8</v>
      </c>
      <c r="F11693" s="2" t="s">
        <v>16</v>
      </c>
    </row>
    <row r="11694" spans="1:6" ht="25.5">
      <c r="A11694" s="2">
        <v>11691</v>
      </c>
      <c r="B11694" s="2" t="s">
        <v>11767</v>
      </c>
      <c r="C11694" s="2" t="str">
        <f>"14725886"</f>
        <v>14725886</v>
      </c>
      <c r="D11694" s="2">
        <v>0.10100000000000001</v>
      </c>
      <c r="E11694" s="2">
        <v>1</v>
      </c>
      <c r="F11694" s="2" t="s">
        <v>16</v>
      </c>
    </row>
    <row r="11695" spans="1:6" ht="25.5">
      <c r="A11695" s="2">
        <v>11692</v>
      </c>
      <c r="B11695" s="2" t="s">
        <v>11768</v>
      </c>
      <c r="C11695" s="2" t="str">
        <f>"13623044"</f>
        <v>13623044</v>
      </c>
      <c r="D11695" s="2">
        <v>0.65700000000000003</v>
      </c>
      <c r="E11695" s="2">
        <v>59</v>
      </c>
      <c r="F11695" s="2" t="s">
        <v>16</v>
      </c>
    </row>
    <row r="11696" spans="1:6" ht="25.5">
      <c r="A11696" s="2">
        <v>11693</v>
      </c>
      <c r="B11696" s="2" t="s">
        <v>11769</v>
      </c>
      <c r="C11696" s="2" t="str">
        <f>"2095087X"</f>
        <v>2095087X</v>
      </c>
      <c r="D11696" s="2">
        <v>0.28799999999999998</v>
      </c>
      <c r="E11696" s="2">
        <v>3</v>
      </c>
      <c r="F11696" s="2" t="s">
        <v>46</v>
      </c>
    </row>
    <row r="11697" spans="1:6" ht="25.5">
      <c r="A11697" s="2">
        <v>11694</v>
      </c>
      <c r="B11697" s="2" t="s">
        <v>11770</v>
      </c>
      <c r="C11697" s="2" t="str">
        <f>"10958584"</f>
        <v>10958584</v>
      </c>
      <c r="D11697" s="2">
        <v>1.9910000000000001</v>
      </c>
      <c r="E11697" s="2">
        <v>106</v>
      </c>
      <c r="F11697" s="2" t="s">
        <v>6</v>
      </c>
    </row>
    <row r="11698" spans="1:6" ht="25.5">
      <c r="A11698" s="2">
        <v>11695</v>
      </c>
      <c r="B11698" s="2" t="s">
        <v>11771</v>
      </c>
      <c r="C11698" s="2" t="str">
        <f>"00222836"</f>
        <v>00222836</v>
      </c>
      <c r="D11698" s="2">
        <v>2.5089999999999999</v>
      </c>
      <c r="E11698" s="2">
        <v>198</v>
      </c>
      <c r="F11698" s="2" t="s">
        <v>6</v>
      </c>
    </row>
    <row r="11699" spans="1:6" ht="25.5">
      <c r="A11699" s="2">
        <v>11696</v>
      </c>
      <c r="B11699" s="2" t="s">
        <v>11772</v>
      </c>
      <c r="C11699" s="2" t="str">
        <f>"13811169"</f>
        <v>13811169</v>
      </c>
      <c r="D11699" s="2">
        <v>1.1020000000000001</v>
      </c>
      <c r="E11699" s="2">
        <v>94</v>
      </c>
      <c r="F11699" s="2" t="s">
        <v>75</v>
      </c>
    </row>
    <row r="11700" spans="1:6" ht="25.5">
      <c r="A11700" s="2">
        <v>11697</v>
      </c>
      <c r="B11700" s="2" t="s">
        <v>11773</v>
      </c>
      <c r="C11700" s="2" t="str">
        <f>"13811177"</f>
        <v>13811177</v>
      </c>
      <c r="D11700" s="2">
        <v>0.98599999999999999</v>
      </c>
      <c r="E11700" s="2">
        <v>60</v>
      </c>
      <c r="F11700" s="2" t="s">
        <v>75</v>
      </c>
    </row>
    <row r="11701" spans="1:6" ht="25.5">
      <c r="A11701" s="2">
        <v>11698</v>
      </c>
      <c r="B11701" s="2" t="s">
        <v>11774</v>
      </c>
      <c r="C11701" s="2" t="str">
        <f>"17594685"</f>
        <v>17594685</v>
      </c>
      <c r="D11701" s="2">
        <v>1.51</v>
      </c>
      <c r="E11701" s="2">
        <v>17</v>
      </c>
      <c r="F11701" s="2" t="s">
        <v>6</v>
      </c>
    </row>
    <row r="11702" spans="1:6" ht="25.5">
      <c r="A11702" s="2">
        <v>11699</v>
      </c>
      <c r="B11702" s="2" t="s">
        <v>11775</v>
      </c>
      <c r="C11702" s="2" t="str">
        <f>"15251578"</f>
        <v>15251578</v>
      </c>
      <c r="D11702" s="2">
        <v>1.407</v>
      </c>
      <c r="E11702" s="2">
        <v>49</v>
      </c>
      <c r="F11702" s="2" t="s">
        <v>6</v>
      </c>
    </row>
    <row r="11703" spans="1:6" ht="25.5">
      <c r="A11703" s="2">
        <v>11700</v>
      </c>
      <c r="B11703" s="2" t="s">
        <v>11776</v>
      </c>
      <c r="C11703" s="2" t="str">
        <f>"14796813"</f>
        <v>14796813</v>
      </c>
      <c r="D11703" s="2">
        <v>1.337</v>
      </c>
      <c r="E11703" s="2">
        <v>66</v>
      </c>
      <c r="F11703" s="2" t="s">
        <v>16</v>
      </c>
    </row>
    <row r="11704" spans="1:6" ht="25.5">
      <c r="A11704" s="2">
        <v>11701</v>
      </c>
      <c r="B11704" s="2" t="s">
        <v>11777</v>
      </c>
      <c r="C11704" s="2" t="str">
        <f>"14321432"</f>
        <v>14321432</v>
      </c>
      <c r="D11704" s="2">
        <v>1.129</v>
      </c>
      <c r="E11704" s="2">
        <v>93</v>
      </c>
      <c r="F11704" s="2" t="s">
        <v>6</v>
      </c>
    </row>
    <row r="11705" spans="1:6" ht="25.5">
      <c r="A11705" s="2">
        <v>11702</v>
      </c>
      <c r="B11705" s="2" t="s">
        <v>11778</v>
      </c>
      <c r="C11705" s="2" t="str">
        <f>"18734243"</f>
        <v>18734243</v>
      </c>
      <c r="D11705" s="2">
        <v>0.64600000000000002</v>
      </c>
      <c r="E11705" s="2">
        <v>50</v>
      </c>
      <c r="F11705" s="2" t="s">
        <v>6</v>
      </c>
    </row>
    <row r="11706" spans="1:6" ht="25.5">
      <c r="A11706" s="2">
        <v>11703</v>
      </c>
      <c r="B11706" s="2" t="s">
        <v>11779</v>
      </c>
      <c r="C11706" s="2" t="str">
        <f>"15672379"</f>
        <v>15672379</v>
      </c>
      <c r="D11706" s="2">
        <v>0.54600000000000004</v>
      </c>
      <c r="E11706" s="2">
        <v>41</v>
      </c>
      <c r="F11706" s="2" t="s">
        <v>75</v>
      </c>
    </row>
    <row r="11707" spans="1:6" ht="25.5">
      <c r="A11707" s="2">
        <v>11704</v>
      </c>
      <c r="B11707" s="2" t="s">
        <v>11780</v>
      </c>
      <c r="C11707" s="2" t="str">
        <f>"18733166"</f>
        <v>18733166</v>
      </c>
      <c r="D11707" s="2">
        <v>0.58699999999999997</v>
      </c>
      <c r="E11707" s="2">
        <v>39</v>
      </c>
      <c r="F11707" s="2" t="s">
        <v>75</v>
      </c>
    </row>
    <row r="11708" spans="1:6" ht="25.5">
      <c r="A11708" s="2">
        <v>11705</v>
      </c>
      <c r="B11708" s="2" t="s">
        <v>11781</v>
      </c>
      <c r="C11708" s="2" t="str">
        <f>"14321440"</f>
        <v>14321440</v>
      </c>
      <c r="D11708" s="2">
        <v>1.925</v>
      </c>
      <c r="E11708" s="2">
        <v>94</v>
      </c>
      <c r="F11708" s="2" t="s">
        <v>12</v>
      </c>
    </row>
    <row r="11709" spans="1:6" ht="25.5">
      <c r="A11709" s="2">
        <v>11706</v>
      </c>
      <c r="B11709" s="2" t="s">
        <v>11782</v>
      </c>
      <c r="C11709" s="2" t="str">
        <f>"14753774"</f>
        <v>14753774</v>
      </c>
      <c r="D11709" s="2">
        <v>0.74199999999999999</v>
      </c>
      <c r="E11709" s="2">
        <v>53</v>
      </c>
      <c r="F11709" s="2" t="s">
        <v>31</v>
      </c>
    </row>
    <row r="11710" spans="1:6" ht="25.5">
      <c r="A11710" s="2">
        <v>11707</v>
      </c>
      <c r="B11710" s="2" t="s">
        <v>11783</v>
      </c>
      <c r="C11710" s="2" t="str">
        <f>"16102940"</f>
        <v>16102940</v>
      </c>
      <c r="D11710" s="2">
        <v>0.504</v>
      </c>
      <c r="E11710" s="2">
        <v>37</v>
      </c>
      <c r="F11710" s="2" t="s">
        <v>12</v>
      </c>
    </row>
    <row r="11711" spans="1:6" ht="25.5">
      <c r="A11711" s="2">
        <v>11708</v>
      </c>
      <c r="B11711" s="2" t="s">
        <v>11784</v>
      </c>
      <c r="C11711" s="2" t="str">
        <f>"08958696"</f>
        <v>08958696</v>
      </c>
      <c r="D11711" s="2">
        <v>0.98599999999999999</v>
      </c>
      <c r="E11711" s="2">
        <v>56</v>
      </c>
      <c r="F11711" s="2" t="s">
        <v>6</v>
      </c>
    </row>
    <row r="11712" spans="1:6" ht="25.5">
      <c r="A11712" s="2">
        <v>11709</v>
      </c>
      <c r="B11712" s="2" t="s">
        <v>11785</v>
      </c>
      <c r="C11712" s="2" t="str">
        <f>"10991352"</f>
        <v>10991352</v>
      </c>
      <c r="D11712" s="2">
        <v>0.98599999999999999</v>
      </c>
      <c r="E11712" s="2">
        <v>56</v>
      </c>
      <c r="F11712" s="2" t="s">
        <v>16</v>
      </c>
    </row>
    <row r="11713" spans="1:6" ht="25.5">
      <c r="A11713" s="2">
        <v>11710</v>
      </c>
      <c r="B11713" s="2" t="s">
        <v>11786</v>
      </c>
      <c r="C11713" s="2" t="str">
        <f>"17502187"</f>
        <v>17502187</v>
      </c>
      <c r="D11713" s="2">
        <v>0.84899999999999998</v>
      </c>
      <c r="E11713" s="2">
        <v>15</v>
      </c>
      <c r="F11713" s="2" t="s">
        <v>16</v>
      </c>
    </row>
    <row r="11714" spans="1:6" ht="25.5">
      <c r="A11714" s="2">
        <v>11711</v>
      </c>
      <c r="B11714" s="2" t="s">
        <v>11787</v>
      </c>
      <c r="C11714" s="2" t="str">
        <f>"1096083X"</f>
        <v>1096083X</v>
      </c>
      <c r="D11714" s="2">
        <v>0.75800000000000001</v>
      </c>
      <c r="E11714" s="2">
        <v>46</v>
      </c>
      <c r="F11714" s="2" t="s">
        <v>6</v>
      </c>
    </row>
    <row r="11715" spans="1:6" ht="25.5">
      <c r="A11715" s="2">
        <v>11712</v>
      </c>
      <c r="B11715" s="2" t="s">
        <v>11788</v>
      </c>
      <c r="C11715" s="2" t="str">
        <f>"00222860"</f>
        <v>00222860</v>
      </c>
      <c r="D11715" s="2">
        <v>0.44400000000000001</v>
      </c>
      <c r="E11715" s="2">
        <v>61</v>
      </c>
      <c r="F11715" s="2" t="s">
        <v>75</v>
      </c>
    </row>
    <row r="11716" spans="1:6" ht="25.5">
      <c r="A11716" s="2">
        <v>11713</v>
      </c>
      <c r="B11716" s="2" t="s">
        <v>11789</v>
      </c>
      <c r="C11716" s="2" t="str">
        <f>"02601230"</f>
        <v>02601230</v>
      </c>
      <c r="D11716" s="2">
        <v>0.499</v>
      </c>
      <c r="E11716" s="2">
        <v>29</v>
      </c>
      <c r="F11716" s="2" t="s">
        <v>16</v>
      </c>
    </row>
    <row r="11717" spans="1:6" ht="25.5">
      <c r="A11717" s="2">
        <v>11714</v>
      </c>
      <c r="B11717" s="2" t="s">
        <v>11790</v>
      </c>
      <c r="C11717" s="2" t="str">
        <f>"03043932"</f>
        <v>03043932</v>
      </c>
      <c r="D11717" s="2">
        <v>4.42</v>
      </c>
      <c r="E11717" s="2">
        <v>70</v>
      </c>
      <c r="F11717" s="2" t="s">
        <v>75</v>
      </c>
    </row>
    <row r="11718" spans="1:6" ht="25.5">
      <c r="A11718" s="2">
        <v>11715</v>
      </c>
      <c r="B11718" s="2" t="s">
        <v>11791</v>
      </c>
      <c r="C11718" s="2" t="str">
        <f>"15384616"</f>
        <v>15384616</v>
      </c>
      <c r="D11718" s="2">
        <v>2.1960000000000002</v>
      </c>
      <c r="E11718" s="2">
        <v>55</v>
      </c>
      <c r="F11718" s="2" t="s">
        <v>16</v>
      </c>
    </row>
    <row r="11719" spans="1:6" ht="25.5">
      <c r="A11719" s="2">
        <v>11716</v>
      </c>
      <c r="B11719" s="2" t="s">
        <v>11792</v>
      </c>
      <c r="C11719" s="2" t="str">
        <f>"14653877"</f>
        <v>14653877</v>
      </c>
      <c r="D11719" s="2">
        <v>0.378</v>
      </c>
      <c r="E11719" s="2">
        <v>18</v>
      </c>
      <c r="F11719" s="2" t="s">
        <v>16</v>
      </c>
    </row>
    <row r="11720" spans="1:6" ht="25.5">
      <c r="A11720" s="2">
        <v>11717</v>
      </c>
      <c r="B11720" s="2" t="s">
        <v>11793</v>
      </c>
      <c r="C11720" s="2" t="str">
        <f>"17455243"</f>
        <v>17455243</v>
      </c>
      <c r="D11720" s="2">
        <v>0.20399999999999999</v>
      </c>
      <c r="E11720" s="2">
        <v>6</v>
      </c>
      <c r="F11720" s="2" t="s">
        <v>75</v>
      </c>
    </row>
    <row r="11721" spans="1:6" ht="25.5">
      <c r="A11721" s="2">
        <v>11718</v>
      </c>
      <c r="B11721" s="2" t="s">
        <v>11794</v>
      </c>
      <c r="C11721" s="2" t="str">
        <f>"21770298"</f>
        <v>21770298</v>
      </c>
      <c r="D11721" s="2">
        <v>0.16400000000000001</v>
      </c>
      <c r="E11721" s="2">
        <v>2</v>
      </c>
      <c r="F11721" s="2" t="s">
        <v>159</v>
      </c>
    </row>
    <row r="11722" spans="1:6" ht="25.5">
      <c r="A11722" s="2">
        <v>11719</v>
      </c>
      <c r="B11722" s="2" t="s">
        <v>11795</v>
      </c>
      <c r="C11722" s="2" t="str">
        <f>"03622525"</f>
        <v>03622525</v>
      </c>
      <c r="D11722" s="2">
        <v>0.60199999999999998</v>
      </c>
      <c r="E11722" s="2">
        <v>44</v>
      </c>
      <c r="F11722" s="2" t="s">
        <v>6</v>
      </c>
    </row>
    <row r="11723" spans="1:6" ht="25.5">
      <c r="A11723" s="2">
        <v>11720</v>
      </c>
      <c r="B11723" s="2" t="s">
        <v>11796</v>
      </c>
      <c r="C11723" s="2" t="str">
        <f>"00222895"</f>
        <v>00222895</v>
      </c>
      <c r="D11723" s="2">
        <v>0.57299999999999995</v>
      </c>
      <c r="E11723" s="2">
        <v>43</v>
      </c>
      <c r="F11723" s="2" t="s">
        <v>16</v>
      </c>
    </row>
    <row r="11724" spans="1:6" ht="25.5">
      <c r="A11724" s="2">
        <v>11721</v>
      </c>
      <c r="B11724" s="2" t="s">
        <v>11797</v>
      </c>
      <c r="C11724" s="2" t="str">
        <f>"19930321"</f>
        <v>19930321</v>
      </c>
      <c r="D11724" s="2">
        <v>0.252</v>
      </c>
      <c r="E11724" s="2">
        <v>8</v>
      </c>
      <c r="F11724" s="2" t="s">
        <v>46</v>
      </c>
    </row>
    <row r="11725" spans="1:6" ht="25.5">
      <c r="A11725" s="2">
        <v>11722</v>
      </c>
      <c r="B11725" s="2" t="s">
        <v>11798</v>
      </c>
      <c r="C11725" s="2" t="str">
        <f>"08838534"</f>
        <v>08838534</v>
      </c>
      <c r="D11725" s="2">
        <v>0.314</v>
      </c>
      <c r="E11725" s="2">
        <v>23</v>
      </c>
      <c r="F11725" s="2" t="s">
        <v>6</v>
      </c>
    </row>
    <row r="11726" spans="1:6" ht="25.5">
      <c r="A11726" s="2">
        <v>11723</v>
      </c>
      <c r="B11726" s="2" t="s">
        <v>11799</v>
      </c>
      <c r="C11726" s="2" t="str">
        <f>"17476615"</f>
        <v>17476615</v>
      </c>
      <c r="D11726" s="2">
        <v>0.17799999999999999</v>
      </c>
      <c r="E11726" s="2">
        <v>3</v>
      </c>
      <c r="F11726" s="2" t="s">
        <v>16</v>
      </c>
    </row>
    <row r="11727" spans="1:6" ht="25.5">
      <c r="A11727" s="2">
        <v>11724</v>
      </c>
      <c r="B11727" s="2" t="s">
        <v>11800</v>
      </c>
      <c r="C11727" s="2" t="str">
        <f>"11782390"</f>
        <v>11782390</v>
      </c>
      <c r="D11727" s="2">
        <v>0.154</v>
      </c>
      <c r="E11727" s="2">
        <v>2</v>
      </c>
      <c r="F11727" s="2" t="s">
        <v>503</v>
      </c>
    </row>
    <row r="11728" spans="1:6" ht="25.5">
      <c r="A11728" s="2">
        <v>11725</v>
      </c>
      <c r="B11728" s="2" t="s">
        <v>11801</v>
      </c>
      <c r="C11728" s="2" t="str">
        <f>"01434632"</f>
        <v>01434632</v>
      </c>
      <c r="D11728" s="2">
        <v>0.45200000000000001</v>
      </c>
      <c r="E11728" s="2">
        <v>18</v>
      </c>
      <c r="F11728" s="2" t="s">
        <v>16</v>
      </c>
    </row>
    <row r="11729" spans="1:6" ht="25.5">
      <c r="A11729" s="2">
        <v>11726</v>
      </c>
      <c r="B11729" s="2" t="s">
        <v>11802</v>
      </c>
      <c r="C11729" s="2" t="str">
        <f>"17962048"</f>
        <v>17962048</v>
      </c>
      <c r="D11729" s="2">
        <v>0.217</v>
      </c>
      <c r="E11729" s="2">
        <v>14</v>
      </c>
      <c r="F11729" s="2" t="s">
        <v>751</v>
      </c>
    </row>
    <row r="11730" spans="1:6" ht="25.5">
      <c r="A11730" s="2">
        <v>11727</v>
      </c>
      <c r="B11730" s="2" t="s">
        <v>11803</v>
      </c>
      <c r="C11730" s="2" t="str">
        <f>"1042444X"</f>
        <v>1042444X</v>
      </c>
      <c r="D11730" s="2">
        <v>0.32600000000000001</v>
      </c>
      <c r="E11730" s="2">
        <v>20</v>
      </c>
      <c r="F11730" s="2" t="s">
        <v>75</v>
      </c>
    </row>
    <row r="11731" spans="1:6" ht="25.5">
      <c r="A11731" s="2">
        <v>11728</v>
      </c>
      <c r="B11731" s="2" t="s">
        <v>11804</v>
      </c>
      <c r="C11731" s="2" t="str">
        <f>"15423980"</f>
        <v>15423980</v>
      </c>
      <c r="D11731" s="2">
        <v>0.52900000000000003</v>
      </c>
      <c r="E11731" s="2">
        <v>13</v>
      </c>
      <c r="F11731" s="2" t="s">
        <v>6</v>
      </c>
    </row>
    <row r="11732" spans="1:6" ht="25.5">
      <c r="A11732" s="2">
        <v>11729</v>
      </c>
      <c r="B11732" s="2" t="s">
        <v>11805</v>
      </c>
      <c r="C11732" s="2" t="str">
        <f>"10957243"</f>
        <v>10957243</v>
      </c>
      <c r="D11732" s="2">
        <v>1.712</v>
      </c>
      <c r="E11732" s="2">
        <v>39</v>
      </c>
      <c r="F11732" s="2" t="s">
        <v>6</v>
      </c>
    </row>
    <row r="11733" spans="1:6" ht="25.5">
      <c r="A11733" s="2">
        <v>11730</v>
      </c>
      <c r="B11733" s="2" t="s">
        <v>11806</v>
      </c>
      <c r="C11733" s="2" t="str">
        <f>"15732657"</f>
        <v>15732657</v>
      </c>
      <c r="D11733" s="2">
        <v>0.59399999999999997</v>
      </c>
      <c r="E11733" s="2">
        <v>49</v>
      </c>
      <c r="F11733" s="2" t="s">
        <v>75</v>
      </c>
    </row>
    <row r="11734" spans="1:6" ht="25.5">
      <c r="A11734" s="2">
        <v>11731</v>
      </c>
      <c r="B11734" s="2" t="s">
        <v>11807</v>
      </c>
      <c r="C11734" s="2" t="str">
        <f>"11087161"</f>
        <v>11087161</v>
      </c>
      <c r="D11734" s="2">
        <v>0.72899999999999998</v>
      </c>
      <c r="E11734" s="2">
        <v>30</v>
      </c>
      <c r="F11734" s="2" t="s">
        <v>313</v>
      </c>
    </row>
    <row r="11735" spans="1:6" ht="25.5">
      <c r="A11735" s="2">
        <v>11732</v>
      </c>
      <c r="B11735" s="2" t="s">
        <v>11808</v>
      </c>
      <c r="C11735" s="2" t="str">
        <f>"15407012"</f>
        <v>15407012</v>
      </c>
      <c r="D11735" s="2">
        <v>0.158</v>
      </c>
      <c r="E11735" s="2">
        <v>25</v>
      </c>
      <c r="F11735" s="2" t="s">
        <v>16</v>
      </c>
    </row>
    <row r="11736" spans="1:6" ht="25.5">
      <c r="A11736" s="2">
        <v>11733</v>
      </c>
      <c r="B11736" s="2" t="s">
        <v>11809</v>
      </c>
      <c r="C11736" s="2" t="str">
        <f>"02189577"</f>
        <v>02189577</v>
      </c>
      <c r="D11736" s="2">
        <v>0.16300000000000001</v>
      </c>
      <c r="E11736" s="2">
        <v>10</v>
      </c>
      <c r="F11736" s="2" t="s">
        <v>543</v>
      </c>
    </row>
    <row r="11737" spans="1:6" ht="25.5">
      <c r="A11737" s="2">
        <v>11734</v>
      </c>
      <c r="B11737" s="2" t="s">
        <v>11810</v>
      </c>
      <c r="C11737" s="2" t="str">
        <f>"01411896"</f>
        <v>01411896</v>
      </c>
      <c r="D11737" s="2">
        <v>0.105</v>
      </c>
      <c r="E11737" s="2">
        <v>5</v>
      </c>
      <c r="F11737" s="2" t="s">
        <v>16</v>
      </c>
    </row>
    <row r="11738" spans="1:6" ht="25.5">
      <c r="A11738" s="2">
        <v>11735</v>
      </c>
      <c r="B11738" s="2" t="s">
        <v>11811</v>
      </c>
      <c r="C11738" s="2" t="str">
        <f>"02779269"</f>
        <v>02779269</v>
      </c>
      <c r="D11738" s="2">
        <v>0.16600000000000001</v>
      </c>
      <c r="E11738" s="2">
        <v>8</v>
      </c>
      <c r="F11738" s="2" t="s">
        <v>6</v>
      </c>
    </row>
    <row r="11739" spans="1:6" ht="25.5">
      <c r="A11739" s="2">
        <v>11736</v>
      </c>
      <c r="B11739" s="2" t="s">
        <v>11812</v>
      </c>
      <c r="C11739" s="2" t="str">
        <f>"19450079"</f>
        <v>19450079</v>
      </c>
      <c r="D11739" s="2">
        <v>0.10199999999999999</v>
      </c>
      <c r="E11739" s="2">
        <v>0</v>
      </c>
      <c r="F11739" s="2" t="s">
        <v>6</v>
      </c>
    </row>
    <row r="11740" spans="1:6" ht="25.5">
      <c r="A11740" s="2">
        <v>11737</v>
      </c>
      <c r="B11740" s="2" t="s">
        <v>11813</v>
      </c>
      <c r="C11740" s="2" t="str">
        <f>"17527074"</f>
        <v>17527074</v>
      </c>
      <c r="D11740" s="2">
        <v>0</v>
      </c>
      <c r="E11740" s="2">
        <v>1</v>
      </c>
      <c r="F11740" s="2" t="s">
        <v>16</v>
      </c>
    </row>
    <row r="11741" spans="1:6" ht="25.5">
      <c r="A11741" s="2">
        <v>11738</v>
      </c>
      <c r="B11741" s="2" t="s">
        <v>11814</v>
      </c>
      <c r="C11741" s="2" t="str">
        <f>"19417497"</f>
        <v>19417497</v>
      </c>
      <c r="D11741" s="2">
        <v>0.10100000000000001</v>
      </c>
      <c r="E11741" s="2">
        <v>6</v>
      </c>
      <c r="F11741" s="2" t="s">
        <v>6</v>
      </c>
    </row>
    <row r="11742" spans="1:6" ht="25.5">
      <c r="A11742" s="2">
        <v>11739</v>
      </c>
      <c r="B11742" s="2" t="s">
        <v>11815</v>
      </c>
      <c r="C11742" s="2" t="str">
        <f>"00222917"</f>
        <v>00222917</v>
      </c>
      <c r="D11742" s="2">
        <v>0.316</v>
      </c>
      <c r="E11742" s="2">
        <v>26</v>
      </c>
      <c r="F11742" s="2" t="s">
        <v>6</v>
      </c>
    </row>
    <row r="11743" spans="1:6" ht="25.5">
      <c r="A11743" s="2">
        <v>11740</v>
      </c>
      <c r="B11743" s="2" t="s">
        <v>11816</v>
      </c>
      <c r="C11743" s="2" t="str">
        <f>"13602004"</f>
        <v>13602004</v>
      </c>
      <c r="D11743" s="2">
        <v>0.128</v>
      </c>
      <c r="E11743" s="2">
        <v>2</v>
      </c>
      <c r="F11743" s="2" t="s">
        <v>16</v>
      </c>
    </row>
    <row r="11744" spans="1:6" ht="25.5">
      <c r="A11744" s="2">
        <v>11741</v>
      </c>
      <c r="B11744" s="2" t="s">
        <v>11817</v>
      </c>
      <c r="C11744" s="2" t="str">
        <f>"10074376"</f>
        <v>10074376</v>
      </c>
      <c r="D11744" s="2">
        <v>0.14399999999999999</v>
      </c>
      <c r="E11744" s="2">
        <v>4</v>
      </c>
      <c r="F11744" s="2" t="s">
        <v>46</v>
      </c>
    </row>
    <row r="11745" spans="1:6" ht="25.5">
      <c r="A11745" s="2">
        <v>11742</v>
      </c>
      <c r="B11745" s="2" t="s">
        <v>11818</v>
      </c>
      <c r="C11745" s="2" t="str">
        <f>"20776772"</f>
        <v>20776772</v>
      </c>
      <c r="D11745" s="2">
        <v>0.13500000000000001</v>
      </c>
      <c r="E11745" s="2">
        <v>3</v>
      </c>
      <c r="F11745" s="2" t="s">
        <v>438</v>
      </c>
    </row>
    <row r="11746" spans="1:6" ht="25.5">
      <c r="A11746" s="2">
        <v>11743</v>
      </c>
      <c r="B11746" s="2" t="s">
        <v>11819</v>
      </c>
      <c r="C11746" s="2" t="str">
        <f>"14773155"</f>
        <v>14773155</v>
      </c>
      <c r="D11746" s="2">
        <v>0.95</v>
      </c>
      <c r="E11746" s="2">
        <v>24</v>
      </c>
      <c r="F11746" s="2" t="s">
        <v>16</v>
      </c>
    </row>
    <row r="11747" spans="1:6" ht="25.5">
      <c r="A11747" s="2">
        <v>11744</v>
      </c>
      <c r="B11747" s="2" t="s">
        <v>11820</v>
      </c>
      <c r="C11747" s="2" t="str">
        <f>"15551318"</f>
        <v>15551318</v>
      </c>
      <c r="D11747" s="2">
        <v>0.253</v>
      </c>
      <c r="E11747" s="2">
        <v>11</v>
      </c>
      <c r="F11747" s="2" t="s">
        <v>6</v>
      </c>
    </row>
    <row r="11748" spans="1:6" ht="25.5">
      <c r="A11748" s="2">
        <v>11745</v>
      </c>
      <c r="B11748" s="2" t="s">
        <v>11821</v>
      </c>
      <c r="C11748" s="2" t="str">
        <f>"16874129"</f>
        <v>16874129</v>
      </c>
      <c r="D11748" s="2">
        <v>0.307</v>
      </c>
      <c r="E11748" s="2">
        <v>13</v>
      </c>
      <c r="F11748" s="2" t="s">
        <v>6</v>
      </c>
    </row>
    <row r="11749" spans="1:6" ht="25.5">
      <c r="A11749" s="2">
        <v>11746</v>
      </c>
      <c r="B11749" s="2" t="s">
        <v>11822</v>
      </c>
      <c r="C11749" s="2" t="str">
        <f>"19390653"</f>
        <v>19390653</v>
      </c>
      <c r="D11749" s="2">
        <v>0.79300000000000004</v>
      </c>
      <c r="E11749" s="2">
        <v>6</v>
      </c>
      <c r="F11749" s="2" t="s">
        <v>6</v>
      </c>
    </row>
    <row r="11750" spans="1:6" ht="25.5">
      <c r="A11750" s="2">
        <v>11747</v>
      </c>
      <c r="B11750" s="2" t="s">
        <v>11823</v>
      </c>
      <c r="C11750" s="2" t="str">
        <f>"1572896X"</f>
        <v>1572896X</v>
      </c>
      <c r="D11750" s="2">
        <v>0.752</v>
      </c>
      <c r="E11750" s="2">
        <v>58</v>
      </c>
      <c r="F11750" s="2" t="s">
        <v>75</v>
      </c>
    </row>
    <row r="11751" spans="1:6" ht="25.5">
      <c r="A11751" s="2">
        <v>11748</v>
      </c>
      <c r="B11751" s="2" t="s">
        <v>11824</v>
      </c>
      <c r="C11751" s="2" t="str">
        <f>"19342608"</f>
        <v>19342608</v>
      </c>
      <c r="D11751" s="2">
        <v>0.71399999999999997</v>
      </c>
      <c r="E11751" s="2">
        <v>15</v>
      </c>
      <c r="F11751" s="2" t="s">
        <v>6</v>
      </c>
    </row>
    <row r="11752" spans="1:6" ht="25.5">
      <c r="A11752" s="2">
        <v>11749</v>
      </c>
      <c r="B11752" s="2" t="s">
        <v>11825</v>
      </c>
      <c r="C11752" s="2" t="str">
        <f>"16625250"</f>
        <v>16625250</v>
      </c>
      <c r="D11752" s="2">
        <v>0.251</v>
      </c>
      <c r="E11752" s="2">
        <v>7</v>
      </c>
      <c r="F11752" s="2" t="s">
        <v>12</v>
      </c>
    </row>
    <row r="11753" spans="1:6" ht="25.5">
      <c r="A11753" s="2">
        <v>11750</v>
      </c>
      <c r="B11753" s="2" t="s">
        <v>11826</v>
      </c>
      <c r="C11753" s="2" t="str">
        <f>"15334880"</f>
        <v>15334880</v>
      </c>
      <c r="D11753" s="2">
        <v>0.38</v>
      </c>
      <c r="E11753" s="2">
        <v>61</v>
      </c>
      <c r="F11753" s="2" t="s">
        <v>6</v>
      </c>
    </row>
    <row r="11754" spans="1:6" ht="25.5">
      <c r="A11754" s="2">
        <v>11751</v>
      </c>
      <c r="B11754" s="2" t="s">
        <v>11827</v>
      </c>
      <c r="C11754" s="2" t="str">
        <f>"17904439"</f>
        <v>17904439</v>
      </c>
      <c r="D11754" s="2">
        <v>0.15</v>
      </c>
      <c r="E11754" s="2">
        <v>5</v>
      </c>
      <c r="F11754" s="2" t="s">
        <v>16</v>
      </c>
    </row>
    <row r="11755" spans="1:6" ht="25.5">
      <c r="A11755" s="2">
        <v>11752</v>
      </c>
      <c r="B11755" s="2" t="s">
        <v>11828</v>
      </c>
      <c r="C11755" s="2" t="str">
        <f>"19492952"</f>
        <v>19492952</v>
      </c>
      <c r="D11755" s="2">
        <v>0.20200000000000001</v>
      </c>
      <c r="E11755" s="2">
        <v>6</v>
      </c>
      <c r="F11755" s="2" t="s">
        <v>6</v>
      </c>
    </row>
    <row r="11756" spans="1:6" ht="25.5">
      <c r="A11756" s="2">
        <v>11753</v>
      </c>
      <c r="B11756" s="2" t="s">
        <v>11829</v>
      </c>
      <c r="C11756" s="2" t="str">
        <f>"13450069"</f>
        <v>13450069</v>
      </c>
      <c r="D11756" s="2">
        <v>0.10100000000000001</v>
      </c>
      <c r="E11756" s="2">
        <v>3</v>
      </c>
      <c r="F11756" s="2" t="s">
        <v>131</v>
      </c>
    </row>
    <row r="11757" spans="1:6" ht="25.5">
      <c r="A11757" s="2">
        <v>11754</v>
      </c>
      <c r="B11757" s="2" t="s">
        <v>11830</v>
      </c>
      <c r="C11757" s="2" t="str">
        <f>"08856028"</f>
        <v>08856028</v>
      </c>
      <c r="D11757" s="2">
        <v>0.17699999999999999</v>
      </c>
      <c r="E11757" s="2">
        <v>12</v>
      </c>
      <c r="F11757" s="2" t="s">
        <v>6</v>
      </c>
    </row>
    <row r="11758" spans="1:6" ht="25.5">
      <c r="A11758" s="2">
        <v>11755</v>
      </c>
      <c r="B11758" s="2" t="s">
        <v>11831</v>
      </c>
      <c r="C11758" s="2" t="str">
        <f>"10044574"</f>
        <v>10044574</v>
      </c>
      <c r="D11758" s="2">
        <v>0.222</v>
      </c>
      <c r="E11758" s="2">
        <v>9</v>
      </c>
      <c r="F11758" s="2" t="s">
        <v>46</v>
      </c>
    </row>
    <row r="11759" spans="1:6" ht="25.5">
      <c r="A11759" s="2">
        <v>11756</v>
      </c>
      <c r="B11759" s="2" t="s">
        <v>11832</v>
      </c>
      <c r="C11759" s="2" t="str">
        <f>"15440478"</f>
        <v>15440478</v>
      </c>
      <c r="D11759" s="2">
        <v>0.26700000000000002</v>
      </c>
      <c r="E11759" s="2">
        <v>8</v>
      </c>
      <c r="F11759" s="2" t="s">
        <v>6</v>
      </c>
    </row>
    <row r="11760" spans="1:6" ht="25.5">
      <c r="A11760" s="2">
        <v>11757</v>
      </c>
      <c r="B11760" s="2" t="s">
        <v>11833</v>
      </c>
      <c r="C11760" s="2" t="str">
        <f>"10039953"</f>
        <v>10039953</v>
      </c>
      <c r="D11760" s="2">
        <v>0.54600000000000004</v>
      </c>
      <c r="E11760" s="2">
        <v>18</v>
      </c>
      <c r="F11760" s="2" t="s">
        <v>75</v>
      </c>
    </row>
    <row r="11761" spans="1:6" ht="25.5">
      <c r="A11761" s="2">
        <v>11758</v>
      </c>
      <c r="B11761" s="2" t="s">
        <v>11834</v>
      </c>
      <c r="C11761" s="2" t="str">
        <f>"18755100"</f>
        <v>18755100</v>
      </c>
      <c r="D11761" s="2">
        <v>0.82699999999999996</v>
      </c>
      <c r="E11761" s="2">
        <v>8</v>
      </c>
      <c r="F11761" s="2" t="s">
        <v>75</v>
      </c>
    </row>
    <row r="11762" spans="1:6" ht="25.5">
      <c r="A11762" s="2">
        <v>11759</v>
      </c>
      <c r="B11762" s="2" t="s">
        <v>11835</v>
      </c>
      <c r="C11762" s="2" t="str">
        <f>"14645262"</f>
        <v>14645262</v>
      </c>
      <c r="D11762" s="2">
        <v>0.47399999999999998</v>
      </c>
      <c r="E11762" s="2">
        <v>28</v>
      </c>
      <c r="F11762" s="2" t="s">
        <v>16</v>
      </c>
    </row>
    <row r="11763" spans="1:6" ht="25.5">
      <c r="A11763" s="2">
        <v>11760</v>
      </c>
      <c r="B11763" s="2" t="s">
        <v>11836</v>
      </c>
      <c r="C11763" s="2" t="str">
        <f>"18610293"</f>
        <v>18610293</v>
      </c>
      <c r="D11763" s="2">
        <v>0.51200000000000001</v>
      </c>
      <c r="E11763" s="2">
        <v>20</v>
      </c>
      <c r="F11763" s="2" t="s">
        <v>12</v>
      </c>
    </row>
    <row r="11764" spans="1:6" ht="25.5">
      <c r="A11764" s="2">
        <v>11761</v>
      </c>
      <c r="B11764" s="2" t="s">
        <v>11837</v>
      </c>
      <c r="C11764" s="2" t="str">
        <f>"15206025"</f>
        <v>15206025</v>
      </c>
      <c r="D11764" s="2">
        <v>1.2569999999999999</v>
      </c>
      <c r="E11764" s="2">
        <v>81</v>
      </c>
      <c r="F11764" s="2" t="s">
        <v>6</v>
      </c>
    </row>
    <row r="11765" spans="1:6" ht="25.5">
      <c r="A11765" s="2">
        <v>11762</v>
      </c>
      <c r="B11765" s="2" t="s">
        <v>11838</v>
      </c>
      <c r="C11765" s="2" t="str">
        <f>"09725547"</f>
        <v>09725547</v>
      </c>
      <c r="D11765" s="2">
        <v>0.11899999999999999</v>
      </c>
      <c r="E11765" s="2">
        <v>11</v>
      </c>
      <c r="F11765" s="2" t="s">
        <v>488</v>
      </c>
    </row>
    <row r="11766" spans="1:6" ht="25.5">
      <c r="A11766" s="2">
        <v>11763</v>
      </c>
      <c r="B11766" s="2" t="s">
        <v>11839</v>
      </c>
      <c r="C11766" s="2" t="str">
        <f>"19390467"</f>
        <v>19390467</v>
      </c>
      <c r="D11766" s="2">
        <v>0</v>
      </c>
      <c r="E11766" s="2">
        <v>0</v>
      </c>
      <c r="F11766" s="2" t="s">
        <v>16</v>
      </c>
    </row>
    <row r="11767" spans="1:6" ht="25.5">
      <c r="A11767" s="2">
        <v>11764</v>
      </c>
      <c r="B11767" s="2" t="s">
        <v>11840</v>
      </c>
      <c r="C11767" s="2" t="str">
        <f>"14697785"</f>
        <v>14697785</v>
      </c>
      <c r="D11767" s="2">
        <v>0.45800000000000002</v>
      </c>
      <c r="E11767" s="2">
        <v>20</v>
      </c>
      <c r="F11767" s="2" t="s">
        <v>16</v>
      </c>
    </row>
    <row r="11768" spans="1:6" ht="25.5">
      <c r="A11768" s="2">
        <v>11765</v>
      </c>
      <c r="B11768" s="2" t="s">
        <v>11841</v>
      </c>
      <c r="C11768" s="2" t="str">
        <f>"00222968"</f>
        <v>00222968</v>
      </c>
      <c r="D11768" s="2">
        <v>0.224</v>
      </c>
      <c r="E11768" s="2">
        <v>6</v>
      </c>
      <c r="F11768" s="2" t="s">
        <v>6</v>
      </c>
    </row>
    <row r="11769" spans="1:6" ht="25.5">
      <c r="A11769" s="2">
        <v>11766</v>
      </c>
      <c r="B11769" s="2" t="s">
        <v>11842</v>
      </c>
      <c r="C11769" s="2" t="str">
        <f>"09670335"</f>
        <v>09670335</v>
      </c>
      <c r="D11769" s="2">
        <v>0.60399999999999998</v>
      </c>
      <c r="E11769" s="2">
        <v>34</v>
      </c>
      <c r="F11769" s="2" t="s">
        <v>16</v>
      </c>
    </row>
    <row r="11770" spans="1:6" ht="25.5">
      <c r="A11770" s="2">
        <v>11767</v>
      </c>
      <c r="B11770" s="2" t="s">
        <v>11843</v>
      </c>
      <c r="C11770" s="2" t="str">
        <f>"14775751"</f>
        <v>14775751</v>
      </c>
      <c r="D11770" s="2">
        <v>0.309</v>
      </c>
      <c r="E11770" s="2">
        <v>13</v>
      </c>
      <c r="F11770" s="2" t="s">
        <v>16</v>
      </c>
    </row>
    <row r="11771" spans="1:6" ht="25.5">
      <c r="A11771" s="2">
        <v>11768</v>
      </c>
      <c r="B11771" s="2" t="s">
        <v>11844</v>
      </c>
      <c r="C11771" s="2" t="str">
        <f>"00222984"</f>
        <v>00222984</v>
      </c>
      <c r="D11771" s="2">
        <v>0.22500000000000001</v>
      </c>
      <c r="E11771" s="2">
        <v>14</v>
      </c>
      <c r="F11771" s="2" t="s">
        <v>6</v>
      </c>
    </row>
    <row r="11772" spans="1:6" ht="25.5">
      <c r="A11772" s="2">
        <v>11769</v>
      </c>
      <c r="B11772" s="2" t="s">
        <v>11845</v>
      </c>
      <c r="C11772" s="2" t="str">
        <f>"0022300X"</f>
        <v>0022300X</v>
      </c>
      <c r="D11772" s="2">
        <v>0.218</v>
      </c>
      <c r="E11772" s="2">
        <v>35</v>
      </c>
      <c r="F11772" s="2" t="s">
        <v>6</v>
      </c>
    </row>
    <row r="11773" spans="1:6" ht="25.5">
      <c r="A11773" s="2">
        <v>11770</v>
      </c>
      <c r="B11773" s="2" t="s">
        <v>11846</v>
      </c>
      <c r="C11773" s="2" t="str">
        <f>"13551841"</f>
        <v>13551841</v>
      </c>
      <c r="D11773" s="2">
        <v>0.156</v>
      </c>
      <c r="E11773" s="2">
        <v>7</v>
      </c>
      <c r="F11773" s="2" t="s">
        <v>75</v>
      </c>
    </row>
    <row r="11774" spans="1:6" ht="25.5">
      <c r="A11774" s="2">
        <v>11771</v>
      </c>
      <c r="B11774" s="2" t="s">
        <v>11847</v>
      </c>
      <c r="C11774" s="2" t="str">
        <f>"19345798"</f>
        <v>19345798</v>
      </c>
      <c r="D11774" s="2">
        <v>0.13900000000000001</v>
      </c>
      <c r="E11774" s="2">
        <v>3</v>
      </c>
      <c r="F11774" s="2" t="s">
        <v>75</v>
      </c>
    </row>
    <row r="11775" spans="1:6" ht="25.5">
      <c r="A11775" s="2">
        <v>11772</v>
      </c>
      <c r="B11775" s="2" t="s">
        <v>11848</v>
      </c>
      <c r="C11775" s="2" t="str">
        <f>"19996217"</f>
        <v>19996217</v>
      </c>
      <c r="D11775" s="2">
        <v>0.16200000000000001</v>
      </c>
      <c r="E11775" s="2">
        <v>2</v>
      </c>
      <c r="F11775" s="2" t="s">
        <v>11849</v>
      </c>
    </row>
    <row r="11776" spans="1:6" ht="25.5">
      <c r="A11776" s="2">
        <v>11773</v>
      </c>
      <c r="B11776" s="2" t="s">
        <v>11850</v>
      </c>
      <c r="C11776" s="2" t="str">
        <f>"19907982"</f>
        <v>19907982</v>
      </c>
      <c r="D11776" s="2">
        <v>0.16400000000000001</v>
      </c>
      <c r="E11776" s="2">
        <v>2</v>
      </c>
      <c r="F11776" s="2" t="s">
        <v>11849</v>
      </c>
    </row>
    <row r="11777" spans="1:6" ht="25.5">
      <c r="A11777" s="2">
        <v>11774</v>
      </c>
      <c r="B11777" s="2" t="s">
        <v>11851</v>
      </c>
      <c r="C11777" s="2" t="str">
        <f>"11218428"</f>
        <v>11218428</v>
      </c>
      <c r="D11777" s="2">
        <v>0.60099999999999998</v>
      </c>
      <c r="E11777" s="2">
        <v>45</v>
      </c>
      <c r="F11777" s="2" t="s">
        <v>190</v>
      </c>
    </row>
    <row r="11778" spans="1:6" ht="25.5">
      <c r="A11778" s="2">
        <v>11775</v>
      </c>
      <c r="B11778" s="2" t="s">
        <v>11852</v>
      </c>
      <c r="C11778" s="2" t="str">
        <f>"1539736X"</f>
        <v>1539736X</v>
      </c>
      <c r="D11778" s="2">
        <v>0.96499999999999997</v>
      </c>
      <c r="E11778" s="2">
        <v>77</v>
      </c>
      <c r="F11778" s="2" t="s">
        <v>6</v>
      </c>
    </row>
    <row r="11779" spans="1:6" ht="25.5">
      <c r="A11779" s="2">
        <v>11776</v>
      </c>
      <c r="B11779" s="2" t="s">
        <v>11853</v>
      </c>
      <c r="C11779" s="2" t="str">
        <f>"10958592"</f>
        <v>10958592</v>
      </c>
      <c r="D11779" s="2">
        <v>0.88600000000000001</v>
      </c>
      <c r="E11779" s="2">
        <v>27</v>
      </c>
      <c r="F11779" s="2" t="s">
        <v>6</v>
      </c>
    </row>
    <row r="11780" spans="1:6" ht="25.5">
      <c r="A11780" s="2">
        <v>11777</v>
      </c>
      <c r="B11780" s="2" t="s">
        <v>11854</v>
      </c>
      <c r="C11780" s="2" t="str">
        <f>"15737705"</f>
        <v>15737705</v>
      </c>
      <c r="D11780" s="2">
        <v>0.248</v>
      </c>
      <c r="E11780" s="2">
        <v>21</v>
      </c>
      <c r="F11780" s="2" t="s">
        <v>6</v>
      </c>
    </row>
    <row r="11781" spans="1:6" ht="25.5">
      <c r="A11781" s="2">
        <v>11778</v>
      </c>
      <c r="B11781" s="2" t="s">
        <v>11855</v>
      </c>
      <c r="C11781" s="2" t="str">
        <f>"17962056"</f>
        <v>17962056</v>
      </c>
      <c r="D11781" s="2">
        <v>0.24299999999999999</v>
      </c>
      <c r="E11781" s="2">
        <v>13</v>
      </c>
      <c r="F11781" s="2" t="s">
        <v>751</v>
      </c>
    </row>
    <row r="11782" spans="1:6" ht="25.5">
      <c r="A11782" s="2">
        <v>11779</v>
      </c>
      <c r="B11782" s="2" t="s">
        <v>11856</v>
      </c>
      <c r="C11782" s="2" t="str">
        <f>"17412560"</f>
        <v>17412560</v>
      </c>
      <c r="D11782" s="2">
        <v>1.133</v>
      </c>
      <c r="E11782" s="2">
        <v>43</v>
      </c>
      <c r="F11782" s="2" t="s">
        <v>16</v>
      </c>
    </row>
    <row r="11783" spans="1:6">
      <c r="A11783" s="2">
        <v>11780</v>
      </c>
      <c r="B11783" s="2" t="s">
        <v>11857</v>
      </c>
      <c r="C11783" s="2" t="str">
        <f>"0"</f>
        <v>0</v>
      </c>
      <c r="D11783" s="2">
        <v>1.026</v>
      </c>
      <c r="E11783" s="2">
        <v>72</v>
      </c>
      <c r="F11783" s="2" t="s">
        <v>12</v>
      </c>
    </row>
    <row r="11784" spans="1:6" ht="25.5">
      <c r="A11784" s="2">
        <v>11781</v>
      </c>
      <c r="B11784" s="2" t="s">
        <v>11858</v>
      </c>
      <c r="C11784" s="2" t="str">
        <f>"14714159"</f>
        <v>14714159</v>
      </c>
      <c r="D11784" s="2">
        <v>1.754</v>
      </c>
      <c r="E11784" s="2">
        <v>162</v>
      </c>
      <c r="F11784" s="2" t="s">
        <v>16</v>
      </c>
    </row>
    <row r="11785" spans="1:6" ht="25.5">
      <c r="A11785" s="2">
        <v>11782</v>
      </c>
      <c r="B11785" s="2" t="s">
        <v>11859</v>
      </c>
      <c r="C11785" s="2" t="str">
        <f>"18661947"</f>
        <v>18661947</v>
      </c>
      <c r="D11785" s="2">
        <v>1.1839999999999999</v>
      </c>
      <c r="E11785" s="2">
        <v>8</v>
      </c>
      <c r="F11785" s="2" t="s">
        <v>6</v>
      </c>
    </row>
    <row r="11786" spans="1:6" ht="25.5">
      <c r="A11786" s="2">
        <v>11783</v>
      </c>
      <c r="B11786" s="2" t="s">
        <v>11860</v>
      </c>
      <c r="C11786" s="2" t="str">
        <f>"09538194"</f>
        <v>09538194</v>
      </c>
      <c r="D11786" s="2">
        <v>1.038</v>
      </c>
      <c r="E11786" s="2">
        <v>75</v>
      </c>
      <c r="F11786" s="2" t="s">
        <v>16</v>
      </c>
    </row>
    <row r="11787" spans="1:6" ht="25.5">
      <c r="A11787" s="2">
        <v>11784</v>
      </c>
      <c r="B11787" s="2" t="s">
        <v>11861</v>
      </c>
      <c r="C11787" s="2" t="str">
        <f>"17430003"</f>
        <v>17430003</v>
      </c>
      <c r="D11787" s="2">
        <v>0.92400000000000004</v>
      </c>
      <c r="E11787" s="2">
        <v>33</v>
      </c>
      <c r="F11787" s="2" t="s">
        <v>16</v>
      </c>
    </row>
    <row r="11788" spans="1:6" ht="25.5">
      <c r="A11788" s="2">
        <v>11785</v>
      </c>
      <c r="B11788" s="2" t="s">
        <v>11862</v>
      </c>
      <c r="C11788" s="2" t="str">
        <f>"20930887"</f>
        <v>20930887</v>
      </c>
      <c r="D11788" s="2">
        <v>0.72499999999999998</v>
      </c>
      <c r="E11788" s="2">
        <v>7</v>
      </c>
      <c r="F11788" s="2" t="s">
        <v>274</v>
      </c>
    </row>
    <row r="11789" spans="1:6" ht="25.5">
      <c r="A11789" s="2">
        <v>11786</v>
      </c>
      <c r="B11789" s="2" t="s">
        <v>11863</v>
      </c>
      <c r="C11789" s="2" t="str">
        <f>"15635260"</f>
        <v>15635260</v>
      </c>
      <c r="D11789" s="2">
        <v>0.98299999999999998</v>
      </c>
      <c r="E11789" s="2">
        <v>23</v>
      </c>
      <c r="F11789" s="2" t="s">
        <v>16</v>
      </c>
    </row>
    <row r="11790" spans="1:6" ht="25.5">
      <c r="A11790" s="2">
        <v>11787</v>
      </c>
      <c r="B11790" s="2" t="s">
        <v>11864</v>
      </c>
      <c r="C11790" s="2" t="str">
        <f>"15526569"</f>
        <v>15526569</v>
      </c>
      <c r="D11790" s="2">
        <v>0.59699999999999998</v>
      </c>
      <c r="E11790" s="2">
        <v>39</v>
      </c>
      <c r="F11790" s="2" t="s">
        <v>16</v>
      </c>
    </row>
    <row r="11791" spans="1:6" ht="25.5">
      <c r="A11791" s="2">
        <v>11788</v>
      </c>
      <c r="B11791" s="2" t="s">
        <v>11865</v>
      </c>
      <c r="C11791" s="2" t="str">
        <f>"15571904"</f>
        <v>15571904</v>
      </c>
      <c r="D11791" s="2">
        <v>1.216</v>
      </c>
      <c r="E11791" s="2">
        <v>29</v>
      </c>
      <c r="F11791" s="2" t="s">
        <v>6</v>
      </c>
    </row>
    <row r="11792" spans="1:6" ht="25.5">
      <c r="A11792" s="2">
        <v>11789</v>
      </c>
      <c r="B11792" s="2" t="s">
        <v>11866</v>
      </c>
      <c r="C11792" s="2" t="str">
        <f>"18728421"</f>
        <v>18728421</v>
      </c>
      <c r="D11792" s="2">
        <v>1.0589999999999999</v>
      </c>
      <c r="E11792" s="2">
        <v>99</v>
      </c>
      <c r="F11792" s="2" t="s">
        <v>75</v>
      </c>
    </row>
    <row r="11793" spans="1:6" ht="25.5">
      <c r="A11793" s="2">
        <v>11790</v>
      </c>
      <c r="B11793" s="2" t="s">
        <v>11867</v>
      </c>
      <c r="C11793" s="2" t="str">
        <f>"17422094"</f>
        <v>17422094</v>
      </c>
      <c r="D11793" s="2">
        <v>1.42</v>
      </c>
      <c r="E11793" s="2">
        <v>41</v>
      </c>
      <c r="F11793" s="2" t="s">
        <v>16</v>
      </c>
    </row>
    <row r="11794" spans="1:6" ht="25.5">
      <c r="A11794" s="2">
        <v>11791</v>
      </c>
      <c r="B11794" s="2" t="s">
        <v>11868</v>
      </c>
      <c r="C11794" s="2" t="str">
        <f>"09116044"</f>
        <v>09116044</v>
      </c>
      <c r="D11794" s="2">
        <v>0.627</v>
      </c>
      <c r="E11794" s="2">
        <v>30</v>
      </c>
      <c r="F11794" s="2" t="s">
        <v>75</v>
      </c>
    </row>
    <row r="11795" spans="1:6" ht="25.5">
      <c r="A11795" s="2">
        <v>11792</v>
      </c>
      <c r="B11795" s="2" t="s">
        <v>11869</v>
      </c>
      <c r="C11795" s="2" t="str">
        <f>"13001817"</f>
        <v>13001817</v>
      </c>
      <c r="D11795" s="2">
        <v>0.129</v>
      </c>
      <c r="E11795" s="2">
        <v>2</v>
      </c>
      <c r="F11795" s="2" t="s">
        <v>345</v>
      </c>
    </row>
    <row r="11796" spans="1:6" ht="25.5">
      <c r="A11796" s="2">
        <v>11793</v>
      </c>
      <c r="B11796" s="2" t="s">
        <v>11870</v>
      </c>
      <c r="C11796" s="2" t="str">
        <f>"21936323"</f>
        <v>21936323</v>
      </c>
      <c r="D11796" s="2">
        <v>0</v>
      </c>
      <c r="E11796" s="2">
        <v>1</v>
      </c>
      <c r="F11796" s="2" t="s">
        <v>12</v>
      </c>
    </row>
    <row r="11797" spans="1:6" ht="25.5">
      <c r="A11797" s="2">
        <v>11794</v>
      </c>
      <c r="B11797" s="2" t="s">
        <v>11871</v>
      </c>
      <c r="C11797" s="2" t="str">
        <f>"15570584"</f>
        <v>15570584</v>
      </c>
      <c r="D11797" s="2">
        <v>0.80500000000000005</v>
      </c>
      <c r="E11797" s="2">
        <v>21</v>
      </c>
      <c r="F11797" s="2" t="s">
        <v>6</v>
      </c>
    </row>
    <row r="11798" spans="1:6" ht="25.5">
      <c r="A11798" s="2">
        <v>11795</v>
      </c>
      <c r="B11798" s="2" t="s">
        <v>11872</v>
      </c>
      <c r="C11798" s="2" t="str">
        <f>"03405354"</f>
        <v>03405354</v>
      </c>
      <c r="D11798" s="2">
        <v>1.1839999999999999</v>
      </c>
      <c r="E11798" s="2">
        <v>84</v>
      </c>
      <c r="F11798" s="2" t="s">
        <v>12</v>
      </c>
    </row>
    <row r="11799" spans="1:6" ht="25.5">
      <c r="A11799" s="2">
        <v>11796</v>
      </c>
      <c r="B11799" s="2" t="s">
        <v>11873</v>
      </c>
      <c r="C11799" s="2" t="str">
        <f>"1468330X"</f>
        <v>1468330X</v>
      </c>
      <c r="D11799" s="2">
        <v>1.74</v>
      </c>
      <c r="E11799" s="2">
        <v>129</v>
      </c>
      <c r="F11799" s="2" t="s">
        <v>16</v>
      </c>
    </row>
    <row r="11800" spans="1:6" ht="25.5">
      <c r="A11800" s="2">
        <v>11797</v>
      </c>
      <c r="B11800" s="2" t="s">
        <v>11874</v>
      </c>
      <c r="C11800" s="2" t="str">
        <f>"15737373"</f>
        <v>15737373</v>
      </c>
      <c r="D11800" s="2">
        <v>1.095</v>
      </c>
      <c r="E11800" s="2">
        <v>72</v>
      </c>
      <c r="F11800" s="2" t="s">
        <v>75</v>
      </c>
    </row>
    <row r="11801" spans="1:6" ht="25.5">
      <c r="A11801" s="2">
        <v>11798</v>
      </c>
      <c r="B11801" s="2" t="s">
        <v>11875</v>
      </c>
      <c r="C11801" s="2" t="str">
        <f>"15365166"</f>
        <v>15365166</v>
      </c>
      <c r="D11801" s="2">
        <v>0.39</v>
      </c>
      <c r="E11801" s="2">
        <v>31</v>
      </c>
      <c r="F11801" s="2" t="s">
        <v>6</v>
      </c>
    </row>
    <row r="11802" spans="1:6" ht="25.5">
      <c r="A11802" s="2">
        <v>11799</v>
      </c>
      <c r="B11802" s="2" t="s">
        <v>11876</v>
      </c>
      <c r="C11802" s="2" t="str">
        <f>"00223069"</f>
        <v>00223069</v>
      </c>
      <c r="D11802" s="2">
        <v>1.8520000000000001</v>
      </c>
      <c r="E11802" s="2">
        <v>114</v>
      </c>
      <c r="F11802" s="2" t="s">
        <v>6</v>
      </c>
    </row>
    <row r="11803" spans="1:6" ht="25.5">
      <c r="A11803" s="2">
        <v>11800</v>
      </c>
      <c r="B11803" s="2" t="s">
        <v>11877</v>
      </c>
      <c r="C11803" s="2" t="str">
        <f>"15221598"</f>
        <v>15221598</v>
      </c>
      <c r="D11803" s="2">
        <v>2.1880000000000002</v>
      </c>
      <c r="E11803" s="2">
        <v>165</v>
      </c>
      <c r="F11803" s="2" t="s">
        <v>6</v>
      </c>
    </row>
    <row r="11804" spans="1:6" ht="25.5">
      <c r="A11804" s="2">
        <v>11801</v>
      </c>
      <c r="B11804" s="2" t="s">
        <v>11878</v>
      </c>
      <c r="C11804" s="2" t="str">
        <f>"15457222"</f>
        <v>15457222</v>
      </c>
      <c r="D11804" s="2">
        <v>0.77300000000000002</v>
      </c>
      <c r="E11804" s="2">
        <v>72</v>
      </c>
      <c r="F11804" s="2" t="s">
        <v>6</v>
      </c>
    </row>
    <row r="11805" spans="1:6" ht="25.5">
      <c r="A11805" s="2">
        <v>11802</v>
      </c>
      <c r="B11805" s="2" t="s">
        <v>11879</v>
      </c>
      <c r="C11805" s="2" t="str">
        <f>"17486653"</f>
        <v>17486653</v>
      </c>
      <c r="D11805" s="2">
        <v>0.89800000000000002</v>
      </c>
      <c r="E11805" s="2">
        <v>14</v>
      </c>
      <c r="F11805" s="2" t="s">
        <v>6</v>
      </c>
    </row>
    <row r="11806" spans="1:6" ht="25.5">
      <c r="A11806" s="2">
        <v>11803</v>
      </c>
      <c r="B11806" s="2" t="s">
        <v>11880</v>
      </c>
      <c r="C11806" s="2" t="str">
        <f>"01509861"</f>
        <v>01509861</v>
      </c>
      <c r="D11806" s="2">
        <v>0.42299999999999999</v>
      </c>
      <c r="E11806" s="2">
        <v>26</v>
      </c>
      <c r="F11806" s="2" t="s">
        <v>66</v>
      </c>
    </row>
    <row r="11807" spans="1:6" ht="25.5">
      <c r="A11807" s="2">
        <v>11804</v>
      </c>
      <c r="B11807" s="2" t="s">
        <v>11881</v>
      </c>
      <c r="C11807" s="2" t="str">
        <f>"15292401"</f>
        <v>15292401</v>
      </c>
      <c r="D11807" s="2">
        <v>4.5279999999999996</v>
      </c>
      <c r="E11807" s="2">
        <v>305</v>
      </c>
      <c r="F11807" s="2" t="s">
        <v>6</v>
      </c>
    </row>
    <row r="11808" spans="1:6" ht="25.5">
      <c r="A11808" s="2">
        <v>11805</v>
      </c>
      <c r="B11808" s="2" t="s">
        <v>11882</v>
      </c>
      <c r="C11808" s="2" t="str">
        <f>"01650270"</f>
        <v>01650270</v>
      </c>
      <c r="D11808" s="2">
        <v>0.94199999999999995</v>
      </c>
      <c r="E11808" s="2">
        <v>86</v>
      </c>
      <c r="F11808" s="2" t="s">
        <v>75</v>
      </c>
    </row>
    <row r="11809" spans="1:6" ht="25.5">
      <c r="A11809" s="2">
        <v>11806</v>
      </c>
      <c r="B11809" s="2" t="s">
        <v>11883</v>
      </c>
      <c r="C11809" s="2" t="str">
        <f>"08880395"</f>
        <v>08880395</v>
      </c>
      <c r="D11809" s="2">
        <v>0.26700000000000002</v>
      </c>
      <c r="E11809" s="2">
        <v>24</v>
      </c>
      <c r="F11809" s="2" t="s">
        <v>6</v>
      </c>
    </row>
    <row r="11810" spans="1:6" ht="25.5">
      <c r="A11810" s="2">
        <v>11807</v>
      </c>
      <c r="B11810" s="2" t="s">
        <v>11884</v>
      </c>
      <c r="C11810" s="2" t="str">
        <f>"2151318X"</f>
        <v>2151318X</v>
      </c>
      <c r="D11810" s="2">
        <v>0.72199999999999998</v>
      </c>
      <c r="E11810" s="2">
        <v>7</v>
      </c>
      <c r="F11810" s="2" t="s">
        <v>6</v>
      </c>
    </row>
    <row r="11811" spans="1:6" ht="25.5">
      <c r="A11811" s="2">
        <v>11808</v>
      </c>
      <c r="B11811" s="2" t="s">
        <v>11885</v>
      </c>
      <c r="C11811" s="2" t="str">
        <f>"10974547"</f>
        <v>10974547</v>
      </c>
      <c r="D11811" s="2">
        <v>1.218</v>
      </c>
      <c r="E11811" s="2">
        <v>113</v>
      </c>
      <c r="F11811" s="2" t="s">
        <v>6</v>
      </c>
    </row>
    <row r="11812" spans="1:6" ht="25.5">
      <c r="A11812" s="2">
        <v>11809</v>
      </c>
      <c r="B11812" s="2" t="s">
        <v>11886</v>
      </c>
      <c r="C11812" s="2" t="str">
        <f>"00223085"</f>
        <v>00223085</v>
      </c>
      <c r="D11812" s="2">
        <v>1.448</v>
      </c>
      <c r="E11812" s="2">
        <v>138</v>
      </c>
      <c r="F11812" s="2" t="s">
        <v>6</v>
      </c>
    </row>
    <row r="11813" spans="1:6" ht="25.5">
      <c r="A11813" s="2">
        <v>11810</v>
      </c>
      <c r="B11813" s="2" t="s">
        <v>11887</v>
      </c>
      <c r="C11813" s="2" t="str">
        <f>"19330715"</f>
        <v>19330715</v>
      </c>
      <c r="D11813" s="2">
        <v>0.86599999999999999</v>
      </c>
      <c r="E11813" s="2">
        <v>20</v>
      </c>
      <c r="F11813" s="2" t="s">
        <v>6</v>
      </c>
    </row>
    <row r="11814" spans="1:6" ht="25.5">
      <c r="A11814" s="2">
        <v>11811</v>
      </c>
      <c r="B11814" s="2" t="s">
        <v>11888</v>
      </c>
      <c r="C11814" s="2" t="str">
        <f>"15475654"</f>
        <v>15475654</v>
      </c>
      <c r="D11814" s="2">
        <v>1.07</v>
      </c>
      <c r="E11814" s="2">
        <v>43</v>
      </c>
      <c r="F11814" s="2" t="s">
        <v>6</v>
      </c>
    </row>
    <row r="11815" spans="1:6" ht="25.5">
      <c r="A11815" s="2">
        <v>11812</v>
      </c>
      <c r="B11815" s="2" t="s">
        <v>11889</v>
      </c>
      <c r="C11815" s="2" t="str">
        <f>"15371921"</f>
        <v>15371921</v>
      </c>
      <c r="D11815" s="2">
        <v>0.57199999999999995</v>
      </c>
      <c r="E11815" s="2">
        <v>40</v>
      </c>
      <c r="F11815" s="2" t="s">
        <v>6</v>
      </c>
    </row>
    <row r="11816" spans="1:6" ht="25.5">
      <c r="A11816" s="2">
        <v>11813</v>
      </c>
      <c r="B11816" s="2" t="s">
        <v>11890</v>
      </c>
      <c r="C11816" s="2" t="str">
        <f>"03905616"</f>
        <v>03905616</v>
      </c>
      <c r="D11816" s="2">
        <v>0.26200000000000001</v>
      </c>
      <c r="E11816" s="2">
        <v>25</v>
      </c>
      <c r="F11816" s="2" t="s">
        <v>190</v>
      </c>
    </row>
    <row r="11817" spans="1:6" ht="25.5">
      <c r="A11817" s="2">
        <v>11814</v>
      </c>
      <c r="B11817" s="2" t="s">
        <v>11891</v>
      </c>
      <c r="C11817" s="2" t="str">
        <f>"1530017X"</f>
        <v>1530017X</v>
      </c>
      <c r="D11817" s="2">
        <v>0.26600000000000001</v>
      </c>
      <c r="E11817" s="2">
        <v>12</v>
      </c>
      <c r="F11817" s="2" t="s">
        <v>16</v>
      </c>
    </row>
    <row r="11818" spans="1:6" ht="25.5">
      <c r="A11818" s="2">
        <v>11815</v>
      </c>
      <c r="B11818" s="2" t="s">
        <v>11892</v>
      </c>
      <c r="C11818" s="2" t="str">
        <f>"08977151"</f>
        <v>08977151</v>
      </c>
      <c r="D11818" s="2">
        <v>1.456</v>
      </c>
      <c r="E11818" s="2">
        <v>88</v>
      </c>
      <c r="F11818" s="2" t="s">
        <v>6</v>
      </c>
    </row>
    <row r="11819" spans="1:6" ht="25.5">
      <c r="A11819" s="2">
        <v>11816</v>
      </c>
      <c r="B11819" s="2" t="s">
        <v>11893</v>
      </c>
      <c r="C11819" s="2" t="str">
        <f>"15382443"</f>
        <v>15382443</v>
      </c>
      <c r="D11819" s="2">
        <v>0.80700000000000005</v>
      </c>
      <c r="E11819" s="2">
        <v>59</v>
      </c>
      <c r="F11819" s="2" t="s">
        <v>6</v>
      </c>
    </row>
    <row r="11820" spans="1:6" ht="25.5">
      <c r="A11820" s="2">
        <v>11817</v>
      </c>
      <c r="B11820" s="2" t="s">
        <v>11894</v>
      </c>
      <c r="C11820" s="2" t="str">
        <f>"10773002"</f>
        <v>10773002</v>
      </c>
      <c r="D11820" s="2">
        <v>0.1</v>
      </c>
      <c r="E11820" s="2">
        <v>2</v>
      </c>
      <c r="F11820" s="2" t="s">
        <v>6</v>
      </c>
    </row>
    <row r="11821" spans="1:6" ht="25.5">
      <c r="A11821" s="2">
        <v>11818</v>
      </c>
      <c r="B11821" s="2" t="s">
        <v>11895</v>
      </c>
      <c r="C11821" s="2" t="str">
        <f>"14802422"</f>
        <v>14802422</v>
      </c>
      <c r="D11821" s="2">
        <v>0.247</v>
      </c>
      <c r="E11821" s="2">
        <v>33</v>
      </c>
      <c r="F11821" s="2" t="s">
        <v>64</v>
      </c>
    </row>
    <row r="11822" spans="1:6" ht="25.5">
      <c r="A11822" s="2">
        <v>11819</v>
      </c>
      <c r="B11822" s="2" t="s">
        <v>11896</v>
      </c>
      <c r="C11822" s="2" t="str">
        <f>"09298215"</f>
        <v>09298215</v>
      </c>
      <c r="D11822" s="2">
        <v>0.36799999999999999</v>
      </c>
      <c r="E11822" s="2">
        <v>12</v>
      </c>
      <c r="F11822" s="2" t="s">
        <v>16</v>
      </c>
    </row>
    <row r="11823" spans="1:6" ht="25.5">
      <c r="A11823" s="2">
        <v>11820</v>
      </c>
      <c r="B11823" s="2" t="s">
        <v>11897</v>
      </c>
      <c r="C11823" s="2" t="str">
        <f>"20928637"</f>
        <v>20928637</v>
      </c>
      <c r="D11823" s="2">
        <v>0.28599999999999998</v>
      </c>
      <c r="E11823" s="2">
        <v>5</v>
      </c>
      <c r="F11823" s="2" t="s">
        <v>274</v>
      </c>
    </row>
    <row r="11824" spans="1:6" ht="25.5">
      <c r="A11824" s="2">
        <v>11821</v>
      </c>
      <c r="B11824" s="2" t="s">
        <v>11898</v>
      </c>
      <c r="C11824" s="2" t="str">
        <f>"09688005"</f>
        <v>09688005</v>
      </c>
      <c r="D11824" s="2">
        <v>0.10199999999999999</v>
      </c>
      <c r="E11824" s="2">
        <v>1</v>
      </c>
      <c r="F11824" s="2" t="s">
        <v>6</v>
      </c>
    </row>
    <row r="11825" spans="1:6" ht="25.5">
      <c r="A11825" s="2">
        <v>11822</v>
      </c>
      <c r="B11825" s="2" t="s">
        <v>11899</v>
      </c>
      <c r="C11825" s="2" t="str">
        <f>"13454676"</f>
        <v>13454676</v>
      </c>
      <c r="D11825" s="2">
        <v>0.23300000000000001</v>
      </c>
      <c r="E11825" s="2">
        <v>21</v>
      </c>
      <c r="F11825" s="2" t="s">
        <v>131</v>
      </c>
    </row>
    <row r="11826" spans="1:6" ht="25.5">
      <c r="A11826" s="2">
        <v>11823</v>
      </c>
      <c r="B11826" s="2" t="s">
        <v>11900</v>
      </c>
      <c r="C11826" s="2" t="str">
        <f>"16616960"</f>
        <v>16616960</v>
      </c>
      <c r="D11826" s="2">
        <v>1.1339999999999999</v>
      </c>
      <c r="E11826" s="2">
        <v>5</v>
      </c>
      <c r="F11826" s="2" t="s">
        <v>31</v>
      </c>
    </row>
    <row r="11827" spans="1:6" ht="25.5">
      <c r="A11827" s="2">
        <v>11824</v>
      </c>
      <c r="B11827" s="2" t="s">
        <v>11901</v>
      </c>
      <c r="C11827" s="2" t="str">
        <f>"00223093"</f>
        <v>00223093</v>
      </c>
      <c r="D11827" s="2">
        <v>0.68799999999999994</v>
      </c>
      <c r="E11827" s="2">
        <v>88</v>
      </c>
      <c r="F11827" s="2" t="s">
        <v>75</v>
      </c>
    </row>
    <row r="11828" spans="1:6" ht="25.5">
      <c r="A11828" s="2">
        <v>11825</v>
      </c>
      <c r="B11828" s="2" t="s">
        <v>11902</v>
      </c>
      <c r="C11828" s="2" t="str">
        <f>"15734862"</f>
        <v>15734862</v>
      </c>
      <c r="D11828" s="2">
        <v>0.52800000000000002</v>
      </c>
      <c r="E11828" s="2">
        <v>20</v>
      </c>
      <c r="F11828" s="2" t="s">
        <v>6</v>
      </c>
    </row>
    <row r="11829" spans="1:6" ht="25.5">
      <c r="A11829" s="2">
        <v>11826</v>
      </c>
      <c r="B11829" s="2" t="s">
        <v>11903</v>
      </c>
      <c r="C11829" s="2" t="str">
        <f>"14374358"</f>
        <v>14374358</v>
      </c>
      <c r="D11829" s="2">
        <v>0.36499999999999999</v>
      </c>
      <c r="E11829" s="2">
        <v>21</v>
      </c>
      <c r="F11829" s="2" t="s">
        <v>12</v>
      </c>
    </row>
    <row r="11830" spans="1:6" ht="25.5">
      <c r="A11830" s="2">
        <v>11827</v>
      </c>
      <c r="B11830" s="2" t="s">
        <v>11904</v>
      </c>
      <c r="C11830" s="2" t="str">
        <f>"14029251"</f>
        <v>14029251</v>
      </c>
      <c r="D11830" s="2">
        <v>0.39900000000000002</v>
      </c>
      <c r="E11830" s="2">
        <v>23</v>
      </c>
      <c r="F11830" s="2" t="s">
        <v>543</v>
      </c>
    </row>
    <row r="11831" spans="1:6" ht="25.5">
      <c r="A11831" s="2">
        <v>11828</v>
      </c>
      <c r="B11831" s="2" t="s">
        <v>11905</v>
      </c>
      <c r="C11831" s="2" t="str">
        <f>"02188635"</f>
        <v>02188635</v>
      </c>
      <c r="D11831" s="2">
        <v>0.28199999999999997</v>
      </c>
      <c r="E11831" s="2">
        <v>25</v>
      </c>
      <c r="F11831" s="2" t="s">
        <v>543</v>
      </c>
    </row>
    <row r="11832" spans="1:6" ht="25.5">
      <c r="A11832" s="2">
        <v>11829</v>
      </c>
      <c r="B11832" s="2" t="s">
        <v>11906</v>
      </c>
      <c r="C11832" s="2" t="str">
        <f>"14321467"</f>
        <v>14321467</v>
      </c>
      <c r="D11832" s="2">
        <v>1.3109999999999999</v>
      </c>
      <c r="E11832" s="2">
        <v>33</v>
      </c>
      <c r="F11832" s="2" t="s">
        <v>6</v>
      </c>
    </row>
    <row r="11833" spans="1:6" ht="25.5">
      <c r="A11833" s="2">
        <v>11830</v>
      </c>
      <c r="B11833" s="2" t="s">
        <v>11907</v>
      </c>
      <c r="C11833" s="2" t="str">
        <f>"03770257"</f>
        <v>03770257</v>
      </c>
      <c r="D11833" s="2">
        <v>0.997</v>
      </c>
      <c r="E11833" s="2">
        <v>63</v>
      </c>
      <c r="F11833" s="2" t="s">
        <v>75</v>
      </c>
    </row>
    <row r="11834" spans="1:6" ht="25.5">
      <c r="A11834" s="2">
        <v>11831</v>
      </c>
      <c r="B11834" s="2" t="s">
        <v>11908</v>
      </c>
      <c r="C11834" s="2" t="str">
        <f>"10485252"</f>
        <v>10485252</v>
      </c>
      <c r="D11834" s="2">
        <v>0.92400000000000004</v>
      </c>
      <c r="E11834" s="2">
        <v>20</v>
      </c>
      <c r="F11834" s="2" t="s">
        <v>16</v>
      </c>
    </row>
    <row r="11835" spans="1:6" ht="25.5">
      <c r="A11835" s="2">
        <v>11832</v>
      </c>
      <c r="B11835" s="2" t="s">
        <v>11909</v>
      </c>
      <c r="C11835" s="2" t="str">
        <f>"15406997"</f>
        <v>15406997</v>
      </c>
      <c r="D11835" s="2">
        <v>0.27500000000000002</v>
      </c>
      <c r="E11835" s="2">
        <v>8</v>
      </c>
      <c r="F11835" s="2" t="s">
        <v>16</v>
      </c>
    </row>
    <row r="11836" spans="1:6" ht="25.5">
      <c r="A11836" s="2">
        <v>11833</v>
      </c>
      <c r="B11836" s="2" t="s">
        <v>11910</v>
      </c>
      <c r="C11836" s="2" t="str">
        <f>"15733653"</f>
        <v>15733653</v>
      </c>
      <c r="D11836" s="2">
        <v>0.752</v>
      </c>
      <c r="E11836" s="2">
        <v>33</v>
      </c>
      <c r="F11836" s="2" t="s">
        <v>6</v>
      </c>
    </row>
    <row r="11837" spans="1:6" ht="25.5">
      <c r="A11837" s="2">
        <v>11834</v>
      </c>
      <c r="B11837" s="2" t="s">
        <v>11911</v>
      </c>
      <c r="C11837" s="2" t="str">
        <f>"17439345"</f>
        <v>17439345</v>
      </c>
      <c r="D11837" s="2">
        <v>0.376</v>
      </c>
      <c r="E11837" s="2">
        <v>7</v>
      </c>
      <c r="F11837" s="2" t="s">
        <v>16</v>
      </c>
    </row>
    <row r="11838" spans="1:6" ht="25.5">
      <c r="A11838" s="2">
        <v>11835</v>
      </c>
      <c r="B11838" s="2" t="s">
        <v>11912</v>
      </c>
      <c r="C11838" s="2" t="str">
        <f>"02506408"</f>
        <v>02506408</v>
      </c>
      <c r="D11838" s="2">
        <v>0.11899999999999999</v>
      </c>
      <c r="E11838" s="2">
        <v>26</v>
      </c>
      <c r="F11838" s="2" t="s">
        <v>64</v>
      </c>
    </row>
    <row r="11839" spans="1:6" ht="25.5">
      <c r="A11839" s="2">
        <v>11836</v>
      </c>
      <c r="B11839" s="2" t="s">
        <v>11913</v>
      </c>
      <c r="C11839" s="2" t="str">
        <f>"15326551"</f>
        <v>15326551</v>
      </c>
      <c r="D11839" s="2">
        <v>1.107</v>
      </c>
      <c r="E11839" s="2">
        <v>54</v>
      </c>
      <c r="F11839" s="2" t="s">
        <v>6</v>
      </c>
    </row>
    <row r="11840" spans="1:6" ht="25.5">
      <c r="A11840" s="2">
        <v>11837</v>
      </c>
      <c r="B11840" s="2" t="s">
        <v>11914</v>
      </c>
      <c r="C11840" s="2" t="str">
        <f>"00223115"</f>
        <v>00223115</v>
      </c>
      <c r="D11840" s="2">
        <v>0.78800000000000003</v>
      </c>
      <c r="E11840" s="2">
        <v>78</v>
      </c>
      <c r="F11840" s="2" t="s">
        <v>75</v>
      </c>
    </row>
    <row r="11841" spans="1:6" ht="25.5">
      <c r="A11841" s="2">
        <v>11838</v>
      </c>
      <c r="B11841" s="2" t="s">
        <v>11915</v>
      </c>
      <c r="C11841" s="2" t="str">
        <f>"01615505"</f>
        <v>01615505</v>
      </c>
      <c r="D11841" s="2">
        <v>2.3010000000000002</v>
      </c>
      <c r="E11841" s="2">
        <v>134</v>
      </c>
      <c r="F11841" s="2" t="s">
        <v>6</v>
      </c>
    </row>
    <row r="11842" spans="1:6" ht="25.5">
      <c r="A11842" s="2">
        <v>11839</v>
      </c>
      <c r="B11842" s="2" t="s">
        <v>11916</v>
      </c>
      <c r="C11842" s="2" t="str">
        <f>"00914916"</f>
        <v>00914916</v>
      </c>
      <c r="D11842" s="2">
        <v>0.34399999999999997</v>
      </c>
      <c r="E11842" s="2">
        <v>21</v>
      </c>
      <c r="F11842" s="2" t="s">
        <v>6</v>
      </c>
    </row>
    <row r="11843" spans="1:6" ht="25.5">
      <c r="A11843" s="2">
        <v>11840</v>
      </c>
      <c r="B11843" s="2" t="s">
        <v>11917</v>
      </c>
      <c r="C11843" s="2" t="str">
        <f>"00223131"</f>
        <v>00223131</v>
      </c>
      <c r="D11843" s="2">
        <v>0.83499999999999996</v>
      </c>
      <c r="E11843" s="2">
        <v>31</v>
      </c>
      <c r="F11843" s="2" t="s">
        <v>131</v>
      </c>
    </row>
    <row r="11844" spans="1:6" ht="25.5">
      <c r="A11844" s="2">
        <v>11841</v>
      </c>
      <c r="B11844" s="2" t="s">
        <v>11918</v>
      </c>
      <c r="C11844" s="2" t="str">
        <f>"2090021X"</f>
        <v>2090021X</v>
      </c>
      <c r="D11844" s="2">
        <v>0.96599999999999997</v>
      </c>
      <c r="E11844" s="2">
        <v>10</v>
      </c>
      <c r="F11844" s="2" t="s">
        <v>6</v>
      </c>
    </row>
    <row r="11845" spans="1:6" ht="25.5">
      <c r="A11845" s="2">
        <v>11842</v>
      </c>
      <c r="B11845" s="2" t="s">
        <v>11919</v>
      </c>
      <c r="C11845" s="2" t="str">
        <f>"10961658"</f>
        <v>10961658</v>
      </c>
      <c r="D11845" s="2">
        <v>0.98899999999999999</v>
      </c>
      <c r="E11845" s="2">
        <v>26</v>
      </c>
      <c r="F11845" s="2" t="s">
        <v>6</v>
      </c>
    </row>
    <row r="11846" spans="1:6" ht="25.5">
      <c r="A11846" s="2">
        <v>11843</v>
      </c>
      <c r="B11846" s="2" t="s">
        <v>11920</v>
      </c>
      <c r="C11846" s="2" t="str">
        <f>"17908159"</f>
        <v>17908159</v>
      </c>
      <c r="D11846" s="2">
        <v>0.42599999999999999</v>
      </c>
      <c r="E11846" s="2">
        <v>6</v>
      </c>
      <c r="F11846" s="2" t="s">
        <v>313</v>
      </c>
    </row>
    <row r="11847" spans="1:6" ht="25.5">
      <c r="A11847" s="2">
        <v>11844</v>
      </c>
      <c r="B11847" s="2" t="s">
        <v>11921</v>
      </c>
      <c r="C11847" s="2" t="str">
        <f>"15702820"</f>
        <v>15702820</v>
      </c>
      <c r="D11847" s="2">
        <v>0.64300000000000002</v>
      </c>
      <c r="E11847" s="2">
        <v>19</v>
      </c>
      <c r="F11847" s="2" t="s">
        <v>12</v>
      </c>
    </row>
    <row r="11848" spans="1:6" ht="25.5">
      <c r="A11848" s="2">
        <v>11845</v>
      </c>
      <c r="B11848" s="2" t="s">
        <v>11922</v>
      </c>
      <c r="C11848" s="2" t="str">
        <f>"0047262X"</f>
        <v>0047262X</v>
      </c>
      <c r="D11848" s="2">
        <v>0.15</v>
      </c>
      <c r="E11848" s="2">
        <v>6</v>
      </c>
      <c r="F11848" s="2" t="s">
        <v>165</v>
      </c>
    </row>
    <row r="11849" spans="1:6" ht="25.5">
      <c r="A11849" s="2">
        <v>11846</v>
      </c>
      <c r="B11849" s="2" t="s">
        <v>11923</v>
      </c>
      <c r="C11849" s="2" t="str">
        <f>"15390721"</f>
        <v>15390721</v>
      </c>
      <c r="D11849" s="2">
        <v>0.83799999999999997</v>
      </c>
      <c r="E11849" s="2">
        <v>52</v>
      </c>
      <c r="F11849" s="2" t="s">
        <v>6</v>
      </c>
    </row>
    <row r="11850" spans="1:6" ht="25.5">
      <c r="A11850" s="2">
        <v>11847</v>
      </c>
      <c r="B11850" s="2" t="s">
        <v>11924</v>
      </c>
      <c r="C11850" s="2" t="str">
        <f>"15505065"</f>
        <v>15505065</v>
      </c>
      <c r="D11850" s="2">
        <v>0.627</v>
      </c>
      <c r="E11850" s="2">
        <v>28</v>
      </c>
      <c r="F11850" s="2" t="s">
        <v>6</v>
      </c>
    </row>
    <row r="11851" spans="1:6" ht="25.5">
      <c r="A11851" s="2">
        <v>11848</v>
      </c>
      <c r="B11851" s="2" t="s">
        <v>11925</v>
      </c>
      <c r="C11851" s="2" t="str">
        <f>"01484834"</f>
        <v>01484834</v>
      </c>
      <c r="D11851" s="2">
        <v>0.878</v>
      </c>
      <c r="E11851" s="2">
        <v>39</v>
      </c>
      <c r="F11851" s="2" t="s">
        <v>6</v>
      </c>
    </row>
    <row r="11852" spans="1:6" ht="25.5">
      <c r="A11852" s="2">
        <v>11849</v>
      </c>
      <c r="B11852" s="2" t="s">
        <v>11926</v>
      </c>
      <c r="C11852" s="2" t="str">
        <f>"13652834"</f>
        <v>13652834</v>
      </c>
      <c r="D11852" s="2">
        <v>1.028</v>
      </c>
      <c r="E11852" s="2">
        <v>34</v>
      </c>
      <c r="F11852" s="2" t="s">
        <v>16</v>
      </c>
    </row>
    <row r="11853" spans="1:6" ht="25.5">
      <c r="A11853" s="2">
        <v>11850</v>
      </c>
      <c r="B11853" s="2" t="s">
        <v>11927</v>
      </c>
      <c r="C11853" s="2" t="str">
        <f>"10613749"</f>
        <v>10613749</v>
      </c>
      <c r="D11853" s="2">
        <v>0.33300000000000002</v>
      </c>
      <c r="E11853" s="2">
        <v>21</v>
      </c>
      <c r="F11853" s="2" t="s">
        <v>6</v>
      </c>
    </row>
    <row r="11854" spans="1:6" ht="25.5">
      <c r="A11854" s="2">
        <v>11851</v>
      </c>
      <c r="B11854" s="2" t="s">
        <v>11928</v>
      </c>
      <c r="C11854" s="2" t="str">
        <f>"16823141"</f>
        <v>16823141</v>
      </c>
      <c r="D11854" s="2">
        <v>0.27700000000000002</v>
      </c>
      <c r="E11854" s="2">
        <v>17</v>
      </c>
      <c r="F11854" s="2" t="s">
        <v>165</v>
      </c>
    </row>
    <row r="11855" spans="1:6" ht="25.5">
      <c r="A11855" s="2">
        <v>11852</v>
      </c>
      <c r="B11855" s="2" t="s">
        <v>11929</v>
      </c>
      <c r="C11855" s="2" t="str">
        <f>"15475069"</f>
        <v>15475069</v>
      </c>
      <c r="D11855" s="2">
        <v>0.90300000000000002</v>
      </c>
      <c r="E11855" s="2">
        <v>45</v>
      </c>
      <c r="F11855" s="2" t="s">
        <v>16</v>
      </c>
    </row>
    <row r="11856" spans="1:6" ht="25.5">
      <c r="A11856" s="2">
        <v>11853</v>
      </c>
      <c r="B11856" s="2" t="s">
        <v>11930</v>
      </c>
      <c r="C11856" s="2" t="str">
        <f>"16616758"</f>
        <v>16616758</v>
      </c>
      <c r="D11856" s="2">
        <v>0.55100000000000005</v>
      </c>
      <c r="E11856" s="2">
        <v>9</v>
      </c>
      <c r="F11856" s="2" t="s">
        <v>31</v>
      </c>
    </row>
    <row r="11857" spans="1:6" ht="25.5">
      <c r="A11857" s="2">
        <v>11854</v>
      </c>
      <c r="B11857" s="2" t="s">
        <v>11931</v>
      </c>
      <c r="C11857" s="2" t="str">
        <f>"15416100"</f>
        <v>15416100</v>
      </c>
      <c r="D11857" s="2">
        <v>1.609</v>
      </c>
      <c r="E11857" s="2">
        <v>160</v>
      </c>
      <c r="F11857" s="2" t="s">
        <v>6</v>
      </c>
    </row>
    <row r="11858" spans="1:6" ht="25.5">
      <c r="A11858" s="2">
        <v>11855</v>
      </c>
      <c r="B11858" s="2" t="s">
        <v>11932</v>
      </c>
      <c r="C11858" s="2" t="str">
        <f>"09552863"</f>
        <v>09552863</v>
      </c>
      <c r="D11858" s="2">
        <v>1.262</v>
      </c>
      <c r="E11858" s="2">
        <v>79</v>
      </c>
      <c r="F11858" s="2" t="s">
        <v>6</v>
      </c>
    </row>
    <row r="11859" spans="1:6" ht="25.5">
      <c r="A11859" s="2">
        <v>11856</v>
      </c>
      <c r="B11859" s="2" t="s">
        <v>11933</v>
      </c>
      <c r="C11859" s="2" t="str">
        <f>"03014800"</f>
        <v>03014800</v>
      </c>
      <c r="D11859" s="2">
        <v>0.47699999999999998</v>
      </c>
      <c r="E11859" s="2">
        <v>33</v>
      </c>
      <c r="F11859" s="2" t="s">
        <v>131</v>
      </c>
    </row>
    <row r="11860" spans="1:6" ht="25.5">
      <c r="A11860" s="2">
        <v>11857</v>
      </c>
      <c r="B11860" s="2" t="s">
        <v>11934</v>
      </c>
      <c r="C11860" s="2" t="str">
        <f>"20900732"</f>
        <v>20900732</v>
      </c>
      <c r="D11860" s="2">
        <v>0.41699999999999998</v>
      </c>
      <c r="E11860" s="2">
        <v>6</v>
      </c>
      <c r="F11860" s="2" t="s">
        <v>523</v>
      </c>
    </row>
    <row r="11861" spans="1:6" ht="25.5">
      <c r="A11861" s="2">
        <v>11858</v>
      </c>
      <c r="B11861" s="2" t="s">
        <v>11935</v>
      </c>
      <c r="C11861" s="2" t="str">
        <f>"17088259"</f>
        <v>17088259</v>
      </c>
      <c r="D11861" s="2">
        <v>0.82799999999999996</v>
      </c>
      <c r="E11861" s="2">
        <v>40</v>
      </c>
      <c r="F11861" s="2" t="s">
        <v>6</v>
      </c>
    </row>
    <row r="11862" spans="1:6" ht="25.5">
      <c r="A11862" s="2">
        <v>11859</v>
      </c>
      <c r="B11862" s="2" t="s">
        <v>11936</v>
      </c>
      <c r="C11862" s="2" t="str">
        <f>"12797707"</f>
        <v>12797707</v>
      </c>
      <c r="D11862" s="2">
        <v>0.747</v>
      </c>
      <c r="E11862" s="2">
        <v>43</v>
      </c>
      <c r="F11862" s="2" t="s">
        <v>66</v>
      </c>
    </row>
    <row r="11863" spans="1:6" ht="25.5">
      <c r="A11863" s="2">
        <v>11860</v>
      </c>
      <c r="B11863" s="2" t="s">
        <v>11937</v>
      </c>
      <c r="C11863" s="2" t="str">
        <f>"21551200"</f>
        <v>21551200</v>
      </c>
      <c r="D11863" s="2">
        <v>0.23899999999999999</v>
      </c>
      <c r="E11863" s="2">
        <v>2</v>
      </c>
      <c r="F11863" s="2" t="s">
        <v>6</v>
      </c>
    </row>
    <row r="11864" spans="1:6" ht="25.5">
      <c r="A11864" s="2">
        <v>11861</v>
      </c>
      <c r="B11864" s="2" t="s">
        <v>11938</v>
      </c>
      <c r="C11864" s="2" t="str">
        <f>"20900716"</f>
        <v>20900716</v>
      </c>
      <c r="D11864" s="2">
        <v>0</v>
      </c>
      <c r="E11864" s="2">
        <v>3</v>
      </c>
      <c r="F11864" s="2" t="s">
        <v>523</v>
      </c>
    </row>
    <row r="11865" spans="1:6" ht="25.5">
      <c r="A11865" s="2">
        <v>11862</v>
      </c>
      <c r="B11865" s="2" t="s">
        <v>11939</v>
      </c>
      <c r="C11865" s="2" t="str">
        <f>"16601769"</f>
        <v>16601769</v>
      </c>
      <c r="D11865" s="2">
        <v>0.66400000000000003</v>
      </c>
      <c r="E11865" s="2">
        <v>23</v>
      </c>
      <c r="F11865" s="2" t="s">
        <v>31</v>
      </c>
    </row>
    <row r="11866" spans="1:6" ht="25.5">
      <c r="A11866" s="2">
        <v>11863</v>
      </c>
      <c r="B11866" s="2" t="s">
        <v>11940</v>
      </c>
      <c r="C11866" s="2" t="str">
        <f>"22113649"</f>
        <v>22113649</v>
      </c>
      <c r="D11866" s="2">
        <v>0</v>
      </c>
      <c r="E11866" s="2">
        <v>1</v>
      </c>
      <c r="F11866" s="2" t="s">
        <v>16</v>
      </c>
    </row>
    <row r="11867" spans="1:6" ht="25.5">
      <c r="A11867" s="2">
        <v>11864</v>
      </c>
      <c r="B11867" s="2" t="s">
        <v>11941</v>
      </c>
      <c r="C11867" s="2" t="str">
        <f>"13646893"</f>
        <v>13646893</v>
      </c>
      <c r="D11867" s="2">
        <v>0.316</v>
      </c>
      <c r="E11867" s="2">
        <v>28</v>
      </c>
      <c r="F11867" s="2" t="s">
        <v>16</v>
      </c>
    </row>
    <row r="11868" spans="1:6" ht="25.5">
      <c r="A11868" s="2">
        <v>11865</v>
      </c>
      <c r="B11868" s="2" t="s">
        <v>11942</v>
      </c>
      <c r="C11868" s="2" t="str">
        <f>"17012163"</f>
        <v>17012163</v>
      </c>
      <c r="D11868" s="2">
        <v>0.497</v>
      </c>
      <c r="E11868" s="2">
        <v>32</v>
      </c>
      <c r="F11868" s="2" t="s">
        <v>64</v>
      </c>
    </row>
    <row r="11869" spans="1:6" ht="25.5">
      <c r="A11869" s="2">
        <v>11866</v>
      </c>
      <c r="B11869" s="2" t="s">
        <v>11943</v>
      </c>
      <c r="C11869" s="2" t="str">
        <f>"14470756"</f>
        <v>14470756</v>
      </c>
      <c r="D11869" s="2">
        <v>0.371</v>
      </c>
      <c r="E11869" s="2">
        <v>30</v>
      </c>
      <c r="F11869" s="2" t="s">
        <v>127</v>
      </c>
    </row>
    <row r="11870" spans="1:6" ht="25.5">
      <c r="A11870" s="2">
        <v>11867</v>
      </c>
      <c r="B11870" s="2" t="s">
        <v>11944</v>
      </c>
      <c r="C11870" s="2" t="str">
        <f>"09719202"</f>
        <v>09719202</v>
      </c>
      <c r="D11870" s="2">
        <v>0.14299999999999999</v>
      </c>
      <c r="E11870" s="2">
        <v>2</v>
      </c>
      <c r="F11870" s="2" t="s">
        <v>488</v>
      </c>
    </row>
    <row r="11871" spans="1:6" ht="25.5">
      <c r="A11871" s="2">
        <v>11868</v>
      </c>
      <c r="B11871" s="2" t="s">
        <v>11945</v>
      </c>
      <c r="C11871" s="2" t="str">
        <f>"15459632"</f>
        <v>15459632</v>
      </c>
      <c r="D11871" s="2">
        <v>0.53900000000000003</v>
      </c>
      <c r="E11871" s="2">
        <v>24</v>
      </c>
      <c r="F11871" s="2" t="s">
        <v>16</v>
      </c>
    </row>
    <row r="11872" spans="1:6" ht="25.5">
      <c r="A11872" s="2">
        <v>11869</v>
      </c>
      <c r="B11872" s="2" t="s">
        <v>11946</v>
      </c>
      <c r="C11872" s="2" t="str">
        <f>"10762752"</f>
        <v>10762752</v>
      </c>
      <c r="D11872" s="2">
        <v>0.85199999999999998</v>
      </c>
      <c r="E11872" s="2">
        <v>67</v>
      </c>
      <c r="F11872" s="2" t="s">
        <v>6</v>
      </c>
    </row>
    <row r="11873" spans="1:6" ht="25.5">
      <c r="A11873" s="2">
        <v>11870</v>
      </c>
      <c r="B11873" s="2" t="s">
        <v>11947</v>
      </c>
      <c r="C11873" s="2" t="str">
        <f>"09631798"</f>
        <v>09631798</v>
      </c>
      <c r="D11873" s="2">
        <v>1.4830000000000001</v>
      </c>
      <c r="E11873" s="2">
        <v>55</v>
      </c>
      <c r="F11873" s="2" t="s">
        <v>6</v>
      </c>
    </row>
    <row r="11874" spans="1:6" ht="25.5">
      <c r="A11874" s="2">
        <v>11871</v>
      </c>
      <c r="B11874" s="2" t="s">
        <v>11948</v>
      </c>
      <c r="C11874" s="2" t="str">
        <f>"13419145"</f>
        <v>13419145</v>
      </c>
      <c r="D11874" s="2">
        <v>0.60099999999999998</v>
      </c>
      <c r="E11874" s="2">
        <v>32</v>
      </c>
      <c r="F11874" s="2" t="s">
        <v>131</v>
      </c>
    </row>
    <row r="11875" spans="1:6" ht="25.5">
      <c r="A11875" s="2">
        <v>11872</v>
      </c>
      <c r="B11875" s="2" t="s">
        <v>11949</v>
      </c>
      <c r="C11875" s="2" t="str">
        <f>"10768998"</f>
        <v>10768998</v>
      </c>
      <c r="D11875" s="2">
        <v>1.4330000000000001</v>
      </c>
      <c r="E11875" s="2">
        <v>66</v>
      </c>
      <c r="F11875" s="2" t="s">
        <v>6</v>
      </c>
    </row>
    <row r="11876" spans="1:6" ht="25.5">
      <c r="A11876" s="2">
        <v>11873</v>
      </c>
      <c r="B11876" s="2" t="s">
        <v>11950</v>
      </c>
      <c r="C11876" s="2" t="str">
        <f>"17456673"</f>
        <v>17456673</v>
      </c>
      <c r="D11876" s="2">
        <v>0.435</v>
      </c>
      <c r="E11876" s="2">
        <v>18</v>
      </c>
      <c r="F11876" s="2" t="s">
        <v>16</v>
      </c>
    </row>
    <row r="11877" spans="1:6" ht="25.5">
      <c r="A11877" s="2">
        <v>11874</v>
      </c>
      <c r="B11877" s="2" t="s">
        <v>11951</v>
      </c>
      <c r="C11877" s="2" t="str">
        <f>"15733688"</f>
        <v>15733688</v>
      </c>
      <c r="D11877" s="2">
        <v>1.0569999999999999</v>
      </c>
      <c r="E11877" s="2">
        <v>39</v>
      </c>
      <c r="F11877" s="2" t="s">
        <v>6</v>
      </c>
    </row>
    <row r="11878" spans="1:6" ht="25.5">
      <c r="A11878" s="2">
        <v>11875</v>
      </c>
      <c r="B11878" s="2" t="s">
        <v>11952</v>
      </c>
      <c r="C11878" s="2" t="str">
        <f>"14427591"</f>
        <v>14427591</v>
      </c>
      <c r="D11878" s="2">
        <v>0.4</v>
      </c>
      <c r="E11878" s="2">
        <v>13</v>
      </c>
      <c r="F11878" s="2" t="s">
        <v>127</v>
      </c>
    </row>
    <row r="11879" spans="1:6" ht="25.5">
      <c r="A11879" s="2">
        <v>11876</v>
      </c>
      <c r="B11879" s="2" t="s">
        <v>11953</v>
      </c>
      <c r="C11879" s="2" t="str">
        <f>"19411251"</f>
        <v>19411251</v>
      </c>
      <c r="D11879" s="2">
        <v>0.21099999999999999</v>
      </c>
      <c r="E11879" s="2">
        <v>2</v>
      </c>
      <c r="F11879" s="2" t="s">
        <v>16</v>
      </c>
    </row>
    <row r="11880" spans="1:6" ht="25.5">
      <c r="A11880" s="2">
        <v>11877</v>
      </c>
      <c r="B11880" s="2" t="s">
        <v>11954</v>
      </c>
      <c r="C11880" s="2" t="str">
        <f>"09168370"</f>
        <v>09168370</v>
      </c>
      <c r="D11880" s="2">
        <v>0.82899999999999996</v>
      </c>
      <c r="E11880" s="2">
        <v>41</v>
      </c>
      <c r="F11880" s="2" t="s">
        <v>75</v>
      </c>
    </row>
    <row r="11881" spans="1:6" ht="25.5">
      <c r="A11881" s="2">
        <v>11878</v>
      </c>
      <c r="B11881" s="2" t="s">
        <v>11955</v>
      </c>
      <c r="C11881" s="2" t="str">
        <f>"16725182"</f>
        <v>16725182</v>
      </c>
      <c r="D11881" s="2">
        <v>0.17299999999999999</v>
      </c>
      <c r="E11881" s="2">
        <v>6</v>
      </c>
      <c r="F11881" s="2" t="s">
        <v>46</v>
      </c>
    </row>
    <row r="11882" spans="1:6" ht="25.5">
      <c r="A11882" s="2">
        <v>11879</v>
      </c>
      <c r="B11882" s="2" t="s">
        <v>11956</v>
      </c>
      <c r="C11882" s="2" t="str">
        <f>"19368445"</f>
        <v>19368445</v>
      </c>
      <c r="D11882" s="2">
        <v>0.28000000000000003</v>
      </c>
      <c r="E11882" s="2">
        <v>7</v>
      </c>
      <c r="F11882" s="2" t="s">
        <v>6</v>
      </c>
    </row>
    <row r="11883" spans="1:6" ht="25.5">
      <c r="A11883" s="2">
        <v>11880</v>
      </c>
      <c r="B11883" s="2" t="s">
        <v>11957</v>
      </c>
      <c r="C11883" s="2" t="str">
        <f>"10807683"</f>
        <v>10807683</v>
      </c>
      <c r="D11883" s="2">
        <v>0.68899999999999995</v>
      </c>
      <c r="E11883" s="2">
        <v>36</v>
      </c>
      <c r="F11883" s="2" t="s">
        <v>6</v>
      </c>
    </row>
    <row r="11884" spans="1:6" ht="25.5">
      <c r="A11884" s="2">
        <v>11881</v>
      </c>
      <c r="B11884" s="2" t="s">
        <v>11958</v>
      </c>
      <c r="C11884" s="2" t="str">
        <f>"10509674"</f>
        <v>10509674</v>
      </c>
      <c r="D11884" s="2">
        <v>0.45100000000000001</v>
      </c>
      <c r="E11884" s="2">
        <v>10</v>
      </c>
      <c r="F11884" s="2" t="s">
        <v>16</v>
      </c>
    </row>
    <row r="11885" spans="1:6" ht="25.5">
      <c r="A11885" s="2">
        <v>11882</v>
      </c>
      <c r="B11885" s="2" t="s">
        <v>11959</v>
      </c>
      <c r="C11885" s="2" t="str">
        <f>"0282423X"</f>
        <v>0282423X</v>
      </c>
      <c r="D11885" s="2">
        <v>0.41799999999999998</v>
      </c>
      <c r="E11885" s="2">
        <v>5</v>
      </c>
      <c r="F11885" s="2" t="s">
        <v>151</v>
      </c>
    </row>
    <row r="11886" spans="1:6" ht="25.5">
      <c r="A11886" s="2">
        <v>11883</v>
      </c>
      <c r="B11886" s="2" t="s">
        <v>11960</v>
      </c>
      <c r="C11886" s="2" t="str">
        <f>"08927219"</f>
        <v>08927219</v>
      </c>
      <c r="D11886" s="2">
        <v>0.54700000000000004</v>
      </c>
      <c r="E11886" s="2">
        <v>20</v>
      </c>
      <c r="F11886" s="2" t="s">
        <v>6</v>
      </c>
    </row>
    <row r="11887" spans="1:6" ht="25.5">
      <c r="A11887" s="2">
        <v>11884</v>
      </c>
      <c r="B11887" s="2" t="s">
        <v>11961</v>
      </c>
      <c r="C11887" s="2" t="str">
        <f>"15112780"</f>
        <v>15112780</v>
      </c>
      <c r="D11887" s="2">
        <v>0.191</v>
      </c>
      <c r="E11887" s="2">
        <v>4</v>
      </c>
      <c r="F11887" s="2" t="s">
        <v>37</v>
      </c>
    </row>
    <row r="11888" spans="1:6" ht="25.5">
      <c r="A11888" s="2">
        <v>11885</v>
      </c>
      <c r="B11888" s="2" t="s">
        <v>11962</v>
      </c>
      <c r="C11888" s="2" t="str">
        <f>"13473352"</f>
        <v>13473352</v>
      </c>
      <c r="D11888" s="2">
        <v>0.38100000000000001</v>
      </c>
      <c r="E11888" s="2">
        <v>16</v>
      </c>
      <c r="F11888" s="2" t="s">
        <v>131</v>
      </c>
    </row>
    <row r="11889" spans="1:6" ht="25.5">
      <c r="A11889" s="2">
        <v>11886</v>
      </c>
      <c r="B11889" s="2" t="s">
        <v>11963</v>
      </c>
      <c r="C11889" s="2" t="str">
        <f>"16878469"</f>
        <v>16878469</v>
      </c>
      <c r="D11889" s="2">
        <v>0.56799999999999995</v>
      </c>
      <c r="E11889" s="2">
        <v>13</v>
      </c>
      <c r="F11889" s="2" t="s">
        <v>6</v>
      </c>
    </row>
    <row r="11890" spans="1:6" ht="25.5">
      <c r="A11890" s="2">
        <v>11887</v>
      </c>
      <c r="B11890" s="2" t="s">
        <v>11964</v>
      </c>
      <c r="C11890" s="2" t="str">
        <f>"1477092X"</f>
        <v>1477092X</v>
      </c>
      <c r="D11890" s="2">
        <v>0.32500000000000001</v>
      </c>
      <c r="E11890" s="2">
        <v>16</v>
      </c>
      <c r="F11890" s="2" t="s">
        <v>16</v>
      </c>
    </row>
    <row r="11891" spans="1:6" ht="25.5">
      <c r="A11891" s="2">
        <v>11888</v>
      </c>
      <c r="B11891" s="2" t="s">
        <v>11965</v>
      </c>
      <c r="C11891" s="2" t="str">
        <f>"15547477"</f>
        <v>15547477</v>
      </c>
      <c r="D11891" s="2">
        <v>0.73499999999999999</v>
      </c>
      <c r="E11891" s="2">
        <v>12</v>
      </c>
      <c r="F11891" s="2" t="s">
        <v>6</v>
      </c>
    </row>
    <row r="11892" spans="1:6" ht="25.5">
      <c r="A11892" s="2">
        <v>11889</v>
      </c>
      <c r="B11892" s="2" t="s">
        <v>11966</v>
      </c>
      <c r="C11892" s="2" t="str">
        <f>"1755876X"</f>
        <v>1755876X</v>
      </c>
      <c r="D11892" s="2">
        <v>0.40200000000000002</v>
      </c>
      <c r="E11892" s="2">
        <v>4</v>
      </c>
      <c r="F11892" s="2" t="s">
        <v>16</v>
      </c>
    </row>
    <row r="11893" spans="1:6" ht="25.5">
      <c r="A11893" s="2">
        <v>11890</v>
      </c>
      <c r="B11893" s="2" t="s">
        <v>11967</v>
      </c>
      <c r="C11893" s="2" t="str">
        <f>"02726963"</f>
        <v>02726963</v>
      </c>
      <c r="D11893" s="2">
        <v>4.9969999999999999</v>
      </c>
      <c r="E11893" s="2">
        <v>96</v>
      </c>
      <c r="F11893" s="2" t="s">
        <v>75</v>
      </c>
    </row>
    <row r="11894" spans="1:6" ht="25.5">
      <c r="A11894" s="2">
        <v>11891</v>
      </c>
      <c r="B11894" s="2" t="s">
        <v>11968</v>
      </c>
      <c r="C11894" s="2" t="str">
        <f>"03794024"</f>
        <v>03794024</v>
      </c>
      <c r="D11894" s="2">
        <v>0.65100000000000002</v>
      </c>
      <c r="E11894" s="2">
        <v>19</v>
      </c>
      <c r="F11894" s="2" t="s">
        <v>19</v>
      </c>
    </row>
    <row r="11895" spans="1:6" ht="25.5">
      <c r="A11895" s="2">
        <v>11892</v>
      </c>
      <c r="B11895" s="2" t="s">
        <v>11969</v>
      </c>
      <c r="C11895" s="2" t="str">
        <f>"2008322X"</f>
        <v>2008322X</v>
      </c>
      <c r="D11895" s="2">
        <v>0.19800000000000001</v>
      </c>
      <c r="E11895" s="2">
        <v>3</v>
      </c>
      <c r="F11895" s="2" t="s">
        <v>299</v>
      </c>
    </row>
    <row r="11896" spans="1:6" ht="25.5">
      <c r="A11896" s="2">
        <v>11893</v>
      </c>
      <c r="B11896" s="2" t="s">
        <v>11970</v>
      </c>
      <c r="C11896" s="2" t="str">
        <f>"18695760"</f>
        <v>18695760</v>
      </c>
      <c r="D11896" s="2">
        <v>0.38700000000000001</v>
      </c>
      <c r="E11896" s="2">
        <v>4</v>
      </c>
      <c r="F11896" s="2" t="s">
        <v>12</v>
      </c>
    </row>
    <row r="11897" spans="1:6" ht="25.5">
      <c r="A11897" s="2">
        <v>11894</v>
      </c>
      <c r="B11897" s="2" t="s">
        <v>11971</v>
      </c>
      <c r="C11897" s="2" t="str">
        <f>"20900058"</f>
        <v>20900058</v>
      </c>
      <c r="D11897" s="2">
        <v>0</v>
      </c>
      <c r="E11897" s="2">
        <v>2</v>
      </c>
      <c r="F11897" s="2" t="s">
        <v>6</v>
      </c>
    </row>
    <row r="11898" spans="1:6" ht="25.5">
      <c r="A11898" s="2">
        <v>11895</v>
      </c>
      <c r="B11898" s="2" t="s">
        <v>11972</v>
      </c>
      <c r="C11898" s="2" t="str">
        <f>"15517489"</f>
        <v>15517489</v>
      </c>
      <c r="D11898" s="2">
        <v>0.64300000000000002</v>
      </c>
      <c r="E11898" s="2">
        <v>18</v>
      </c>
      <c r="F11898" s="2" t="s">
        <v>6</v>
      </c>
    </row>
    <row r="11899" spans="1:6" ht="25.5">
      <c r="A11899" s="2">
        <v>11896</v>
      </c>
      <c r="B11899" s="2" t="s">
        <v>11973</v>
      </c>
      <c r="C11899" s="2" t="str">
        <f>"16198638"</f>
        <v>16198638</v>
      </c>
      <c r="D11899" s="2">
        <v>0.188</v>
      </c>
      <c r="E11899" s="2">
        <v>10</v>
      </c>
      <c r="F11899" s="2" t="s">
        <v>6</v>
      </c>
    </row>
    <row r="11900" spans="1:6" ht="25.5">
      <c r="A11900" s="2">
        <v>11897</v>
      </c>
      <c r="B11900" s="2" t="s">
        <v>11974</v>
      </c>
      <c r="C11900" s="2" t="str">
        <f>"01734911"</f>
        <v>01734911</v>
      </c>
      <c r="D11900" s="2">
        <v>0.161</v>
      </c>
      <c r="E11900" s="2">
        <v>9</v>
      </c>
      <c r="F11900" s="2" t="s">
        <v>12</v>
      </c>
    </row>
    <row r="11901" spans="1:6" ht="25.5">
      <c r="A11901" s="2">
        <v>11898</v>
      </c>
      <c r="B11901" s="2" t="s">
        <v>11975</v>
      </c>
      <c r="C11901" s="2" t="str">
        <f>"19430620"</f>
        <v>19430620</v>
      </c>
      <c r="D11901" s="2">
        <v>1.103</v>
      </c>
      <c r="E11901" s="2">
        <v>17</v>
      </c>
      <c r="F11901" s="2" t="s">
        <v>6</v>
      </c>
    </row>
    <row r="11902" spans="1:6" ht="25.5">
      <c r="A11902" s="2">
        <v>11899</v>
      </c>
      <c r="B11902" s="2" t="s">
        <v>11976</v>
      </c>
      <c r="C11902" s="2" t="str">
        <f>"10709762"</f>
        <v>10709762</v>
      </c>
      <c r="D11902" s="2">
        <v>0.221</v>
      </c>
      <c r="E11902" s="2">
        <v>14</v>
      </c>
      <c r="F11902" s="2" t="s">
        <v>6</v>
      </c>
    </row>
    <row r="11903" spans="1:6" ht="25.5">
      <c r="A11903" s="2">
        <v>11900</v>
      </c>
      <c r="B11903" s="2" t="s">
        <v>11977</v>
      </c>
      <c r="C11903" s="2" t="str">
        <f>"20408986"</f>
        <v>20408986</v>
      </c>
      <c r="D11903" s="2">
        <v>1.008</v>
      </c>
      <c r="E11903" s="2">
        <v>47</v>
      </c>
      <c r="F11903" s="2" t="s">
        <v>16</v>
      </c>
    </row>
    <row r="11904" spans="1:6" ht="25.5">
      <c r="A11904" s="2">
        <v>11901</v>
      </c>
      <c r="B11904" s="2" t="s">
        <v>11978</v>
      </c>
      <c r="C11904" s="2" t="str">
        <f>"09700374"</f>
        <v>09700374</v>
      </c>
      <c r="D11904" s="2">
        <v>0.16600000000000001</v>
      </c>
      <c r="E11904" s="2">
        <v>6</v>
      </c>
      <c r="F11904" s="2" t="s">
        <v>488</v>
      </c>
    </row>
    <row r="11905" spans="1:6" ht="25.5">
      <c r="A11905" s="2">
        <v>11902</v>
      </c>
      <c r="B11905" s="2" t="s">
        <v>11979</v>
      </c>
      <c r="C11905" s="2" t="str">
        <f>"15732878"</f>
        <v>15732878</v>
      </c>
      <c r="D11905" s="2">
        <v>1.244</v>
      </c>
      <c r="E11905" s="2">
        <v>50</v>
      </c>
      <c r="F11905" s="2" t="s">
        <v>6</v>
      </c>
    </row>
    <row r="11906" spans="1:6" ht="25.5">
      <c r="A11906" s="2">
        <v>11903</v>
      </c>
      <c r="B11906" s="2" t="s">
        <v>11980</v>
      </c>
      <c r="C11906" s="2" t="str">
        <f>"14544164"</f>
        <v>14544164</v>
      </c>
      <c r="D11906" s="2">
        <v>0.252</v>
      </c>
      <c r="E11906" s="2">
        <v>27</v>
      </c>
      <c r="F11906" s="2" t="s">
        <v>19</v>
      </c>
    </row>
    <row r="11907" spans="1:6" ht="25.5">
      <c r="A11907" s="2">
        <v>11904</v>
      </c>
      <c r="B11907" s="2" t="s">
        <v>11981</v>
      </c>
      <c r="C11907" s="2" t="str">
        <f>"19891342"</f>
        <v>19891342</v>
      </c>
      <c r="D11907" s="2">
        <v>0.253</v>
      </c>
      <c r="E11907" s="2">
        <v>7</v>
      </c>
      <c r="F11907" s="2" t="s">
        <v>351</v>
      </c>
    </row>
    <row r="11908" spans="1:6" ht="25.5">
      <c r="A11908" s="2">
        <v>11905</v>
      </c>
      <c r="B11908" s="2" t="s">
        <v>11982</v>
      </c>
      <c r="C11908" s="2" t="str">
        <f>"1998393X"</f>
        <v>1998393X</v>
      </c>
      <c r="D11908" s="2">
        <v>0.152</v>
      </c>
      <c r="E11908" s="2">
        <v>3</v>
      </c>
      <c r="F11908" s="2" t="s">
        <v>488</v>
      </c>
    </row>
    <row r="11909" spans="1:6" ht="25.5">
      <c r="A11909" s="2">
        <v>11906</v>
      </c>
      <c r="B11909" s="2" t="s">
        <v>11983</v>
      </c>
      <c r="C11909" s="2" t="str">
        <f>"15315053"</f>
        <v>15315053</v>
      </c>
      <c r="D11909" s="2">
        <v>0.86399999999999999</v>
      </c>
      <c r="E11909" s="2">
        <v>68</v>
      </c>
      <c r="F11909" s="2" t="s">
        <v>16</v>
      </c>
    </row>
    <row r="11910" spans="1:6" ht="25.5">
      <c r="A11910" s="2">
        <v>11907</v>
      </c>
      <c r="B11910" s="2" t="s">
        <v>11984</v>
      </c>
      <c r="C11910" s="2" t="str">
        <f>"22125558"</f>
        <v>22125558</v>
      </c>
      <c r="D11910" s="2">
        <v>0.125</v>
      </c>
      <c r="E11910" s="2">
        <v>4</v>
      </c>
      <c r="F11910" s="2" t="s">
        <v>16</v>
      </c>
    </row>
    <row r="11911" spans="1:6" ht="25.5">
      <c r="A11911" s="2">
        <v>11908</v>
      </c>
      <c r="B11911" s="2" t="s">
        <v>11985</v>
      </c>
      <c r="C11911" s="2" t="str">
        <f>"18803865"</f>
        <v>18803865</v>
      </c>
      <c r="D11911" s="2">
        <v>0.19400000000000001</v>
      </c>
      <c r="E11911" s="2">
        <v>4</v>
      </c>
      <c r="F11911" s="2" t="s">
        <v>131</v>
      </c>
    </row>
    <row r="11912" spans="1:6" ht="25.5">
      <c r="A11912" s="2">
        <v>11909</v>
      </c>
      <c r="B11912" s="2" t="s">
        <v>11986</v>
      </c>
      <c r="C11912" s="2" t="str">
        <f>"01606972"</f>
        <v>01606972</v>
      </c>
      <c r="D11912" s="2">
        <v>0.29599999999999999</v>
      </c>
      <c r="E11912" s="2">
        <v>26</v>
      </c>
      <c r="F11912" s="2" t="s">
        <v>6</v>
      </c>
    </row>
    <row r="11913" spans="1:6" ht="25.5">
      <c r="A11913" s="2">
        <v>11910</v>
      </c>
      <c r="B11913" s="2" t="s">
        <v>11987</v>
      </c>
      <c r="C11913" s="2" t="str">
        <f>"16000714"</f>
        <v>16000714</v>
      </c>
      <c r="D11913" s="2">
        <v>0.63200000000000001</v>
      </c>
      <c r="E11913" s="2">
        <v>51</v>
      </c>
      <c r="F11913" s="2" t="s">
        <v>16</v>
      </c>
    </row>
    <row r="11914" spans="1:6" ht="25.5">
      <c r="A11914" s="2">
        <v>11911</v>
      </c>
      <c r="B11914" s="2" t="s">
        <v>11988</v>
      </c>
      <c r="C11914" s="2" t="str">
        <f>"13652842"</f>
        <v>13652842</v>
      </c>
      <c r="D11914" s="2">
        <v>0.72899999999999998</v>
      </c>
      <c r="E11914" s="2">
        <v>51</v>
      </c>
      <c r="F11914" s="2" t="s">
        <v>16</v>
      </c>
    </row>
    <row r="11915" spans="1:6" ht="25.5">
      <c r="A11915" s="2">
        <v>11912</v>
      </c>
      <c r="B11915" s="2" t="s">
        <v>11989</v>
      </c>
      <c r="C11915" s="2" t="str">
        <f>"13434934"</f>
        <v>13434934</v>
      </c>
      <c r="D11915" s="2">
        <v>0.37</v>
      </c>
      <c r="E11915" s="2">
        <v>23</v>
      </c>
      <c r="F11915" s="2" t="s">
        <v>131</v>
      </c>
    </row>
    <row r="11916" spans="1:6" ht="25.5">
      <c r="A11916" s="2">
        <v>11913</v>
      </c>
      <c r="B11916" s="2" t="s">
        <v>11990</v>
      </c>
      <c r="C11916" s="2" t="str">
        <f>"15206904"</f>
        <v>15206904</v>
      </c>
      <c r="D11916" s="2">
        <v>1.9139999999999999</v>
      </c>
      <c r="E11916" s="2">
        <v>152</v>
      </c>
      <c r="F11916" s="2" t="s">
        <v>6</v>
      </c>
    </row>
    <row r="11917" spans="1:6" ht="25.5">
      <c r="A11917" s="2">
        <v>11914</v>
      </c>
      <c r="B11917" s="2" t="s">
        <v>11991</v>
      </c>
      <c r="C11917" s="2" t="str">
        <f>"15462234"</f>
        <v>15462234</v>
      </c>
      <c r="D11917" s="2">
        <v>0.436</v>
      </c>
      <c r="E11917" s="2">
        <v>20</v>
      </c>
      <c r="F11917" s="2" t="s">
        <v>6</v>
      </c>
    </row>
    <row r="11918" spans="1:6" ht="25.5">
      <c r="A11918" s="2">
        <v>11915</v>
      </c>
      <c r="B11918" s="2" t="s">
        <v>11992</v>
      </c>
      <c r="C11918" s="2" t="str">
        <f>"10991379"</f>
        <v>10991379</v>
      </c>
      <c r="D11918" s="2">
        <v>2.5409999999999999</v>
      </c>
      <c r="E11918" s="2">
        <v>83</v>
      </c>
      <c r="F11918" s="2" t="s">
        <v>16</v>
      </c>
    </row>
    <row r="11919" spans="1:6" ht="25.5">
      <c r="A11919" s="2">
        <v>11916</v>
      </c>
      <c r="B11919" s="2" t="s">
        <v>11993</v>
      </c>
      <c r="C11919" s="2" t="str">
        <f>"15408604"</f>
        <v>15408604</v>
      </c>
      <c r="D11919" s="2">
        <v>0.27700000000000002</v>
      </c>
      <c r="E11919" s="2">
        <v>21</v>
      </c>
      <c r="F11919" s="2" t="s">
        <v>16</v>
      </c>
    </row>
    <row r="11920" spans="1:6" ht="25.5">
      <c r="A11920" s="2">
        <v>11917</v>
      </c>
      <c r="B11920" s="2" t="s">
        <v>11994</v>
      </c>
      <c r="C11920" s="2" t="str">
        <f>"09534814"</f>
        <v>09534814</v>
      </c>
      <c r="D11920" s="2">
        <v>0.42599999999999999</v>
      </c>
      <c r="E11920" s="2">
        <v>32</v>
      </c>
      <c r="F11920" s="2" t="s">
        <v>16</v>
      </c>
    </row>
    <row r="11921" spans="1:6" ht="25.5">
      <c r="A11921" s="2">
        <v>11918</v>
      </c>
      <c r="B11921" s="2" t="s">
        <v>11995</v>
      </c>
      <c r="C11921" s="2" t="str">
        <f>"15327744"</f>
        <v>15327744</v>
      </c>
      <c r="D11921" s="2">
        <v>0.29099999999999998</v>
      </c>
      <c r="E11921" s="2">
        <v>22</v>
      </c>
      <c r="F11921" s="2" t="s">
        <v>16</v>
      </c>
    </row>
    <row r="11922" spans="1:6" ht="25.5">
      <c r="A11922" s="2">
        <v>11919</v>
      </c>
      <c r="B11922" s="2" t="s">
        <v>11996</v>
      </c>
      <c r="C11922" s="2" t="str">
        <f>"15440508"</f>
        <v>15440508</v>
      </c>
      <c r="D11922" s="2">
        <v>0.14199999999999999</v>
      </c>
      <c r="E11922" s="2">
        <v>2</v>
      </c>
      <c r="F11922" s="2" t="s">
        <v>6</v>
      </c>
    </row>
    <row r="11923" spans="1:6" ht="25.5">
      <c r="A11923" s="2">
        <v>11920</v>
      </c>
      <c r="B11923" s="2" t="s">
        <v>11997</v>
      </c>
      <c r="C11923" s="2" t="str">
        <f>"0022328X"</f>
        <v>0022328X</v>
      </c>
      <c r="D11923" s="2">
        <v>0.78700000000000003</v>
      </c>
      <c r="E11923" s="2">
        <v>91</v>
      </c>
      <c r="F11923" s="2" t="s">
        <v>75</v>
      </c>
    </row>
    <row r="11924" spans="1:6" ht="25.5">
      <c r="A11924" s="2">
        <v>11921</v>
      </c>
      <c r="B11924" s="2" t="s">
        <v>11998</v>
      </c>
      <c r="C11924" s="2" t="str">
        <f>"14345293"</f>
        <v>14345293</v>
      </c>
      <c r="D11924" s="2">
        <v>0.60099999999999998</v>
      </c>
      <c r="E11924" s="2">
        <v>24</v>
      </c>
      <c r="F11924" s="2" t="s">
        <v>12</v>
      </c>
    </row>
    <row r="11925" spans="1:6" ht="25.5">
      <c r="A11925" s="2">
        <v>11922</v>
      </c>
      <c r="B11925" s="2" t="s">
        <v>11999</v>
      </c>
      <c r="C11925" s="2" t="str">
        <f>"10646655"</f>
        <v>10646655</v>
      </c>
      <c r="D11925" s="2">
        <v>0.628</v>
      </c>
      <c r="E11925" s="2">
        <v>44</v>
      </c>
      <c r="F11925" s="2" t="s">
        <v>6</v>
      </c>
    </row>
    <row r="11926" spans="1:6" ht="25.5">
      <c r="A11926" s="2">
        <v>11923</v>
      </c>
      <c r="B11926" s="2" t="s">
        <v>12000</v>
      </c>
      <c r="C11926" s="2" t="str">
        <f>"14653133"</f>
        <v>14653133</v>
      </c>
      <c r="D11926" s="2">
        <v>0.53300000000000003</v>
      </c>
      <c r="E11926" s="2">
        <v>29</v>
      </c>
      <c r="F11926" s="2" t="s">
        <v>16</v>
      </c>
    </row>
    <row r="11927" spans="1:6" ht="25.5">
      <c r="A11927" s="2">
        <v>11924</v>
      </c>
      <c r="B11927" s="2" t="s">
        <v>12001</v>
      </c>
      <c r="C11927" s="2" t="str">
        <f>"08344825"</f>
        <v>08344825</v>
      </c>
      <c r="D11927" s="2">
        <v>0.115</v>
      </c>
      <c r="E11927" s="2">
        <v>9</v>
      </c>
      <c r="F11927" s="2" t="s">
        <v>64</v>
      </c>
    </row>
    <row r="11928" spans="1:6" ht="25.5">
      <c r="A11928" s="2">
        <v>11925</v>
      </c>
      <c r="B11928" s="2" t="s">
        <v>12002</v>
      </c>
      <c r="C11928" s="2" t="str">
        <f>"01906011"</f>
        <v>01906011</v>
      </c>
      <c r="D11928" s="2">
        <v>1.639</v>
      </c>
      <c r="E11928" s="2">
        <v>62</v>
      </c>
      <c r="F11928" s="2" t="s">
        <v>6</v>
      </c>
    </row>
    <row r="11929" spans="1:6" ht="25.5">
      <c r="A11929" s="2">
        <v>11926</v>
      </c>
      <c r="B11929" s="2" t="s">
        <v>12003</v>
      </c>
      <c r="C11929" s="2" t="str">
        <f>"07360266"</f>
        <v>07360266</v>
      </c>
      <c r="D11929" s="2">
        <v>1.246</v>
      </c>
      <c r="E11929" s="2">
        <v>96</v>
      </c>
      <c r="F11929" s="2" t="s">
        <v>6</v>
      </c>
    </row>
    <row r="11930" spans="1:6" ht="25.5">
      <c r="A11930" s="2">
        <v>11927</v>
      </c>
      <c r="B11930" s="2" t="s">
        <v>12004</v>
      </c>
      <c r="C11930" s="2" t="str">
        <f>"15909999"</f>
        <v>15909999</v>
      </c>
      <c r="D11930" s="2">
        <v>0.79300000000000004</v>
      </c>
      <c r="E11930" s="2">
        <v>11</v>
      </c>
      <c r="F11930" s="2" t="s">
        <v>190</v>
      </c>
    </row>
    <row r="11931" spans="1:6" ht="25.5">
      <c r="A11931" s="2">
        <v>11928</v>
      </c>
      <c r="B11931" s="2" t="s">
        <v>12005</v>
      </c>
      <c r="C11931" s="2" t="str">
        <f>"14362023"</f>
        <v>14362023</v>
      </c>
      <c r="D11931" s="2">
        <v>0.57599999999999996</v>
      </c>
      <c r="E11931" s="2">
        <v>37</v>
      </c>
      <c r="F11931" s="2" t="s">
        <v>131</v>
      </c>
    </row>
    <row r="11932" spans="1:6" ht="25.5">
      <c r="A11932" s="2">
        <v>11929</v>
      </c>
      <c r="B11932" s="2" t="s">
        <v>12006</v>
      </c>
      <c r="C11932" s="2" t="str">
        <f>"22104925"</f>
        <v>22104925</v>
      </c>
      <c r="D11932" s="2">
        <v>0.11</v>
      </c>
      <c r="E11932" s="2">
        <v>1</v>
      </c>
      <c r="F11932" s="2" t="s">
        <v>75</v>
      </c>
    </row>
    <row r="11933" spans="1:6" ht="25.5">
      <c r="A11933" s="2">
        <v>11930</v>
      </c>
      <c r="B11933" s="2" t="s">
        <v>12007</v>
      </c>
      <c r="C11933" s="2" t="str">
        <f>"10225536"</f>
        <v>10225536</v>
      </c>
      <c r="D11933" s="2">
        <v>0.374</v>
      </c>
      <c r="E11933" s="2">
        <v>19</v>
      </c>
      <c r="F11933" s="2" t="s">
        <v>46</v>
      </c>
    </row>
    <row r="11934" spans="1:6" ht="25.5">
      <c r="A11934" s="2">
        <v>11931</v>
      </c>
      <c r="B11934" s="2" t="s">
        <v>12008</v>
      </c>
      <c r="C11934" s="2" t="str">
        <f>"1749799X"</f>
        <v>1749799X</v>
      </c>
      <c r="D11934" s="2">
        <v>0.53200000000000003</v>
      </c>
      <c r="E11934" s="2">
        <v>16</v>
      </c>
      <c r="F11934" s="2" t="s">
        <v>16</v>
      </c>
    </row>
    <row r="11935" spans="1:6" ht="25.5">
      <c r="A11935" s="2">
        <v>11932</v>
      </c>
      <c r="B11935" s="2" t="s">
        <v>12009</v>
      </c>
      <c r="C11935" s="2" t="str">
        <f>"08905339"</f>
        <v>08905339</v>
      </c>
      <c r="D11935" s="2">
        <v>1.3180000000000001</v>
      </c>
      <c r="E11935" s="2">
        <v>68</v>
      </c>
      <c r="F11935" s="2" t="s">
        <v>6</v>
      </c>
    </row>
    <row r="11936" spans="1:6" ht="25.5">
      <c r="A11936" s="2">
        <v>11933</v>
      </c>
      <c r="B11936" s="2" t="s">
        <v>12010</v>
      </c>
      <c r="C11936" s="2" t="str">
        <f>"19372426"</f>
        <v>19372426</v>
      </c>
      <c r="D11936" s="2">
        <v>0.36299999999999999</v>
      </c>
      <c r="E11936" s="2">
        <v>5</v>
      </c>
      <c r="F11936" s="2" t="s">
        <v>6</v>
      </c>
    </row>
    <row r="11937" spans="1:6" ht="25.5">
      <c r="A11937" s="2">
        <v>11934</v>
      </c>
      <c r="B11937" s="2" t="s">
        <v>12011</v>
      </c>
      <c r="C11937" s="2" t="str">
        <f>"2036413X"</f>
        <v>2036413X</v>
      </c>
      <c r="D11937" s="2">
        <v>0.151</v>
      </c>
      <c r="E11937" s="2">
        <v>1</v>
      </c>
      <c r="F11937" s="2" t="s">
        <v>190</v>
      </c>
    </row>
    <row r="11938" spans="1:6" ht="25.5">
      <c r="A11938" s="2">
        <v>11935</v>
      </c>
      <c r="B11938" s="2" t="s">
        <v>12012</v>
      </c>
      <c r="C11938" s="2" t="str">
        <f>"19160216"</f>
        <v>19160216</v>
      </c>
      <c r="D11938" s="2">
        <v>0.56399999999999995</v>
      </c>
      <c r="E11938" s="2">
        <v>11</v>
      </c>
      <c r="F11938" s="2" t="s">
        <v>64</v>
      </c>
    </row>
    <row r="11939" spans="1:6" ht="25.5">
      <c r="A11939" s="2">
        <v>11936</v>
      </c>
      <c r="B11939" s="2" t="s">
        <v>12013</v>
      </c>
      <c r="C11939" s="2" t="str">
        <f>"17572215"</f>
        <v>17572215</v>
      </c>
      <c r="D11939" s="2">
        <v>0.73</v>
      </c>
      <c r="E11939" s="2">
        <v>10</v>
      </c>
      <c r="F11939" s="2" t="s">
        <v>16</v>
      </c>
    </row>
    <row r="11940" spans="1:6" ht="25.5">
      <c r="A11940" s="2">
        <v>11937</v>
      </c>
      <c r="B11940" s="2" t="s">
        <v>12014</v>
      </c>
      <c r="C11940" s="2" t="str">
        <f>"18422403"</f>
        <v>18422403</v>
      </c>
      <c r="D11940" s="2">
        <v>0.13900000000000001</v>
      </c>
      <c r="E11940" s="2">
        <v>3</v>
      </c>
      <c r="F11940" s="2" t="s">
        <v>19</v>
      </c>
    </row>
    <row r="11941" spans="1:6" ht="25.5">
      <c r="A11941" s="2">
        <v>11938</v>
      </c>
      <c r="B11941" s="2" t="s">
        <v>12015</v>
      </c>
      <c r="C11941" s="2" t="str">
        <f>"00223344"</f>
        <v>00223344</v>
      </c>
      <c r="D11941" s="2">
        <v>0.19900000000000001</v>
      </c>
      <c r="E11941" s="2">
        <v>9</v>
      </c>
      <c r="F11941" s="2" t="s">
        <v>16</v>
      </c>
    </row>
    <row r="11942" spans="1:6" ht="25.5">
      <c r="A11942" s="2">
        <v>11939</v>
      </c>
      <c r="B11942" s="2" t="s">
        <v>12016</v>
      </c>
      <c r="C11942" s="2" t="str">
        <f>"18344909"</f>
        <v>18344909</v>
      </c>
      <c r="D11942" s="2">
        <v>0.13200000000000001</v>
      </c>
      <c r="E11942" s="2">
        <v>3</v>
      </c>
      <c r="F11942" s="2" t="s">
        <v>127</v>
      </c>
    </row>
    <row r="11943" spans="1:6" ht="25.5">
      <c r="A11943" s="2">
        <v>11940</v>
      </c>
      <c r="B11943" s="2" t="s">
        <v>12017</v>
      </c>
      <c r="C11943" s="2" t="str">
        <f>"09185283"</f>
        <v>09185283</v>
      </c>
      <c r="D11943" s="2">
        <v>0.13600000000000001</v>
      </c>
      <c r="E11943" s="2">
        <v>2</v>
      </c>
      <c r="F11943" s="2" t="s">
        <v>131</v>
      </c>
    </row>
    <row r="11944" spans="1:6" ht="25.5">
      <c r="A11944" s="2">
        <v>11941</v>
      </c>
      <c r="B11944" s="2" t="s">
        <v>12018</v>
      </c>
      <c r="C11944" s="2" t="str">
        <f>"14401754"</f>
        <v>14401754</v>
      </c>
      <c r="D11944" s="2">
        <v>0.439</v>
      </c>
      <c r="E11944" s="2">
        <v>46</v>
      </c>
      <c r="F11944" s="2" t="s">
        <v>16</v>
      </c>
    </row>
    <row r="11945" spans="1:6" ht="25.5">
      <c r="A11945" s="2">
        <v>11942</v>
      </c>
      <c r="B11945" s="2" t="s">
        <v>12019</v>
      </c>
      <c r="C11945" s="2" t="str">
        <f>"15288447"</f>
        <v>15288447</v>
      </c>
      <c r="D11945" s="2">
        <v>1.68</v>
      </c>
      <c r="E11945" s="2">
        <v>63</v>
      </c>
      <c r="F11945" s="2" t="s">
        <v>16</v>
      </c>
    </row>
    <row r="11946" spans="1:6" ht="25.5">
      <c r="A11946" s="2">
        <v>11943</v>
      </c>
      <c r="B11946" s="2" t="s">
        <v>12020</v>
      </c>
      <c r="C11946" s="2" t="str">
        <f>"15360288"</f>
        <v>15360288</v>
      </c>
      <c r="D11946" s="2">
        <v>0.28000000000000003</v>
      </c>
      <c r="E11946" s="2">
        <v>20</v>
      </c>
      <c r="F11946" s="2" t="s">
        <v>16</v>
      </c>
    </row>
    <row r="11947" spans="1:6" ht="25.5">
      <c r="A11947" s="2">
        <v>11944</v>
      </c>
      <c r="B11947" s="2" t="s">
        <v>12021</v>
      </c>
      <c r="C11947" s="2" t="str">
        <f>"08853924"</f>
        <v>08853924</v>
      </c>
      <c r="D11947" s="2">
        <v>1.3340000000000001</v>
      </c>
      <c r="E11947" s="2">
        <v>90</v>
      </c>
      <c r="F11947" s="2" t="s">
        <v>6</v>
      </c>
    </row>
    <row r="11948" spans="1:6" ht="25.5">
      <c r="A11948" s="2">
        <v>11945</v>
      </c>
      <c r="B11948" s="2" t="s">
        <v>12022</v>
      </c>
      <c r="C11948" s="2" t="str">
        <f>"19395914"</f>
        <v>19395914</v>
      </c>
      <c r="D11948" s="2">
        <v>0.16900000000000001</v>
      </c>
      <c r="E11948" s="2">
        <v>4</v>
      </c>
      <c r="F11948" s="2" t="s">
        <v>6</v>
      </c>
    </row>
    <row r="11949" spans="1:6" ht="25.5">
      <c r="A11949" s="2">
        <v>11946</v>
      </c>
      <c r="B11949" s="2" t="s">
        <v>12023</v>
      </c>
      <c r="C11949" s="2" t="str">
        <f>"11787090"</f>
        <v>11787090</v>
      </c>
      <c r="D11949" s="2">
        <v>0.38200000000000001</v>
      </c>
      <c r="E11949" s="2">
        <v>5</v>
      </c>
      <c r="F11949" s="2" t="s">
        <v>503</v>
      </c>
    </row>
    <row r="11950" spans="1:6" ht="25.5">
      <c r="A11950" s="2">
        <v>11947</v>
      </c>
      <c r="B11950" s="2" t="s">
        <v>12024</v>
      </c>
      <c r="C11950" s="2" t="str">
        <f>"15609014"</f>
        <v>15609014</v>
      </c>
      <c r="D11950" s="2">
        <v>0.14000000000000001</v>
      </c>
      <c r="E11950" s="2">
        <v>6</v>
      </c>
      <c r="F11950" s="2" t="s">
        <v>43</v>
      </c>
    </row>
    <row r="11951" spans="1:6" ht="25.5">
      <c r="A11951" s="2">
        <v>11948</v>
      </c>
      <c r="B11951" s="2" t="s">
        <v>12025</v>
      </c>
      <c r="C11951" s="2" t="str">
        <f>"15730417"</f>
        <v>15730417</v>
      </c>
      <c r="D11951" s="2">
        <v>1.0209999999999999</v>
      </c>
      <c r="E11951" s="2">
        <v>54</v>
      </c>
      <c r="F11951" s="2" t="s">
        <v>75</v>
      </c>
    </row>
    <row r="11952" spans="1:6" ht="25.5">
      <c r="A11952" s="2">
        <v>11949</v>
      </c>
      <c r="B11952" s="2" t="s">
        <v>12026</v>
      </c>
      <c r="C11952" s="2" t="str">
        <f>"00223360"</f>
        <v>00223360</v>
      </c>
      <c r="D11952" s="2">
        <v>0.58099999999999996</v>
      </c>
      <c r="E11952" s="2">
        <v>36</v>
      </c>
      <c r="F11952" s="2" t="s">
        <v>6</v>
      </c>
    </row>
    <row r="11953" spans="1:6" ht="25.5">
      <c r="A11953" s="2">
        <v>11950</v>
      </c>
      <c r="B11953" s="2" t="s">
        <v>12027</v>
      </c>
      <c r="C11953" s="2" t="str">
        <f>"15338614"</f>
        <v>15338614</v>
      </c>
      <c r="D11953" s="2">
        <v>0.32100000000000001</v>
      </c>
      <c r="E11953" s="2">
        <v>11</v>
      </c>
      <c r="F11953" s="2" t="s">
        <v>6</v>
      </c>
    </row>
    <row r="11954" spans="1:6" ht="25.5">
      <c r="A11954" s="2">
        <v>11951</v>
      </c>
      <c r="B11954" s="2" t="s">
        <v>12028</v>
      </c>
      <c r="C11954" s="2" t="str">
        <f>"08258597"</f>
        <v>08258597</v>
      </c>
      <c r="D11954" s="2">
        <v>0.39300000000000002</v>
      </c>
      <c r="E11954" s="2">
        <v>35</v>
      </c>
      <c r="F11954" s="2" t="s">
        <v>64</v>
      </c>
    </row>
    <row r="11955" spans="1:6" ht="25.5">
      <c r="A11955" s="2">
        <v>11952</v>
      </c>
      <c r="B11955" s="2" t="s">
        <v>12029</v>
      </c>
      <c r="C11955" s="2" t="str">
        <f>"10966218"</f>
        <v>10966218</v>
      </c>
      <c r="D11955" s="2">
        <v>0.72799999999999998</v>
      </c>
      <c r="E11955" s="2">
        <v>45</v>
      </c>
      <c r="F11955" s="2" t="s">
        <v>6</v>
      </c>
    </row>
    <row r="11956" spans="1:6" ht="25.5">
      <c r="A11956" s="2">
        <v>11953</v>
      </c>
      <c r="B11956" s="2" t="s">
        <v>12030</v>
      </c>
      <c r="C11956" s="2" t="str">
        <f>"10960848"</f>
        <v>10960848</v>
      </c>
      <c r="D11956" s="2">
        <v>0.65800000000000003</v>
      </c>
      <c r="E11956" s="2">
        <v>46</v>
      </c>
      <c r="F11956" s="2" t="s">
        <v>6</v>
      </c>
    </row>
    <row r="11957" spans="1:6" ht="25.5">
      <c r="A11957" s="2">
        <v>11954</v>
      </c>
      <c r="B11957" s="2" t="s">
        <v>12031</v>
      </c>
      <c r="C11957" s="2" t="str">
        <f>"00223387"</f>
        <v>00223387</v>
      </c>
      <c r="D11957" s="2">
        <v>0.22600000000000001</v>
      </c>
      <c r="E11957" s="2">
        <v>12</v>
      </c>
      <c r="F11957" s="2" t="s">
        <v>6</v>
      </c>
    </row>
    <row r="11958" spans="1:6" ht="25.5">
      <c r="A11958" s="2">
        <v>11955</v>
      </c>
      <c r="B11958" s="2" t="s">
        <v>12032</v>
      </c>
      <c r="C11958" s="2" t="str">
        <f>"09717196"</f>
        <v>09717196</v>
      </c>
      <c r="D11958" s="2">
        <v>0.19900000000000001</v>
      </c>
      <c r="E11958" s="2">
        <v>3</v>
      </c>
      <c r="F11958" s="2" t="s">
        <v>488</v>
      </c>
    </row>
    <row r="11959" spans="1:6" ht="25.5">
      <c r="A11959" s="2">
        <v>11956</v>
      </c>
      <c r="B11959" s="2" t="s">
        <v>12033</v>
      </c>
      <c r="C11959" s="2" t="str">
        <f>"00223395"</f>
        <v>00223395</v>
      </c>
      <c r="D11959" s="2">
        <v>0.54700000000000004</v>
      </c>
      <c r="E11959" s="2">
        <v>63</v>
      </c>
      <c r="F11959" s="2" t="s">
        <v>6</v>
      </c>
    </row>
    <row r="11960" spans="1:6" ht="25.5">
      <c r="A11960" s="2">
        <v>11957</v>
      </c>
      <c r="B11960" s="2" t="s">
        <v>12034</v>
      </c>
      <c r="C11960" s="2" t="str">
        <f>"01486071"</f>
        <v>01486071</v>
      </c>
      <c r="D11960" s="2">
        <v>0.82799999999999996</v>
      </c>
      <c r="E11960" s="2">
        <v>59</v>
      </c>
      <c r="F11960" s="2" t="s">
        <v>6</v>
      </c>
    </row>
    <row r="11961" spans="1:6" ht="25.5">
      <c r="A11961" s="2">
        <v>11958</v>
      </c>
      <c r="B11961" s="2" t="s">
        <v>12035</v>
      </c>
      <c r="C11961" s="2" t="str">
        <f>"1877718X"</f>
        <v>1877718X</v>
      </c>
      <c r="D11961" s="2">
        <v>0.39500000000000002</v>
      </c>
      <c r="E11961" s="2">
        <v>3</v>
      </c>
      <c r="F11961" s="2" t="s">
        <v>75</v>
      </c>
    </row>
    <row r="11962" spans="1:6" ht="25.5">
      <c r="A11962" s="2">
        <v>11959</v>
      </c>
      <c r="B11962" s="2" t="s">
        <v>12036</v>
      </c>
      <c r="C11962" s="2" t="str">
        <f>"15423050"</f>
        <v>15423050</v>
      </c>
      <c r="D11962" s="2">
        <v>0.104</v>
      </c>
      <c r="E11962" s="2">
        <v>10</v>
      </c>
      <c r="F11962" s="2" t="s">
        <v>6</v>
      </c>
    </row>
    <row r="11963" spans="1:6" ht="25.5">
      <c r="A11963" s="2">
        <v>11960</v>
      </c>
      <c r="B11963" s="2" t="s">
        <v>12037</v>
      </c>
      <c r="C11963" s="2" t="str">
        <f>"10969896"</f>
        <v>10969896</v>
      </c>
      <c r="D11963" s="2">
        <v>3.0249999999999999</v>
      </c>
      <c r="E11963" s="2">
        <v>122</v>
      </c>
      <c r="F11963" s="2" t="s">
        <v>16</v>
      </c>
    </row>
    <row r="11964" spans="1:6" ht="25.5">
      <c r="A11964" s="2">
        <v>11961</v>
      </c>
      <c r="B11964" s="2" t="s">
        <v>12038</v>
      </c>
      <c r="C11964" s="2" t="str">
        <f>"15498425"</f>
        <v>15498425</v>
      </c>
      <c r="D11964" s="2">
        <v>0.83899999999999997</v>
      </c>
      <c r="E11964" s="2">
        <v>13</v>
      </c>
      <c r="F11964" s="2" t="s">
        <v>6</v>
      </c>
    </row>
    <row r="11965" spans="1:6" ht="25.5">
      <c r="A11965" s="2">
        <v>11962</v>
      </c>
      <c r="B11965" s="2" t="s">
        <v>12039</v>
      </c>
      <c r="C11965" s="2" t="str">
        <f>"1740021X"</f>
        <v>1740021X</v>
      </c>
      <c r="D11965" s="2">
        <v>0.13100000000000001</v>
      </c>
      <c r="E11965" s="2">
        <v>2</v>
      </c>
      <c r="F11965" s="2" t="s">
        <v>6</v>
      </c>
    </row>
    <row r="11966" spans="1:6" ht="25.5">
      <c r="A11966" s="2">
        <v>11963</v>
      </c>
      <c r="B11966" s="2" t="s">
        <v>12040</v>
      </c>
      <c r="C11966" s="2" t="str">
        <f>"00223433"</f>
        <v>00223433</v>
      </c>
      <c r="D11966" s="2">
        <v>2.3919999999999999</v>
      </c>
      <c r="E11966" s="2">
        <v>42</v>
      </c>
      <c r="F11966" s="2" t="s">
        <v>16</v>
      </c>
    </row>
    <row r="11967" spans="1:6" ht="25.5">
      <c r="A11967" s="2">
        <v>11964</v>
      </c>
      <c r="B11967" s="2" t="s">
        <v>12041</v>
      </c>
      <c r="C11967" s="2" t="str">
        <f>"03066150"</f>
        <v>03066150</v>
      </c>
      <c r="D11967" s="2">
        <v>2.645</v>
      </c>
      <c r="E11967" s="2">
        <v>22</v>
      </c>
      <c r="F11967" s="2" t="s">
        <v>16</v>
      </c>
    </row>
    <row r="11968" spans="1:6" ht="25.5">
      <c r="A11968" s="2">
        <v>11965</v>
      </c>
      <c r="B11968" s="2" t="s">
        <v>12042</v>
      </c>
      <c r="C11968" s="2" t="str">
        <f>"10833188"</f>
        <v>10833188</v>
      </c>
      <c r="D11968" s="2">
        <v>0.41</v>
      </c>
      <c r="E11968" s="2">
        <v>32</v>
      </c>
      <c r="F11968" s="2" t="s">
        <v>6</v>
      </c>
    </row>
    <row r="11969" spans="1:6" ht="25.5">
      <c r="A11969" s="2">
        <v>11966</v>
      </c>
      <c r="B11969" s="2" t="s">
        <v>12043</v>
      </c>
      <c r="C11969" s="2" t="str">
        <f>"18795404"</f>
        <v>18795404</v>
      </c>
      <c r="D11969" s="2">
        <v>0.14000000000000001</v>
      </c>
      <c r="E11969" s="2">
        <v>3</v>
      </c>
      <c r="F11969" s="2" t="s">
        <v>75</v>
      </c>
    </row>
    <row r="11970" spans="1:6" ht="25.5">
      <c r="A11970" s="2">
        <v>11967</v>
      </c>
      <c r="B11970" s="2" t="s">
        <v>12044</v>
      </c>
      <c r="C11970" s="2" t="str">
        <f>"0334018X"</f>
        <v>0334018X</v>
      </c>
      <c r="D11970" s="2">
        <v>0.32100000000000001</v>
      </c>
      <c r="E11970" s="2">
        <v>45</v>
      </c>
      <c r="F11970" s="2" t="s">
        <v>12</v>
      </c>
    </row>
    <row r="11971" spans="1:6" ht="25.5">
      <c r="A11971" s="2">
        <v>11968</v>
      </c>
      <c r="B11971" s="2" t="s">
        <v>12045</v>
      </c>
      <c r="C11971" s="2" t="str">
        <f>"15364801"</f>
        <v>15364801</v>
      </c>
      <c r="D11971" s="2">
        <v>0.79500000000000004</v>
      </c>
      <c r="E11971" s="2">
        <v>79</v>
      </c>
      <c r="F11971" s="2" t="s">
        <v>6</v>
      </c>
    </row>
    <row r="11972" spans="1:6" ht="25.5">
      <c r="A11972" s="2">
        <v>11969</v>
      </c>
      <c r="B11972" s="2" t="s">
        <v>12046</v>
      </c>
      <c r="C11972" s="2" t="str">
        <f>"08915245"</f>
        <v>08915245</v>
      </c>
      <c r="D11972" s="2">
        <v>0.36699999999999999</v>
      </c>
      <c r="E11972" s="2">
        <v>26</v>
      </c>
      <c r="F11972" s="2" t="s">
        <v>6</v>
      </c>
    </row>
    <row r="11973" spans="1:6" ht="25.5">
      <c r="A11973" s="2">
        <v>11970</v>
      </c>
      <c r="B11973" s="2" t="s">
        <v>12047</v>
      </c>
      <c r="C11973" s="2" t="str">
        <f>"15363678"</f>
        <v>15363678</v>
      </c>
      <c r="D11973" s="2">
        <v>0.41799999999999998</v>
      </c>
      <c r="E11973" s="2">
        <v>51</v>
      </c>
      <c r="F11973" s="2" t="s">
        <v>6</v>
      </c>
    </row>
    <row r="11974" spans="1:6" ht="25.5">
      <c r="A11974" s="2">
        <v>11971</v>
      </c>
      <c r="B11974" s="2" t="s">
        <v>12048</v>
      </c>
      <c r="C11974" s="2" t="str">
        <f>"18710336"</f>
        <v>18710336</v>
      </c>
      <c r="D11974" s="2">
        <v>0.126</v>
      </c>
      <c r="E11974" s="2">
        <v>4</v>
      </c>
      <c r="F11974" s="2" t="s">
        <v>75</v>
      </c>
    </row>
    <row r="11975" spans="1:6" ht="25.5">
      <c r="A11975" s="2">
        <v>11972</v>
      </c>
      <c r="B11975" s="2" t="s">
        <v>12049</v>
      </c>
      <c r="C11975" s="2" t="str">
        <f>"13042580"</f>
        <v>13042580</v>
      </c>
      <c r="D11975" s="2">
        <v>0.153</v>
      </c>
      <c r="E11975" s="2">
        <v>6</v>
      </c>
      <c r="F11975" s="2" t="s">
        <v>75</v>
      </c>
    </row>
    <row r="11976" spans="1:6" ht="25.5">
      <c r="A11976" s="2">
        <v>11973</v>
      </c>
      <c r="B11976" s="2" t="s">
        <v>12050</v>
      </c>
      <c r="C11976" s="2" t="str">
        <f>"18171745"</f>
        <v>18171745</v>
      </c>
      <c r="D11976" s="2">
        <v>0.20799999999999999</v>
      </c>
      <c r="E11976" s="2">
        <v>4</v>
      </c>
      <c r="F11976" s="2" t="s">
        <v>488</v>
      </c>
    </row>
    <row r="11977" spans="1:6" ht="25.5">
      <c r="A11977" s="2">
        <v>11974</v>
      </c>
      <c r="B11977" s="2" t="s">
        <v>12051</v>
      </c>
      <c r="C11977" s="2" t="str">
        <f>"15328449"</f>
        <v>15328449</v>
      </c>
      <c r="D11977" s="2">
        <v>0.33500000000000002</v>
      </c>
      <c r="E11977" s="2">
        <v>31</v>
      </c>
      <c r="F11977" s="2" t="s">
        <v>16</v>
      </c>
    </row>
    <row r="11978" spans="1:6" ht="25.5">
      <c r="A11978" s="2">
        <v>11975</v>
      </c>
      <c r="B11978" s="2" t="s">
        <v>12052</v>
      </c>
      <c r="C11978" s="2" t="str">
        <f>"15328457"</f>
        <v>15328457</v>
      </c>
      <c r="D11978" s="2">
        <v>0.47299999999999998</v>
      </c>
      <c r="E11978" s="2">
        <v>27</v>
      </c>
      <c r="F11978" s="2" t="s">
        <v>6</v>
      </c>
    </row>
    <row r="11979" spans="1:6" ht="25.5">
      <c r="A11979" s="2">
        <v>11976</v>
      </c>
      <c r="B11979" s="2" t="s">
        <v>12053</v>
      </c>
      <c r="C11979" s="2" t="str">
        <f>"01913913"</f>
        <v>01913913</v>
      </c>
      <c r="D11979" s="2">
        <v>0.26</v>
      </c>
      <c r="E11979" s="2">
        <v>33</v>
      </c>
      <c r="F11979" s="2" t="s">
        <v>6</v>
      </c>
    </row>
    <row r="11980" spans="1:6" ht="25.5">
      <c r="A11980" s="2">
        <v>11977</v>
      </c>
      <c r="B11980" s="2" t="s">
        <v>12054</v>
      </c>
      <c r="C11980" s="2" t="str">
        <f>"15392570"</f>
        <v>15392570</v>
      </c>
      <c r="D11980" s="2">
        <v>0.96399999999999997</v>
      </c>
      <c r="E11980" s="2">
        <v>55</v>
      </c>
      <c r="F11980" s="2" t="s">
        <v>6</v>
      </c>
    </row>
    <row r="11981" spans="1:6" ht="25.5">
      <c r="A11981" s="2">
        <v>11978</v>
      </c>
      <c r="B11981" s="2" t="s">
        <v>12055</v>
      </c>
      <c r="C11981" s="2" t="str">
        <f>"1060152X"</f>
        <v>1060152X</v>
      </c>
      <c r="D11981" s="2">
        <v>0.37</v>
      </c>
      <c r="E11981" s="2">
        <v>34</v>
      </c>
      <c r="F11981" s="2" t="s">
        <v>6</v>
      </c>
    </row>
    <row r="11982" spans="1:6" ht="25.5">
      <c r="A11982" s="2">
        <v>11979</v>
      </c>
      <c r="B11982" s="2" t="s">
        <v>12056</v>
      </c>
      <c r="C11982" s="2" t="str">
        <f>"1465735X"</f>
        <v>1465735X</v>
      </c>
      <c r="D11982" s="2">
        <v>1.232</v>
      </c>
      <c r="E11982" s="2">
        <v>68</v>
      </c>
      <c r="F11982" s="2" t="s">
        <v>16</v>
      </c>
    </row>
    <row r="11983" spans="1:6" ht="25.5">
      <c r="A11983" s="2">
        <v>11980</v>
      </c>
      <c r="B11983" s="2" t="s">
        <v>12057</v>
      </c>
      <c r="C11983" s="2" t="str">
        <f>"18758894"</f>
        <v>18758894</v>
      </c>
      <c r="D11983" s="2">
        <v>0.20300000000000001</v>
      </c>
      <c r="E11983" s="2">
        <v>4</v>
      </c>
      <c r="F11983" s="2" t="s">
        <v>75</v>
      </c>
    </row>
    <row r="11984" spans="1:6" ht="25.5">
      <c r="A11984" s="2">
        <v>11981</v>
      </c>
      <c r="B11984" s="2" t="s">
        <v>12058</v>
      </c>
      <c r="C11984" s="2" t="str">
        <f>"10976833"</f>
        <v>10976833</v>
      </c>
      <c r="D11984" s="2">
        <v>1.202</v>
      </c>
      <c r="E11984" s="2">
        <v>134</v>
      </c>
      <c r="F11984" s="2" t="s">
        <v>6</v>
      </c>
    </row>
    <row r="11985" spans="1:6" ht="25.5">
      <c r="A11985" s="2">
        <v>11982</v>
      </c>
      <c r="B11985" s="2" t="s">
        <v>12059</v>
      </c>
      <c r="C11985" s="2" t="str">
        <f>"00223468"</f>
        <v>00223468</v>
      </c>
      <c r="D11985" s="2">
        <v>0.72099999999999997</v>
      </c>
      <c r="E11985" s="2">
        <v>79</v>
      </c>
      <c r="F11985" s="2" t="s">
        <v>16</v>
      </c>
    </row>
    <row r="11986" spans="1:6" ht="25.5">
      <c r="A11986" s="2">
        <v>11983</v>
      </c>
      <c r="B11986" s="2" t="s">
        <v>12060</v>
      </c>
      <c r="C11986" s="2" t="str">
        <f>"18734898"</f>
        <v>18734898</v>
      </c>
      <c r="D11986" s="2">
        <v>0.66100000000000003</v>
      </c>
      <c r="E11986" s="2">
        <v>18</v>
      </c>
      <c r="F11986" s="2" t="s">
        <v>75</v>
      </c>
    </row>
    <row r="11987" spans="1:6" ht="25.5">
      <c r="A11987" s="2">
        <v>11984</v>
      </c>
      <c r="B11987" s="2" t="s">
        <v>12061</v>
      </c>
      <c r="C11987" s="2" t="str">
        <f>"14747472"</f>
        <v>14747472</v>
      </c>
      <c r="D11987" s="2">
        <v>0.377</v>
      </c>
      <c r="E11987" s="2">
        <v>5</v>
      </c>
      <c r="F11987" s="2" t="s">
        <v>6</v>
      </c>
    </row>
    <row r="11988" spans="1:6" ht="25.5">
      <c r="A11988" s="2">
        <v>11985</v>
      </c>
      <c r="B11988" s="2" t="s">
        <v>12062</v>
      </c>
      <c r="C11988" s="2" t="str">
        <f>"10991387"</f>
        <v>10991387</v>
      </c>
      <c r="D11988" s="2">
        <v>0.66200000000000003</v>
      </c>
      <c r="E11988" s="2">
        <v>42</v>
      </c>
      <c r="F11988" s="2" t="s">
        <v>16</v>
      </c>
    </row>
    <row r="11989" spans="1:6" ht="25.5">
      <c r="A11989" s="2">
        <v>11986</v>
      </c>
      <c r="B11989" s="2" t="s">
        <v>12063</v>
      </c>
      <c r="C11989" s="2" t="str">
        <f>"08873828"</f>
        <v>08873828</v>
      </c>
      <c r="D11989" s="2">
        <v>0.56599999999999995</v>
      </c>
      <c r="E11989" s="2">
        <v>21</v>
      </c>
      <c r="F11989" s="2" t="s">
        <v>6</v>
      </c>
    </row>
    <row r="11990" spans="1:6" ht="25.5">
      <c r="A11990" s="2">
        <v>11987</v>
      </c>
      <c r="B11990" s="2" t="s">
        <v>12064</v>
      </c>
      <c r="C11990" s="2" t="str">
        <f>"15328473"</f>
        <v>15328473</v>
      </c>
      <c r="D11990" s="2">
        <v>0.251</v>
      </c>
      <c r="E11990" s="2">
        <v>18</v>
      </c>
      <c r="F11990" s="2" t="s">
        <v>16</v>
      </c>
    </row>
    <row r="11991" spans="1:6" ht="25.5">
      <c r="A11991" s="2">
        <v>11988</v>
      </c>
      <c r="B11991" s="2" t="s">
        <v>12065</v>
      </c>
      <c r="C11991" s="2" t="str">
        <f>"15505073"</f>
        <v>15505073</v>
      </c>
      <c r="D11991" s="2">
        <v>0.29899999999999999</v>
      </c>
      <c r="E11991" s="2">
        <v>22</v>
      </c>
      <c r="F11991" s="2" t="s">
        <v>6</v>
      </c>
    </row>
    <row r="11992" spans="1:6" ht="25.5">
      <c r="A11992" s="2">
        <v>11989</v>
      </c>
      <c r="B11992" s="2" t="s">
        <v>12066</v>
      </c>
      <c r="C11992" s="2" t="str">
        <f>"16193997"</f>
        <v>16193997</v>
      </c>
      <c r="D11992" s="2">
        <v>0.61699999999999999</v>
      </c>
      <c r="E11992" s="2">
        <v>41</v>
      </c>
      <c r="F11992" s="2" t="s">
        <v>12</v>
      </c>
    </row>
    <row r="11993" spans="1:6" ht="25.5">
      <c r="A11993" s="2">
        <v>11990</v>
      </c>
      <c r="B11993" s="2" t="s">
        <v>12067</v>
      </c>
      <c r="C11993" s="2" t="str">
        <f>"07438346"</f>
        <v>07438346</v>
      </c>
      <c r="D11993" s="2">
        <v>0.91200000000000003</v>
      </c>
      <c r="E11993" s="2">
        <v>48</v>
      </c>
      <c r="F11993" s="2" t="s">
        <v>16</v>
      </c>
    </row>
    <row r="11994" spans="1:6" ht="25.5">
      <c r="A11994" s="2">
        <v>11991</v>
      </c>
      <c r="B11994" s="2" t="s">
        <v>12068</v>
      </c>
      <c r="C11994" s="2" t="str">
        <f>"20932286"</f>
        <v>20932286</v>
      </c>
      <c r="D11994" s="2">
        <v>0.28100000000000003</v>
      </c>
      <c r="E11994" s="2">
        <v>5</v>
      </c>
      <c r="F11994" s="2" t="s">
        <v>274</v>
      </c>
    </row>
    <row r="11995" spans="1:6" ht="25.5">
      <c r="A11995" s="2">
        <v>11992</v>
      </c>
      <c r="B11995" s="2" t="s">
        <v>12069</v>
      </c>
      <c r="C11995" s="2" t="str">
        <f>"16000765"</f>
        <v>16000765</v>
      </c>
      <c r="D11995" s="2">
        <v>0.59599999999999997</v>
      </c>
      <c r="E11995" s="2">
        <v>53</v>
      </c>
      <c r="F11995" s="2" t="s">
        <v>163</v>
      </c>
    </row>
    <row r="11996" spans="1:6" ht="25.5">
      <c r="A11996" s="2">
        <v>11993</v>
      </c>
      <c r="B11996" s="2" t="s">
        <v>12070</v>
      </c>
      <c r="C11996" s="2" t="str">
        <f>"00223492"</f>
        <v>00223492</v>
      </c>
      <c r="D11996" s="2">
        <v>0.874</v>
      </c>
      <c r="E11996" s="2">
        <v>94</v>
      </c>
      <c r="F11996" s="2" t="s">
        <v>6</v>
      </c>
    </row>
    <row r="11997" spans="1:6" ht="25.5">
      <c r="A11997" s="2">
        <v>11994</v>
      </c>
      <c r="B11997" s="2" t="s">
        <v>12071</v>
      </c>
      <c r="C11997" s="2" t="str">
        <f>"17504589"</f>
        <v>17504589</v>
      </c>
      <c r="D11997" s="2">
        <v>0.123</v>
      </c>
      <c r="E11997" s="2">
        <v>8</v>
      </c>
      <c r="F11997" s="2" t="s">
        <v>16</v>
      </c>
    </row>
    <row r="11998" spans="1:6" ht="25.5">
      <c r="A11998" s="2">
        <v>11995</v>
      </c>
      <c r="B11998" s="2" t="s">
        <v>12072</v>
      </c>
      <c r="C11998" s="2" t="str">
        <f>"18747167"</f>
        <v>18747167</v>
      </c>
      <c r="D11998" s="2">
        <v>0.105</v>
      </c>
      <c r="E11998" s="2">
        <v>2</v>
      </c>
      <c r="F11998" s="2" t="s">
        <v>75</v>
      </c>
    </row>
    <row r="11999" spans="1:6" ht="25.5">
      <c r="A11999" s="2">
        <v>11996</v>
      </c>
      <c r="B11999" s="2" t="s">
        <v>12073</v>
      </c>
      <c r="C11999" s="2" t="str">
        <f>"14676494"</f>
        <v>14676494</v>
      </c>
      <c r="D11999" s="2">
        <v>1.8029999999999999</v>
      </c>
      <c r="E11999" s="2">
        <v>75</v>
      </c>
      <c r="F11999" s="2" t="s">
        <v>16</v>
      </c>
    </row>
    <row r="12000" spans="1:6" ht="25.5">
      <c r="A12000" s="2">
        <v>11997</v>
      </c>
      <c r="B12000" s="2" t="s">
        <v>12074</v>
      </c>
      <c r="C12000" s="2" t="str">
        <f>"00223514"</f>
        <v>00223514</v>
      </c>
      <c r="D12000" s="2">
        <v>4.4800000000000004</v>
      </c>
      <c r="E12000" s="2">
        <v>195</v>
      </c>
      <c r="F12000" s="2" t="s">
        <v>6</v>
      </c>
    </row>
    <row r="12001" spans="1:6" ht="25.5">
      <c r="A12001" s="2">
        <v>11998</v>
      </c>
      <c r="B12001" s="2" t="s">
        <v>12075</v>
      </c>
      <c r="C12001" s="2" t="str">
        <f>"15327752"</f>
        <v>15327752</v>
      </c>
      <c r="D12001" s="2">
        <v>1.0229999999999999</v>
      </c>
      <c r="E12001" s="2">
        <v>53</v>
      </c>
      <c r="F12001" s="2" t="s">
        <v>16</v>
      </c>
    </row>
    <row r="12002" spans="1:6" ht="25.5">
      <c r="A12002" s="2">
        <v>11999</v>
      </c>
      <c r="B12002" s="2" t="s">
        <v>12076</v>
      </c>
      <c r="C12002" s="2" t="str">
        <f>"0885579X"</f>
        <v>0885579X</v>
      </c>
      <c r="D12002" s="2">
        <v>2.0059999999999998</v>
      </c>
      <c r="E12002" s="2">
        <v>56</v>
      </c>
      <c r="F12002" s="2" t="s">
        <v>6</v>
      </c>
    </row>
    <row r="12003" spans="1:6" ht="25.5">
      <c r="A12003" s="2">
        <v>12000</v>
      </c>
      <c r="B12003" s="2" t="s">
        <v>12077</v>
      </c>
      <c r="C12003" s="2" t="str">
        <f>"08853134"</f>
        <v>08853134</v>
      </c>
      <c r="D12003" s="2">
        <v>0.53800000000000003</v>
      </c>
      <c r="E12003" s="2">
        <v>20</v>
      </c>
      <c r="F12003" s="2" t="s">
        <v>6</v>
      </c>
    </row>
    <row r="12004" spans="1:6" ht="25.5">
      <c r="A12004" s="2">
        <v>12001</v>
      </c>
      <c r="B12004" s="2" t="s">
        <v>12078</v>
      </c>
      <c r="C12004" s="2" t="str">
        <f>"18665888"</f>
        <v>18665888</v>
      </c>
      <c r="D12004" s="2">
        <v>0.82299999999999995</v>
      </c>
      <c r="E12004" s="2">
        <v>5</v>
      </c>
      <c r="F12004" s="2" t="s">
        <v>6</v>
      </c>
    </row>
    <row r="12005" spans="1:6" ht="25.5">
      <c r="A12005" s="2">
        <v>12002</v>
      </c>
      <c r="B12005" s="2" t="s">
        <v>12079</v>
      </c>
      <c r="C12005" s="2" t="str">
        <f>"13490923"</f>
        <v>13490923</v>
      </c>
      <c r="D12005" s="2">
        <v>0.44700000000000001</v>
      </c>
      <c r="E12005" s="2">
        <v>21</v>
      </c>
      <c r="F12005" s="2" t="s">
        <v>131</v>
      </c>
    </row>
    <row r="12006" spans="1:6" ht="25.5">
      <c r="A12006" s="2">
        <v>12003</v>
      </c>
      <c r="B12006" s="2" t="s">
        <v>12080</v>
      </c>
      <c r="C12006" s="2" t="str">
        <f>"16124766"</f>
        <v>16124766</v>
      </c>
      <c r="D12006" s="2">
        <v>0.72099999999999997</v>
      </c>
      <c r="E12006" s="2">
        <v>18</v>
      </c>
      <c r="F12006" s="2" t="s">
        <v>12</v>
      </c>
    </row>
    <row r="12007" spans="1:6" ht="25.5">
      <c r="A12007" s="2">
        <v>12004</v>
      </c>
      <c r="B12007" s="2" t="s">
        <v>12081</v>
      </c>
      <c r="C12007" s="2" t="str">
        <f>"21900566"</f>
        <v>21900566</v>
      </c>
      <c r="D12007" s="2">
        <v>0.187</v>
      </c>
      <c r="E12007" s="2">
        <v>1</v>
      </c>
      <c r="F12007" s="2" t="s">
        <v>12</v>
      </c>
    </row>
    <row r="12008" spans="1:6" ht="25.5">
      <c r="A12008" s="2">
        <v>12005</v>
      </c>
      <c r="B12008" s="2" t="s">
        <v>12082</v>
      </c>
      <c r="C12008" s="2" t="str">
        <f>"01416421"</f>
        <v>01416421</v>
      </c>
      <c r="D12008" s="2">
        <v>0.47099999999999997</v>
      </c>
      <c r="E12008" s="2">
        <v>22</v>
      </c>
      <c r="F12008" s="2" t="s">
        <v>16</v>
      </c>
    </row>
    <row r="12009" spans="1:6" ht="25.5">
      <c r="A12009" s="2">
        <v>12006</v>
      </c>
      <c r="B12009" s="2" t="s">
        <v>12083</v>
      </c>
      <c r="C12009" s="2" t="str">
        <f>"09204105"</f>
        <v>09204105</v>
      </c>
      <c r="D12009" s="2">
        <v>0.73099999999999998</v>
      </c>
      <c r="E12009" s="2">
        <v>42</v>
      </c>
      <c r="F12009" s="2" t="s">
        <v>75</v>
      </c>
    </row>
    <row r="12010" spans="1:6" ht="25.5">
      <c r="A12010" s="2">
        <v>12007</v>
      </c>
      <c r="B12010" s="2" t="s">
        <v>12084</v>
      </c>
      <c r="C12010" s="2" t="str">
        <f>"14602415"</f>
        <v>14602415</v>
      </c>
      <c r="D12010" s="2">
        <v>3.1480000000000001</v>
      </c>
      <c r="E12010" s="2">
        <v>95</v>
      </c>
      <c r="F12010" s="2" t="s">
        <v>16</v>
      </c>
    </row>
    <row r="12011" spans="1:6" ht="25.5">
      <c r="A12011" s="2">
        <v>12008</v>
      </c>
      <c r="B12011" s="2" t="s">
        <v>12085</v>
      </c>
      <c r="C12011" s="2" t="str">
        <f>"07317085"</f>
        <v>07317085</v>
      </c>
      <c r="D12011" s="2">
        <v>1.0569999999999999</v>
      </c>
      <c r="E12011" s="2">
        <v>75</v>
      </c>
      <c r="F12011" s="2" t="s">
        <v>75</v>
      </c>
    </row>
    <row r="12012" spans="1:6" ht="25.5">
      <c r="A12012" s="2">
        <v>12009</v>
      </c>
      <c r="B12012" s="2" t="s">
        <v>12086</v>
      </c>
      <c r="C12012" s="2" t="str">
        <f>"18725120"</f>
        <v>18725120</v>
      </c>
      <c r="D12012" s="2">
        <v>0.68300000000000005</v>
      </c>
      <c r="E12012" s="2">
        <v>12</v>
      </c>
      <c r="F12012" s="2" t="s">
        <v>6</v>
      </c>
    </row>
    <row r="12013" spans="1:6" ht="25.5">
      <c r="A12013" s="2">
        <v>12010</v>
      </c>
      <c r="B12013" s="2" t="s">
        <v>12087</v>
      </c>
      <c r="C12013" s="2" t="str">
        <f>"20936214"</f>
        <v>20936214</v>
      </c>
      <c r="D12013" s="2">
        <v>0</v>
      </c>
      <c r="E12013" s="2">
        <v>1</v>
      </c>
      <c r="F12013" s="2" t="s">
        <v>75</v>
      </c>
    </row>
    <row r="12014" spans="1:6" ht="25.5">
      <c r="A12014" s="2">
        <v>12011</v>
      </c>
      <c r="B12014" s="2" t="s">
        <v>12088</v>
      </c>
      <c r="C12014" s="2" t="str">
        <f>"22297723"</f>
        <v>22297723</v>
      </c>
      <c r="D12014" s="2">
        <v>0.105</v>
      </c>
      <c r="E12014" s="2">
        <v>2</v>
      </c>
      <c r="F12014" s="2" t="s">
        <v>488</v>
      </c>
    </row>
    <row r="12015" spans="1:6" ht="25.5">
      <c r="A12015" s="2">
        <v>12012</v>
      </c>
      <c r="B12015" s="2" t="s">
        <v>12089</v>
      </c>
      <c r="C12015" s="2" t="str">
        <f>"00223549"</f>
        <v>00223549</v>
      </c>
      <c r="D12015" s="2">
        <v>1.206</v>
      </c>
      <c r="E12015" s="2">
        <v>102</v>
      </c>
      <c r="F12015" s="2" t="s">
        <v>6</v>
      </c>
    </row>
    <row r="12016" spans="1:6" ht="25.5">
      <c r="A12016" s="2">
        <v>12013</v>
      </c>
      <c r="B12016" s="2" t="s">
        <v>12090</v>
      </c>
      <c r="C12016" s="2" t="str">
        <f>"09751459"</f>
        <v>09751459</v>
      </c>
      <c r="D12016" s="2">
        <v>0.25900000000000001</v>
      </c>
      <c r="E12016" s="2">
        <v>7</v>
      </c>
      <c r="F12016" s="2" t="s">
        <v>488</v>
      </c>
    </row>
    <row r="12017" spans="1:6" ht="25.5">
      <c r="A12017" s="2">
        <v>12014</v>
      </c>
      <c r="B12017" s="2" t="s">
        <v>12091</v>
      </c>
      <c r="C12017" s="2" t="str">
        <f>"21412502"</f>
        <v>21412502</v>
      </c>
      <c r="D12017" s="2">
        <v>0.19500000000000001</v>
      </c>
      <c r="E12017" s="2">
        <v>3</v>
      </c>
      <c r="F12017" s="2" t="s">
        <v>6</v>
      </c>
    </row>
    <row r="12018" spans="1:6" ht="25.5">
      <c r="A12018" s="2">
        <v>12015</v>
      </c>
      <c r="B12018" s="2" t="s">
        <v>12092</v>
      </c>
      <c r="C12018" s="2" t="str">
        <f>"15738744"</f>
        <v>15738744</v>
      </c>
      <c r="D12018" s="2">
        <v>0.877</v>
      </c>
      <c r="E12018" s="2">
        <v>37</v>
      </c>
      <c r="F12018" s="2" t="s">
        <v>6</v>
      </c>
    </row>
    <row r="12019" spans="1:6" ht="25.5">
      <c r="A12019" s="2">
        <v>12016</v>
      </c>
      <c r="B12019" s="2" t="s">
        <v>12093</v>
      </c>
      <c r="C12019" s="2" t="str">
        <f>"10568719"</f>
        <v>10568719</v>
      </c>
      <c r="D12019" s="2">
        <v>0.755</v>
      </c>
      <c r="E12019" s="2">
        <v>43</v>
      </c>
      <c r="F12019" s="2" t="s">
        <v>6</v>
      </c>
    </row>
    <row r="12020" spans="1:6" ht="25.5">
      <c r="A12020" s="2">
        <v>12017</v>
      </c>
      <c r="B12020" s="2" t="s">
        <v>12094</v>
      </c>
      <c r="C12020" s="2" t="str">
        <f>"13478648"</f>
        <v>13478648</v>
      </c>
      <c r="D12020" s="2">
        <v>0.82799999999999996</v>
      </c>
      <c r="E12020" s="2">
        <v>50</v>
      </c>
      <c r="F12020" s="2" t="s">
        <v>131</v>
      </c>
    </row>
    <row r="12021" spans="1:6" ht="25.5">
      <c r="A12021" s="2">
        <v>12018</v>
      </c>
      <c r="B12021" s="2" t="s">
        <v>12095</v>
      </c>
      <c r="C12021" s="2" t="str">
        <f>"15210103"</f>
        <v>15210103</v>
      </c>
      <c r="D12021" s="2">
        <v>1.3879999999999999</v>
      </c>
      <c r="E12021" s="2">
        <v>157</v>
      </c>
      <c r="F12021" s="2" t="s">
        <v>6</v>
      </c>
    </row>
    <row r="12022" spans="1:6" ht="25.5">
      <c r="A12022" s="2">
        <v>12019</v>
      </c>
      <c r="B12022" s="2" t="s">
        <v>12096</v>
      </c>
      <c r="C12022" s="2" t="str">
        <f>"1816496X"</f>
        <v>1816496X</v>
      </c>
      <c r="D12022" s="2">
        <v>0.45500000000000002</v>
      </c>
      <c r="E12022" s="2">
        <v>8</v>
      </c>
      <c r="F12022" s="2" t="s">
        <v>6</v>
      </c>
    </row>
    <row r="12023" spans="1:6" ht="25.5">
      <c r="A12023" s="2">
        <v>12020</v>
      </c>
      <c r="B12023" s="2" t="s">
        <v>12097</v>
      </c>
      <c r="C12023" s="2" t="str">
        <f>"14821826"</f>
        <v>14821826</v>
      </c>
      <c r="D12023" s="2">
        <v>0.66900000000000004</v>
      </c>
      <c r="E12023" s="2">
        <v>45</v>
      </c>
      <c r="F12023" s="2" t="s">
        <v>64</v>
      </c>
    </row>
    <row r="12024" spans="1:6" ht="25.5">
      <c r="A12024" s="2">
        <v>12021</v>
      </c>
      <c r="B12024" s="2" t="s">
        <v>12098</v>
      </c>
      <c r="C12024" s="2" t="str">
        <f>"00223573"</f>
        <v>00223573</v>
      </c>
      <c r="D12024" s="2">
        <v>0.59299999999999997</v>
      </c>
      <c r="E12024" s="2">
        <v>69</v>
      </c>
      <c r="F12024" s="2" t="s">
        <v>16</v>
      </c>
    </row>
    <row r="12025" spans="1:6" ht="25.5">
      <c r="A12025" s="2">
        <v>12022</v>
      </c>
      <c r="B12025" s="2" t="s">
        <v>12099</v>
      </c>
      <c r="C12025" s="2" t="str">
        <f>"08971900"</f>
        <v>08971900</v>
      </c>
      <c r="D12025" s="2">
        <v>0.17199999999999999</v>
      </c>
      <c r="E12025" s="2">
        <v>10</v>
      </c>
      <c r="F12025" s="2" t="s">
        <v>6</v>
      </c>
    </row>
    <row r="12026" spans="1:6" ht="25.5">
      <c r="A12026" s="2">
        <v>12023</v>
      </c>
      <c r="B12026" s="2" t="s">
        <v>12100</v>
      </c>
      <c r="C12026" s="2" t="str">
        <f>"1445937X"</f>
        <v>1445937X</v>
      </c>
      <c r="D12026" s="2">
        <v>0.223</v>
      </c>
      <c r="E12026" s="2">
        <v>14</v>
      </c>
      <c r="F12026" s="2" t="s">
        <v>127</v>
      </c>
    </row>
    <row r="12027" spans="1:6" ht="25.5">
      <c r="A12027" s="2">
        <v>12024</v>
      </c>
      <c r="B12027" s="2" t="s">
        <v>12101</v>
      </c>
      <c r="C12027" s="2" t="str">
        <f>"87551225"</f>
        <v>87551225</v>
      </c>
      <c r="D12027" s="2">
        <v>0.122</v>
      </c>
      <c r="E12027" s="2">
        <v>7</v>
      </c>
      <c r="F12027" s="2" t="s">
        <v>6</v>
      </c>
    </row>
    <row r="12028" spans="1:6" ht="25.5">
      <c r="A12028" s="2">
        <v>12025</v>
      </c>
      <c r="B12028" s="2" t="s">
        <v>12102</v>
      </c>
      <c r="C12028" s="2" t="str">
        <f>"15477037"</f>
        <v>15477037</v>
      </c>
      <c r="D12028" s="2">
        <v>0.46400000000000002</v>
      </c>
      <c r="E12028" s="2">
        <v>30</v>
      </c>
      <c r="F12028" s="2" t="s">
        <v>6</v>
      </c>
    </row>
    <row r="12029" spans="1:6" ht="25.5">
      <c r="A12029" s="2">
        <v>12026</v>
      </c>
      <c r="B12029" s="2" t="s">
        <v>12103</v>
      </c>
      <c r="C12029" s="2" t="str">
        <f>"15691624"</f>
        <v>15691624</v>
      </c>
      <c r="D12029" s="2">
        <v>0.13300000000000001</v>
      </c>
      <c r="E12029" s="2">
        <v>8</v>
      </c>
      <c r="F12029" s="2" t="s">
        <v>75</v>
      </c>
    </row>
    <row r="12030" spans="1:6" ht="25.5">
      <c r="A12030" s="2">
        <v>12027</v>
      </c>
      <c r="B12030" s="2" t="s">
        <v>12104</v>
      </c>
      <c r="C12030" s="2" t="str">
        <f>"15730433"</f>
        <v>15730433</v>
      </c>
      <c r="D12030" s="2">
        <v>0.95399999999999996</v>
      </c>
      <c r="E12030" s="2">
        <v>19</v>
      </c>
      <c r="F12030" s="2" t="s">
        <v>75</v>
      </c>
    </row>
    <row r="12031" spans="1:6" ht="25.5">
      <c r="A12031" s="2">
        <v>12028</v>
      </c>
      <c r="B12031" s="2" t="s">
        <v>12105</v>
      </c>
      <c r="C12031" s="2" t="str">
        <f>"14679752"</f>
        <v>14679752</v>
      </c>
      <c r="D12031" s="2">
        <v>0.49099999999999999</v>
      </c>
      <c r="E12031" s="2">
        <v>17</v>
      </c>
      <c r="F12031" s="2" t="s">
        <v>16</v>
      </c>
    </row>
    <row r="12032" spans="1:6" ht="25.5">
      <c r="A12032" s="2">
        <v>12029</v>
      </c>
      <c r="B12032" s="2" t="s">
        <v>12106</v>
      </c>
      <c r="C12032" s="2" t="str">
        <f>"19398549"</f>
        <v>19398549</v>
      </c>
      <c r="D12032" s="2">
        <v>1.246</v>
      </c>
      <c r="E12032" s="2">
        <v>18</v>
      </c>
      <c r="F12032" s="2" t="s">
        <v>6</v>
      </c>
    </row>
    <row r="12033" spans="1:6" ht="25.5">
      <c r="A12033" s="2">
        <v>12030</v>
      </c>
      <c r="B12033" s="2" t="s">
        <v>12107</v>
      </c>
      <c r="C12033" s="2" t="str">
        <f>"10958576"</f>
        <v>10958576</v>
      </c>
      <c r="D12033" s="2">
        <v>1.512</v>
      </c>
      <c r="E12033" s="2">
        <v>40</v>
      </c>
      <c r="F12033" s="2" t="s">
        <v>6</v>
      </c>
    </row>
    <row r="12034" spans="1:6" ht="25.5">
      <c r="A12034" s="2">
        <v>12031</v>
      </c>
      <c r="B12034" s="2" t="s">
        <v>12108</v>
      </c>
      <c r="C12034" s="2" t="str">
        <f>"18732666"</f>
        <v>18732666</v>
      </c>
      <c r="D12034" s="2">
        <v>0.82199999999999995</v>
      </c>
      <c r="E12034" s="2">
        <v>99</v>
      </c>
      <c r="F12034" s="2" t="s">
        <v>75</v>
      </c>
    </row>
    <row r="12035" spans="1:6" ht="25.5">
      <c r="A12035" s="2">
        <v>12032</v>
      </c>
      <c r="B12035" s="2" t="s">
        <v>12109</v>
      </c>
      <c r="C12035" s="2" t="str">
        <f>"18732682"</f>
        <v>18732682</v>
      </c>
      <c r="D12035" s="2">
        <v>0.77400000000000002</v>
      </c>
      <c r="E12035" s="2">
        <v>72</v>
      </c>
      <c r="F12035" s="2" t="s">
        <v>75</v>
      </c>
    </row>
    <row r="12036" spans="1:6" ht="25.5">
      <c r="A12036" s="2">
        <v>12033</v>
      </c>
      <c r="B12036" s="2" t="s">
        <v>12110</v>
      </c>
      <c r="C12036" s="2" t="str">
        <f>"13895567"</f>
        <v>13895567</v>
      </c>
      <c r="D12036" s="2">
        <v>3.0920000000000001</v>
      </c>
      <c r="E12036" s="2">
        <v>47</v>
      </c>
      <c r="F12036" s="2" t="s">
        <v>75</v>
      </c>
    </row>
    <row r="12037" spans="1:6" ht="25.5">
      <c r="A12037" s="2">
        <v>12034</v>
      </c>
      <c r="B12037" s="2" t="s">
        <v>12111</v>
      </c>
      <c r="C12037" s="2" t="str">
        <f>"19477988"</f>
        <v>19477988</v>
      </c>
      <c r="D12037" s="2">
        <v>0.33200000000000002</v>
      </c>
      <c r="E12037" s="2">
        <v>4</v>
      </c>
      <c r="F12037" s="2" t="s">
        <v>6</v>
      </c>
    </row>
    <row r="12038" spans="1:6" ht="25.5">
      <c r="A12038" s="2">
        <v>12035</v>
      </c>
      <c r="B12038" s="2" t="s">
        <v>12112</v>
      </c>
      <c r="C12038" s="2" t="str">
        <f>"09149244"</f>
        <v>09149244</v>
      </c>
      <c r="D12038" s="2">
        <v>0.434</v>
      </c>
      <c r="E12038" s="2">
        <v>30</v>
      </c>
      <c r="F12038" s="2" t="s">
        <v>131</v>
      </c>
    </row>
    <row r="12039" spans="1:6" ht="25.5">
      <c r="A12039" s="2">
        <v>12036</v>
      </c>
      <c r="B12039" s="2" t="s">
        <v>12113</v>
      </c>
      <c r="C12039" s="2" t="str">
        <f>"15298817"</f>
        <v>15298817</v>
      </c>
      <c r="D12039" s="2">
        <v>0.86399999999999999</v>
      </c>
      <c r="E12039" s="2">
        <v>77</v>
      </c>
      <c r="F12039" s="2" t="s">
        <v>16</v>
      </c>
    </row>
    <row r="12040" spans="1:6" ht="25.5">
      <c r="A12040" s="2">
        <v>12037</v>
      </c>
      <c r="B12040" s="2" t="s">
        <v>12114</v>
      </c>
      <c r="C12040" s="2" t="str">
        <f>"15435474"</f>
        <v>15435474</v>
      </c>
      <c r="D12040" s="2">
        <v>1.018</v>
      </c>
      <c r="E12040" s="2">
        <v>23</v>
      </c>
      <c r="F12040" s="2" t="s">
        <v>6</v>
      </c>
    </row>
    <row r="12041" spans="1:6" ht="25.5">
      <c r="A12041" s="2">
        <v>12038</v>
      </c>
      <c r="B12041" s="2" t="s">
        <v>12115</v>
      </c>
      <c r="C12041" s="2" t="str">
        <f>"18880258"</f>
        <v>18880258</v>
      </c>
      <c r="D12041" s="2">
        <v>0.17399999999999999</v>
      </c>
      <c r="E12041" s="2">
        <v>5</v>
      </c>
      <c r="F12041" s="2" t="s">
        <v>351</v>
      </c>
    </row>
    <row r="12042" spans="1:6" ht="25.5">
      <c r="A12042" s="2">
        <v>12039</v>
      </c>
      <c r="B12042" s="2" t="s">
        <v>12116</v>
      </c>
      <c r="C12042" s="2" t="str">
        <f>"15297845"</f>
        <v>15297845</v>
      </c>
      <c r="D12042" s="2">
        <v>1.528</v>
      </c>
      <c r="E12042" s="2">
        <v>61</v>
      </c>
      <c r="F12042" s="2" t="s">
        <v>6</v>
      </c>
    </row>
    <row r="12043" spans="1:6" ht="25.5">
      <c r="A12043" s="2">
        <v>12040</v>
      </c>
      <c r="B12043" s="2" t="s">
        <v>12117</v>
      </c>
      <c r="C12043" s="2" t="str">
        <f>"15205215"</f>
        <v>15205215</v>
      </c>
      <c r="D12043" s="2">
        <v>1.296</v>
      </c>
      <c r="E12043" s="2">
        <v>150</v>
      </c>
      <c r="F12043" s="2" t="s">
        <v>6</v>
      </c>
    </row>
    <row r="12044" spans="1:6" ht="25.5">
      <c r="A12044" s="2">
        <v>12041</v>
      </c>
      <c r="B12044" s="2" t="s">
        <v>12118</v>
      </c>
      <c r="C12044" s="2" t="str">
        <f>"15206106"</f>
        <v>15206106</v>
      </c>
      <c r="D12044" s="2">
        <v>1.655</v>
      </c>
      <c r="E12044" s="2">
        <v>250</v>
      </c>
      <c r="F12044" s="2" t="s">
        <v>6</v>
      </c>
    </row>
    <row r="12045" spans="1:6" ht="25.5">
      <c r="A12045" s="2">
        <v>12042</v>
      </c>
      <c r="B12045" s="2" t="s">
        <v>12119</v>
      </c>
      <c r="C12045" s="2" t="str">
        <f>"19327455"</f>
        <v>19327455</v>
      </c>
      <c r="D12045" s="2">
        <v>2.161</v>
      </c>
      <c r="E12045" s="2">
        <v>100</v>
      </c>
      <c r="F12045" s="2" t="s">
        <v>6</v>
      </c>
    </row>
    <row r="12046" spans="1:6" ht="25.5">
      <c r="A12046" s="2">
        <v>12043</v>
      </c>
      <c r="B12046" s="2" t="s">
        <v>12120</v>
      </c>
      <c r="C12046" s="2" t="str">
        <f>"19487185"</f>
        <v>19487185</v>
      </c>
      <c r="D12046" s="2">
        <v>3.3639999999999999</v>
      </c>
      <c r="E12046" s="2">
        <v>43</v>
      </c>
      <c r="F12046" s="2" t="s">
        <v>6</v>
      </c>
    </row>
    <row r="12047" spans="1:6" ht="25.5">
      <c r="A12047" s="2">
        <v>12044</v>
      </c>
      <c r="B12047" s="2" t="s">
        <v>12121</v>
      </c>
      <c r="C12047" s="2" t="str">
        <f>"20662483"</f>
        <v>20662483</v>
      </c>
      <c r="D12047" s="2">
        <v>0.113</v>
      </c>
      <c r="E12047" s="2">
        <v>2</v>
      </c>
      <c r="F12047" s="2" t="s">
        <v>19</v>
      </c>
    </row>
    <row r="12048" spans="1:6" ht="25.5">
      <c r="A12048" s="2">
        <v>12045</v>
      </c>
      <c r="B12048" s="2" t="s">
        <v>12122</v>
      </c>
      <c r="C12048" s="2" t="str">
        <f>"15200485"</f>
        <v>15200485</v>
      </c>
      <c r="D12048" s="2">
        <v>2.6</v>
      </c>
      <c r="E12048" s="2">
        <v>87</v>
      </c>
      <c r="F12048" s="2" t="s">
        <v>6</v>
      </c>
    </row>
    <row r="12049" spans="1:6" ht="25.5">
      <c r="A12049" s="2">
        <v>12046</v>
      </c>
      <c r="B12049" s="2" t="s">
        <v>12123</v>
      </c>
      <c r="C12049" s="2" t="str">
        <f>"10991395"</f>
        <v>10991395</v>
      </c>
      <c r="D12049" s="2">
        <v>0.60299999999999998</v>
      </c>
      <c r="E12049" s="2">
        <v>45</v>
      </c>
      <c r="F12049" s="2" t="s">
        <v>16</v>
      </c>
    </row>
    <row r="12050" spans="1:6" ht="25.5">
      <c r="A12050" s="2">
        <v>12047</v>
      </c>
      <c r="B12050" s="2" t="s">
        <v>12124</v>
      </c>
      <c r="C12050" s="2" t="str">
        <f>"10274642"</f>
        <v>10274642</v>
      </c>
      <c r="D12050" s="2">
        <v>0.107</v>
      </c>
      <c r="E12050" s="2">
        <v>6</v>
      </c>
      <c r="F12050" s="2" t="s">
        <v>438</v>
      </c>
    </row>
    <row r="12051" spans="1:6" ht="25.5">
      <c r="A12051" s="2">
        <v>12048</v>
      </c>
      <c r="B12051" s="2" t="s">
        <v>12125</v>
      </c>
      <c r="C12051" s="2" t="str">
        <f>"09155287"</f>
        <v>09155287</v>
      </c>
      <c r="D12051" s="2">
        <v>0.17199999999999999</v>
      </c>
      <c r="E12051" s="2">
        <v>8</v>
      </c>
      <c r="F12051" s="2" t="s">
        <v>131</v>
      </c>
    </row>
    <row r="12052" spans="1:6" ht="25.5">
      <c r="A12052" s="2">
        <v>12049</v>
      </c>
      <c r="B12052" s="2" t="s">
        <v>12126</v>
      </c>
      <c r="C12052" s="2" t="str">
        <f>"19419449"</f>
        <v>19419449</v>
      </c>
      <c r="D12052" s="2">
        <v>0.215</v>
      </c>
      <c r="E12052" s="2">
        <v>4</v>
      </c>
      <c r="F12052" s="2" t="s">
        <v>6</v>
      </c>
    </row>
    <row r="12053" spans="1:6" ht="25.5">
      <c r="A12053" s="2">
        <v>12050</v>
      </c>
      <c r="B12053" s="2" t="s">
        <v>12127</v>
      </c>
      <c r="C12053" s="2" t="str">
        <f>"17518121"</f>
        <v>17518121</v>
      </c>
      <c r="D12053" s="2">
        <v>0.77400000000000002</v>
      </c>
      <c r="E12053" s="2">
        <v>85</v>
      </c>
      <c r="F12053" s="2" t="s">
        <v>16</v>
      </c>
    </row>
    <row r="12054" spans="1:6" ht="25.5">
      <c r="A12054" s="2">
        <v>12051</v>
      </c>
      <c r="B12054" s="2" t="s">
        <v>12128</v>
      </c>
      <c r="C12054" s="2" t="str">
        <f>"00223697"</f>
        <v>00223697</v>
      </c>
      <c r="D12054" s="2">
        <v>0.66300000000000003</v>
      </c>
      <c r="E12054" s="2">
        <v>67</v>
      </c>
      <c r="F12054" s="2" t="s">
        <v>16</v>
      </c>
    </row>
    <row r="12055" spans="1:6" ht="25.5">
      <c r="A12055" s="2">
        <v>12052</v>
      </c>
      <c r="B12055" s="2" t="s">
        <v>12129</v>
      </c>
      <c r="C12055" s="2" t="str">
        <f>"09534075"</f>
        <v>09534075</v>
      </c>
      <c r="D12055" s="2">
        <v>0.74399999999999999</v>
      </c>
      <c r="E12055" s="2">
        <v>80</v>
      </c>
      <c r="F12055" s="2" t="s">
        <v>16</v>
      </c>
    </row>
    <row r="12056" spans="1:6" ht="25.5">
      <c r="A12056" s="2">
        <v>12053</v>
      </c>
      <c r="B12056" s="2" t="s">
        <v>12130</v>
      </c>
      <c r="C12056" s="2" t="str">
        <f>"1361648X"</f>
        <v>1361648X</v>
      </c>
      <c r="D12056" s="2">
        <v>1.2250000000000001</v>
      </c>
      <c r="E12056" s="2">
        <v>132</v>
      </c>
      <c r="F12056" s="2" t="s">
        <v>16</v>
      </c>
    </row>
    <row r="12057" spans="1:6" ht="25.5">
      <c r="A12057" s="2">
        <v>12054</v>
      </c>
      <c r="B12057" s="2" t="s">
        <v>12131</v>
      </c>
      <c r="C12057" s="2" t="str">
        <f>"17426588"</f>
        <v>17426588</v>
      </c>
      <c r="D12057" s="2">
        <v>0.22900000000000001</v>
      </c>
      <c r="E12057" s="2">
        <v>28</v>
      </c>
      <c r="F12057" s="2" t="s">
        <v>16</v>
      </c>
    </row>
    <row r="12058" spans="1:6" ht="25.5">
      <c r="A12058" s="2">
        <v>12055</v>
      </c>
      <c r="B12058" s="2" t="s">
        <v>12132</v>
      </c>
      <c r="C12058" s="2" t="str">
        <f>"13616463"</f>
        <v>13616463</v>
      </c>
      <c r="D12058" s="2">
        <v>0.94099999999999995</v>
      </c>
      <c r="E12058" s="2">
        <v>112</v>
      </c>
      <c r="F12058" s="2" t="s">
        <v>16</v>
      </c>
    </row>
    <row r="12059" spans="1:6" ht="25.5">
      <c r="A12059" s="2">
        <v>12056</v>
      </c>
      <c r="B12059" s="2" t="s">
        <v>12133</v>
      </c>
      <c r="C12059" s="2" t="str">
        <f>"09543899"</f>
        <v>09543899</v>
      </c>
      <c r="D12059" s="2">
        <v>0.83799999999999997</v>
      </c>
      <c r="E12059" s="2">
        <v>60</v>
      </c>
      <c r="F12059" s="2" t="s">
        <v>16</v>
      </c>
    </row>
    <row r="12060" spans="1:6" ht="25.5">
      <c r="A12060" s="2">
        <v>12057</v>
      </c>
      <c r="B12060" s="2" t="s">
        <v>12134</v>
      </c>
      <c r="C12060" s="2" t="str">
        <f>"18806805"</f>
        <v>18806805</v>
      </c>
      <c r="D12060" s="2">
        <v>0.31</v>
      </c>
      <c r="E12060" s="2">
        <v>23</v>
      </c>
      <c r="F12060" s="2" t="s">
        <v>131</v>
      </c>
    </row>
    <row r="12061" spans="1:6" ht="25.5">
      <c r="A12061" s="2">
        <v>12058</v>
      </c>
      <c r="B12061" s="2" t="s">
        <v>12135</v>
      </c>
      <c r="C12061" s="2" t="str">
        <f>"18806562"</f>
        <v>18806562</v>
      </c>
      <c r="D12061" s="2">
        <v>0.378</v>
      </c>
      <c r="E12061" s="2">
        <v>31</v>
      </c>
      <c r="F12061" s="2" t="s">
        <v>131</v>
      </c>
    </row>
    <row r="12062" spans="1:6" ht="25.5">
      <c r="A12062" s="2">
        <v>12059</v>
      </c>
      <c r="B12062" s="2" t="s">
        <v>12136</v>
      </c>
      <c r="C12062" s="2" t="str">
        <f>"14697793"</f>
        <v>14697793</v>
      </c>
      <c r="D12062" s="2">
        <v>2.1</v>
      </c>
      <c r="E12062" s="2">
        <v>153</v>
      </c>
      <c r="F12062" s="2" t="s">
        <v>16</v>
      </c>
    </row>
    <row r="12063" spans="1:6" ht="25.5">
      <c r="A12063" s="2">
        <v>12060</v>
      </c>
      <c r="B12063" s="2" t="s">
        <v>12137</v>
      </c>
      <c r="C12063" s="2" t="str">
        <f>"11387548"</f>
        <v>11387548</v>
      </c>
      <c r="D12063" s="2">
        <v>0.48699999999999999</v>
      </c>
      <c r="E12063" s="2">
        <v>27</v>
      </c>
      <c r="F12063" s="2" t="s">
        <v>75</v>
      </c>
    </row>
    <row r="12064" spans="1:6" ht="25.5">
      <c r="A12064" s="2">
        <v>12061</v>
      </c>
      <c r="B12064" s="2" t="s">
        <v>12138</v>
      </c>
      <c r="C12064" s="2" t="str">
        <f>"18991505"</f>
        <v>18991505</v>
      </c>
      <c r="D12064" s="2">
        <v>0.98</v>
      </c>
      <c r="E12064" s="2">
        <v>47</v>
      </c>
      <c r="F12064" s="2" t="s">
        <v>169</v>
      </c>
    </row>
    <row r="12065" spans="1:6" ht="25.5">
      <c r="A12065" s="2">
        <v>12062</v>
      </c>
      <c r="B12065" s="2" t="s">
        <v>12139</v>
      </c>
      <c r="C12065" s="2" t="str">
        <f>"09284257"</f>
        <v>09284257</v>
      </c>
      <c r="D12065" s="2">
        <v>0.48799999999999999</v>
      </c>
      <c r="E12065" s="2">
        <v>47</v>
      </c>
      <c r="F12065" s="2" t="s">
        <v>190</v>
      </c>
    </row>
    <row r="12066" spans="1:6" ht="25.5">
      <c r="A12066" s="2">
        <v>12063</v>
      </c>
      <c r="B12066" s="2" t="s">
        <v>12140</v>
      </c>
      <c r="C12066" s="2" t="str">
        <f>"18369553"</f>
        <v>18369553</v>
      </c>
      <c r="D12066" s="2">
        <v>0.9</v>
      </c>
      <c r="E12066" s="2">
        <v>38</v>
      </c>
      <c r="F12066" s="2" t="s">
        <v>127</v>
      </c>
    </row>
    <row r="12067" spans="1:6" ht="25.5">
      <c r="A12067" s="2">
        <v>12064</v>
      </c>
      <c r="B12067" s="2" t="s">
        <v>12141</v>
      </c>
      <c r="C12067" s="2" t="str">
        <f>"14390434"</f>
        <v>14390434</v>
      </c>
      <c r="D12067" s="2">
        <v>0.51300000000000001</v>
      </c>
      <c r="E12067" s="2">
        <v>33</v>
      </c>
      <c r="F12067" s="2" t="s">
        <v>16</v>
      </c>
    </row>
    <row r="12068" spans="1:6" ht="25.5">
      <c r="A12068" s="2">
        <v>12065</v>
      </c>
      <c r="B12068" s="2" t="s">
        <v>12142</v>
      </c>
      <c r="C12068" s="2" t="str">
        <f>"09209034"</f>
        <v>09209034</v>
      </c>
      <c r="D12068" s="2">
        <v>0.182</v>
      </c>
      <c r="E12068" s="2">
        <v>7</v>
      </c>
      <c r="F12068" s="2" t="s">
        <v>75</v>
      </c>
    </row>
    <row r="12069" spans="1:6" ht="25.5">
      <c r="A12069" s="2">
        <v>12066</v>
      </c>
      <c r="B12069" s="2" t="s">
        <v>12143</v>
      </c>
      <c r="C12069" s="2" t="str">
        <f>"1600079X"</f>
        <v>1600079X</v>
      </c>
      <c r="D12069" s="2">
        <v>1.4350000000000001</v>
      </c>
      <c r="E12069" s="2">
        <v>73</v>
      </c>
      <c r="F12069" s="2" t="s">
        <v>16</v>
      </c>
    </row>
    <row r="12070" spans="1:6" ht="25.5">
      <c r="A12070" s="2">
        <v>12067</v>
      </c>
      <c r="B12070" s="2" t="s">
        <v>12144</v>
      </c>
      <c r="C12070" s="2" t="str">
        <f>"17532116"</f>
        <v>17532116</v>
      </c>
      <c r="D12070" s="2">
        <v>0</v>
      </c>
      <c r="E12070" s="2">
        <v>2</v>
      </c>
      <c r="F12070" s="2" t="s">
        <v>6</v>
      </c>
    </row>
    <row r="12071" spans="1:6" ht="25.5">
      <c r="A12071" s="2">
        <v>12068</v>
      </c>
      <c r="B12071" s="2" t="s">
        <v>12145</v>
      </c>
      <c r="C12071" s="2" t="str">
        <f>"19491204"</f>
        <v>19491204</v>
      </c>
      <c r="D12071" s="2">
        <v>0.26900000000000002</v>
      </c>
      <c r="E12071" s="2">
        <v>4</v>
      </c>
      <c r="F12071" s="2" t="s">
        <v>6</v>
      </c>
    </row>
    <row r="12072" spans="1:6" ht="25.5">
      <c r="A12072" s="2">
        <v>12069</v>
      </c>
      <c r="B12072" s="2" t="s">
        <v>12146</v>
      </c>
      <c r="C12072" s="2" t="str">
        <f>"09334173"</f>
        <v>09334173</v>
      </c>
      <c r="D12072" s="2">
        <v>0.41799999999999998</v>
      </c>
      <c r="E12072" s="2">
        <v>22</v>
      </c>
      <c r="F12072" s="2" t="s">
        <v>135</v>
      </c>
    </row>
    <row r="12073" spans="1:6" ht="25.5">
      <c r="A12073" s="2">
        <v>12070</v>
      </c>
      <c r="B12073" s="2" t="s">
        <v>12147</v>
      </c>
      <c r="C12073" s="2" t="str">
        <f>"14643774"</f>
        <v>14643774</v>
      </c>
      <c r="D12073" s="2">
        <v>1.3049999999999999</v>
      </c>
      <c r="E12073" s="2">
        <v>57</v>
      </c>
      <c r="F12073" s="2" t="s">
        <v>16</v>
      </c>
    </row>
    <row r="12074" spans="1:6" ht="25.5">
      <c r="A12074" s="2">
        <v>12071</v>
      </c>
      <c r="B12074" s="2" t="s">
        <v>12148</v>
      </c>
      <c r="C12074" s="2" t="str">
        <f>"03074870"</f>
        <v>03074870</v>
      </c>
      <c r="D12074" s="2">
        <v>0.122</v>
      </c>
      <c r="E12074" s="2">
        <v>4</v>
      </c>
      <c r="F12074" s="2" t="s">
        <v>16</v>
      </c>
    </row>
    <row r="12075" spans="1:6" ht="25.5">
      <c r="A12075" s="2">
        <v>12072</v>
      </c>
      <c r="B12075" s="2" t="s">
        <v>12149</v>
      </c>
      <c r="C12075" s="2" t="str">
        <f>"0739456X"</f>
        <v>0739456X</v>
      </c>
      <c r="D12075" s="2">
        <v>0.95299999999999996</v>
      </c>
      <c r="E12075" s="2">
        <v>33</v>
      </c>
      <c r="F12075" s="2" t="s">
        <v>6</v>
      </c>
    </row>
    <row r="12076" spans="1:6" ht="25.5">
      <c r="A12076" s="2">
        <v>12073</v>
      </c>
      <c r="B12076" s="2" t="s">
        <v>12150</v>
      </c>
      <c r="C12076" s="2" t="str">
        <f>"15526585"</f>
        <v>15526585</v>
      </c>
      <c r="D12076" s="2">
        <v>0.29299999999999998</v>
      </c>
      <c r="E12076" s="2">
        <v>3</v>
      </c>
      <c r="F12076" s="2" t="s">
        <v>6</v>
      </c>
    </row>
    <row r="12077" spans="1:6" ht="25.5">
      <c r="A12077" s="2">
        <v>12074</v>
      </c>
      <c r="B12077" s="2" t="s">
        <v>12151</v>
      </c>
      <c r="C12077" s="2" t="str">
        <f>"08854122"</f>
        <v>08854122</v>
      </c>
      <c r="D12077" s="2">
        <v>0.74299999999999999</v>
      </c>
      <c r="E12077" s="2">
        <v>24</v>
      </c>
      <c r="F12077" s="2" t="s">
        <v>6</v>
      </c>
    </row>
    <row r="12078" spans="1:6" ht="25.5">
      <c r="A12078" s="2">
        <v>12075</v>
      </c>
      <c r="B12078" s="2" t="s">
        <v>12152</v>
      </c>
      <c r="C12078" s="2" t="str">
        <f>"09717811"</f>
        <v>09717811</v>
      </c>
      <c r="D12078" s="2">
        <v>0.20899999999999999</v>
      </c>
      <c r="E12078" s="2">
        <v>15</v>
      </c>
      <c r="F12078" s="2" t="s">
        <v>488</v>
      </c>
    </row>
    <row r="12079" spans="1:6" ht="25.5">
      <c r="A12079" s="2">
        <v>12076</v>
      </c>
      <c r="B12079" s="2" t="s">
        <v>12153</v>
      </c>
      <c r="C12079" s="2" t="str">
        <f>"12269239"</f>
        <v>12269239</v>
      </c>
      <c r="D12079" s="2">
        <v>0.46500000000000002</v>
      </c>
      <c r="E12079" s="2">
        <v>15</v>
      </c>
      <c r="F12079" s="2" t="s">
        <v>6</v>
      </c>
    </row>
    <row r="12080" spans="1:6" ht="25.5">
      <c r="A12080" s="2">
        <v>12077</v>
      </c>
      <c r="B12080" s="2" t="s">
        <v>12154</v>
      </c>
      <c r="C12080" s="2" t="str">
        <f>"18613837"</f>
        <v>18613837</v>
      </c>
      <c r="D12080" s="2">
        <v>0.35</v>
      </c>
      <c r="E12080" s="2">
        <v>10</v>
      </c>
      <c r="F12080" s="2" t="s">
        <v>12</v>
      </c>
    </row>
    <row r="12081" spans="1:6" ht="25.5">
      <c r="A12081" s="2">
        <v>12078</v>
      </c>
      <c r="B12081" s="2" t="s">
        <v>12155</v>
      </c>
      <c r="C12081" s="2" t="str">
        <f>"1752993X"</f>
        <v>1752993X</v>
      </c>
      <c r="D12081" s="2">
        <v>0.748</v>
      </c>
      <c r="E12081" s="2">
        <v>9</v>
      </c>
      <c r="F12081" s="2" t="s">
        <v>16</v>
      </c>
    </row>
    <row r="12082" spans="1:6" ht="25.5">
      <c r="A12082" s="2">
        <v>12079</v>
      </c>
      <c r="B12082" s="2" t="s">
        <v>12156</v>
      </c>
      <c r="C12082" s="2" t="str">
        <f>"14358107"</f>
        <v>14358107</v>
      </c>
      <c r="D12082" s="2">
        <v>0.83</v>
      </c>
      <c r="E12082" s="2">
        <v>44</v>
      </c>
      <c r="F12082" s="2" t="s">
        <v>6</v>
      </c>
    </row>
    <row r="12083" spans="1:6" ht="25.5">
      <c r="A12083" s="2">
        <v>12080</v>
      </c>
      <c r="B12083" s="2" t="s">
        <v>12157</v>
      </c>
      <c r="C12083" s="2" t="str">
        <f>"17429153"</f>
        <v>17429153</v>
      </c>
      <c r="D12083" s="2">
        <v>0.255</v>
      </c>
      <c r="E12083" s="2">
        <v>11</v>
      </c>
      <c r="F12083" s="2" t="s">
        <v>16</v>
      </c>
    </row>
    <row r="12084" spans="1:6" ht="25.5">
      <c r="A12084" s="2">
        <v>12081</v>
      </c>
      <c r="B12084" s="2" t="s">
        <v>12158</v>
      </c>
      <c r="C12084" s="2" t="str">
        <f>"01904167"</f>
        <v>01904167</v>
      </c>
      <c r="D12084" s="2">
        <v>0.38800000000000001</v>
      </c>
      <c r="E12084" s="2">
        <v>42</v>
      </c>
      <c r="F12084" s="2" t="s">
        <v>16</v>
      </c>
    </row>
    <row r="12085" spans="1:6" ht="25.5">
      <c r="A12085" s="2">
        <v>12082</v>
      </c>
      <c r="B12085" s="2" t="s">
        <v>12159</v>
      </c>
      <c r="C12085" s="2" t="str">
        <f>"15222624"</f>
        <v>15222624</v>
      </c>
      <c r="D12085" s="2">
        <v>0.73199999999999998</v>
      </c>
      <c r="E12085" s="2">
        <v>44</v>
      </c>
      <c r="F12085" s="2" t="s">
        <v>12</v>
      </c>
    </row>
    <row r="12086" spans="1:6" ht="25.5">
      <c r="A12086" s="2">
        <v>12083</v>
      </c>
      <c r="B12086" s="2" t="s">
        <v>12160</v>
      </c>
      <c r="C12086" s="2" t="str">
        <f>"11254653"</f>
        <v>11254653</v>
      </c>
      <c r="D12086" s="2">
        <v>0.311</v>
      </c>
      <c r="E12086" s="2">
        <v>24</v>
      </c>
      <c r="F12086" s="2" t="s">
        <v>190</v>
      </c>
    </row>
    <row r="12087" spans="1:6" ht="25.5">
      <c r="A12087" s="2">
        <v>12084</v>
      </c>
      <c r="B12087" s="2" t="s">
        <v>12161</v>
      </c>
      <c r="C12087" s="2" t="str">
        <f>"01761617"</f>
        <v>01761617</v>
      </c>
      <c r="D12087" s="2">
        <v>1.0209999999999999</v>
      </c>
      <c r="E12087" s="2">
        <v>61</v>
      </c>
      <c r="F12087" s="2" t="s">
        <v>12</v>
      </c>
    </row>
    <row r="12088" spans="1:6" ht="25.5">
      <c r="A12088" s="2">
        <v>12085</v>
      </c>
      <c r="B12088" s="2" t="s">
        <v>12162</v>
      </c>
      <c r="C12088" s="2" t="str">
        <f>"14274345"</f>
        <v>14274345</v>
      </c>
      <c r="D12088" s="2">
        <v>0.372</v>
      </c>
      <c r="E12088" s="2">
        <v>6</v>
      </c>
      <c r="F12088" s="2" t="s">
        <v>169</v>
      </c>
    </row>
    <row r="12089" spans="1:6" ht="25.5">
      <c r="A12089" s="2">
        <v>12086</v>
      </c>
      <c r="B12089" s="2" t="s">
        <v>12163</v>
      </c>
      <c r="C12089" s="2" t="str">
        <f>"19403496"</f>
        <v>19403496</v>
      </c>
      <c r="D12089" s="2">
        <v>0.433</v>
      </c>
      <c r="E12089" s="2">
        <v>6</v>
      </c>
      <c r="F12089" s="2" t="s">
        <v>6</v>
      </c>
    </row>
    <row r="12090" spans="1:6" ht="25.5">
      <c r="A12090" s="2">
        <v>12087</v>
      </c>
      <c r="B12090" s="2" t="s">
        <v>12164</v>
      </c>
      <c r="C12090" s="2" t="str">
        <f>"16180860"</f>
        <v>16180860</v>
      </c>
      <c r="D12090" s="2">
        <v>0.85399999999999998</v>
      </c>
      <c r="E12090" s="2">
        <v>39</v>
      </c>
      <c r="F12090" s="2" t="s">
        <v>131</v>
      </c>
    </row>
    <row r="12091" spans="1:6" ht="25.5">
      <c r="A12091" s="2">
        <v>12088</v>
      </c>
      <c r="B12091" s="2" t="s">
        <v>12165</v>
      </c>
      <c r="C12091" s="2" t="str">
        <f>"10040978"</f>
        <v>10040978</v>
      </c>
      <c r="D12091" s="2">
        <v>0.108</v>
      </c>
      <c r="E12091" s="2">
        <v>5</v>
      </c>
      <c r="F12091" s="2" t="s">
        <v>46</v>
      </c>
    </row>
    <row r="12092" spans="1:6" ht="25.5">
      <c r="A12092" s="2">
        <v>12089</v>
      </c>
      <c r="B12092" s="2" t="s">
        <v>12166</v>
      </c>
      <c r="C12092" s="2" t="str">
        <f>"18164951"</f>
        <v>18164951</v>
      </c>
      <c r="D12092" s="2">
        <v>0.16800000000000001</v>
      </c>
      <c r="E12092" s="2">
        <v>8</v>
      </c>
      <c r="F12092" s="2" t="s">
        <v>6</v>
      </c>
    </row>
    <row r="12093" spans="1:6" ht="25.5">
      <c r="A12093" s="2">
        <v>12090</v>
      </c>
      <c r="B12093" s="2" t="s">
        <v>12167</v>
      </c>
      <c r="C12093" s="2" t="str">
        <f>"14697807"</f>
        <v>14697807</v>
      </c>
      <c r="D12093" s="2">
        <v>0.377</v>
      </c>
      <c r="E12093" s="2">
        <v>29</v>
      </c>
      <c r="F12093" s="2" t="s">
        <v>16</v>
      </c>
    </row>
    <row r="12094" spans="1:6">
      <c r="A12094" s="2">
        <v>12091</v>
      </c>
      <c r="B12094" s="2" t="s">
        <v>12168</v>
      </c>
      <c r="C12094" s="2" t="str">
        <f>"0"</f>
        <v>0</v>
      </c>
      <c r="D12094" s="2">
        <v>0.111</v>
      </c>
      <c r="E12094" s="2">
        <v>2</v>
      </c>
      <c r="F12094" s="2" t="s">
        <v>190</v>
      </c>
    </row>
    <row r="12095" spans="1:6" ht="25.5">
      <c r="A12095" s="2">
        <v>12092</v>
      </c>
      <c r="B12095" s="2" t="s">
        <v>12169</v>
      </c>
      <c r="C12095" s="2" t="str">
        <f>"87560879"</f>
        <v>87560879</v>
      </c>
      <c r="D12095" s="2">
        <v>0.47199999999999998</v>
      </c>
      <c r="E12095" s="2">
        <v>15</v>
      </c>
      <c r="F12095" s="2" t="s">
        <v>16</v>
      </c>
    </row>
    <row r="12096" spans="1:6" ht="25.5">
      <c r="A12096" s="2">
        <v>12093</v>
      </c>
      <c r="B12096" s="2" t="s">
        <v>12170</v>
      </c>
      <c r="C12096" s="2" t="str">
        <f>"17486815"</f>
        <v>17486815</v>
      </c>
      <c r="D12096" s="2">
        <v>0.79600000000000004</v>
      </c>
      <c r="E12096" s="2">
        <v>54</v>
      </c>
      <c r="F12096" s="2" t="s">
        <v>16</v>
      </c>
    </row>
    <row r="12097" spans="1:6" ht="25.5">
      <c r="A12097" s="2">
        <v>12094</v>
      </c>
      <c r="B12097" s="2" t="s">
        <v>12171</v>
      </c>
      <c r="C12097" s="2" t="str">
        <f>"20006764"</f>
        <v>20006764</v>
      </c>
      <c r="D12097" s="2">
        <v>0.27200000000000002</v>
      </c>
      <c r="E12097" s="2">
        <v>32</v>
      </c>
      <c r="F12097" s="2" t="s">
        <v>16</v>
      </c>
    </row>
    <row r="12098" spans="1:6" ht="25.5">
      <c r="A12098" s="2">
        <v>12095</v>
      </c>
      <c r="B12098" s="2" t="s">
        <v>12172</v>
      </c>
      <c r="C12098" s="2" t="str">
        <f>"19366469"</f>
        <v>19366469</v>
      </c>
      <c r="D12098" s="2">
        <v>0.189</v>
      </c>
      <c r="E12098" s="2">
        <v>8</v>
      </c>
      <c r="F12098" s="2" t="s">
        <v>12</v>
      </c>
    </row>
    <row r="12099" spans="1:6" ht="25.5">
      <c r="A12099" s="2">
        <v>12096</v>
      </c>
      <c r="B12099" s="2" t="s">
        <v>12173</v>
      </c>
      <c r="C12099" s="2" t="str">
        <f>"15332594"</f>
        <v>15332594</v>
      </c>
      <c r="D12099" s="2">
        <v>0.13300000000000001</v>
      </c>
      <c r="E12099" s="2">
        <v>3</v>
      </c>
      <c r="F12099" s="2" t="s">
        <v>16</v>
      </c>
    </row>
    <row r="12100" spans="1:6" ht="25.5">
      <c r="A12100" s="2">
        <v>12097</v>
      </c>
      <c r="B12100" s="2" t="s">
        <v>12174</v>
      </c>
      <c r="C12100" s="2" t="str">
        <f>"15206688"</f>
        <v>15206688</v>
      </c>
      <c r="D12100" s="2">
        <v>1.2969999999999999</v>
      </c>
      <c r="E12100" s="2">
        <v>43</v>
      </c>
      <c r="F12100" s="2" t="s">
        <v>6</v>
      </c>
    </row>
    <row r="12101" spans="1:6" ht="25.5">
      <c r="A12101" s="2">
        <v>12098</v>
      </c>
      <c r="B12101" s="2" t="s">
        <v>12175</v>
      </c>
      <c r="C12101" s="2" t="str">
        <f>"17411130"</f>
        <v>17411130</v>
      </c>
      <c r="D12101" s="2">
        <v>0.68400000000000005</v>
      </c>
      <c r="E12101" s="2">
        <v>8</v>
      </c>
      <c r="F12101" s="2" t="s">
        <v>16</v>
      </c>
    </row>
    <row r="12102" spans="1:6" ht="25.5">
      <c r="A12102" s="2">
        <v>12099</v>
      </c>
      <c r="B12102" s="2" t="s">
        <v>12176</v>
      </c>
      <c r="C12102" s="2" t="str">
        <f>"01618938"</f>
        <v>01618938</v>
      </c>
      <c r="D12102" s="2">
        <v>0.73299999999999998</v>
      </c>
      <c r="E12102" s="2">
        <v>24</v>
      </c>
      <c r="F12102" s="2" t="s">
        <v>75</v>
      </c>
    </row>
    <row r="12103" spans="1:6" ht="25.5">
      <c r="A12103" s="2">
        <v>12100</v>
      </c>
      <c r="B12103" s="2" t="s">
        <v>12177</v>
      </c>
      <c r="C12103" s="2" t="str">
        <f>"15588750"</f>
        <v>15588750</v>
      </c>
      <c r="D12103" s="2">
        <v>0.20699999999999999</v>
      </c>
      <c r="E12103" s="2">
        <v>4</v>
      </c>
      <c r="F12103" s="2" t="s">
        <v>16</v>
      </c>
    </row>
    <row r="12104" spans="1:6" ht="25.5">
      <c r="A12104" s="2">
        <v>12101</v>
      </c>
      <c r="B12104" s="2" t="s">
        <v>12178</v>
      </c>
      <c r="C12104" s="2" t="str">
        <f>"16125681"</f>
        <v>16125681</v>
      </c>
      <c r="D12104" s="2">
        <v>0.98299999999999998</v>
      </c>
      <c r="E12104" s="2">
        <v>14</v>
      </c>
      <c r="F12104" s="2" t="s">
        <v>12</v>
      </c>
    </row>
    <row r="12105" spans="1:6" ht="25.5">
      <c r="A12105" s="2">
        <v>12102</v>
      </c>
      <c r="B12105" s="2" t="s">
        <v>12179</v>
      </c>
      <c r="C12105" s="2" t="str">
        <f>"00472697"</f>
        <v>00472697</v>
      </c>
      <c r="D12105" s="2">
        <v>0.22</v>
      </c>
      <c r="E12105" s="2">
        <v>8</v>
      </c>
      <c r="F12105" s="2" t="s">
        <v>6</v>
      </c>
    </row>
    <row r="12106" spans="1:6" ht="25.5">
      <c r="A12106" s="2">
        <v>12103</v>
      </c>
      <c r="B12106" s="2" t="s">
        <v>12180</v>
      </c>
      <c r="C12106" s="2" t="str">
        <f>"1537534X"</f>
        <v>1537534X</v>
      </c>
      <c r="D12106" s="2">
        <v>9.9380000000000006</v>
      </c>
      <c r="E12106" s="2">
        <v>101</v>
      </c>
      <c r="F12106" s="2" t="s">
        <v>6</v>
      </c>
    </row>
    <row r="12107" spans="1:6" ht="25.5">
      <c r="A12107" s="2">
        <v>12104</v>
      </c>
      <c r="B12107" s="2" t="s">
        <v>12181</v>
      </c>
      <c r="C12107" s="2" t="str">
        <f>"14699613"</f>
        <v>14699613</v>
      </c>
      <c r="D12107" s="2">
        <v>0.3</v>
      </c>
      <c r="E12107" s="2">
        <v>13</v>
      </c>
      <c r="F12107" s="2" t="s">
        <v>16</v>
      </c>
    </row>
    <row r="12108" spans="1:6" ht="25.5">
      <c r="A12108" s="2">
        <v>12105</v>
      </c>
      <c r="B12108" s="2" t="s">
        <v>12182</v>
      </c>
      <c r="C12108" s="2" t="str">
        <f>"15377865"</f>
        <v>15377865</v>
      </c>
      <c r="D12108" s="2">
        <v>0.40100000000000002</v>
      </c>
      <c r="E12108" s="2">
        <v>6</v>
      </c>
      <c r="F12108" s="2" t="s">
        <v>16</v>
      </c>
    </row>
    <row r="12109" spans="1:6" ht="25.5">
      <c r="A12109" s="2">
        <v>12106</v>
      </c>
      <c r="B12109" s="2" t="s">
        <v>12183</v>
      </c>
      <c r="C12109" s="2" t="str">
        <f>"14679760"</f>
        <v>14679760</v>
      </c>
      <c r="D12109" s="2">
        <v>1.774</v>
      </c>
      <c r="E12109" s="2">
        <v>26</v>
      </c>
      <c r="F12109" s="2" t="s">
        <v>16</v>
      </c>
    </row>
    <row r="12110" spans="1:6" ht="25.5">
      <c r="A12110" s="2">
        <v>12107</v>
      </c>
      <c r="B12110" s="2" t="s">
        <v>12184</v>
      </c>
      <c r="C12110" s="2" t="str">
        <f>"21583803"</f>
        <v>21583803</v>
      </c>
      <c r="D12110" s="2">
        <v>0.77500000000000002</v>
      </c>
      <c r="E12110" s="2">
        <v>6</v>
      </c>
      <c r="F12110" s="2" t="s">
        <v>6</v>
      </c>
    </row>
    <row r="12111" spans="1:6" ht="25.5">
      <c r="A12111" s="2">
        <v>12108</v>
      </c>
      <c r="B12111" s="2" t="s">
        <v>12185</v>
      </c>
      <c r="C12111" s="2" t="str">
        <f>"15512177"</f>
        <v>15512177</v>
      </c>
      <c r="D12111" s="2">
        <v>0.25</v>
      </c>
      <c r="E12111" s="2">
        <v>2</v>
      </c>
      <c r="F12111" s="2" t="s">
        <v>16</v>
      </c>
    </row>
    <row r="12112" spans="1:6" ht="25.5">
      <c r="A12112" s="2">
        <v>12109</v>
      </c>
      <c r="B12112" s="2" t="s">
        <v>12186</v>
      </c>
      <c r="C12112" s="2" t="str">
        <f>"14682508"</f>
        <v>14682508</v>
      </c>
      <c r="D12112" s="2">
        <v>3.0430000000000001</v>
      </c>
      <c r="E12112" s="2">
        <v>51</v>
      </c>
      <c r="F12112" s="2" t="s">
        <v>16</v>
      </c>
    </row>
    <row r="12113" spans="1:6" ht="25.5">
      <c r="A12113" s="2">
        <v>12110</v>
      </c>
      <c r="B12113" s="2" t="s">
        <v>12187</v>
      </c>
      <c r="C12113" s="2" t="str">
        <f>"03346447"</f>
        <v>03346447</v>
      </c>
      <c r="D12113" s="2">
        <v>0.15</v>
      </c>
      <c r="E12113" s="2">
        <v>15</v>
      </c>
      <c r="F12113" s="2" t="s">
        <v>12</v>
      </c>
    </row>
    <row r="12114" spans="1:6" ht="25.5">
      <c r="A12114" s="2">
        <v>12111</v>
      </c>
      <c r="B12114" s="2" t="s">
        <v>12188</v>
      </c>
      <c r="C12114" s="2" t="str">
        <f>"09700838"</f>
        <v>09700838</v>
      </c>
      <c r="D12114" s="2">
        <v>0.16500000000000001</v>
      </c>
      <c r="E12114" s="2">
        <v>17</v>
      </c>
      <c r="F12114" s="2" t="s">
        <v>488</v>
      </c>
    </row>
    <row r="12115" spans="1:6" ht="25.5">
      <c r="A12115" s="2">
        <v>12112</v>
      </c>
      <c r="B12115" s="2" t="s">
        <v>12189</v>
      </c>
      <c r="C12115" s="2" t="str">
        <f>"15728935"</f>
        <v>15728935</v>
      </c>
      <c r="D12115" s="2">
        <v>0.63400000000000001</v>
      </c>
      <c r="E12115" s="2">
        <v>23</v>
      </c>
      <c r="F12115" s="2" t="s">
        <v>75</v>
      </c>
    </row>
    <row r="12116" spans="1:6" ht="25.5">
      <c r="A12116" s="2">
        <v>12113</v>
      </c>
      <c r="B12116" s="2" t="s">
        <v>12190</v>
      </c>
      <c r="C12116" s="2" t="str">
        <f>"15728900"</f>
        <v>15728900</v>
      </c>
      <c r="D12116" s="2">
        <v>0.55600000000000005</v>
      </c>
      <c r="E12116" s="2">
        <v>34</v>
      </c>
      <c r="F12116" s="2" t="s">
        <v>6</v>
      </c>
    </row>
    <row r="12117" spans="1:6" ht="25.5">
      <c r="A12117" s="2">
        <v>12114</v>
      </c>
      <c r="B12117" s="2" t="s">
        <v>12191</v>
      </c>
      <c r="C12117" s="2" t="str">
        <f>"10990518"</f>
        <v>10990518</v>
      </c>
      <c r="D12117" s="2">
        <v>1.2809999999999999</v>
      </c>
      <c r="E12117" s="2">
        <v>98</v>
      </c>
      <c r="F12117" s="2" t="s">
        <v>6</v>
      </c>
    </row>
    <row r="12118" spans="1:6" ht="25.5">
      <c r="A12118" s="2">
        <v>12115</v>
      </c>
      <c r="B12118" s="2" t="s">
        <v>12192</v>
      </c>
      <c r="C12118" s="2" t="str">
        <f>"10990488"</f>
        <v>10990488</v>
      </c>
      <c r="D12118" s="2">
        <v>0.93200000000000005</v>
      </c>
      <c r="E12118" s="2">
        <v>87</v>
      </c>
      <c r="F12118" s="2" t="s">
        <v>6</v>
      </c>
    </row>
    <row r="12119" spans="1:6" ht="25.5">
      <c r="A12119" s="2">
        <v>12116</v>
      </c>
      <c r="B12119" s="2" t="s">
        <v>12193</v>
      </c>
      <c r="C12119" s="2" t="str">
        <f>"15405931"</f>
        <v>15405931</v>
      </c>
      <c r="D12119" s="2">
        <v>0.11899999999999999</v>
      </c>
      <c r="E12119" s="2">
        <v>9</v>
      </c>
      <c r="F12119" s="2" t="s">
        <v>16</v>
      </c>
    </row>
    <row r="12120" spans="1:6" ht="25.5">
      <c r="A12120" s="2">
        <v>12117</v>
      </c>
      <c r="B12120" s="2" t="s">
        <v>12194</v>
      </c>
      <c r="C12120" s="2" t="str">
        <f>"19306458"</f>
        <v>19306458</v>
      </c>
      <c r="D12120" s="2">
        <v>0.158</v>
      </c>
      <c r="E12120" s="2">
        <v>4</v>
      </c>
      <c r="F12120" s="2" t="s">
        <v>16</v>
      </c>
    </row>
    <row r="12121" spans="1:6" ht="25.5">
      <c r="A12121" s="2">
        <v>12118</v>
      </c>
      <c r="B12121" s="2" t="s">
        <v>12195</v>
      </c>
      <c r="C12121" s="2" t="str">
        <f>"15331598"</f>
        <v>15331598</v>
      </c>
      <c r="D12121" s="2">
        <v>0.14199999999999999</v>
      </c>
      <c r="E12121" s="2">
        <v>2</v>
      </c>
      <c r="F12121" s="2" t="s">
        <v>16</v>
      </c>
    </row>
    <row r="12122" spans="1:6" ht="25.5">
      <c r="A12122" s="2">
        <v>12119</v>
      </c>
      <c r="B12122" s="2" t="s">
        <v>12196</v>
      </c>
      <c r="C12122" s="2" t="str">
        <f>"18747884"</f>
        <v>18747884</v>
      </c>
      <c r="D12122" s="2">
        <v>0.20699999999999999</v>
      </c>
      <c r="E12122" s="2">
        <v>2</v>
      </c>
      <c r="F12122" s="2" t="s">
        <v>75</v>
      </c>
    </row>
    <row r="12123" spans="1:6" ht="25.5">
      <c r="A12123" s="2">
        <v>12120</v>
      </c>
      <c r="B12123" s="2" t="s">
        <v>12197</v>
      </c>
      <c r="C12123" s="2" t="str">
        <f>"14321475"</f>
        <v>14321475</v>
      </c>
      <c r="D12123" s="2">
        <v>1.395</v>
      </c>
      <c r="E12123" s="2">
        <v>36</v>
      </c>
      <c r="F12123" s="2" t="s">
        <v>6</v>
      </c>
    </row>
    <row r="12124" spans="1:6" ht="25.5">
      <c r="A12124" s="2">
        <v>12121</v>
      </c>
      <c r="B12124" s="2" t="s">
        <v>12198</v>
      </c>
      <c r="C12124" s="2" t="str">
        <f>"14432447"</f>
        <v>14432447</v>
      </c>
      <c r="D12124" s="2">
        <v>0.44400000000000001</v>
      </c>
      <c r="E12124" s="2">
        <v>9</v>
      </c>
      <c r="F12124" s="2" t="s">
        <v>75</v>
      </c>
    </row>
    <row r="12125" spans="1:6" ht="25.5">
      <c r="A12125" s="2">
        <v>12122</v>
      </c>
      <c r="B12125" s="2" t="s">
        <v>12199</v>
      </c>
      <c r="C12125" s="2" t="str">
        <f>"15734854"</f>
        <v>15734854</v>
      </c>
      <c r="D12125" s="2">
        <v>0.44400000000000001</v>
      </c>
      <c r="E12125" s="2">
        <v>31</v>
      </c>
      <c r="F12125" s="2" t="s">
        <v>75</v>
      </c>
    </row>
    <row r="12126" spans="1:6" ht="25.5">
      <c r="A12126" s="2">
        <v>12123</v>
      </c>
      <c r="B12126" s="2" t="s">
        <v>12200</v>
      </c>
      <c r="C12126" s="2" t="str">
        <f>"1091028X"</f>
        <v>1091028X</v>
      </c>
      <c r="D12126" s="2">
        <v>0.378</v>
      </c>
      <c r="E12126" s="2">
        <v>19</v>
      </c>
      <c r="F12126" s="2" t="s">
        <v>6</v>
      </c>
    </row>
    <row r="12127" spans="1:6" ht="25.5">
      <c r="A12127" s="2">
        <v>12124</v>
      </c>
      <c r="B12127" s="2" t="s">
        <v>12201</v>
      </c>
      <c r="C12127" s="2" t="str">
        <f>"10991409"</f>
        <v>10991409</v>
      </c>
      <c r="D12127" s="2">
        <v>0.55000000000000004</v>
      </c>
      <c r="E12127" s="2">
        <v>47</v>
      </c>
      <c r="F12127" s="2" t="s">
        <v>66</v>
      </c>
    </row>
    <row r="12128" spans="1:6" ht="25.5">
      <c r="A12128" s="2">
        <v>12125</v>
      </c>
      <c r="B12128" s="2" t="s">
        <v>12202</v>
      </c>
      <c r="C12128" s="2" t="str">
        <f>"00954918"</f>
        <v>00954918</v>
      </c>
      <c r="D12128" s="2">
        <v>0.71899999999999997</v>
      </c>
      <c r="E12128" s="2">
        <v>24</v>
      </c>
      <c r="F12128" s="2" t="s">
        <v>6</v>
      </c>
    </row>
    <row r="12129" spans="1:6" ht="25.5">
      <c r="A12129" s="2">
        <v>12126</v>
      </c>
      <c r="B12129" s="2" t="s">
        <v>12203</v>
      </c>
      <c r="C12129" s="2" t="str">
        <f>"15384772"</f>
        <v>15384772</v>
      </c>
      <c r="D12129" s="2">
        <v>1.4990000000000001</v>
      </c>
      <c r="E12129" s="2">
        <v>25</v>
      </c>
      <c r="F12129" s="2" t="s">
        <v>6</v>
      </c>
    </row>
    <row r="12130" spans="1:6" ht="25.5">
      <c r="A12130" s="2">
        <v>12127</v>
      </c>
      <c r="B12130" s="2" t="s">
        <v>12204</v>
      </c>
      <c r="C12130" s="2" t="str">
        <f>"17439779"</f>
        <v>17439779</v>
      </c>
      <c r="D12130" s="2">
        <v>0.85899999999999999</v>
      </c>
      <c r="E12130" s="2">
        <v>14</v>
      </c>
      <c r="F12130" s="2" t="s">
        <v>16</v>
      </c>
    </row>
    <row r="12131" spans="1:6" ht="25.5">
      <c r="A12131" s="2">
        <v>12128</v>
      </c>
      <c r="B12131" s="2" t="s">
        <v>12205</v>
      </c>
      <c r="C12131" s="2" t="str">
        <f>"17449863"</f>
        <v>17449863</v>
      </c>
      <c r="D12131" s="2">
        <v>0.253</v>
      </c>
      <c r="E12131" s="2">
        <v>2</v>
      </c>
      <c r="F12131" s="2" t="s">
        <v>16</v>
      </c>
    </row>
    <row r="12132" spans="1:6" ht="25.5">
      <c r="A12132" s="2">
        <v>12129</v>
      </c>
      <c r="B12132" s="2" t="s">
        <v>12206</v>
      </c>
      <c r="C12132" s="2" t="str">
        <f>"18119387"</f>
        <v>18119387</v>
      </c>
      <c r="D12132" s="2">
        <v>0.17100000000000001</v>
      </c>
      <c r="E12132" s="2">
        <v>4</v>
      </c>
      <c r="F12132" s="2" t="s">
        <v>43</v>
      </c>
    </row>
    <row r="12133" spans="1:6" ht="25.5">
      <c r="A12133" s="2">
        <v>12130</v>
      </c>
      <c r="B12133" s="2" t="s">
        <v>12207</v>
      </c>
      <c r="C12133" s="2" t="str">
        <f>"09722823"</f>
        <v>09722823</v>
      </c>
      <c r="D12133" s="2">
        <v>0.29199999999999998</v>
      </c>
      <c r="E12133" s="2">
        <v>32</v>
      </c>
      <c r="F12133" s="2" t="s">
        <v>488</v>
      </c>
    </row>
    <row r="12134" spans="1:6" ht="25.5">
      <c r="A12134" s="2">
        <v>12131</v>
      </c>
      <c r="B12134" s="2" t="s">
        <v>12208</v>
      </c>
      <c r="C12134" s="2" t="str">
        <f>"01603477"</f>
        <v>01603477</v>
      </c>
      <c r="D12134" s="2">
        <v>0.42899999999999999</v>
      </c>
      <c r="E12134" s="2">
        <v>18</v>
      </c>
      <c r="F12134" s="2" t="s">
        <v>6</v>
      </c>
    </row>
    <row r="12135" spans="1:6" ht="25.5">
      <c r="A12135" s="2">
        <v>12132</v>
      </c>
      <c r="B12135" s="2" t="s">
        <v>12209</v>
      </c>
      <c r="C12135" s="2" t="str">
        <f>"13467395"</f>
        <v>13467395</v>
      </c>
      <c r="D12135" s="2">
        <v>0.32</v>
      </c>
      <c r="E12135" s="2">
        <v>9</v>
      </c>
      <c r="F12135" s="2" t="s">
        <v>131</v>
      </c>
    </row>
    <row r="12136" spans="1:6" ht="25.5">
      <c r="A12136" s="2">
        <v>12133</v>
      </c>
      <c r="B12136" s="2" t="s">
        <v>12210</v>
      </c>
      <c r="C12136" s="2" t="str">
        <f>"15407608"</f>
        <v>15407608</v>
      </c>
      <c r="D12136" s="2">
        <v>0.20699999999999999</v>
      </c>
      <c r="E12136" s="2">
        <v>6</v>
      </c>
      <c r="F12136" s="2" t="s">
        <v>16</v>
      </c>
    </row>
    <row r="12137" spans="1:6" ht="25.5">
      <c r="A12137" s="2">
        <v>12134</v>
      </c>
      <c r="B12137" s="2" t="s">
        <v>12211</v>
      </c>
      <c r="C12137" s="2" t="str">
        <f>"17598281"</f>
        <v>17598281</v>
      </c>
      <c r="D12137" s="2">
        <v>0.155</v>
      </c>
      <c r="E12137" s="2">
        <v>2</v>
      </c>
      <c r="F12137" s="2" t="s">
        <v>16</v>
      </c>
    </row>
    <row r="12138" spans="1:6" ht="25.5">
      <c r="A12138" s="2">
        <v>12135</v>
      </c>
      <c r="B12138" s="2" t="s">
        <v>12212</v>
      </c>
      <c r="C12138" s="2" t="str">
        <f>"15982092"</f>
        <v>15982092</v>
      </c>
      <c r="D12138" s="2">
        <v>0.57999999999999996</v>
      </c>
      <c r="E12138" s="2">
        <v>11</v>
      </c>
      <c r="F12138" s="2" t="s">
        <v>274</v>
      </c>
    </row>
    <row r="12139" spans="1:6" ht="25.5">
      <c r="A12139" s="2">
        <v>12136</v>
      </c>
      <c r="B12139" s="2" t="s">
        <v>12213</v>
      </c>
      <c r="C12139" s="2" t="str">
        <f>"03787753"</f>
        <v>03787753</v>
      </c>
      <c r="D12139" s="2">
        <v>1.9750000000000001</v>
      </c>
      <c r="E12139" s="2">
        <v>154</v>
      </c>
      <c r="F12139" s="2" t="s">
        <v>75</v>
      </c>
    </row>
    <row r="12140" spans="1:6" ht="25.5">
      <c r="A12140" s="2">
        <v>12137</v>
      </c>
      <c r="B12140" s="2" t="s">
        <v>12214</v>
      </c>
      <c r="C12140" s="2" t="str">
        <f>"00223867"</f>
        <v>00223867</v>
      </c>
      <c r="D12140" s="2">
        <v>0.10199999999999999</v>
      </c>
      <c r="E12140" s="2">
        <v>3</v>
      </c>
      <c r="F12140" s="2" t="s">
        <v>6</v>
      </c>
    </row>
    <row r="12141" spans="1:6" ht="25.5">
      <c r="A12141" s="2">
        <v>12138</v>
      </c>
      <c r="B12141" s="2" t="s">
        <v>12215</v>
      </c>
      <c r="C12141" s="2" t="str">
        <f>"10011692"</f>
        <v>10011692</v>
      </c>
      <c r="D12141" s="2">
        <v>0.10100000000000001</v>
      </c>
      <c r="E12141" s="2">
        <v>1</v>
      </c>
      <c r="F12141" s="2" t="s">
        <v>46</v>
      </c>
    </row>
    <row r="12142" spans="1:6" ht="25.5">
      <c r="A12142" s="2">
        <v>12139</v>
      </c>
      <c r="B12142" s="2" t="s">
        <v>12216</v>
      </c>
      <c r="C12142" s="2" t="str">
        <f>"17595150"</f>
        <v>17595150</v>
      </c>
      <c r="D12142" s="2">
        <v>0.109</v>
      </c>
      <c r="E12142" s="2">
        <v>1</v>
      </c>
      <c r="F12142" s="2" t="s">
        <v>16</v>
      </c>
    </row>
    <row r="12143" spans="1:6" ht="25.5">
      <c r="A12143" s="2">
        <v>12140</v>
      </c>
      <c r="B12143" s="2" t="s">
        <v>12217</v>
      </c>
      <c r="C12143" s="2" t="str">
        <f>"03782166"</f>
        <v>03782166</v>
      </c>
      <c r="D12143" s="2">
        <v>0.63800000000000001</v>
      </c>
      <c r="E12143" s="2">
        <v>36</v>
      </c>
      <c r="F12143" s="2" t="s">
        <v>75</v>
      </c>
    </row>
    <row r="12144" spans="1:6" ht="25.5">
      <c r="A12144" s="2">
        <v>12141</v>
      </c>
      <c r="B12144" s="2" t="s">
        <v>12218</v>
      </c>
      <c r="C12144" s="2" t="str">
        <f>"20902727"</f>
        <v>20902727</v>
      </c>
      <c r="D12144" s="2">
        <v>0</v>
      </c>
      <c r="E12144" s="2">
        <v>2</v>
      </c>
      <c r="F12144" s="2" t="s">
        <v>6</v>
      </c>
    </row>
    <row r="12145" spans="1:6" ht="25.5">
      <c r="A12145" s="2">
        <v>12142</v>
      </c>
      <c r="B12145" s="2" t="s">
        <v>12219</v>
      </c>
      <c r="C12145" s="2" t="str">
        <f>"1060149X"</f>
        <v>1060149X</v>
      </c>
      <c r="D12145" s="2">
        <v>0.10100000000000001</v>
      </c>
      <c r="E12145" s="2">
        <v>1</v>
      </c>
      <c r="F12145" s="2" t="s">
        <v>64</v>
      </c>
    </row>
    <row r="12146" spans="1:6" ht="25.5">
      <c r="A12146" s="2">
        <v>12143</v>
      </c>
      <c r="B12146" s="2" t="s">
        <v>12220</v>
      </c>
      <c r="C12146" s="2" t="str">
        <f>"15219216"</f>
        <v>15219216</v>
      </c>
      <c r="D12146" s="2">
        <v>0.10299999999999999</v>
      </c>
      <c r="E12146" s="2">
        <v>0</v>
      </c>
      <c r="F12146" s="2" t="s">
        <v>6</v>
      </c>
    </row>
    <row r="12147" spans="1:6" ht="25.5">
      <c r="A12147" s="2">
        <v>12144</v>
      </c>
      <c r="B12147" s="2" t="s">
        <v>12221</v>
      </c>
      <c r="C12147" s="2" t="str">
        <f>"15288978"</f>
        <v>15288978</v>
      </c>
      <c r="D12147" s="2">
        <v>0.42599999999999999</v>
      </c>
      <c r="E12147" s="2">
        <v>29</v>
      </c>
      <c r="F12147" s="2" t="s">
        <v>6</v>
      </c>
    </row>
    <row r="12148" spans="1:6" ht="25.5">
      <c r="A12148" s="2">
        <v>12145</v>
      </c>
      <c r="B12148" s="2" t="s">
        <v>12222</v>
      </c>
      <c r="C12148" s="2" t="str">
        <f>"10852352"</f>
        <v>10852352</v>
      </c>
      <c r="D12148" s="2">
        <v>0.26100000000000001</v>
      </c>
      <c r="E12148" s="2">
        <v>15</v>
      </c>
      <c r="F12148" s="2" t="s">
        <v>16</v>
      </c>
    </row>
    <row r="12149" spans="1:6" ht="25.5">
      <c r="A12149" s="2">
        <v>12146</v>
      </c>
      <c r="B12149" s="2" t="s">
        <v>12223</v>
      </c>
      <c r="C12149" s="2" t="str">
        <f>"11212233"</f>
        <v>11212233</v>
      </c>
      <c r="D12149" s="2">
        <v>0.193</v>
      </c>
      <c r="E12149" s="2">
        <v>8</v>
      </c>
      <c r="F12149" s="2" t="s">
        <v>190</v>
      </c>
    </row>
    <row r="12150" spans="1:6" ht="25.5">
      <c r="A12150" s="2">
        <v>12147</v>
      </c>
      <c r="B12150" s="2" t="s">
        <v>12224</v>
      </c>
      <c r="C12150" s="2" t="str">
        <f>"02545985"</f>
        <v>02545985</v>
      </c>
      <c r="D12150" s="2">
        <v>0.31</v>
      </c>
      <c r="E12150" s="2">
        <v>11</v>
      </c>
      <c r="F12150" s="2" t="s">
        <v>274</v>
      </c>
    </row>
    <row r="12151" spans="1:6" ht="25.5">
      <c r="A12151" s="2">
        <v>12148</v>
      </c>
      <c r="B12151" s="2" t="s">
        <v>12225</v>
      </c>
      <c r="C12151" s="2" t="str">
        <f>"11726164"</f>
        <v>11726164</v>
      </c>
      <c r="D12151" s="2">
        <v>0.215</v>
      </c>
      <c r="E12151" s="2">
        <v>6</v>
      </c>
      <c r="F12151" s="2" t="s">
        <v>503</v>
      </c>
    </row>
    <row r="12152" spans="1:6" ht="25.5">
      <c r="A12152" s="2">
        <v>12149</v>
      </c>
      <c r="B12152" s="2" t="s">
        <v>12226</v>
      </c>
      <c r="C12152" s="2" t="str">
        <f>"15736547"</f>
        <v>15736547</v>
      </c>
      <c r="D12152" s="2">
        <v>0.70699999999999996</v>
      </c>
      <c r="E12152" s="2">
        <v>26</v>
      </c>
      <c r="F12152" s="2" t="s">
        <v>6</v>
      </c>
    </row>
    <row r="12153" spans="1:6" ht="25.5">
      <c r="A12153" s="2">
        <v>12150</v>
      </c>
      <c r="B12153" s="2" t="s">
        <v>12227</v>
      </c>
      <c r="C12153" s="2" t="str">
        <f>"0890913X"</f>
        <v>0890913X</v>
      </c>
      <c r="D12153" s="2">
        <v>0.14000000000000001</v>
      </c>
      <c r="E12153" s="2">
        <v>3</v>
      </c>
      <c r="F12153" s="2" t="s">
        <v>6</v>
      </c>
    </row>
    <row r="12154" spans="1:6" ht="25.5">
      <c r="A12154" s="2">
        <v>12151</v>
      </c>
      <c r="B12154" s="2" t="s">
        <v>12228</v>
      </c>
      <c r="C12154" s="2" t="str">
        <f>"10965572"</f>
        <v>10965572</v>
      </c>
      <c r="D12154" s="2">
        <v>0.21099999999999999</v>
      </c>
      <c r="E12154" s="2">
        <v>3</v>
      </c>
      <c r="F12154" s="2" t="s">
        <v>6</v>
      </c>
    </row>
    <row r="12155" spans="1:6" ht="25.5">
      <c r="A12155" s="2">
        <v>12152</v>
      </c>
      <c r="B12155" s="2" t="s">
        <v>12229</v>
      </c>
      <c r="C12155" s="2" t="str">
        <f>"1687952X"</f>
        <v>1687952X</v>
      </c>
      <c r="D12155" s="2">
        <v>0.151</v>
      </c>
      <c r="E12155" s="2">
        <v>4</v>
      </c>
      <c r="F12155" s="2" t="s">
        <v>523</v>
      </c>
    </row>
    <row r="12156" spans="1:6" ht="25.5">
      <c r="A12156" s="2">
        <v>12153</v>
      </c>
      <c r="B12156" s="2" t="s">
        <v>12230</v>
      </c>
      <c r="C12156" s="2" t="str">
        <f>"09591524"</f>
        <v>09591524</v>
      </c>
      <c r="D12156" s="2">
        <v>1.79</v>
      </c>
      <c r="E12156" s="2">
        <v>59</v>
      </c>
      <c r="F12156" s="2" t="s">
        <v>16</v>
      </c>
    </row>
    <row r="12157" spans="1:6" ht="25.5">
      <c r="A12157" s="2">
        <v>12154</v>
      </c>
      <c r="B12157" s="2" t="s">
        <v>12231</v>
      </c>
      <c r="C12157" s="2" t="str">
        <f>"10610421"</f>
        <v>10610421</v>
      </c>
      <c r="D12157" s="2">
        <v>0.443</v>
      </c>
      <c r="E12157" s="2">
        <v>18</v>
      </c>
      <c r="F12157" s="2" t="s">
        <v>16</v>
      </c>
    </row>
    <row r="12158" spans="1:6" ht="25.5">
      <c r="A12158" s="2">
        <v>12155</v>
      </c>
      <c r="B12158" s="2" t="s">
        <v>12232</v>
      </c>
      <c r="C12158" s="2" t="str">
        <f>"15405885"</f>
        <v>15405885</v>
      </c>
      <c r="D12158" s="2">
        <v>2.157</v>
      </c>
      <c r="E12158" s="2">
        <v>72</v>
      </c>
      <c r="F12158" s="2" t="s">
        <v>16</v>
      </c>
    </row>
    <row r="12159" spans="1:6" ht="25.5">
      <c r="A12159" s="2">
        <v>12156</v>
      </c>
      <c r="B12159" s="2" t="s">
        <v>12233</v>
      </c>
      <c r="C12159" s="2" t="str">
        <f>"15730441"</f>
        <v>15730441</v>
      </c>
      <c r="D12159" s="2">
        <v>0.91600000000000004</v>
      </c>
      <c r="E12159" s="2">
        <v>43</v>
      </c>
      <c r="F12159" s="2" t="s">
        <v>75</v>
      </c>
    </row>
    <row r="12160" spans="1:6" ht="25.5">
      <c r="A12160" s="2">
        <v>12157</v>
      </c>
      <c r="B12160" s="2" t="s">
        <v>12234</v>
      </c>
      <c r="C12160" s="2" t="str">
        <f>"10523928"</f>
        <v>10523928</v>
      </c>
      <c r="D12160" s="2">
        <v>0.46100000000000002</v>
      </c>
      <c r="E12160" s="2">
        <v>17</v>
      </c>
      <c r="F12160" s="2" t="s">
        <v>6</v>
      </c>
    </row>
    <row r="12161" spans="1:6" ht="25.5">
      <c r="A12161" s="2">
        <v>12158</v>
      </c>
      <c r="B12161" s="2" t="s">
        <v>12235</v>
      </c>
      <c r="C12161" s="2" t="str">
        <f>"87557223"</f>
        <v>87557223</v>
      </c>
      <c r="D12161" s="2">
        <v>0.57199999999999995</v>
      </c>
      <c r="E12161" s="2">
        <v>30</v>
      </c>
      <c r="F12161" s="2" t="s">
        <v>16</v>
      </c>
    </row>
    <row r="12162" spans="1:6" ht="25.5">
      <c r="A12162" s="2">
        <v>12159</v>
      </c>
      <c r="B12162" s="2" t="s">
        <v>12236</v>
      </c>
      <c r="C12162" s="2" t="str">
        <f>"10428232"</f>
        <v>10428232</v>
      </c>
      <c r="D12162" s="2">
        <v>0.21099999999999999</v>
      </c>
      <c r="E12162" s="2">
        <v>6</v>
      </c>
      <c r="F12162" s="2" t="s">
        <v>16</v>
      </c>
    </row>
    <row r="12163" spans="1:6" ht="25.5">
      <c r="A12163" s="2">
        <v>12160</v>
      </c>
      <c r="B12163" s="2" t="s">
        <v>12237</v>
      </c>
      <c r="C12163" s="2" t="str">
        <f>"10496491"</f>
        <v>10496491</v>
      </c>
      <c r="D12163" s="2">
        <v>0.20799999999999999</v>
      </c>
      <c r="E12163" s="2">
        <v>7</v>
      </c>
      <c r="F12163" s="2" t="s">
        <v>16</v>
      </c>
    </row>
    <row r="12164" spans="1:6" ht="25.5">
      <c r="A12164" s="2">
        <v>12161</v>
      </c>
      <c r="B12164" s="2" t="s">
        <v>12238</v>
      </c>
      <c r="C12164" s="2" t="str">
        <f>"1463578X"</f>
        <v>1463578X</v>
      </c>
      <c r="D12164" s="2">
        <v>0.245</v>
      </c>
      <c r="E12164" s="2">
        <v>11</v>
      </c>
      <c r="F12164" s="2" t="s">
        <v>16</v>
      </c>
    </row>
    <row r="12165" spans="1:6" ht="25.5">
      <c r="A12165" s="2">
        <v>12162</v>
      </c>
      <c r="B12165" s="2" t="s">
        <v>12239</v>
      </c>
      <c r="C12165" s="2" t="str">
        <f>"14664453"</f>
        <v>14664453</v>
      </c>
      <c r="D12165" s="2">
        <v>0.28199999999999997</v>
      </c>
      <c r="E12165" s="2">
        <v>14</v>
      </c>
      <c r="F12165" s="2" t="s">
        <v>16</v>
      </c>
    </row>
    <row r="12166" spans="1:6" ht="25.5">
      <c r="A12166" s="2">
        <v>12163</v>
      </c>
      <c r="B12166" s="2" t="s">
        <v>12240</v>
      </c>
      <c r="C12166" s="2" t="str">
        <f>"15333876"</f>
        <v>15333876</v>
      </c>
      <c r="D12166" s="2">
        <v>0.58099999999999996</v>
      </c>
      <c r="E12166" s="2">
        <v>54</v>
      </c>
      <c r="F12166" s="2" t="s">
        <v>6</v>
      </c>
    </row>
    <row r="12167" spans="1:6" ht="25.5">
      <c r="A12167" s="2">
        <v>12164</v>
      </c>
      <c r="B12167" s="2" t="s">
        <v>12241</v>
      </c>
      <c r="C12167" s="2" t="str">
        <f>"10976841"</f>
        <v>10976841</v>
      </c>
      <c r="D12167" s="2">
        <v>0.63700000000000001</v>
      </c>
      <c r="E12167" s="2">
        <v>71</v>
      </c>
      <c r="F12167" s="2" t="s">
        <v>6</v>
      </c>
    </row>
    <row r="12168" spans="1:6" ht="25.5">
      <c r="A12168" s="2">
        <v>12165</v>
      </c>
      <c r="B12168" s="2" t="s">
        <v>12242</v>
      </c>
      <c r="C12168" s="2" t="str">
        <f>"10408800"</f>
        <v>10408800</v>
      </c>
      <c r="D12168" s="2">
        <v>0.35299999999999998</v>
      </c>
      <c r="E12168" s="2">
        <v>18</v>
      </c>
      <c r="F12168" s="2" t="s">
        <v>6</v>
      </c>
    </row>
    <row r="12169" spans="1:6" ht="25.5">
      <c r="A12169" s="2">
        <v>12166</v>
      </c>
      <c r="B12169" s="2" t="s">
        <v>12243</v>
      </c>
      <c r="C12169" s="2" t="str">
        <f>"18831958"</f>
        <v>18831958</v>
      </c>
      <c r="D12169" s="2">
        <v>0.41499999999999998</v>
      </c>
      <c r="E12169" s="2">
        <v>8</v>
      </c>
      <c r="F12169" s="2" t="s">
        <v>75</v>
      </c>
    </row>
    <row r="12170" spans="1:6" ht="25.5">
      <c r="A12170" s="2">
        <v>12167</v>
      </c>
      <c r="B12170" s="2" t="s">
        <v>12244</v>
      </c>
      <c r="C12170" s="2" t="str">
        <f>"1532849X"</f>
        <v>1532849X</v>
      </c>
      <c r="D12170" s="2">
        <v>0.35799999999999998</v>
      </c>
      <c r="E12170" s="2">
        <v>28</v>
      </c>
      <c r="F12170" s="2" t="s">
        <v>16</v>
      </c>
    </row>
    <row r="12171" spans="1:6" ht="25.5">
      <c r="A12171" s="2">
        <v>12168</v>
      </c>
      <c r="B12171" s="2" t="s">
        <v>12245</v>
      </c>
      <c r="C12171" s="2" t="str">
        <f>"87551985"</f>
        <v>87551985</v>
      </c>
      <c r="D12171" s="2">
        <v>0.1</v>
      </c>
      <c r="E12171" s="2">
        <v>9</v>
      </c>
      <c r="F12171" s="2" t="s">
        <v>6</v>
      </c>
    </row>
    <row r="12172" spans="1:6" ht="25.5">
      <c r="A12172" s="2">
        <v>12169</v>
      </c>
      <c r="B12172" s="2" t="s">
        <v>12246</v>
      </c>
      <c r="C12172" s="2" t="str">
        <f>"15353907"</f>
        <v>15353907</v>
      </c>
      <c r="D12172" s="2">
        <v>1.657</v>
      </c>
      <c r="E12172" s="2">
        <v>96</v>
      </c>
      <c r="F12172" s="2" t="s">
        <v>6</v>
      </c>
    </row>
    <row r="12173" spans="1:6" ht="25.5">
      <c r="A12173" s="2">
        <v>12170</v>
      </c>
      <c r="B12173" s="2" t="s">
        <v>12247</v>
      </c>
      <c r="C12173" s="2" t="str">
        <f>"18743919"</f>
        <v>18743919</v>
      </c>
      <c r="D12173" s="2">
        <v>1.016</v>
      </c>
      <c r="E12173" s="2">
        <v>54</v>
      </c>
      <c r="F12173" s="2" t="s">
        <v>75</v>
      </c>
    </row>
    <row r="12174" spans="1:6" ht="25.5">
      <c r="A12174" s="2">
        <v>12171</v>
      </c>
      <c r="B12174" s="2" t="s">
        <v>12248</v>
      </c>
      <c r="C12174" s="2" t="str">
        <f>"0974276X"</f>
        <v>0974276X</v>
      </c>
      <c r="D12174" s="2">
        <v>0.23</v>
      </c>
      <c r="E12174" s="2">
        <v>7</v>
      </c>
      <c r="F12174" s="2" t="s">
        <v>6</v>
      </c>
    </row>
    <row r="12175" spans="1:6" ht="25.5">
      <c r="A12175" s="2">
        <v>12172</v>
      </c>
      <c r="B12175" s="2" t="s">
        <v>12249</v>
      </c>
      <c r="C12175" s="2" t="str">
        <f>"16629981"</f>
        <v>16629981</v>
      </c>
      <c r="D12175" s="2">
        <v>0.38600000000000001</v>
      </c>
      <c r="E12175" s="2">
        <v>4</v>
      </c>
      <c r="F12175" s="2" t="s">
        <v>31</v>
      </c>
    </row>
    <row r="12176" spans="1:6" ht="25.5">
      <c r="A12176" s="2">
        <v>12173</v>
      </c>
      <c r="B12176" s="2" t="s">
        <v>12250</v>
      </c>
      <c r="C12176" s="2" t="str">
        <f>"13652850"</f>
        <v>13652850</v>
      </c>
      <c r="D12176" s="2">
        <v>0.47299999999999998</v>
      </c>
      <c r="E12176" s="2">
        <v>35</v>
      </c>
      <c r="F12176" s="2" t="s">
        <v>16</v>
      </c>
    </row>
    <row r="12177" spans="1:6" ht="25.5">
      <c r="A12177" s="2">
        <v>12174</v>
      </c>
      <c r="B12177" s="2" t="s">
        <v>12251</v>
      </c>
      <c r="C12177" s="2" t="str">
        <f>"15274160"</f>
        <v>15274160</v>
      </c>
      <c r="D12177" s="2">
        <v>0.51100000000000001</v>
      </c>
      <c r="E12177" s="2">
        <v>31</v>
      </c>
      <c r="F12177" s="2" t="s">
        <v>6</v>
      </c>
    </row>
    <row r="12178" spans="1:6" ht="25.5">
      <c r="A12178" s="2">
        <v>12175</v>
      </c>
      <c r="B12178" s="2" t="s">
        <v>12252</v>
      </c>
      <c r="C12178" s="2" t="str">
        <f>"00223956"</f>
        <v>00223956</v>
      </c>
      <c r="D12178" s="2">
        <v>1.885</v>
      </c>
      <c r="E12178" s="2">
        <v>77</v>
      </c>
      <c r="F12178" s="2" t="s">
        <v>16</v>
      </c>
    </row>
    <row r="12179" spans="1:6" ht="25.5">
      <c r="A12179" s="2">
        <v>12176</v>
      </c>
      <c r="B12179" s="2" t="s">
        <v>12253</v>
      </c>
      <c r="C12179" s="2" t="str">
        <f>"00931853"</f>
        <v>00931853</v>
      </c>
      <c r="D12179" s="2">
        <v>0.14799999999999999</v>
      </c>
      <c r="E12179" s="2">
        <v>9</v>
      </c>
      <c r="F12179" s="2" t="s">
        <v>6</v>
      </c>
    </row>
    <row r="12180" spans="1:6" ht="25.5">
      <c r="A12180" s="2">
        <v>12177</v>
      </c>
      <c r="B12180" s="2" t="s">
        <v>12254</v>
      </c>
      <c r="C12180" s="2" t="str">
        <f>"14882434"</f>
        <v>14882434</v>
      </c>
      <c r="D12180" s="2">
        <v>2.6030000000000002</v>
      </c>
      <c r="E12180" s="2">
        <v>60</v>
      </c>
      <c r="F12180" s="2" t="s">
        <v>64</v>
      </c>
    </row>
    <row r="12181" spans="1:6" ht="25.5">
      <c r="A12181" s="2">
        <v>12178</v>
      </c>
      <c r="B12181" s="2" t="s">
        <v>12255</v>
      </c>
      <c r="C12181" s="2" t="str">
        <f>"02791072"</f>
        <v>02791072</v>
      </c>
      <c r="D12181" s="2">
        <v>0.41699999999999998</v>
      </c>
      <c r="E12181" s="2">
        <v>36</v>
      </c>
      <c r="F12181" s="2" t="s">
        <v>6</v>
      </c>
    </row>
    <row r="12182" spans="1:6" ht="25.5">
      <c r="A12182" s="2">
        <v>12179</v>
      </c>
      <c r="B12182" s="2" t="s">
        <v>12256</v>
      </c>
      <c r="C12182" s="2" t="str">
        <f>"07342829"</f>
        <v>07342829</v>
      </c>
      <c r="D12182" s="2">
        <v>0.434</v>
      </c>
      <c r="E12182" s="2">
        <v>20</v>
      </c>
      <c r="F12182" s="2" t="s">
        <v>6</v>
      </c>
    </row>
    <row r="12183" spans="1:6" ht="25.5">
      <c r="A12183" s="2">
        <v>12180</v>
      </c>
      <c r="B12183" s="2" t="s">
        <v>12257</v>
      </c>
      <c r="C12183" s="2" t="str">
        <f>"01453378"</f>
        <v>01453378</v>
      </c>
      <c r="D12183" s="2">
        <v>0.109</v>
      </c>
      <c r="E12183" s="2">
        <v>10</v>
      </c>
      <c r="F12183" s="2" t="s">
        <v>6</v>
      </c>
    </row>
    <row r="12184" spans="1:6" ht="25.5">
      <c r="A12184" s="2">
        <v>12181</v>
      </c>
      <c r="B12184" s="2" t="s">
        <v>12258</v>
      </c>
      <c r="C12184" s="2" t="str">
        <f>"15736555"</f>
        <v>15736555</v>
      </c>
      <c r="D12184" s="2">
        <v>0.41699999999999998</v>
      </c>
      <c r="E12184" s="2">
        <v>33</v>
      </c>
      <c r="F12184" s="2" t="s">
        <v>6</v>
      </c>
    </row>
    <row r="12185" spans="1:6" ht="25.5">
      <c r="A12185" s="2">
        <v>12182</v>
      </c>
      <c r="B12185" s="2" t="s">
        <v>12259</v>
      </c>
      <c r="C12185" s="2" t="str">
        <f>"00916471"</f>
        <v>00916471</v>
      </c>
      <c r="D12185" s="2">
        <v>0.379</v>
      </c>
      <c r="E12185" s="2">
        <v>18</v>
      </c>
      <c r="F12185" s="2" t="s">
        <v>6</v>
      </c>
    </row>
    <row r="12186" spans="1:6" ht="25.5">
      <c r="A12186" s="2">
        <v>12183</v>
      </c>
      <c r="B12186" s="2" t="s">
        <v>12260</v>
      </c>
      <c r="C12186" s="2" t="str">
        <f>"14330237"</f>
        <v>14330237</v>
      </c>
      <c r="D12186" s="2">
        <v>0.11799999999999999</v>
      </c>
      <c r="E12186" s="2">
        <v>6</v>
      </c>
      <c r="F12186" s="2" t="s">
        <v>6</v>
      </c>
    </row>
    <row r="12187" spans="1:6" ht="25.5">
      <c r="A12187" s="2">
        <v>12184</v>
      </c>
      <c r="B12187" s="2" t="s">
        <v>12261</v>
      </c>
      <c r="C12187" s="2" t="str">
        <f>"00223980"</f>
        <v>00223980</v>
      </c>
      <c r="D12187" s="2">
        <v>0.28100000000000003</v>
      </c>
      <c r="E12187" s="2">
        <v>28</v>
      </c>
      <c r="F12187" s="2" t="s">
        <v>16</v>
      </c>
    </row>
    <row r="12188" spans="1:6" ht="25.5">
      <c r="A12188" s="2">
        <v>12185</v>
      </c>
      <c r="B12188" s="2" t="s">
        <v>12262</v>
      </c>
      <c r="C12188" s="2" t="str">
        <f>"15733505"</f>
        <v>15733505</v>
      </c>
      <c r="D12188" s="2">
        <v>0.89800000000000002</v>
      </c>
      <c r="E12188" s="2">
        <v>34</v>
      </c>
      <c r="F12188" s="2" t="s">
        <v>6</v>
      </c>
    </row>
    <row r="12189" spans="1:6" ht="25.5">
      <c r="A12189" s="2">
        <v>12186</v>
      </c>
      <c r="B12189" s="2" t="s">
        <v>12263</v>
      </c>
      <c r="C12189" s="2" t="str">
        <f>"02698811"</f>
        <v>02698811</v>
      </c>
      <c r="D12189" s="2">
        <v>1.155</v>
      </c>
      <c r="E12189" s="2">
        <v>70</v>
      </c>
      <c r="F12189" s="2" t="s">
        <v>16</v>
      </c>
    </row>
    <row r="12190" spans="1:6" ht="25.5">
      <c r="A12190" s="2">
        <v>12187</v>
      </c>
      <c r="B12190" s="2" t="s">
        <v>12264</v>
      </c>
      <c r="C12190" s="2" t="str">
        <f>"02698803"</f>
        <v>02698803</v>
      </c>
      <c r="D12190" s="2">
        <v>0.51300000000000001</v>
      </c>
      <c r="E12190" s="2">
        <v>30</v>
      </c>
      <c r="F12190" s="2" t="s">
        <v>6</v>
      </c>
    </row>
    <row r="12191" spans="1:6" ht="25.5">
      <c r="A12191" s="2">
        <v>12188</v>
      </c>
      <c r="B12191" s="2" t="s">
        <v>12265</v>
      </c>
      <c r="C12191" s="2" t="str">
        <f>"02793695"</f>
        <v>02793695</v>
      </c>
      <c r="D12191" s="2">
        <v>0.27400000000000002</v>
      </c>
      <c r="E12191" s="2">
        <v>21</v>
      </c>
      <c r="F12191" s="2" t="s">
        <v>6</v>
      </c>
    </row>
    <row r="12192" spans="1:6" ht="25.5">
      <c r="A12192" s="2">
        <v>12189</v>
      </c>
      <c r="B12192" s="2" t="s">
        <v>12266</v>
      </c>
      <c r="C12192" s="2" t="str">
        <f>"15407586"</f>
        <v>15407586</v>
      </c>
      <c r="D12192" s="2">
        <v>0.51700000000000002</v>
      </c>
      <c r="E12192" s="2">
        <v>29</v>
      </c>
      <c r="F12192" s="2" t="s">
        <v>16</v>
      </c>
    </row>
    <row r="12193" spans="1:6" ht="25.5">
      <c r="A12193" s="2">
        <v>12190</v>
      </c>
      <c r="B12193" s="2" t="s">
        <v>12267</v>
      </c>
      <c r="C12193" s="2" t="str">
        <f>"0167482X"</f>
        <v>0167482X</v>
      </c>
      <c r="D12193" s="2">
        <v>0.61899999999999999</v>
      </c>
      <c r="E12193" s="2">
        <v>37</v>
      </c>
      <c r="F12193" s="2" t="s">
        <v>16</v>
      </c>
    </row>
    <row r="12194" spans="1:6" ht="25.5">
      <c r="A12194" s="2">
        <v>12191</v>
      </c>
      <c r="B12194" s="2" t="s">
        <v>12268</v>
      </c>
      <c r="C12194" s="2" t="str">
        <f>"00223999"</f>
        <v>00223999</v>
      </c>
      <c r="D12194" s="2">
        <v>1.169</v>
      </c>
      <c r="E12194" s="2">
        <v>93</v>
      </c>
      <c r="F12194" s="2" t="s">
        <v>6</v>
      </c>
    </row>
    <row r="12195" spans="1:6" ht="25.5">
      <c r="A12195" s="2">
        <v>12192</v>
      </c>
      <c r="B12195" s="2" t="s">
        <v>12269</v>
      </c>
      <c r="C12195" s="2" t="str">
        <f>"10530479"</f>
        <v>10530479</v>
      </c>
      <c r="D12195" s="2">
        <v>0.45</v>
      </c>
      <c r="E12195" s="2">
        <v>17</v>
      </c>
      <c r="F12195" s="2" t="s">
        <v>6</v>
      </c>
    </row>
    <row r="12196" spans="1:6" ht="25.5">
      <c r="A12196" s="2">
        <v>12193</v>
      </c>
      <c r="B12196" s="2" t="s">
        <v>12270</v>
      </c>
      <c r="C12196" s="2" t="str">
        <f>"14779803"</f>
        <v>14779803</v>
      </c>
      <c r="D12196" s="2">
        <v>2.9140000000000001</v>
      </c>
      <c r="E12196" s="2">
        <v>49</v>
      </c>
      <c r="F12196" s="2" t="s">
        <v>16</v>
      </c>
    </row>
    <row r="12197" spans="1:6" ht="25.5">
      <c r="A12197" s="2">
        <v>12194</v>
      </c>
      <c r="B12197" s="2" t="s">
        <v>12271</v>
      </c>
      <c r="C12197" s="2" t="str">
        <f>"14723891"</f>
        <v>14723891</v>
      </c>
      <c r="D12197" s="2">
        <v>0.29399999999999998</v>
      </c>
      <c r="E12197" s="2">
        <v>5</v>
      </c>
      <c r="F12197" s="2" t="s">
        <v>16</v>
      </c>
    </row>
    <row r="12198" spans="1:6" ht="25.5">
      <c r="A12198" s="2">
        <v>12195</v>
      </c>
      <c r="B12198" s="2" t="s">
        <v>12272</v>
      </c>
      <c r="C12198" s="2" t="str">
        <f>"1070521X"</f>
        <v>1070521X</v>
      </c>
      <c r="D12198" s="2">
        <v>0.13900000000000001</v>
      </c>
      <c r="E12198" s="2">
        <v>2</v>
      </c>
      <c r="F12198" s="2" t="s">
        <v>6</v>
      </c>
    </row>
    <row r="12199" spans="1:6" ht="25.5">
      <c r="A12199" s="2">
        <v>12196</v>
      </c>
      <c r="B12199" s="2" t="s">
        <v>12273</v>
      </c>
      <c r="C12199" s="2" t="str">
        <f>"10963367"</f>
        <v>10963367</v>
      </c>
      <c r="D12199" s="2">
        <v>0.14399999999999999</v>
      </c>
      <c r="E12199" s="2">
        <v>1</v>
      </c>
      <c r="F12199" s="2" t="s">
        <v>6</v>
      </c>
    </row>
    <row r="12200" spans="1:6" ht="25.5">
      <c r="A12200" s="2">
        <v>12197</v>
      </c>
      <c r="B12200" s="2" t="s">
        <v>12274</v>
      </c>
      <c r="C12200" s="2" t="str">
        <f>"15548732"</f>
        <v>15548732</v>
      </c>
      <c r="D12200" s="2">
        <v>0.48</v>
      </c>
      <c r="E12200" s="2">
        <v>6</v>
      </c>
      <c r="F12200" s="2" t="s">
        <v>16</v>
      </c>
    </row>
    <row r="12201" spans="1:6">
      <c r="A12201" s="2">
        <v>12198</v>
      </c>
      <c r="B12201" s="2" t="s">
        <v>12275</v>
      </c>
      <c r="C12201" s="2" t="str">
        <f>"0"</f>
        <v>0</v>
      </c>
      <c r="D12201" s="2">
        <v>0.22700000000000001</v>
      </c>
      <c r="E12201" s="2">
        <v>9</v>
      </c>
      <c r="F12201" s="2" t="s">
        <v>6</v>
      </c>
    </row>
    <row r="12202" spans="1:6" ht="25.5">
      <c r="A12202" s="2">
        <v>12199</v>
      </c>
      <c r="B12202" s="2" t="s">
        <v>12276</v>
      </c>
      <c r="C12202" s="2" t="str">
        <f>"00472727"</f>
        <v>00472727</v>
      </c>
      <c r="D12202" s="2">
        <v>2.5419999999999998</v>
      </c>
      <c r="E12202" s="2">
        <v>67</v>
      </c>
      <c r="F12202" s="2" t="s">
        <v>75</v>
      </c>
    </row>
    <row r="12203" spans="1:6" ht="25.5">
      <c r="A12203" s="2">
        <v>12200</v>
      </c>
      <c r="B12203" s="2" t="s">
        <v>12277</v>
      </c>
      <c r="C12203" s="2" t="str">
        <f>"14679779"</f>
        <v>14679779</v>
      </c>
      <c r="D12203" s="2">
        <v>0.628</v>
      </c>
      <c r="E12203" s="2">
        <v>8</v>
      </c>
      <c r="F12203" s="2" t="s">
        <v>16</v>
      </c>
    </row>
    <row r="12204" spans="1:6" ht="25.5">
      <c r="A12204" s="2">
        <v>12201</v>
      </c>
      <c r="B12204" s="2" t="s">
        <v>12278</v>
      </c>
      <c r="C12204" s="2" t="str">
        <f>"17413850"</f>
        <v>17413850</v>
      </c>
      <c r="D12204" s="2">
        <v>0.82499999999999996</v>
      </c>
      <c r="E12204" s="2">
        <v>48</v>
      </c>
      <c r="F12204" s="2" t="s">
        <v>16</v>
      </c>
    </row>
    <row r="12205" spans="1:6" ht="25.5">
      <c r="A12205" s="2">
        <v>12202</v>
      </c>
      <c r="B12205" s="2" t="s">
        <v>12279</v>
      </c>
      <c r="C12205" s="2" t="str">
        <f>"00224006"</f>
        <v>00224006</v>
      </c>
      <c r="D12205" s="2">
        <v>0.54600000000000004</v>
      </c>
      <c r="E12205" s="2">
        <v>38</v>
      </c>
      <c r="F12205" s="2" t="s">
        <v>16</v>
      </c>
    </row>
    <row r="12206" spans="1:6" ht="25.5">
      <c r="A12206" s="2">
        <v>12203</v>
      </c>
      <c r="B12206" s="2" t="s">
        <v>12280</v>
      </c>
      <c r="C12206" s="2" t="str">
        <f>"15505022"</f>
        <v>15505022</v>
      </c>
      <c r="D12206" s="2">
        <v>0.77</v>
      </c>
      <c r="E12206" s="2">
        <v>29</v>
      </c>
      <c r="F12206" s="2" t="s">
        <v>6</v>
      </c>
    </row>
    <row r="12207" spans="1:6" ht="25.5">
      <c r="A12207" s="2">
        <v>12204</v>
      </c>
      <c r="B12207" s="2" t="s">
        <v>12281</v>
      </c>
      <c r="C12207" s="2" t="str">
        <f>"01975897"</f>
        <v>01975897</v>
      </c>
      <c r="D12207" s="2">
        <v>0.93300000000000005</v>
      </c>
      <c r="E12207" s="2">
        <v>26</v>
      </c>
      <c r="F12207" s="2" t="s">
        <v>16</v>
      </c>
    </row>
    <row r="12208" spans="1:6" ht="25.5">
      <c r="A12208" s="2">
        <v>12205</v>
      </c>
      <c r="B12208" s="2" t="s">
        <v>12282</v>
      </c>
      <c r="C12208" s="2" t="str">
        <f>"20428731"</f>
        <v>20428731</v>
      </c>
      <c r="D12208" s="2">
        <v>0.46899999999999997</v>
      </c>
      <c r="E12208" s="2">
        <v>2</v>
      </c>
      <c r="F12208" s="2" t="s">
        <v>16</v>
      </c>
    </row>
    <row r="12209" spans="1:6" ht="25.5">
      <c r="A12209" s="2">
        <v>12206</v>
      </c>
      <c r="B12209" s="2" t="s">
        <v>12283</v>
      </c>
      <c r="C12209" s="2" t="str">
        <f>"14697815"</f>
        <v>14697815</v>
      </c>
      <c r="D12209" s="2">
        <v>0.71199999999999997</v>
      </c>
      <c r="E12209" s="2">
        <v>23</v>
      </c>
      <c r="F12209" s="2" t="s">
        <v>16</v>
      </c>
    </row>
    <row r="12210" spans="1:6" ht="25.5">
      <c r="A12210" s="2">
        <v>12207</v>
      </c>
      <c r="B12210" s="2" t="s">
        <v>12284</v>
      </c>
      <c r="C12210" s="2" t="str">
        <f>"07486766"</f>
        <v>07486766</v>
      </c>
      <c r="D12210" s="2">
        <v>0.84099999999999997</v>
      </c>
      <c r="E12210" s="2">
        <v>36</v>
      </c>
      <c r="F12210" s="2" t="s">
        <v>6</v>
      </c>
    </row>
    <row r="12211" spans="1:6" ht="25.5">
      <c r="A12211" s="2">
        <v>12208</v>
      </c>
      <c r="B12211" s="2" t="s">
        <v>12285</v>
      </c>
      <c r="C12211" s="2" t="str">
        <f>"15350118"</f>
        <v>15350118</v>
      </c>
      <c r="D12211" s="2">
        <v>0</v>
      </c>
      <c r="E12211" s="2">
        <v>1</v>
      </c>
      <c r="F12211" s="2" t="s">
        <v>6</v>
      </c>
    </row>
    <row r="12212" spans="1:6" ht="25.5">
      <c r="A12212" s="2">
        <v>12209</v>
      </c>
      <c r="B12212" s="2" t="s">
        <v>12286</v>
      </c>
      <c r="C12212" s="2" t="str">
        <f>"1062726X"</f>
        <v>1062726X</v>
      </c>
      <c r="D12212" s="2">
        <v>1.32</v>
      </c>
      <c r="E12212" s="2">
        <v>7</v>
      </c>
      <c r="F12212" s="2" t="s">
        <v>16</v>
      </c>
    </row>
    <row r="12213" spans="1:6" ht="25.5">
      <c r="A12213" s="2">
        <v>12210</v>
      </c>
      <c r="B12213" s="2" t="s">
        <v>12287</v>
      </c>
      <c r="C12213" s="2" t="str">
        <f>"1077291X"</f>
        <v>1077291X</v>
      </c>
      <c r="D12213" s="2">
        <v>0.191</v>
      </c>
      <c r="E12213" s="2">
        <v>2</v>
      </c>
      <c r="F12213" s="2" t="s">
        <v>6</v>
      </c>
    </row>
    <row r="12214" spans="1:6" ht="25.5">
      <c r="A12214" s="2">
        <v>12211</v>
      </c>
      <c r="B12214" s="2" t="s">
        <v>12288</v>
      </c>
      <c r="C12214" s="2" t="str">
        <f>"0974083X"</f>
        <v>0974083X</v>
      </c>
      <c r="D12214" s="2">
        <v>0.16300000000000001</v>
      </c>
      <c r="E12214" s="2">
        <v>1</v>
      </c>
      <c r="F12214" s="2" t="s">
        <v>488</v>
      </c>
    </row>
    <row r="12215" spans="1:6" ht="25.5">
      <c r="A12215" s="2">
        <v>12212</v>
      </c>
      <c r="B12215" s="2" t="s">
        <v>12289</v>
      </c>
      <c r="C12215" s="2" t="str">
        <f>"14784092"</f>
        <v>14784092</v>
      </c>
      <c r="D12215" s="2">
        <v>1.038</v>
      </c>
      <c r="E12215" s="2">
        <v>44</v>
      </c>
      <c r="F12215" s="2" t="s">
        <v>16</v>
      </c>
    </row>
    <row r="12216" spans="1:6" ht="25.5">
      <c r="A12216" s="2">
        <v>12213</v>
      </c>
      <c r="B12216" s="2" t="s">
        <v>12290</v>
      </c>
      <c r="C12216" s="2" t="str">
        <f>"00224049"</f>
        <v>00224049</v>
      </c>
      <c r="D12216" s="2">
        <v>0.85099999999999998</v>
      </c>
      <c r="E12216" s="2">
        <v>36</v>
      </c>
      <c r="F12216" s="2" t="s">
        <v>75</v>
      </c>
    </row>
    <row r="12217" spans="1:6" ht="25.5">
      <c r="A12217" s="2">
        <v>12214</v>
      </c>
      <c r="B12217" s="2" t="s">
        <v>12291</v>
      </c>
      <c r="C12217" s="2" t="str">
        <f>"09737510"</f>
        <v>09737510</v>
      </c>
      <c r="D12217" s="2">
        <v>0.123</v>
      </c>
      <c r="E12217" s="2">
        <v>4</v>
      </c>
      <c r="F12217" s="2" t="s">
        <v>488</v>
      </c>
    </row>
    <row r="12218" spans="1:6" ht="25.5">
      <c r="A12218" s="2">
        <v>12215</v>
      </c>
      <c r="B12218" s="2" t="s">
        <v>12292</v>
      </c>
      <c r="C12218" s="2" t="str">
        <f>"10220690"</f>
        <v>10220690</v>
      </c>
      <c r="D12218" s="2">
        <v>0.188</v>
      </c>
      <c r="E12218" s="2">
        <v>3</v>
      </c>
      <c r="F12218" s="2" t="s">
        <v>165</v>
      </c>
    </row>
    <row r="12219" spans="1:6" ht="25.5">
      <c r="A12219" s="2">
        <v>12216</v>
      </c>
      <c r="B12219" s="2" t="s">
        <v>12293</v>
      </c>
      <c r="C12219" s="2" t="str">
        <f>"1528008X"</f>
        <v>1528008X</v>
      </c>
      <c r="D12219" s="2">
        <v>0.19500000000000001</v>
      </c>
      <c r="E12219" s="2">
        <v>5</v>
      </c>
      <c r="F12219" s="2" t="s">
        <v>16</v>
      </c>
    </row>
    <row r="12220" spans="1:6" ht="25.5">
      <c r="A12220" s="2">
        <v>12217</v>
      </c>
      <c r="B12220" s="2" t="s">
        <v>12294</v>
      </c>
      <c r="C12220" s="2" t="str">
        <f>"13552511"</f>
        <v>13552511</v>
      </c>
      <c r="D12220" s="2">
        <v>0.443</v>
      </c>
      <c r="E12220" s="2">
        <v>27</v>
      </c>
      <c r="F12220" s="2" t="s">
        <v>16</v>
      </c>
    </row>
    <row r="12221" spans="1:6" ht="25.5">
      <c r="A12221" s="2">
        <v>12218</v>
      </c>
      <c r="B12221" s="2" t="s">
        <v>12295</v>
      </c>
      <c r="C12221" s="2" t="str">
        <f>"00224065"</f>
        <v>00224065</v>
      </c>
      <c r="D12221" s="2">
        <v>1.57</v>
      </c>
      <c r="E12221" s="2">
        <v>52</v>
      </c>
      <c r="F12221" s="2" t="s">
        <v>6</v>
      </c>
    </row>
    <row r="12222" spans="1:6" ht="25.5">
      <c r="A12222" s="2">
        <v>12219</v>
      </c>
      <c r="B12222" s="2" t="s">
        <v>12296</v>
      </c>
      <c r="C12222" s="2" t="str">
        <f>"15590410"</f>
        <v>15590410</v>
      </c>
      <c r="D12222" s="2">
        <v>0.22800000000000001</v>
      </c>
      <c r="E12222" s="2">
        <v>2</v>
      </c>
      <c r="F12222" s="2" t="s">
        <v>6</v>
      </c>
    </row>
    <row r="12223" spans="1:6" ht="25.5">
      <c r="A12223" s="2">
        <v>12220</v>
      </c>
      <c r="B12223" s="2" t="s">
        <v>12297</v>
      </c>
      <c r="C12223" s="2" t="str">
        <f>"15737799"</f>
        <v>15737799</v>
      </c>
      <c r="D12223" s="2">
        <v>2.0819999999999999</v>
      </c>
      <c r="E12223" s="2">
        <v>39</v>
      </c>
      <c r="F12223" s="2" t="s">
        <v>6</v>
      </c>
    </row>
    <row r="12224" spans="1:6" ht="25.5">
      <c r="A12224" s="2">
        <v>12221</v>
      </c>
      <c r="B12224" s="2" t="s">
        <v>12298</v>
      </c>
      <c r="C12224" s="2" t="str">
        <f>"09296174"</f>
        <v>09296174</v>
      </c>
      <c r="D12224" s="2">
        <v>0.224</v>
      </c>
      <c r="E12224" s="2">
        <v>10</v>
      </c>
      <c r="F12224" s="2" t="s">
        <v>16</v>
      </c>
    </row>
    <row r="12225" spans="1:6" ht="25.5">
      <c r="A12225" s="2">
        <v>12222</v>
      </c>
      <c r="B12225" s="2" t="s">
        <v>12299</v>
      </c>
      <c r="C12225" s="2" t="str">
        <f>"00224073"</f>
        <v>00224073</v>
      </c>
      <c r="D12225" s="2">
        <v>1.105</v>
      </c>
      <c r="E12225" s="2">
        <v>62</v>
      </c>
      <c r="F12225" s="2" t="s">
        <v>16</v>
      </c>
    </row>
    <row r="12226" spans="1:6" ht="25.5">
      <c r="A12226" s="2">
        <v>12223</v>
      </c>
      <c r="B12226" s="2" t="s">
        <v>12300</v>
      </c>
      <c r="C12226" s="2" t="str">
        <f>"10991417"</f>
        <v>10991417</v>
      </c>
      <c r="D12226" s="2">
        <v>1.5429999999999999</v>
      </c>
      <c r="E12226" s="2">
        <v>59</v>
      </c>
      <c r="F12226" s="2" t="s">
        <v>16</v>
      </c>
    </row>
    <row r="12227" spans="1:6" ht="25.5">
      <c r="A12227" s="2">
        <v>12224</v>
      </c>
      <c r="B12227" s="2" t="s">
        <v>12301</v>
      </c>
      <c r="C12227" s="2" t="str">
        <f>"04493060"</f>
        <v>04493060</v>
      </c>
      <c r="D12227" s="2">
        <v>0.49399999999999999</v>
      </c>
      <c r="E12227" s="2">
        <v>35</v>
      </c>
      <c r="F12227" s="2" t="s">
        <v>131</v>
      </c>
    </row>
    <row r="12228" spans="1:6" ht="25.5">
      <c r="A12228" s="2">
        <v>12225</v>
      </c>
      <c r="B12228" s="2" t="s">
        <v>12302</v>
      </c>
      <c r="C12228" s="2" t="str">
        <f>"15882780"</f>
        <v>15882780</v>
      </c>
      <c r="D12228" s="2">
        <v>0.51300000000000001</v>
      </c>
      <c r="E12228" s="2">
        <v>41</v>
      </c>
      <c r="F12228" s="2" t="s">
        <v>75</v>
      </c>
    </row>
    <row r="12229" spans="1:6" ht="25.5">
      <c r="A12229" s="2">
        <v>12226</v>
      </c>
      <c r="B12229" s="2" t="s">
        <v>12303</v>
      </c>
      <c r="C12229" s="2" t="str">
        <f>"19376537"</f>
        <v>19376537</v>
      </c>
      <c r="D12229" s="2">
        <v>0.13700000000000001</v>
      </c>
      <c r="E12229" s="2">
        <v>2</v>
      </c>
      <c r="F12229" s="2" t="s">
        <v>6</v>
      </c>
    </row>
    <row r="12230" spans="1:6" ht="25.5">
      <c r="A12230" s="2">
        <v>12227</v>
      </c>
      <c r="B12230" s="2" t="s">
        <v>12304</v>
      </c>
      <c r="C12230" s="2" t="str">
        <f>"13616498"</f>
        <v>13616498</v>
      </c>
      <c r="D12230" s="2">
        <v>0.53800000000000003</v>
      </c>
      <c r="E12230" s="2">
        <v>27</v>
      </c>
      <c r="F12230" s="2" t="s">
        <v>16</v>
      </c>
    </row>
    <row r="12231" spans="1:6" ht="25.5">
      <c r="A12231" s="2">
        <v>12228</v>
      </c>
      <c r="B12231" s="2" t="s">
        <v>12305</v>
      </c>
      <c r="C12231" s="2" t="str">
        <f>"19430922"</f>
        <v>19430922</v>
      </c>
      <c r="D12231" s="2">
        <v>0.107</v>
      </c>
      <c r="E12231" s="2">
        <v>2</v>
      </c>
      <c r="F12231" s="2" t="s">
        <v>6</v>
      </c>
    </row>
    <row r="12232" spans="1:6" ht="25.5">
      <c r="A12232" s="2">
        <v>12229</v>
      </c>
      <c r="B12232" s="2" t="s">
        <v>12306</v>
      </c>
      <c r="C12232" s="2" t="str">
        <f>"15460843"</f>
        <v>15460843</v>
      </c>
      <c r="D12232" s="2">
        <v>0.13200000000000001</v>
      </c>
      <c r="E12232" s="2">
        <v>4</v>
      </c>
      <c r="F12232" s="2" t="s">
        <v>6</v>
      </c>
    </row>
    <row r="12233" spans="1:6" ht="25.5">
      <c r="A12233" s="2">
        <v>12230</v>
      </c>
      <c r="B12233" s="2" t="s">
        <v>12307</v>
      </c>
      <c r="C12233" s="2" t="str">
        <f>"14603969"</f>
        <v>14603969</v>
      </c>
      <c r="D12233" s="2">
        <v>0.17499999999999999</v>
      </c>
      <c r="E12233" s="2">
        <v>6</v>
      </c>
      <c r="F12233" s="2" t="s">
        <v>16</v>
      </c>
    </row>
    <row r="12234" spans="1:6" ht="25.5">
      <c r="A12234" s="2">
        <v>12231</v>
      </c>
      <c r="B12234" s="2" t="s">
        <v>12308</v>
      </c>
      <c r="C12234" s="2" t="str">
        <f>"22109706"</f>
        <v>22109706</v>
      </c>
      <c r="D12234" s="2">
        <v>0.438</v>
      </c>
      <c r="E12234" s="2">
        <v>1</v>
      </c>
      <c r="F12234" s="2" t="s">
        <v>75</v>
      </c>
    </row>
    <row r="12235" spans="1:6" ht="25.5">
      <c r="A12235" s="2">
        <v>12232</v>
      </c>
      <c r="B12235" s="2" t="s">
        <v>12309</v>
      </c>
      <c r="C12235" s="2" t="str">
        <f>"10974555"</f>
        <v>10974555</v>
      </c>
      <c r="D12235" s="2">
        <v>1.1379999999999999</v>
      </c>
      <c r="E12235" s="2">
        <v>62</v>
      </c>
      <c r="F12235" s="2" t="s">
        <v>16</v>
      </c>
    </row>
    <row r="12236" spans="1:6" ht="25.5">
      <c r="A12236" s="2">
        <v>12233</v>
      </c>
      <c r="B12236" s="2" t="s">
        <v>12310</v>
      </c>
      <c r="C12236" s="2" t="str">
        <f>"08921016"</f>
        <v>08921016</v>
      </c>
      <c r="D12236" s="2">
        <v>0.38100000000000001</v>
      </c>
      <c r="E12236" s="2">
        <v>21</v>
      </c>
      <c r="F12236" s="2" t="s">
        <v>6</v>
      </c>
    </row>
    <row r="12237" spans="1:6" ht="25.5">
      <c r="A12237" s="2">
        <v>12234</v>
      </c>
      <c r="B12237" s="2" t="s">
        <v>12311</v>
      </c>
      <c r="C12237" s="2" t="str">
        <f>"10020721"</f>
        <v>10020721</v>
      </c>
      <c r="D12237" s="2">
        <v>0.56699999999999995</v>
      </c>
      <c r="E12237" s="2">
        <v>18</v>
      </c>
      <c r="F12237" s="2" t="s">
        <v>46</v>
      </c>
    </row>
    <row r="12238" spans="1:6" ht="25.5">
      <c r="A12238" s="2">
        <v>12235</v>
      </c>
      <c r="B12238" s="2" t="s">
        <v>12312</v>
      </c>
      <c r="C12238" s="2" t="str">
        <f>"15736563"</f>
        <v>15736563</v>
      </c>
      <c r="D12238" s="2">
        <v>0.28399999999999997</v>
      </c>
      <c r="E12238" s="2">
        <v>18</v>
      </c>
      <c r="F12238" s="2" t="s">
        <v>6</v>
      </c>
    </row>
    <row r="12239" spans="1:6" ht="25.5">
      <c r="A12239" s="2">
        <v>12236</v>
      </c>
      <c r="B12239" s="2" t="s">
        <v>12313</v>
      </c>
      <c r="C12239" s="2" t="str">
        <f>"1573045X"</f>
        <v>1573045X</v>
      </c>
      <c r="D12239" s="2">
        <v>1.0740000000000001</v>
      </c>
      <c r="E12239" s="2">
        <v>35</v>
      </c>
      <c r="F12239" s="2" t="s">
        <v>75</v>
      </c>
    </row>
    <row r="12240" spans="1:6" ht="25.5">
      <c r="A12240" s="2">
        <v>12237</v>
      </c>
      <c r="B12240" s="2" t="s">
        <v>12314</v>
      </c>
      <c r="C12240" s="2" t="str">
        <f>"09277544"</f>
        <v>09277544</v>
      </c>
      <c r="D12240" s="2">
        <v>0.27700000000000002</v>
      </c>
      <c r="E12240" s="2">
        <v>7</v>
      </c>
      <c r="F12240" s="2" t="s">
        <v>6</v>
      </c>
    </row>
    <row r="12241" spans="1:6" ht="25.5">
      <c r="A12241" s="2">
        <v>12238</v>
      </c>
      <c r="B12241" s="2" t="s">
        <v>12315</v>
      </c>
      <c r="C12241" s="2" t="str">
        <f>"10835547"</f>
        <v>10835547</v>
      </c>
      <c r="D12241" s="2">
        <v>0.376</v>
      </c>
      <c r="E12241" s="2">
        <v>11</v>
      </c>
      <c r="F12241" s="2" t="s">
        <v>6</v>
      </c>
    </row>
    <row r="12242" spans="1:6" ht="25.5">
      <c r="A12242" s="2">
        <v>12239</v>
      </c>
      <c r="B12242" s="2" t="s">
        <v>12316</v>
      </c>
      <c r="C12242" s="2" t="str">
        <f>"15214842"</f>
        <v>15214842</v>
      </c>
      <c r="D12242" s="2">
        <v>0.14699999999999999</v>
      </c>
      <c r="E12242" s="2">
        <v>7</v>
      </c>
      <c r="F12242" s="2" t="s">
        <v>6</v>
      </c>
    </row>
    <row r="12243" spans="1:6" ht="25.5">
      <c r="A12243" s="2">
        <v>12240</v>
      </c>
      <c r="B12243" s="2" t="s">
        <v>12317</v>
      </c>
      <c r="C12243" s="2" t="str">
        <f>"08965803"</f>
        <v>08965803</v>
      </c>
      <c r="D12243" s="2">
        <v>1.0309999999999999</v>
      </c>
      <c r="E12243" s="2">
        <v>12</v>
      </c>
      <c r="F12243" s="2" t="s">
        <v>6</v>
      </c>
    </row>
    <row r="12244" spans="1:6" ht="25.5">
      <c r="A12244" s="2">
        <v>12241</v>
      </c>
      <c r="B12244" s="2" t="s">
        <v>12318</v>
      </c>
      <c r="C12244" s="2" t="str">
        <f>"18618219"</f>
        <v>18618219</v>
      </c>
      <c r="D12244" s="2">
        <v>0.41899999999999998</v>
      </c>
      <c r="E12244" s="2">
        <v>13</v>
      </c>
      <c r="F12244" s="2" t="s">
        <v>12</v>
      </c>
    </row>
    <row r="12245" spans="1:6" ht="25.5">
      <c r="A12245" s="2">
        <v>12242</v>
      </c>
      <c r="B12245" s="2" t="s">
        <v>12319</v>
      </c>
      <c r="C12245" s="2" t="str">
        <f>"15324281"</f>
        <v>15324281</v>
      </c>
      <c r="D12245" s="2">
        <v>0.57799999999999996</v>
      </c>
      <c r="E12245" s="2">
        <v>31</v>
      </c>
      <c r="F12245" s="2" t="s">
        <v>16</v>
      </c>
    </row>
    <row r="12246" spans="1:6" ht="25.5">
      <c r="A12246" s="2">
        <v>12243</v>
      </c>
      <c r="B12246" s="2" t="s">
        <v>12320</v>
      </c>
      <c r="C12246" s="2" t="str">
        <f>"1178699X"</f>
        <v>1178699X</v>
      </c>
      <c r="D12246" s="2">
        <v>0.54300000000000004</v>
      </c>
      <c r="E12246" s="2">
        <v>2</v>
      </c>
      <c r="F12246" s="2" t="s">
        <v>503</v>
      </c>
    </row>
    <row r="12247" spans="1:6" ht="25.5">
      <c r="A12247" s="2">
        <v>12244</v>
      </c>
      <c r="B12247" s="2" t="s">
        <v>12321</v>
      </c>
      <c r="C12247" s="2" t="str">
        <f>"10988947"</f>
        <v>10988947</v>
      </c>
      <c r="D12247" s="2">
        <v>0.63400000000000001</v>
      </c>
      <c r="E12247" s="2">
        <v>37</v>
      </c>
      <c r="F12247" s="2" t="s">
        <v>6</v>
      </c>
    </row>
    <row r="12248" spans="1:6" ht="25.5">
      <c r="A12248" s="2">
        <v>12245</v>
      </c>
      <c r="B12248" s="2" t="s">
        <v>12322</v>
      </c>
      <c r="C12248" s="2" t="str">
        <f>"1081597X"</f>
        <v>1081597X</v>
      </c>
      <c r="D12248" s="2">
        <v>1.9350000000000001</v>
      </c>
      <c r="E12248" s="2">
        <v>64</v>
      </c>
      <c r="F12248" s="2" t="s">
        <v>6</v>
      </c>
    </row>
    <row r="12249" spans="1:6" ht="25.5">
      <c r="A12249" s="2">
        <v>12246</v>
      </c>
      <c r="B12249" s="2" t="s">
        <v>12323</v>
      </c>
      <c r="C12249" s="2" t="str">
        <f>"14716925"</f>
        <v>14716925</v>
      </c>
      <c r="D12249" s="2">
        <v>0.45600000000000002</v>
      </c>
      <c r="E12249" s="2">
        <v>21</v>
      </c>
      <c r="F12249" s="2" t="s">
        <v>16</v>
      </c>
    </row>
    <row r="12250" spans="1:6" ht="25.5">
      <c r="A12250" s="2">
        <v>12247</v>
      </c>
      <c r="B12250" s="2" t="s">
        <v>12324</v>
      </c>
      <c r="C12250" s="2" t="str">
        <f>"10904999"</f>
        <v>10904999</v>
      </c>
      <c r="D12250" s="2">
        <v>0.17699999999999999</v>
      </c>
      <c r="E12250" s="2">
        <v>8</v>
      </c>
      <c r="F12250" s="2" t="s">
        <v>6</v>
      </c>
    </row>
    <row r="12251" spans="1:6" ht="25.5">
      <c r="A12251" s="2">
        <v>12248</v>
      </c>
      <c r="B12251" s="2" t="s">
        <v>12325</v>
      </c>
      <c r="C12251" s="2" t="str">
        <f>"14679787"</f>
        <v>14679787</v>
      </c>
      <c r="D12251" s="2">
        <v>1.9610000000000001</v>
      </c>
      <c r="E12251" s="2">
        <v>36</v>
      </c>
      <c r="F12251" s="2" t="s">
        <v>16</v>
      </c>
    </row>
    <row r="12252" spans="1:6" ht="25.5">
      <c r="A12252" s="2">
        <v>12249</v>
      </c>
      <c r="B12252" s="2" t="s">
        <v>12326</v>
      </c>
      <c r="C12252" s="2" t="str">
        <f>"19456123"</f>
        <v>19456123</v>
      </c>
      <c r="D12252" s="2">
        <v>0.20300000000000001</v>
      </c>
      <c r="E12252" s="2">
        <v>3</v>
      </c>
      <c r="F12252" s="2" t="s">
        <v>6</v>
      </c>
    </row>
    <row r="12253" spans="1:6" ht="25.5">
      <c r="A12253" s="2">
        <v>12250</v>
      </c>
      <c r="B12253" s="2" t="s">
        <v>12327</v>
      </c>
      <c r="C12253" s="2" t="str">
        <f>"15730468"</f>
        <v>15730468</v>
      </c>
      <c r="D12253" s="2">
        <v>0.77100000000000002</v>
      </c>
      <c r="E12253" s="2">
        <v>31</v>
      </c>
      <c r="F12253" s="2" t="s">
        <v>75</v>
      </c>
    </row>
    <row r="12254" spans="1:6" ht="25.5">
      <c r="A12254" s="2">
        <v>12251</v>
      </c>
      <c r="B12254" s="2" t="s">
        <v>12328</v>
      </c>
      <c r="C12254" s="2" t="str">
        <f>"00224154"</f>
        <v>00224154</v>
      </c>
      <c r="D12254" s="2">
        <v>0.23799999999999999</v>
      </c>
      <c r="E12254" s="2">
        <v>23</v>
      </c>
      <c r="F12254" s="2" t="s">
        <v>6</v>
      </c>
    </row>
    <row r="12255" spans="1:6" ht="25.5">
      <c r="A12255" s="2">
        <v>12252</v>
      </c>
      <c r="B12255" s="2" t="s">
        <v>12329</v>
      </c>
      <c r="C12255" s="2" t="str">
        <f>"16501977"</f>
        <v>16501977</v>
      </c>
      <c r="D12255" s="2">
        <v>1.0469999999999999</v>
      </c>
      <c r="E12255" s="2">
        <v>53</v>
      </c>
      <c r="F12255" s="2" t="s">
        <v>151</v>
      </c>
    </row>
    <row r="12256" spans="1:6" ht="25.5">
      <c r="A12256" s="2">
        <v>12253</v>
      </c>
      <c r="B12256" s="2" t="s">
        <v>12330</v>
      </c>
      <c r="C12256" s="2" t="str">
        <f>"07487711"</f>
        <v>07487711</v>
      </c>
      <c r="D12256" s="2">
        <v>0.66900000000000004</v>
      </c>
      <c r="E12256" s="2">
        <v>53</v>
      </c>
      <c r="F12256" s="2" t="s">
        <v>6</v>
      </c>
    </row>
    <row r="12257" spans="1:6" ht="25.5">
      <c r="A12257" s="2">
        <v>12254</v>
      </c>
      <c r="B12257" s="2" t="s">
        <v>12331</v>
      </c>
      <c r="C12257" s="2" t="str">
        <f>"07316844"</f>
        <v>07316844</v>
      </c>
      <c r="D12257" s="2">
        <v>0.496</v>
      </c>
      <c r="E12257" s="2">
        <v>30</v>
      </c>
      <c r="F12257" s="2" t="s">
        <v>16</v>
      </c>
    </row>
    <row r="12258" spans="1:6" ht="25.5">
      <c r="A12258" s="2">
        <v>12255</v>
      </c>
      <c r="B12258" s="2" t="s">
        <v>12332</v>
      </c>
      <c r="C12258" s="2" t="str">
        <f>"15332675"</f>
        <v>15332675</v>
      </c>
      <c r="D12258" s="2">
        <v>0.25900000000000001</v>
      </c>
      <c r="E12258" s="2">
        <v>7</v>
      </c>
      <c r="F12258" s="2" t="s">
        <v>16</v>
      </c>
    </row>
    <row r="12259" spans="1:6" ht="25.5">
      <c r="A12259" s="2">
        <v>12256</v>
      </c>
      <c r="B12259" s="2" t="s">
        <v>12333</v>
      </c>
      <c r="C12259" s="2" t="str">
        <f>"15496538"</f>
        <v>15496538</v>
      </c>
      <c r="D12259" s="2">
        <v>0.114</v>
      </c>
      <c r="E12259" s="2">
        <v>7</v>
      </c>
      <c r="F12259" s="2" t="s">
        <v>6</v>
      </c>
    </row>
    <row r="12260" spans="1:6" ht="25.5">
      <c r="A12260" s="2">
        <v>12257</v>
      </c>
      <c r="B12260" s="2" t="s">
        <v>12334</v>
      </c>
      <c r="C12260" s="2" t="str">
        <f>"15736571"</f>
        <v>15736571</v>
      </c>
      <c r="D12260" s="2">
        <v>0.32100000000000001</v>
      </c>
      <c r="E12260" s="2">
        <v>15</v>
      </c>
      <c r="F12260" s="2" t="s">
        <v>6</v>
      </c>
    </row>
    <row r="12261" spans="1:6" ht="25.5">
      <c r="A12261" s="2">
        <v>12258</v>
      </c>
      <c r="B12261" s="2" t="s">
        <v>12335</v>
      </c>
      <c r="C12261" s="2" t="str">
        <f>"15426440"</f>
        <v>15426440</v>
      </c>
      <c r="D12261" s="2">
        <v>0.28499999999999998</v>
      </c>
      <c r="E12261" s="2">
        <v>7</v>
      </c>
      <c r="F12261" s="2" t="s">
        <v>16</v>
      </c>
    </row>
    <row r="12262" spans="1:6" ht="25.5">
      <c r="A12262" s="2">
        <v>12259</v>
      </c>
      <c r="B12262" s="2" t="s">
        <v>12336</v>
      </c>
      <c r="C12262" s="2" t="str">
        <f>"15229122"</f>
        <v>15229122</v>
      </c>
      <c r="D12262" s="2">
        <v>0.19900000000000001</v>
      </c>
      <c r="E12262" s="2">
        <v>3</v>
      </c>
      <c r="F12262" s="2" t="s">
        <v>16</v>
      </c>
    </row>
    <row r="12263" spans="1:6" ht="25.5">
      <c r="A12263" s="2">
        <v>12260</v>
      </c>
      <c r="B12263" s="2" t="s">
        <v>12337</v>
      </c>
      <c r="C12263" s="2" t="str">
        <f>"00224200"</f>
        <v>00224200</v>
      </c>
      <c r="D12263" s="2">
        <v>0.45800000000000002</v>
      </c>
      <c r="E12263" s="2">
        <v>12</v>
      </c>
      <c r="F12263" s="2" t="s">
        <v>75</v>
      </c>
    </row>
    <row r="12264" spans="1:6" ht="25.5">
      <c r="A12264" s="2">
        <v>12261</v>
      </c>
      <c r="B12264" s="2" t="s">
        <v>12338</v>
      </c>
      <c r="C12264" s="2" t="str">
        <f>"18748929"</f>
        <v>18748929</v>
      </c>
      <c r="D12264" s="2">
        <v>0.14399999999999999</v>
      </c>
      <c r="E12264" s="2">
        <v>4</v>
      </c>
      <c r="F12264" s="2" t="s">
        <v>75</v>
      </c>
    </row>
    <row r="12265" spans="1:6" ht="25.5">
      <c r="A12265" s="2">
        <v>12262</v>
      </c>
      <c r="B12265" s="2" t="s">
        <v>12339</v>
      </c>
      <c r="C12265" s="2" t="str">
        <f>"15528049"</f>
        <v>15528049</v>
      </c>
      <c r="D12265" s="2">
        <v>0.21199999999999999</v>
      </c>
      <c r="E12265" s="2">
        <v>6</v>
      </c>
      <c r="F12265" s="2" t="s">
        <v>16</v>
      </c>
    </row>
    <row r="12266" spans="1:6" ht="25.5">
      <c r="A12266" s="2">
        <v>12263</v>
      </c>
      <c r="B12266" s="2" t="s">
        <v>12340</v>
      </c>
      <c r="C12266" s="2" t="str">
        <f>"15286924"</f>
        <v>15286924</v>
      </c>
      <c r="D12266" s="2">
        <v>0.157</v>
      </c>
      <c r="E12266" s="2">
        <v>2</v>
      </c>
      <c r="F12266" s="2" t="s">
        <v>16</v>
      </c>
    </row>
    <row r="12267" spans="1:6" ht="25.5">
      <c r="A12267" s="2">
        <v>12264</v>
      </c>
      <c r="B12267" s="2" t="s">
        <v>12341</v>
      </c>
      <c r="C12267" s="2" t="str">
        <f>"14679795"</f>
        <v>14679795</v>
      </c>
      <c r="D12267" s="2">
        <v>0.189</v>
      </c>
      <c r="E12267" s="2">
        <v>8</v>
      </c>
      <c r="F12267" s="2" t="s">
        <v>16</v>
      </c>
    </row>
    <row r="12268" spans="1:6" ht="25.5">
      <c r="A12268" s="2">
        <v>12265</v>
      </c>
      <c r="B12268" s="2" t="s">
        <v>12342</v>
      </c>
      <c r="C12268" s="2" t="str">
        <f>"00224227"</f>
        <v>00224227</v>
      </c>
      <c r="D12268" s="2">
        <v>0.13300000000000001</v>
      </c>
      <c r="E12268" s="2">
        <v>7</v>
      </c>
      <c r="F12268" s="2" t="s">
        <v>16</v>
      </c>
    </row>
    <row r="12269" spans="1:6" ht="25.5">
      <c r="A12269" s="2">
        <v>12266</v>
      </c>
      <c r="B12269" s="2" t="s">
        <v>12343</v>
      </c>
      <c r="C12269" s="2" t="str">
        <f>"17556686"</f>
        <v>17556686</v>
      </c>
      <c r="D12269" s="2">
        <v>0.32</v>
      </c>
      <c r="E12269" s="2">
        <v>11</v>
      </c>
      <c r="F12269" s="2" t="s">
        <v>6</v>
      </c>
    </row>
    <row r="12270" spans="1:6" ht="25.5">
      <c r="A12270" s="2">
        <v>12267</v>
      </c>
      <c r="B12270" s="2" t="s">
        <v>12344</v>
      </c>
      <c r="C12270" s="2" t="str">
        <f>"15328503"</f>
        <v>15328503</v>
      </c>
      <c r="D12270" s="2">
        <v>0.64400000000000002</v>
      </c>
      <c r="E12270" s="2">
        <v>30</v>
      </c>
      <c r="F12270" s="2" t="s">
        <v>16</v>
      </c>
    </row>
    <row r="12271" spans="1:6" ht="25.5">
      <c r="A12271" s="2">
        <v>12268</v>
      </c>
      <c r="B12271" s="2" t="s">
        <v>12345</v>
      </c>
      <c r="C12271" s="2" t="str">
        <f>"10017844"</f>
        <v>10017844</v>
      </c>
      <c r="D12271" s="2">
        <v>0.13</v>
      </c>
      <c r="E12271" s="2">
        <v>3</v>
      </c>
      <c r="F12271" s="2" t="s">
        <v>543</v>
      </c>
    </row>
    <row r="12272" spans="1:6" ht="25.5">
      <c r="A12272" s="2">
        <v>12269</v>
      </c>
      <c r="B12272" s="2" t="s">
        <v>12346</v>
      </c>
      <c r="C12272" s="2" t="str">
        <f>"13484400"</f>
        <v>13484400</v>
      </c>
      <c r="D12272" s="2">
        <v>0.60699999999999998</v>
      </c>
      <c r="E12272" s="2">
        <v>29</v>
      </c>
      <c r="F12272" s="2" t="s">
        <v>131</v>
      </c>
    </row>
    <row r="12273" spans="1:6" ht="25.5">
      <c r="A12273" s="2">
        <v>12270</v>
      </c>
      <c r="B12273" s="2" t="s">
        <v>12347</v>
      </c>
      <c r="C12273" s="2" t="str">
        <f>"2251676X"</f>
        <v>2251676X</v>
      </c>
      <c r="D12273" s="2">
        <v>0.111</v>
      </c>
      <c r="E12273" s="2">
        <v>1</v>
      </c>
      <c r="F12273" s="2" t="s">
        <v>299</v>
      </c>
    </row>
    <row r="12274" spans="1:6" ht="25.5">
      <c r="A12274" s="2">
        <v>12271</v>
      </c>
      <c r="B12274" s="2" t="s">
        <v>12348</v>
      </c>
      <c r="C12274" s="2" t="str">
        <f>"1469672X"</f>
        <v>1469672X</v>
      </c>
      <c r="D12274" s="2">
        <v>0.36199999999999999</v>
      </c>
      <c r="E12274" s="2">
        <v>24</v>
      </c>
      <c r="F12274" s="2" t="s">
        <v>16</v>
      </c>
    </row>
    <row r="12275" spans="1:6" ht="25.5">
      <c r="A12275" s="2">
        <v>12272</v>
      </c>
      <c r="B12275" s="2" t="s">
        <v>12349</v>
      </c>
      <c r="C12275" s="2" t="str">
        <f>"01650378"</f>
        <v>01650378</v>
      </c>
      <c r="D12275" s="2">
        <v>0.79200000000000004</v>
      </c>
      <c r="E12275" s="2">
        <v>58</v>
      </c>
      <c r="F12275" s="2" t="s">
        <v>732</v>
      </c>
    </row>
    <row r="12276" spans="1:6" ht="25.5">
      <c r="A12276" s="2">
        <v>12273</v>
      </c>
      <c r="B12276" s="2" t="s">
        <v>12350</v>
      </c>
      <c r="C12276" s="2" t="str">
        <f>"00247758"</f>
        <v>00247758</v>
      </c>
      <c r="D12276" s="2">
        <v>0.34399999999999997</v>
      </c>
      <c r="E12276" s="2">
        <v>48</v>
      </c>
      <c r="F12276" s="2" t="s">
        <v>6</v>
      </c>
    </row>
    <row r="12277" spans="1:6" ht="25.5">
      <c r="A12277" s="2">
        <v>12274</v>
      </c>
      <c r="B12277" s="2" t="s">
        <v>12351</v>
      </c>
      <c r="C12277" s="2" t="str">
        <f>"1443458X"</f>
        <v>1443458X</v>
      </c>
      <c r="D12277" s="2">
        <v>0.33700000000000002</v>
      </c>
      <c r="E12277" s="2">
        <v>14</v>
      </c>
      <c r="F12277" s="2" t="s">
        <v>127</v>
      </c>
    </row>
    <row r="12278" spans="1:6" ht="25.5">
      <c r="A12278" s="2">
        <v>12275</v>
      </c>
      <c r="B12278" s="2" t="s">
        <v>12352</v>
      </c>
      <c r="C12278" s="2" t="str">
        <f>"02568543"</f>
        <v>02568543</v>
      </c>
      <c r="D12278" s="2">
        <v>0.313</v>
      </c>
      <c r="E12278" s="2">
        <v>7</v>
      </c>
      <c r="F12278" s="2" t="s">
        <v>16</v>
      </c>
    </row>
    <row r="12279" spans="1:6" ht="25.5">
      <c r="A12279" s="2">
        <v>12276</v>
      </c>
      <c r="B12279" s="2" t="s">
        <v>12353</v>
      </c>
      <c r="C12279" s="2" t="str">
        <f>"00224278"</f>
        <v>00224278</v>
      </c>
      <c r="D12279" s="2">
        <v>1.9910000000000001</v>
      </c>
      <c r="E12279" s="2">
        <v>50</v>
      </c>
      <c r="F12279" s="2" t="s">
        <v>6</v>
      </c>
    </row>
    <row r="12280" spans="1:6" ht="25.5">
      <c r="A12280" s="2">
        <v>12277</v>
      </c>
      <c r="B12280" s="2" t="s">
        <v>12354</v>
      </c>
      <c r="C12280" s="2" t="str">
        <f>"16822765"</f>
        <v>16822765</v>
      </c>
      <c r="D12280" s="2">
        <v>0.21299999999999999</v>
      </c>
      <c r="E12280" s="2">
        <v>2</v>
      </c>
      <c r="F12280" s="2" t="s">
        <v>299</v>
      </c>
    </row>
    <row r="12281" spans="1:6" ht="25.5">
      <c r="A12281" s="2">
        <v>12278</v>
      </c>
      <c r="B12281" s="2" t="s">
        <v>12355</v>
      </c>
      <c r="C12281" s="2" t="str">
        <f>"14752409"</f>
        <v>14752409</v>
      </c>
      <c r="D12281" s="2">
        <v>0.66800000000000004</v>
      </c>
      <c r="E12281" s="2">
        <v>6</v>
      </c>
      <c r="F12281" s="2" t="s">
        <v>16</v>
      </c>
    </row>
    <row r="12282" spans="1:6" ht="25.5">
      <c r="A12282" s="2">
        <v>12279</v>
      </c>
      <c r="B12282" s="2" t="s">
        <v>12356</v>
      </c>
      <c r="C12282" s="2" t="str">
        <f>"17351995"</f>
        <v>17351995</v>
      </c>
      <c r="D12282" s="2">
        <v>0.189</v>
      </c>
      <c r="E12282" s="2">
        <v>8</v>
      </c>
      <c r="F12282" s="2" t="s">
        <v>299</v>
      </c>
    </row>
    <row r="12283" spans="1:6" ht="25.5">
      <c r="A12283" s="2">
        <v>12280</v>
      </c>
      <c r="B12283" s="2" t="s">
        <v>12357</v>
      </c>
      <c r="C12283" s="2" t="str">
        <f>"00224294"</f>
        <v>00224294</v>
      </c>
      <c r="D12283" s="2">
        <v>0.59499999999999997</v>
      </c>
      <c r="E12283" s="2">
        <v>19</v>
      </c>
      <c r="F12283" s="2" t="s">
        <v>6</v>
      </c>
    </row>
    <row r="12284" spans="1:6" ht="25.5">
      <c r="A12284" s="2">
        <v>12281</v>
      </c>
      <c r="B12284" s="2" t="s">
        <v>12358</v>
      </c>
      <c r="C12284" s="2" t="str">
        <f>"1744988X"</f>
        <v>1744988X</v>
      </c>
      <c r="D12284" s="2">
        <v>0.24</v>
      </c>
      <c r="E12284" s="2">
        <v>14</v>
      </c>
      <c r="F12284" s="2" t="s">
        <v>16</v>
      </c>
    </row>
    <row r="12285" spans="1:6" ht="25.5">
      <c r="A12285" s="2">
        <v>12282</v>
      </c>
      <c r="B12285" s="2" t="s">
        <v>12359</v>
      </c>
      <c r="C12285" s="2" t="str">
        <f>"10957251"</f>
        <v>10957251</v>
      </c>
      <c r="D12285" s="2">
        <v>1.403</v>
      </c>
      <c r="E12285" s="2">
        <v>53</v>
      </c>
      <c r="F12285" s="2" t="s">
        <v>6</v>
      </c>
    </row>
    <row r="12286" spans="1:6" ht="25.5">
      <c r="A12286" s="2">
        <v>12283</v>
      </c>
      <c r="B12286" s="2" t="s">
        <v>12360</v>
      </c>
      <c r="C12286" s="2" t="str">
        <f>"14679817"</f>
        <v>14679817</v>
      </c>
      <c r="D12286" s="2">
        <v>0.81</v>
      </c>
      <c r="E12286" s="2">
        <v>19</v>
      </c>
      <c r="F12286" s="2" t="s">
        <v>16</v>
      </c>
    </row>
    <row r="12287" spans="1:6" ht="25.5">
      <c r="A12287" s="2">
        <v>12284</v>
      </c>
      <c r="B12287" s="2" t="s">
        <v>12361</v>
      </c>
      <c r="C12287" s="2" t="str">
        <f>"10982736"</f>
        <v>10982736</v>
      </c>
      <c r="D12287" s="2">
        <v>2.9980000000000002</v>
      </c>
      <c r="E12287" s="2">
        <v>62</v>
      </c>
      <c r="F12287" s="2" t="s">
        <v>6</v>
      </c>
    </row>
    <row r="12288" spans="1:6" ht="25.5">
      <c r="A12288" s="2">
        <v>12285</v>
      </c>
      <c r="B12288" s="2" t="s">
        <v>12362</v>
      </c>
      <c r="C12288" s="2" t="str">
        <f>"14713802"</f>
        <v>14713802</v>
      </c>
      <c r="D12288" s="2">
        <v>0.34899999999999998</v>
      </c>
      <c r="E12288" s="2">
        <v>8</v>
      </c>
      <c r="F12288" s="2" t="s">
        <v>16</v>
      </c>
    </row>
    <row r="12289" spans="1:6" ht="25.5">
      <c r="A12289" s="2">
        <v>12286</v>
      </c>
      <c r="B12289" s="2" t="s">
        <v>12363</v>
      </c>
      <c r="C12289" s="2" t="str">
        <f>"1044677X"</f>
        <v>1044677X</v>
      </c>
      <c r="D12289" s="2">
        <v>0.39900000000000002</v>
      </c>
      <c r="E12289" s="2">
        <v>38</v>
      </c>
      <c r="F12289" s="2" t="s">
        <v>6</v>
      </c>
    </row>
    <row r="12290" spans="1:6" ht="25.5">
      <c r="A12290" s="2">
        <v>12287</v>
      </c>
      <c r="B12290" s="2" t="s">
        <v>12364</v>
      </c>
      <c r="C12290" s="2" t="str">
        <f>"15327795"</f>
        <v>15327795</v>
      </c>
      <c r="D12290" s="2">
        <v>1.6339999999999999</v>
      </c>
      <c r="E12290" s="2">
        <v>47</v>
      </c>
      <c r="F12290" s="2" t="s">
        <v>16</v>
      </c>
    </row>
    <row r="12291" spans="1:6" ht="25.5">
      <c r="A12291" s="2">
        <v>12288</v>
      </c>
      <c r="B12291" s="2" t="s">
        <v>12365</v>
      </c>
      <c r="C12291" s="2" t="str">
        <f>"19345747"</f>
        <v>19345747</v>
      </c>
      <c r="D12291" s="2">
        <v>0.76400000000000001</v>
      </c>
      <c r="E12291" s="2">
        <v>3</v>
      </c>
      <c r="F12291" s="2" t="s">
        <v>6</v>
      </c>
    </row>
    <row r="12292" spans="1:6" ht="25.5">
      <c r="A12292" s="2">
        <v>12289</v>
      </c>
      <c r="B12292" s="2" t="s">
        <v>12366</v>
      </c>
      <c r="C12292" s="2" t="str">
        <f>"1712851X"</f>
        <v>1712851X</v>
      </c>
      <c r="D12292" s="2">
        <v>0.108</v>
      </c>
      <c r="E12292" s="2">
        <v>8</v>
      </c>
      <c r="F12292" s="2" t="s">
        <v>6</v>
      </c>
    </row>
    <row r="12293" spans="1:6" ht="25.5">
      <c r="A12293" s="2">
        <v>12290</v>
      </c>
      <c r="B12293" s="2" t="s">
        <v>12367</v>
      </c>
      <c r="C12293" s="2" t="str">
        <f>"15448053"</f>
        <v>15448053</v>
      </c>
      <c r="D12293" s="2">
        <v>0.29199999999999998</v>
      </c>
      <c r="E12293" s="2">
        <v>6</v>
      </c>
      <c r="F12293" s="2" t="s">
        <v>6</v>
      </c>
    </row>
    <row r="12294" spans="1:6" ht="25.5">
      <c r="A12294" s="2">
        <v>12291</v>
      </c>
      <c r="B12294" s="2" t="s">
        <v>12368</v>
      </c>
      <c r="C12294" s="2" t="str">
        <f>"14791110"</f>
        <v>14791110</v>
      </c>
      <c r="D12294" s="2">
        <v>0.158</v>
      </c>
      <c r="E12294" s="2">
        <v>3</v>
      </c>
      <c r="F12294" s="2" t="s">
        <v>16</v>
      </c>
    </row>
    <row r="12295" spans="1:6" ht="25.5">
      <c r="A12295" s="2">
        <v>12292</v>
      </c>
      <c r="B12295" s="2" t="s">
        <v>12369</v>
      </c>
      <c r="C12295" s="2" t="str">
        <f>"00224359"</f>
        <v>00224359</v>
      </c>
      <c r="D12295" s="2">
        <v>1.931</v>
      </c>
      <c r="E12295" s="2">
        <v>69</v>
      </c>
      <c r="F12295" s="2" t="s">
        <v>75</v>
      </c>
    </row>
    <row r="12296" spans="1:6" ht="25.5">
      <c r="A12296" s="2">
        <v>12293</v>
      </c>
      <c r="B12296" s="2" t="s">
        <v>12370</v>
      </c>
      <c r="C12296" s="2" t="str">
        <f>"09696989"</f>
        <v>09696989</v>
      </c>
      <c r="D12296" s="2">
        <v>0.54700000000000004</v>
      </c>
      <c r="E12296" s="2">
        <v>29</v>
      </c>
      <c r="F12296" s="2" t="s">
        <v>16</v>
      </c>
    </row>
    <row r="12297" spans="1:6" ht="25.5">
      <c r="A12297" s="2">
        <v>12294</v>
      </c>
      <c r="B12297" s="2" t="s">
        <v>12371</v>
      </c>
      <c r="C12297" s="2" t="str">
        <f>"1477657X"</f>
        <v>1477657X</v>
      </c>
      <c r="D12297" s="2">
        <v>0.56699999999999995</v>
      </c>
      <c r="E12297" s="2">
        <v>5</v>
      </c>
      <c r="F12297" s="2" t="s">
        <v>16</v>
      </c>
    </row>
    <row r="12298" spans="1:6" ht="25.5">
      <c r="A12298" s="2">
        <v>12295</v>
      </c>
      <c r="B12298" s="2" t="s">
        <v>12372</v>
      </c>
      <c r="C12298" s="2" t="str">
        <f>"01486055"</f>
        <v>01486055</v>
      </c>
      <c r="D12298" s="2">
        <v>1.1919999999999999</v>
      </c>
      <c r="E12298" s="2">
        <v>67</v>
      </c>
      <c r="F12298" s="2" t="s">
        <v>131</v>
      </c>
    </row>
    <row r="12299" spans="1:6" ht="25.5">
      <c r="A12299" s="2">
        <v>12296</v>
      </c>
      <c r="B12299" s="2" t="s">
        <v>12373</v>
      </c>
      <c r="C12299" s="2" t="str">
        <f>"14992752"</f>
        <v>14992752</v>
      </c>
      <c r="D12299" s="2">
        <v>1.304</v>
      </c>
      <c r="E12299" s="2">
        <v>124</v>
      </c>
      <c r="F12299" s="2" t="s">
        <v>64</v>
      </c>
    </row>
    <row r="12300" spans="1:6" ht="25.5">
      <c r="A12300" s="2">
        <v>12297</v>
      </c>
      <c r="B12300" s="2" t="s">
        <v>12374</v>
      </c>
      <c r="C12300" s="2" t="str">
        <f>"13000691"</f>
        <v>13000691</v>
      </c>
      <c r="D12300" s="2">
        <v>0.10199999999999999</v>
      </c>
      <c r="E12300" s="2">
        <v>5</v>
      </c>
      <c r="F12300" s="2" t="s">
        <v>345</v>
      </c>
    </row>
    <row r="12301" spans="1:6" ht="25.5">
      <c r="A12301" s="2">
        <v>12298</v>
      </c>
      <c r="B12301" s="2" t="s">
        <v>12375</v>
      </c>
      <c r="C12301" s="2" t="str">
        <f>"03800903"</f>
        <v>03800903</v>
      </c>
      <c r="D12301" s="2">
        <v>0.126</v>
      </c>
      <c r="E12301" s="2">
        <v>5</v>
      </c>
      <c r="F12301" s="2" t="s">
        <v>64</v>
      </c>
    </row>
    <row r="12302" spans="1:6" ht="25.5">
      <c r="A12302" s="2">
        <v>12299</v>
      </c>
      <c r="B12302" s="2" t="s">
        <v>12376</v>
      </c>
      <c r="C12302" s="2" t="str">
        <f>"15396975"</f>
        <v>15396975</v>
      </c>
      <c r="D12302" s="2">
        <v>1.1379999999999999</v>
      </c>
      <c r="E12302" s="2">
        <v>32</v>
      </c>
      <c r="F12302" s="2" t="s">
        <v>16</v>
      </c>
    </row>
    <row r="12303" spans="1:6" ht="25.5">
      <c r="A12303" s="2">
        <v>12300</v>
      </c>
      <c r="B12303" s="2" t="s">
        <v>12377</v>
      </c>
      <c r="C12303" s="2" t="str">
        <f>"15730476"</f>
        <v>15730476</v>
      </c>
      <c r="D12303" s="2">
        <v>2.028</v>
      </c>
      <c r="E12303" s="2">
        <v>41</v>
      </c>
      <c r="F12303" s="2" t="s">
        <v>75</v>
      </c>
    </row>
    <row r="12304" spans="1:6" ht="25.5">
      <c r="A12304" s="2">
        <v>12301</v>
      </c>
      <c r="B12304" s="2" t="s">
        <v>12378</v>
      </c>
      <c r="C12304" s="2" t="str">
        <f>"14664461"</f>
        <v>14664461</v>
      </c>
      <c r="D12304" s="2">
        <v>0.56000000000000005</v>
      </c>
      <c r="E12304" s="2">
        <v>22</v>
      </c>
      <c r="F12304" s="2" t="s">
        <v>16</v>
      </c>
    </row>
    <row r="12305" spans="1:6" ht="25.5">
      <c r="A12305" s="2">
        <v>12302</v>
      </c>
      <c r="B12305" s="2" t="s">
        <v>12379</v>
      </c>
      <c r="C12305" s="2" t="str">
        <f>"17470854"</f>
        <v>17470854</v>
      </c>
      <c r="D12305" s="2">
        <v>0.54900000000000004</v>
      </c>
      <c r="E12305" s="2">
        <v>2</v>
      </c>
      <c r="F12305" s="2" t="s">
        <v>16</v>
      </c>
    </row>
    <row r="12306" spans="1:6" ht="25.5">
      <c r="A12306" s="2">
        <v>12303</v>
      </c>
      <c r="B12306" s="2" t="s">
        <v>12380</v>
      </c>
      <c r="C12306" s="2" t="str">
        <f>"18838049"</f>
        <v>18838049</v>
      </c>
      <c r="D12306" s="2">
        <v>0.23499999999999999</v>
      </c>
      <c r="E12306" s="2">
        <v>4</v>
      </c>
      <c r="F12306" s="2" t="s">
        <v>131</v>
      </c>
    </row>
    <row r="12307" spans="1:6" ht="25.5">
      <c r="A12307" s="2">
        <v>12304</v>
      </c>
      <c r="B12307" s="2" t="s">
        <v>12381</v>
      </c>
      <c r="C12307" s="2" t="str">
        <f>"18632491"</f>
        <v>18632491</v>
      </c>
      <c r="D12307" s="2">
        <v>0.27800000000000002</v>
      </c>
      <c r="E12307" s="2">
        <v>9</v>
      </c>
      <c r="F12307" s="2" t="s">
        <v>16</v>
      </c>
    </row>
    <row r="12308" spans="1:6" ht="25.5">
      <c r="A12308" s="2">
        <v>12305</v>
      </c>
      <c r="B12308" s="2" t="s">
        <v>12382</v>
      </c>
      <c r="C12308" s="2" t="str">
        <f>"10477594"</f>
        <v>10477594</v>
      </c>
      <c r="D12308" s="2">
        <v>0.25</v>
      </c>
      <c r="E12308" s="2">
        <v>6</v>
      </c>
      <c r="F12308" s="2" t="s">
        <v>6</v>
      </c>
    </row>
    <row r="12309" spans="1:6" ht="25.5">
      <c r="A12309" s="2">
        <v>12306</v>
      </c>
      <c r="B12309" s="2" t="s">
        <v>12383</v>
      </c>
      <c r="C12309" s="2" t="str">
        <f>"00754358"</f>
        <v>00754358</v>
      </c>
      <c r="D12309" s="2">
        <v>0.26800000000000002</v>
      </c>
      <c r="E12309" s="2">
        <v>10</v>
      </c>
      <c r="F12309" s="2" t="s">
        <v>16</v>
      </c>
    </row>
    <row r="12310" spans="1:6" ht="25.5">
      <c r="A12310" s="2">
        <v>12307</v>
      </c>
      <c r="B12310" s="2" t="s">
        <v>12384</v>
      </c>
      <c r="C12310" s="2" t="str">
        <f>"15111768"</f>
        <v>15111768</v>
      </c>
      <c r="D12310" s="2">
        <v>0.18099999999999999</v>
      </c>
      <c r="E12310" s="2">
        <v>5</v>
      </c>
      <c r="F12310" s="2" t="s">
        <v>37</v>
      </c>
    </row>
    <row r="12311" spans="1:6" ht="25.5">
      <c r="A12311" s="2">
        <v>12308</v>
      </c>
      <c r="B12311" s="2" t="s">
        <v>12385</v>
      </c>
      <c r="C12311" s="2" t="str">
        <f>"09703357"</f>
        <v>09703357</v>
      </c>
      <c r="D12311" s="2">
        <v>0.113</v>
      </c>
      <c r="E12311" s="2">
        <v>4</v>
      </c>
      <c r="F12311" s="2" t="s">
        <v>488</v>
      </c>
    </row>
    <row r="12312" spans="1:6" ht="25.5">
      <c r="A12312" s="2">
        <v>12309</v>
      </c>
      <c r="B12312" s="2" t="s">
        <v>12386</v>
      </c>
      <c r="C12312" s="2" t="str">
        <f>"0890765X"</f>
        <v>0890765X</v>
      </c>
      <c r="D12312" s="2">
        <v>0.89500000000000002</v>
      </c>
      <c r="E12312" s="2">
        <v>34</v>
      </c>
      <c r="F12312" s="2" t="s">
        <v>16</v>
      </c>
    </row>
    <row r="12313" spans="1:6" ht="25.5">
      <c r="A12313" s="2">
        <v>12310</v>
      </c>
      <c r="B12313" s="2" t="s">
        <v>12387</v>
      </c>
      <c r="C12313" s="2" t="str">
        <f>"07430167"</f>
        <v>07430167</v>
      </c>
      <c r="D12313" s="2">
        <v>0.98299999999999998</v>
      </c>
      <c r="E12313" s="2">
        <v>49</v>
      </c>
      <c r="F12313" s="2" t="s">
        <v>16</v>
      </c>
    </row>
    <row r="12314" spans="1:6" ht="25.5">
      <c r="A12314" s="2">
        <v>12311</v>
      </c>
      <c r="B12314" s="2" t="s">
        <v>12388</v>
      </c>
      <c r="C12314" s="2" t="str">
        <f>"10712836"</f>
        <v>10712836</v>
      </c>
      <c r="D12314" s="2">
        <v>0.35</v>
      </c>
      <c r="E12314" s="2">
        <v>18</v>
      </c>
      <c r="F12314" s="2" t="s">
        <v>6</v>
      </c>
    </row>
    <row r="12315" spans="1:6" ht="25.5">
      <c r="A12315" s="2">
        <v>12312</v>
      </c>
      <c r="B12315" s="2" t="s">
        <v>12389</v>
      </c>
      <c r="C12315" s="2" t="str">
        <f>"00224375"</f>
        <v>00224375</v>
      </c>
      <c r="D12315" s="2">
        <v>1.01</v>
      </c>
      <c r="E12315" s="2">
        <v>40</v>
      </c>
      <c r="F12315" s="2" t="s">
        <v>16</v>
      </c>
    </row>
    <row r="12316" spans="1:6" ht="25.5">
      <c r="A12316" s="2">
        <v>12313</v>
      </c>
      <c r="B12316" s="2" t="s">
        <v>12390</v>
      </c>
      <c r="C12316" s="2" t="str">
        <f>"09751920"</f>
        <v>09751920</v>
      </c>
      <c r="D12316" s="2">
        <v>0.1</v>
      </c>
      <c r="E12316" s="2">
        <v>0</v>
      </c>
      <c r="F12316" s="2" t="s">
        <v>488</v>
      </c>
    </row>
    <row r="12317" spans="1:6" ht="25.5">
      <c r="A12317" s="2">
        <v>12314</v>
      </c>
      <c r="B12317" s="2" t="s">
        <v>12391</v>
      </c>
      <c r="C12317" s="2" t="str">
        <f>"10996362"</f>
        <v>10996362</v>
      </c>
      <c r="D12317" s="2">
        <v>0.42799999999999999</v>
      </c>
      <c r="E12317" s="2">
        <v>14</v>
      </c>
      <c r="F12317" s="2" t="s">
        <v>16</v>
      </c>
    </row>
    <row r="12318" spans="1:6" ht="25.5">
      <c r="A12318" s="2">
        <v>12315</v>
      </c>
      <c r="B12318" s="2" t="s">
        <v>12392</v>
      </c>
      <c r="C12318" s="2" t="str">
        <f>"13196103"</f>
        <v>13196103</v>
      </c>
      <c r="D12318" s="2">
        <v>0.28799999999999998</v>
      </c>
      <c r="E12318" s="2">
        <v>6</v>
      </c>
      <c r="F12318" s="2" t="s">
        <v>75</v>
      </c>
    </row>
    <row r="12319" spans="1:6" ht="25.5">
      <c r="A12319" s="2">
        <v>12316</v>
      </c>
      <c r="B12319" s="2" t="s">
        <v>12393</v>
      </c>
      <c r="C12319" s="2" t="str">
        <f>"16512340"</f>
        <v>16512340</v>
      </c>
      <c r="D12319" s="2">
        <v>0.22800000000000001</v>
      </c>
      <c r="E12319" s="2">
        <v>8</v>
      </c>
      <c r="F12319" s="2" t="s">
        <v>151</v>
      </c>
    </row>
    <row r="12320" spans="1:6" ht="25.5">
      <c r="A12320" s="2">
        <v>12317</v>
      </c>
      <c r="B12320" s="2" t="s">
        <v>12394</v>
      </c>
      <c r="C12320" s="2" t="str">
        <f>"10946136"</f>
        <v>10946136</v>
      </c>
      <c r="D12320" s="2">
        <v>1.857</v>
      </c>
      <c r="E12320" s="2">
        <v>34</v>
      </c>
      <c r="F12320" s="2" t="s">
        <v>6</v>
      </c>
    </row>
    <row r="12321" spans="1:6" ht="25.5">
      <c r="A12321" s="2">
        <v>12318</v>
      </c>
      <c r="B12321" s="2" t="s">
        <v>12395</v>
      </c>
      <c r="C12321" s="2" t="str">
        <f>"17101166"</f>
        <v>17101166</v>
      </c>
      <c r="D12321" s="2">
        <v>0.153</v>
      </c>
      <c r="E12321" s="2">
        <v>7</v>
      </c>
      <c r="F12321" s="2" t="s">
        <v>64</v>
      </c>
    </row>
    <row r="12322" spans="1:6" ht="25.5">
      <c r="A12322" s="2">
        <v>12319</v>
      </c>
      <c r="B12322" s="2" t="s">
        <v>12396</v>
      </c>
      <c r="C12322" s="2" t="str">
        <f>"15582167"</f>
        <v>15582167</v>
      </c>
      <c r="D12322" s="2">
        <v>0.33700000000000002</v>
      </c>
      <c r="E12322" s="2">
        <v>5</v>
      </c>
      <c r="F12322" s="2" t="s">
        <v>16</v>
      </c>
    </row>
    <row r="12323" spans="1:6" ht="25.5">
      <c r="A12323" s="2">
        <v>12320</v>
      </c>
      <c r="B12323" s="2" t="s">
        <v>12397</v>
      </c>
      <c r="C12323" s="2" t="str">
        <f>"00224391"</f>
        <v>00224391</v>
      </c>
      <c r="D12323" s="2">
        <v>0.79</v>
      </c>
      <c r="E12323" s="2">
        <v>47</v>
      </c>
      <c r="F12323" s="2" t="s">
        <v>16</v>
      </c>
    </row>
    <row r="12324" spans="1:6" ht="25.5">
      <c r="A12324" s="2">
        <v>12321</v>
      </c>
      <c r="B12324" s="2" t="s">
        <v>12398</v>
      </c>
      <c r="C12324" s="2" t="str">
        <f>"15468364"</f>
        <v>15468364</v>
      </c>
      <c r="D12324" s="2">
        <v>0.28599999999999998</v>
      </c>
      <c r="E12324" s="2">
        <v>16</v>
      </c>
      <c r="F12324" s="2" t="s">
        <v>6</v>
      </c>
    </row>
    <row r="12325" spans="1:6" ht="25.5">
      <c r="A12325" s="2">
        <v>12322</v>
      </c>
      <c r="B12325" s="2" t="s">
        <v>12399</v>
      </c>
      <c r="C12325" s="2" t="str">
        <f>"00224405"</f>
        <v>00224405</v>
      </c>
      <c r="D12325" s="2">
        <v>1.8149999999999999</v>
      </c>
      <c r="E12325" s="2">
        <v>47</v>
      </c>
      <c r="F12325" s="2" t="s">
        <v>75</v>
      </c>
    </row>
    <row r="12326" spans="1:6" ht="25.5">
      <c r="A12326" s="2">
        <v>12323</v>
      </c>
      <c r="B12326" s="2" t="s">
        <v>12400</v>
      </c>
      <c r="C12326" s="2" t="str">
        <f>"15388239"</f>
        <v>15388239</v>
      </c>
      <c r="D12326" s="2">
        <v>0.45600000000000002</v>
      </c>
      <c r="E12326" s="2">
        <v>8</v>
      </c>
      <c r="F12326" s="2" t="s">
        <v>16</v>
      </c>
    </row>
    <row r="12327" spans="1:6" ht="25.5">
      <c r="A12327" s="2">
        <v>12324</v>
      </c>
      <c r="B12327" s="2" t="s">
        <v>12401</v>
      </c>
      <c r="C12327" s="2" t="str">
        <f>"14402440"</f>
        <v>14402440</v>
      </c>
      <c r="D12327" s="2">
        <v>1.4119999999999999</v>
      </c>
      <c r="E12327" s="2">
        <v>42</v>
      </c>
      <c r="F12327" s="2" t="s">
        <v>75</v>
      </c>
    </row>
    <row r="12328" spans="1:6" ht="25.5">
      <c r="A12328" s="2">
        <v>12325</v>
      </c>
      <c r="B12328" s="2" t="s">
        <v>12402</v>
      </c>
      <c r="C12328" s="2" t="str">
        <f>"18235034"</f>
        <v>18235034</v>
      </c>
      <c r="D12328" s="2">
        <v>0.105</v>
      </c>
      <c r="E12328" s="2">
        <v>1</v>
      </c>
      <c r="F12328" s="2" t="s">
        <v>37</v>
      </c>
    </row>
    <row r="12329" spans="1:6" ht="25.5">
      <c r="A12329" s="2">
        <v>12326</v>
      </c>
      <c r="B12329" s="2" t="s">
        <v>12403</v>
      </c>
      <c r="C12329" s="2" t="str">
        <f>"18242049"</f>
        <v>18242049</v>
      </c>
      <c r="D12329" s="2">
        <v>0.22800000000000001</v>
      </c>
      <c r="E12329" s="2">
        <v>3</v>
      </c>
      <c r="F12329" s="2" t="s">
        <v>190</v>
      </c>
    </row>
    <row r="12330" spans="1:6" ht="25.5">
      <c r="A12330" s="2">
        <v>12327</v>
      </c>
      <c r="B12330" s="2" t="s">
        <v>12404</v>
      </c>
      <c r="C12330" s="2" t="str">
        <f>"01245481"</f>
        <v>01245481</v>
      </c>
      <c r="D12330" s="2">
        <v>0.158</v>
      </c>
      <c r="E12330" s="2">
        <v>1</v>
      </c>
      <c r="F12330" s="2" t="s">
        <v>184</v>
      </c>
    </row>
    <row r="12331" spans="1:6" ht="25.5">
      <c r="A12331" s="2">
        <v>12328</v>
      </c>
      <c r="B12331" s="2" t="s">
        <v>12405</v>
      </c>
      <c r="C12331" s="2" t="str">
        <f>"10590145"</f>
        <v>10590145</v>
      </c>
      <c r="D12331" s="2">
        <v>0.75800000000000001</v>
      </c>
      <c r="E12331" s="2">
        <v>24</v>
      </c>
      <c r="F12331" s="2" t="s">
        <v>75</v>
      </c>
    </row>
    <row r="12332" spans="1:6" ht="25.5">
      <c r="A12332" s="2">
        <v>12329</v>
      </c>
      <c r="B12332" s="2" t="s">
        <v>12406</v>
      </c>
      <c r="C12332" s="2" t="str">
        <f>"10161104"</f>
        <v>10161104</v>
      </c>
      <c r="D12332" s="2">
        <v>0.11</v>
      </c>
      <c r="E12332" s="2">
        <v>1</v>
      </c>
      <c r="F12332" s="2" t="s">
        <v>299</v>
      </c>
    </row>
    <row r="12333" spans="1:6" ht="25.5">
      <c r="A12333" s="2">
        <v>12330</v>
      </c>
      <c r="B12333" s="2" t="s">
        <v>12407</v>
      </c>
      <c r="C12333" s="2" t="str">
        <f>"1046560X"</f>
        <v>1046560X</v>
      </c>
      <c r="D12333" s="2">
        <v>0.61099999999999999</v>
      </c>
      <c r="E12333" s="2">
        <v>19</v>
      </c>
      <c r="F12333" s="2" t="s">
        <v>75</v>
      </c>
    </row>
    <row r="12334" spans="1:6" ht="25.5">
      <c r="A12334" s="2">
        <v>12331</v>
      </c>
      <c r="B12334" s="2" t="s">
        <v>12408</v>
      </c>
      <c r="C12334" s="2" t="str">
        <f>"00224456"</f>
        <v>00224456</v>
      </c>
      <c r="D12334" s="2">
        <v>0.251</v>
      </c>
      <c r="E12334" s="2">
        <v>25</v>
      </c>
      <c r="F12334" s="2" t="s">
        <v>488</v>
      </c>
    </row>
    <row r="12335" spans="1:6" ht="25.5">
      <c r="A12335" s="2">
        <v>12332</v>
      </c>
      <c r="B12335" s="2" t="s">
        <v>12409</v>
      </c>
      <c r="C12335" s="2" t="str">
        <f>"15737691"</f>
        <v>15737691</v>
      </c>
      <c r="D12335" s="2">
        <v>1.554</v>
      </c>
      <c r="E12335" s="2">
        <v>36</v>
      </c>
      <c r="F12335" s="2" t="s">
        <v>6</v>
      </c>
    </row>
    <row r="12336" spans="1:6" ht="25.5">
      <c r="A12336" s="2">
        <v>12333</v>
      </c>
      <c r="B12336" s="2" t="s">
        <v>12410</v>
      </c>
      <c r="C12336" s="2" t="str">
        <f>"08923310"</f>
        <v>08923310</v>
      </c>
      <c r="D12336" s="2">
        <v>0.21299999999999999</v>
      </c>
      <c r="E12336" s="2">
        <v>12</v>
      </c>
      <c r="F12336" s="2" t="s">
        <v>6</v>
      </c>
    </row>
    <row r="12337" spans="1:6" ht="25.5">
      <c r="A12337" s="2">
        <v>12334</v>
      </c>
      <c r="B12337" s="2" t="s">
        <v>12411</v>
      </c>
      <c r="C12337" s="2" t="str">
        <f>"13851101"</f>
        <v>13851101</v>
      </c>
      <c r="D12337" s="2">
        <v>0.94199999999999995</v>
      </c>
      <c r="E12337" s="2">
        <v>51</v>
      </c>
      <c r="F12337" s="2" t="s">
        <v>75</v>
      </c>
    </row>
    <row r="12338" spans="1:6" ht="25.5">
      <c r="A12338" s="2">
        <v>12335</v>
      </c>
      <c r="B12338" s="2" t="s">
        <v>12412</v>
      </c>
      <c r="C12338" s="2" t="str">
        <f>"10603743"</f>
        <v>10603743</v>
      </c>
      <c r="D12338" s="2">
        <v>0.98499999999999999</v>
      </c>
      <c r="E12338" s="2">
        <v>32</v>
      </c>
      <c r="F12338" s="2" t="s">
        <v>16</v>
      </c>
    </row>
    <row r="12339" spans="1:6" ht="25.5">
      <c r="A12339" s="2">
        <v>12336</v>
      </c>
      <c r="B12339" s="2" t="s">
        <v>12413</v>
      </c>
      <c r="C12339" s="2" t="str">
        <f>"15271404"</f>
        <v>15271404</v>
      </c>
      <c r="D12339" s="2">
        <v>1.371</v>
      </c>
      <c r="E12339" s="2">
        <v>58</v>
      </c>
      <c r="F12339" s="2" t="s">
        <v>6</v>
      </c>
    </row>
    <row r="12340" spans="1:6" ht="25.5">
      <c r="A12340" s="2">
        <v>12337</v>
      </c>
      <c r="B12340" s="2" t="s">
        <v>12414</v>
      </c>
      <c r="C12340" s="2" t="str">
        <f>"09630651"</f>
        <v>09630651</v>
      </c>
      <c r="D12340" s="2">
        <v>0.21</v>
      </c>
      <c r="E12340" s="2">
        <v>12</v>
      </c>
      <c r="F12340" s="2" t="s">
        <v>66</v>
      </c>
    </row>
    <row r="12341" spans="1:6" ht="25.5">
      <c r="A12341" s="2">
        <v>12338</v>
      </c>
      <c r="B12341" s="2" t="s">
        <v>12415</v>
      </c>
      <c r="C12341" s="2" t="str">
        <f>"1573157X"</f>
        <v>1573157X</v>
      </c>
      <c r="D12341" s="2">
        <v>0.89200000000000002</v>
      </c>
      <c r="E12341" s="2">
        <v>32</v>
      </c>
      <c r="F12341" s="2" t="s">
        <v>75</v>
      </c>
    </row>
    <row r="12342" spans="1:6" ht="25.5">
      <c r="A12342" s="2">
        <v>12339</v>
      </c>
      <c r="B12342" s="2" t="s">
        <v>12416</v>
      </c>
      <c r="C12342" s="2" t="str">
        <f>"14774593"</f>
        <v>14774593</v>
      </c>
      <c r="D12342" s="2">
        <v>0.69499999999999995</v>
      </c>
      <c r="E12342" s="2">
        <v>9</v>
      </c>
      <c r="F12342" s="2" t="s">
        <v>16</v>
      </c>
    </row>
    <row r="12343" spans="1:6" ht="25.5">
      <c r="A12343" s="2">
        <v>12340</v>
      </c>
      <c r="B12343" s="2" t="s">
        <v>12417</v>
      </c>
      <c r="C12343" s="2" t="str">
        <f>"16744926"</f>
        <v>16744926</v>
      </c>
      <c r="D12343" s="2">
        <v>0.186</v>
      </c>
      <c r="E12343" s="2">
        <v>7</v>
      </c>
      <c r="F12343" s="2" t="s">
        <v>75</v>
      </c>
    </row>
    <row r="12344" spans="1:6" ht="25.5">
      <c r="A12344" s="2">
        <v>12341</v>
      </c>
      <c r="B12344" s="2" t="s">
        <v>12418</v>
      </c>
      <c r="C12344" s="2" t="str">
        <f>"15981657"</f>
        <v>15981657</v>
      </c>
      <c r="D12344" s="2">
        <v>0.30099999999999999</v>
      </c>
      <c r="E12344" s="2">
        <v>5</v>
      </c>
      <c r="F12344" s="2" t="s">
        <v>274</v>
      </c>
    </row>
    <row r="12345" spans="1:6" ht="25.5">
      <c r="A12345" s="2">
        <v>12342</v>
      </c>
      <c r="B12345" s="2" t="s">
        <v>12419</v>
      </c>
      <c r="C12345" s="2" t="str">
        <f>"14778556"</f>
        <v>14778556</v>
      </c>
      <c r="D12345" s="2">
        <v>0.1</v>
      </c>
      <c r="E12345" s="2">
        <v>5</v>
      </c>
      <c r="F12345" s="2" t="s">
        <v>16</v>
      </c>
    </row>
    <row r="12346" spans="1:6" ht="25.5">
      <c r="A12346" s="2">
        <v>12343</v>
      </c>
      <c r="B12346" s="2" t="s">
        <v>12420</v>
      </c>
      <c r="C12346" s="2" t="str">
        <f>"16877268"</f>
        <v>16877268</v>
      </c>
      <c r="D12346" s="2">
        <v>0.47199999999999998</v>
      </c>
      <c r="E12346" s="2">
        <v>11</v>
      </c>
      <c r="F12346" s="2" t="s">
        <v>6</v>
      </c>
    </row>
    <row r="12347" spans="1:6" ht="25.5">
      <c r="A12347" s="2">
        <v>12344</v>
      </c>
      <c r="B12347" s="2" t="s">
        <v>12421</v>
      </c>
      <c r="C12347" s="2" t="str">
        <f>"08878250"</f>
        <v>08878250</v>
      </c>
      <c r="D12347" s="2">
        <v>0.65</v>
      </c>
      <c r="E12347" s="2">
        <v>27</v>
      </c>
      <c r="F12347" s="2" t="s">
        <v>16</v>
      </c>
    </row>
    <row r="12348" spans="1:6" ht="25.5">
      <c r="A12348" s="2">
        <v>12345</v>
      </c>
      <c r="B12348" s="2" t="s">
        <v>12422</v>
      </c>
      <c r="C12348" s="2" t="str">
        <f>"16159314"</f>
        <v>16159314</v>
      </c>
      <c r="D12348" s="2">
        <v>1.0920000000000001</v>
      </c>
      <c r="E12348" s="2">
        <v>55</v>
      </c>
      <c r="F12348" s="2" t="s">
        <v>12</v>
      </c>
    </row>
    <row r="12349" spans="1:6" ht="25.5">
      <c r="A12349" s="2">
        <v>12346</v>
      </c>
      <c r="B12349" s="2" t="s">
        <v>12423</v>
      </c>
      <c r="C12349" s="2" t="str">
        <f>"17575818"</f>
        <v>17575818</v>
      </c>
      <c r="D12349" s="2">
        <v>0.97099999999999997</v>
      </c>
      <c r="E12349" s="2">
        <v>10</v>
      </c>
      <c r="F12349" s="2" t="s">
        <v>16</v>
      </c>
    </row>
    <row r="12350" spans="1:6" ht="25.5">
      <c r="A12350" s="2">
        <v>12347</v>
      </c>
      <c r="B12350" s="2" t="s">
        <v>12424</v>
      </c>
      <c r="C12350" s="2" t="str">
        <f>"15527379"</f>
        <v>15527379</v>
      </c>
      <c r="D12350" s="2">
        <v>1.998</v>
      </c>
      <c r="E12350" s="2">
        <v>36</v>
      </c>
      <c r="F12350" s="2" t="s">
        <v>6</v>
      </c>
    </row>
    <row r="12351" spans="1:6" ht="25.5">
      <c r="A12351" s="2">
        <v>12348</v>
      </c>
      <c r="B12351" s="2" t="s">
        <v>12425</v>
      </c>
      <c r="C12351" s="2" t="str">
        <f>"08876045"</f>
        <v>08876045</v>
      </c>
      <c r="D12351" s="2">
        <v>0.61299999999999999</v>
      </c>
      <c r="E12351" s="2">
        <v>26</v>
      </c>
      <c r="F12351" s="2" t="s">
        <v>16</v>
      </c>
    </row>
    <row r="12352" spans="1:6" ht="25.5">
      <c r="A12352" s="2">
        <v>12349</v>
      </c>
      <c r="B12352" s="2" t="s">
        <v>12426</v>
      </c>
      <c r="C12352" s="2" t="str">
        <f>"15210715"</f>
        <v>15210715</v>
      </c>
      <c r="D12352" s="2">
        <v>0.54900000000000004</v>
      </c>
      <c r="E12352" s="2">
        <v>47</v>
      </c>
      <c r="F12352" s="2" t="s">
        <v>16</v>
      </c>
    </row>
    <row r="12353" spans="1:6" ht="25.5">
      <c r="A12353" s="2">
        <v>12350</v>
      </c>
      <c r="B12353" s="2" t="s">
        <v>12427</v>
      </c>
      <c r="C12353" s="2" t="str">
        <f>"00224499"</f>
        <v>00224499</v>
      </c>
      <c r="D12353" s="2">
        <v>0.90100000000000002</v>
      </c>
      <c r="E12353" s="2">
        <v>54</v>
      </c>
      <c r="F12353" s="2" t="s">
        <v>16</v>
      </c>
    </row>
    <row r="12354" spans="1:6" ht="25.5">
      <c r="A12354" s="2">
        <v>12351</v>
      </c>
      <c r="B12354" s="2" t="s">
        <v>12428</v>
      </c>
      <c r="C12354" s="2" t="str">
        <f>"17436109"</f>
        <v>17436109</v>
      </c>
      <c r="D12354" s="2">
        <v>1.006</v>
      </c>
      <c r="E12354" s="2">
        <v>57</v>
      </c>
      <c r="F12354" s="2" t="s">
        <v>16</v>
      </c>
    </row>
    <row r="12355" spans="1:6" ht="25.5">
      <c r="A12355" s="2">
        <v>12352</v>
      </c>
      <c r="B12355" s="2" t="s">
        <v>12429</v>
      </c>
      <c r="C12355" s="2" t="str">
        <f>"02585898"</f>
        <v>02585898</v>
      </c>
      <c r="D12355" s="2">
        <v>0.10199999999999999</v>
      </c>
      <c r="E12355" s="2">
        <v>2</v>
      </c>
      <c r="F12355" s="2" t="s">
        <v>46</v>
      </c>
    </row>
    <row r="12356" spans="1:6" ht="25.5">
      <c r="A12356" s="2">
        <v>12353</v>
      </c>
      <c r="B12356" s="2" t="s">
        <v>12430</v>
      </c>
      <c r="C12356" s="2" t="str">
        <f>"10071172"</f>
        <v>10071172</v>
      </c>
      <c r="D12356" s="2">
        <v>0.15</v>
      </c>
      <c r="E12356" s="2">
        <v>8</v>
      </c>
      <c r="F12356" s="2" t="s">
        <v>46</v>
      </c>
    </row>
    <row r="12357" spans="1:6" ht="25.5">
      <c r="A12357" s="2">
        <v>12354</v>
      </c>
      <c r="B12357" s="2" t="s">
        <v>12431</v>
      </c>
      <c r="C12357" s="2" t="str">
        <f>"10076417"</f>
        <v>10076417</v>
      </c>
      <c r="D12357" s="2">
        <v>0.111</v>
      </c>
      <c r="E12357" s="2">
        <v>7</v>
      </c>
      <c r="F12357" s="2" t="s">
        <v>12</v>
      </c>
    </row>
    <row r="12358" spans="1:6" ht="25.5">
      <c r="A12358" s="2">
        <v>12355</v>
      </c>
      <c r="B12358" s="2" t="s">
        <v>12432</v>
      </c>
      <c r="C12358" s="2" t="str">
        <f>"07308000"</f>
        <v>07308000</v>
      </c>
      <c r="D12358" s="2">
        <v>0.372</v>
      </c>
      <c r="E12358" s="2">
        <v>40</v>
      </c>
      <c r="F12358" s="2" t="s">
        <v>6</v>
      </c>
    </row>
    <row r="12359" spans="1:6" ht="25.5">
      <c r="A12359" s="2">
        <v>12356</v>
      </c>
      <c r="B12359" s="2" t="s">
        <v>12433</v>
      </c>
      <c r="C12359" s="2" t="str">
        <f>"17489423"</f>
        <v>17489423</v>
      </c>
      <c r="D12359" s="2">
        <v>0.10100000000000001</v>
      </c>
      <c r="E12359" s="2">
        <v>1</v>
      </c>
      <c r="F12359" s="2" t="s">
        <v>16</v>
      </c>
    </row>
    <row r="12360" spans="1:6" ht="25.5">
      <c r="A12360" s="2">
        <v>12357</v>
      </c>
      <c r="B12360" s="2" t="s">
        <v>12434</v>
      </c>
      <c r="C12360" s="2" t="str">
        <f>"87561417"</f>
        <v>87561417</v>
      </c>
      <c r="D12360" s="2">
        <v>0.19800000000000001</v>
      </c>
      <c r="E12360" s="2">
        <v>13</v>
      </c>
      <c r="F12360" s="2" t="s">
        <v>6</v>
      </c>
    </row>
    <row r="12361" spans="1:6" ht="25.5">
      <c r="A12361" s="2">
        <v>12358</v>
      </c>
      <c r="B12361" s="2" t="s">
        <v>12435</v>
      </c>
      <c r="C12361" s="2" t="str">
        <f>"00224502"</f>
        <v>00224502</v>
      </c>
      <c r="D12361" s="2">
        <v>0.60899999999999999</v>
      </c>
      <c r="E12361" s="2">
        <v>25</v>
      </c>
      <c r="F12361" s="2" t="s">
        <v>6</v>
      </c>
    </row>
    <row r="12362" spans="1:6" ht="25.5">
      <c r="A12362" s="2">
        <v>12359</v>
      </c>
      <c r="B12362" s="2" t="s">
        <v>12436</v>
      </c>
      <c r="C12362" s="2" t="str">
        <f>"15326500"</f>
        <v>15326500</v>
      </c>
      <c r="D12362" s="2">
        <v>1.746</v>
      </c>
      <c r="E12362" s="2">
        <v>73</v>
      </c>
      <c r="F12362" s="2" t="s">
        <v>6</v>
      </c>
    </row>
    <row r="12363" spans="1:6" ht="25.5">
      <c r="A12363" s="2">
        <v>12360</v>
      </c>
      <c r="B12363" s="2" t="s">
        <v>12437</v>
      </c>
      <c r="C12363" s="2" t="str">
        <f>"1672173X"</f>
        <v>1672173X</v>
      </c>
      <c r="D12363" s="2">
        <v>0.13100000000000001</v>
      </c>
      <c r="E12363" s="2">
        <v>9</v>
      </c>
      <c r="F12363" s="2" t="s">
        <v>46</v>
      </c>
    </row>
    <row r="12364" spans="1:6" ht="25.5">
      <c r="A12364" s="2">
        <v>12361</v>
      </c>
      <c r="B12364" s="2" t="s">
        <v>12438</v>
      </c>
      <c r="C12364" s="2" t="str">
        <f>"19398018"</f>
        <v>19398018</v>
      </c>
      <c r="D12364" s="2">
        <v>0.39800000000000002</v>
      </c>
      <c r="E12364" s="2">
        <v>34</v>
      </c>
      <c r="F12364" s="2" t="s">
        <v>6</v>
      </c>
    </row>
    <row r="12365" spans="1:6" ht="25.5">
      <c r="A12365" s="2">
        <v>12362</v>
      </c>
      <c r="B12365" s="2" t="s">
        <v>12439</v>
      </c>
      <c r="C12365" s="2" t="str">
        <f>"17477786"</f>
        <v>17477786</v>
      </c>
      <c r="D12365" s="2">
        <v>0.79600000000000004</v>
      </c>
      <c r="E12365" s="2">
        <v>8</v>
      </c>
      <c r="F12365" s="2" t="s">
        <v>16</v>
      </c>
    </row>
    <row r="12366" spans="1:6" ht="25.5">
      <c r="A12366" s="2">
        <v>12363</v>
      </c>
      <c r="B12366" s="2" t="s">
        <v>12440</v>
      </c>
      <c r="C12366" s="2" t="str">
        <f>"19492006"</f>
        <v>19492006</v>
      </c>
      <c r="D12366" s="2">
        <v>0.13500000000000001</v>
      </c>
      <c r="E12366" s="2">
        <v>1</v>
      </c>
      <c r="F12366" s="2" t="s">
        <v>6</v>
      </c>
    </row>
    <row r="12367" spans="1:6" ht="25.5">
      <c r="A12367" s="2">
        <v>12364</v>
      </c>
      <c r="B12367" s="2" t="s">
        <v>12441</v>
      </c>
      <c r="C12367" s="2" t="str">
        <f>"13518046"</f>
        <v>13518046</v>
      </c>
      <c r="D12367" s="2">
        <v>0.111</v>
      </c>
      <c r="E12367" s="2">
        <v>1</v>
      </c>
      <c r="F12367" s="2" t="s">
        <v>16</v>
      </c>
    </row>
    <row r="12368" spans="1:6" ht="25.5">
      <c r="A12368" s="2">
        <v>12365</v>
      </c>
      <c r="B12368" s="2" t="s">
        <v>12442</v>
      </c>
      <c r="C12368" s="2" t="str">
        <f>"13652869"</f>
        <v>13652869</v>
      </c>
      <c r="D12368" s="2">
        <v>1.05</v>
      </c>
      <c r="E12368" s="2">
        <v>67</v>
      </c>
      <c r="F12368" s="2" t="s">
        <v>16</v>
      </c>
    </row>
    <row r="12369" spans="1:6" ht="25.5">
      <c r="A12369" s="2">
        <v>12366</v>
      </c>
      <c r="B12369" s="2" t="s">
        <v>12443</v>
      </c>
      <c r="C12369" s="2" t="str">
        <f>"17485827"</f>
        <v>17485827</v>
      </c>
      <c r="D12369" s="2">
        <v>0.73699999999999999</v>
      </c>
      <c r="E12369" s="2">
        <v>39</v>
      </c>
      <c r="F12369" s="2" t="s">
        <v>16</v>
      </c>
    </row>
    <row r="12370" spans="1:6" ht="25.5">
      <c r="A12370" s="2">
        <v>12367</v>
      </c>
      <c r="B12370" s="2" t="s">
        <v>12444</v>
      </c>
      <c r="C12370" s="2" t="str">
        <f>"14626004"</f>
        <v>14626004</v>
      </c>
      <c r="D12370" s="2">
        <v>0.33100000000000002</v>
      </c>
      <c r="E12370" s="2">
        <v>17</v>
      </c>
      <c r="F12370" s="2" t="s">
        <v>16</v>
      </c>
    </row>
    <row r="12371" spans="1:6" ht="25.5">
      <c r="A12371" s="2">
        <v>12368</v>
      </c>
      <c r="B12371" s="2" t="s">
        <v>12445</v>
      </c>
      <c r="C12371" s="2" t="str">
        <f>"1540627X"</f>
        <v>1540627X</v>
      </c>
      <c r="D12371" s="2">
        <v>0.98799999999999999</v>
      </c>
      <c r="E12371" s="2">
        <v>42</v>
      </c>
      <c r="F12371" s="2" t="s">
        <v>16</v>
      </c>
    </row>
    <row r="12372" spans="1:6" ht="25.5">
      <c r="A12372" s="2">
        <v>12369</v>
      </c>
      <c r="B12372" s="2" t="s">
        <v>12446</v>
      </c>
      <c r="C12372" s="2" t="str">
        <f>"18342612"</f>
        <v>18342612</v>
      </c>
      <c r="D12372" s="2">
        <v>0.14499999999999999</v>
      </c>
      <c r="E12372" s="2">
        <v>2</v>
      </c>
      <c r="F12372" s="2" t="s">
        <v>127</v>
      </c>
    </row>
    <row r="12373" spans="1:6" ht="25.5">
      <c r="A12373" s="2">
        <v>12370</v>
      </c>
      <c r="B12373" s="2" t="s">
        <v>12447</v>
      </c>
      <c r="C12373" s="2" t="str">
        <f>"09168737"</f>
        <v>09168737</v>
      </c>
      <c r="D12373" s="2">
        <v>0.25900000000000001</v>
      </c>
      <c r="E12373" s="2">
        <v>23</v>
      </c>
      <c r="F12373" s="2" t="s">
        <v>131</v>
      </c>
    </row>
    <row r="12374" spans="1:6" ht="25.5">
      <c r="A12374" s="2">
        <v>12371</v>
      </c>
      <c r="B12374" s="2" t="s">
        <v>12448</v>
      </c>
      <c r="C12374" s="2" t="str">
        <f>"07367236"</f>
        <v>07367236</v>
      </c>
      <c r="D12374" s="2">
        <v>0.88900000000000001</v>
      </c>
      <c r="E12374" s="2">
        <v>46</v>
      </c>
      <c r="F12374" s="2" t="s">
        <v>6</v>
      </c>
    </row>
    <row r="12375" spans="1:6" ht="25.5">
      <c r="A12375" s="2">
        <v>12372</v>
      </c>
      <c r="B12375" s="2" t="s">
        <v>12449</v>
      </c>
      <c r="C12375" s="2" t="str">
        <f>"02654075"</f>
        <v>02654075</v>
      </c>
      <c r="D12375" s="2">
        <v>0.73199999999999998</v>
      </c>
      <c r="E12375" s="2">
        <v>39</v>
      </c>
      <c r="F12375" s="2" t="s">
        <v>16</v>
      </c>
    </row>
    <row r="12376" spans="1:6" ht="25.5">
      <c r="A12376" s="2">
        <v>12373</v>
      </c>
      <c r="B12376" s="2" t="s">
        <v>12450</v>
      </c>
      <c r="C12376" s="2" t="str">
        <f>"14696053"</f>
        <v>14696053</v>
      </c>
      <c r="D12376" s="2">
        <v>0.52300000000000002</v>
      </c>
      <c r="E12376" s="2">
        <v>10</v>
      </c>
      <c r="F12376" s="2" t="s">
        <v>16</v>
      </c>
    </row>
    <row r="12377" spans="1:6" ht="25.5">
      <c r="A12377" s="2">
        <v>12374</v>
      </c>
      <c r="B12377" s="2" t="s">
        <v>12451</v>
      </c>
      <c r="C12377" s="2" t="str">
        <f>"10121080"</f>
        <v>10121080</v>
      </c>
      <c r="D12377" s="2">
        <v>0.10100000000000001</v>
      </c>
      <c r="E12377" s="2">
        <v>6</v>
      </c>
      <c r="F12377" s="2" t="s">
        <v>12452</v>
      </c>
    </row>
    <row r="12378" spans="1:6" ht="25.5">
      <c r="A12378" s="2">
        <v>12375</v>
      </c>
      <c r="B12378" s="2" t="s">
        <v>12453</v>
      </c>
      <c r="C12378" s="2" t="str">
        <f>"19335377"</f>
        <v>19335377</v>
      </c>
      <c r="D12378" s="2">
        <v>0.19400000000000001</v>
      </c>
      <c r="E12378" s="2">
        <v>2</v>
      </c>
      <c r="F12378" s="2" t="s">
        <v>6</v>
      </c>
    </row>
    <row r="12379" spans="1:6" ht="25.5">
      <c r="A12379" s="2">
        <v>12376</v>
      </c>
      <c r="B12379" s="2" t="s">
        <v>12454</v>
      </c>
      <c r="C12379" s="2" t="str">
        <f>"15271897"</f>
        <v>15271897</v>
      </c>
      <c r="D12379" s="2">
        <v>0.124</v>
      </c>
      <c r="E12379" s="2">
        <v>13</v>
      </c>
      <c r="F12379" s="2" t="s">
        <v>6</v>
      </c>
    </row>
    <row r="12380" spans="1:6" ht="25.5">
      <c r="A12380" s="2">
        <v>12377</v>
      </c>
      <c r="B12380" s="2" t="s">
        <v>12455</v>
      </c>
      <c r="C12380" s="2" t="str">
        <f>"15404560"</f>
        <v>15404560</v>
      </c>
      <c r="D12380" s="2">
        <v>1.532</v>
      </c>
      <c r="E12380" s="2">
        <v>63</v>
      </c>
      <c r="F12380" s="2" t="s">
        <v>16</v>
      </c>
    </row>
    <row r="12381" spans="1:6" ht="25.5">
      <c r="A12381" s="2">
        <v>12378</v>
      </c>
      <c r="B12381" s="2" t="s">
        <v>12456</v>
      </c>
      <c r="C12381" s="2" t="str">
        <f>"14679833"</f>
        <v>14679833</v>
      </c>
      <c r="D12381" s="2">
        <v>0.11799999999999999</v>
      </c>
      <c r="E12381" s="2">
        <v>3</v>
      </c>
      <c r="F12381" s="2" t="s">
        <v>16</v>
      </c>
    </row>
    <row r="12382" spans="1:6" ht="25.5">
      <c r="A12382" s="2">
        <v>12379</v>
      </c>
      <c r="B12382" s="2" t="s">
        <v>12457</v>
      </c>
      <c r="C12382" s="2" t="str">
        <f>"14697823"</f>
        <v>14697823</v>
      </c>
      <c r="D12382" s="2">
        <v>0.74399999999999999</v>
      </c>
      <c r="E12382" s="2">
        <v>30</v>
      </c>
      <c r="F12382" s="2" t="s">
        <v>16</v>
      </c>
    </row>
    <row r="12383" spans="1:6" ht="25.5">
      <c r="A12383" s="2">
        <v>12380</v>
      </c>
      <c r="B12383" s="2" t="s">
        <v>12458</v>
      </c>
      <c r="C12383" s="2" t="str">
        <f>"0278839X"</f>
        <v>0278839X</v>
      </c>
      <c r="D12383" s="2">
        <v>0.24199999999999999</v>
      </c>
      <c r="E12383" s="2">
        <v>4</v>
      </c>
      <c r="F12383" s="2" t="s">
        <v>6</v>
      </c>
    </row>
    <row r="12384" spans="1:6" ht="25.5">
      <c r="A12384" s="2">
        <v>12381</v>
      </c>
      <c r="B12384" s="2" t="s">
        <v>12459</v>
      </c>
      <c r="C12384" s="2" t="str">
        <f>"00224545"</f>
        <v>00224545</v>
      </c>
      <c r="D12384" s="2">
        <v>0.46500000000000002</v>
      </c>
      <c r="E12384" s="2">
        <v>40</v>
      </c>
      <c r="F12384" s="2" t="s">
        <v>16</v>
      </c>
    </row>
    <row r="12385" spans="1:6" ht="25.5">
      <c r="A12385" s="2">
        <v>12382</v>
      </c>
      <c r="B12385" s="2" t="s">
        <v>12460</v>
      </c>
      <c r="C12385" s="2" t="str">
        <f>"15407314"</f>
        <v>15407314</v>
      </c>
      <c r="D12385" s="2">
        <v>0.32900000000000001</v>
      </c>
      <c r="E12385" s="2">
        <v>18</v>
      </c>
      <c r="F12385" s="2" t="s">
        <v>16</v>
      </c>
    </row>
    <row r="12386" spans="1:6" ht="25.5">
      <c r="A12386" s="2">
        <v>12383</v>
      </c>
      <c r="B12386" s="2" t="s">
        <v>12461</v>
      </c>
      <c r="C12386" s="2" t="str">
        <f>"15291227"</f>
        <v>15291227</v>
      </c>
      <c r="D12386" s="2">
        <v>0</v>
      </c>
      <c r="E12386" s="2">
        <v>0</v>
      </c>
      <c r="F12386" s="2" t="s">
        <v>6</v>
      </c>
    </row>
    <row r="12387" spans="1:6" ht="25.5">
      <c r="A12387" s="2">
        <v>12384</v>
      </c>
      <c r="B12387" s="2" t="s">
        <v>12462</v>
      </c>
      <c r="C12387" s="2" t="str">
        <f>"09649069"</f>
        <v>09649069</v>
      </c>
      <c r="D12387" s="2">
        <v>0.27700000000000002</v>
      </c>
      <c r="E12387" s="2">
        <v>5</v>
      </c>
      <c r="F12387" s="2" t="s">
        <v>6</v>
      </c>
    </row>
    <row r="12388" spans="1:6" ht="25.5">
      <c r="A12388" s="2">
        <v>12385</v>
      </c>
      <c r="B12388" s="2" t="s">
        <v>12463</v>
      </c>
      <c r="C12388" s="2" t="str">
        <f>"14680173"</f>
        <v>14680173</v>
      </c>
      <c r="D12388" s="2">
        <v>1.044</v>
      </c>
      <c r="E12388" s="2">
        <v>8</v>
      </c>
      <c r="F12388" s="2" t="s">
        <v>16</v>
      </c>
    </row>
    <row r="12389" spans="1:6" ht="25.5">
      <c r="A12389" s="2">
        <v>12386</v>
      </c>
      <c r="B12389" s="2" t="s">
        <v>12464</v>
      </c>
      <c r="C12389" s="2" t="str">
        <f>"10437797"</f>
        <v>10437797</v>
      </c>
      <c r="D12389" s="2">
        <v>0.627</v>
      </c>
      <c r="E12389" s="2">
        <v>27</v>
      </c>
      <c r="F12389" s="2" t="s">
        <v>6</v>
      </c>
    </row>
    <row r="12390" spans="1:6" ht="25.5">
      <c r="A12390" s="2">
        <v>12387</v>
      </c>
      <c r="B12390" s="2" t="s">
        <v>12465</v>
      </c>
      <c r="C12390" s="2" t="str">
        <f>"15367118"</f>
        <v>15367118</v>
      </c>
      <c r="D12390" s="2">
        <v>0.21099999999999999</v>
      </c>
      <c r="E12390" s="2">
        <v>5</v>
      </c>
      <c r="F12390" s="2" t="s">
        <v>16</v>
      </c>
    </row>
    <row r="12391" spans="1:6" ht="25.5">
      <c r="A12391" s="2">
        <v>12388</v>
      </c>
      <c r="B12391" s="2" t="s">
        <v>12466</v>
      </c>
      <c r="C12391" s="2" t="str">
        <f>"15524264"</f>
        <v>15524264</v>
      </c>
      <c r="D12391" s="2">
        <v>0.26700000000000002</v>
      </c>
      <c r="E12391" s="2">
        <v>10</v>
      </c>
      <c r="F12391" s="2" t="s">
        <v>16</v>
      </c>
    </row>
    <row r="12392" spans="1:6" ht="25.5">
      <c r="A12392" s="2">
        <v>12389</v>
      </c>
      <c r="B12392" s="2" t="s">
        <v>12467</v>
      </c>
      <c r="C12392" s="2" t="str">
        <f>"14653885"</f>
        <v>14653885</v>
      </c>
      <c r="D12392" s="2">
        <v>0.49</v>
      </c>
      <c r="E12392" s="2">
        <v>13</v>
      </c>
      <c r="F12392" s="2" t="s">
        <v>16</v>
      </c>
    </row>
    <row r="12393" spans="1:6" ht="25.5">
      <c r="A12393" s="2">
        <v>12390</v>
      </c>
      <c r="B12393" s="2" t="s">
        <v>12468</v>
      </c>
      <c r="C12393" s="2" t="str">
        <f>"1533256X"</f>
        <v>1533256X</v>
      </c>
      <c r="D12393" s="2">
        <v>0.27800000000000002</v>
      </c>
      <c r="E12393" s="2">
        <v>6</v>
      </c>
      <c r="F12393" s="2" t="s">
        <v>16</v>
      </c>
    </row>
    <row r="12394" spans="1:6" ht="25.5">
      <c r="A12394" s="2">
        <v>12391</v>
      </c>
      <c r="B12394" s="2" t="s">
        <v>12469</v>
      </c>
      <c r="C12394" s="2" t="str">
        <f>"10535357"</f>
        <v>10535357</v>
      </c>
      <c r="D12394" s="2">
        <v>0.35199999999999998</v>
      </c>
      <c r="E12394" s="2">
        <v>26</v>
      </c>
      <c r="F12394" s="2" t="s">
        <v>6</v>
      </c>
    </row>
    <row r="12395" spans="1:6" ht="25.5">
      <c r="A12395" s="2">
        <v>12392</v>
      </c>
      <c r="B12395" s="2" t="s">
        <v>12470</v>
      </c>
      <c r="C12395" s="2" t="str">
        <f>"13606441"</f>
        <v>13606441</v>
      </c>
      <c r="D12395" s="2">
        <v>1.5109999999999999</v>
      </c>
      <c r="E12395" s="2">
        <v>18</v>
      </c>
      <c r="F12395" s="2" t="s">
        <v>16</v>
      </c>
    </row>
    <row r="12396" spans="1:6" ht="25.5">
      <c r="A12396" s="2">
        <v>12393</v>
      </c>
      <c r="B12396" s="2" t="s">
        <v>12471</v>
      </c>
      <c r="C12396" s="2" t="str">
        <f>"17412978"</f>
        <v>17412978</v>
      </c>
      <c r="D12396" s="2">
        <v>0.66300000000000003</v>
      </c>
      <c r="E12396" s="2">
        <v>21</v>
      </c>
      <c r="F12396" s="2" t="s">
        <v>16</v>
      </c>
    </row>
    <row r="12397" spans="1:6" ht="25.5">
      <c r="A12397" s="2">
        <v>12394</v>
      </c>
      <c r="B12397" s="2" t="s">
        <v>12472</v>
      </c>
      <c r="C12397" s="2" t="str">
        <f>"01915096"</f>
        <v>01915096</v>
      </c>
      <c r="D12397" s="2">
        <v>0.32900000000000001</v>
      </c>
      <c r="E12397" s="2">
        <v>11</v>
      </c>
      <c r="F12397" s="2" t="s">
        <v>6</v>
      </c>
    </row>
    <row r="12398" spans="1:6" ht="25.5">
      <c r="A12398" s="2">
        <v>12395</v>
      </c>
      <c r="B12398" s="2" t="s">
        <v>12473</v>
      </c>
      <c r="C12398" s="2" t="str">
        <f>"1796217X"</f>
        <v>1796217X</v>
      </c>
      <c r="D12398" s="2">
        <v>0.22800000000000001</v>
      </c>
      <c r="E12398" s="2">
        <v>12</v>
      </c>
      <c r="F12398" s="2" t="s">
        <v>751</v>
      </c>
    </row>
    <row r="12399" spans="1:6" ht="25.5">
      <c r="A12399" s="2">
        <v>12396</v>
      </c>
      <c r="B12399" s="2" t="s">
        <v>12474</v>
      </c>
      <c r="C12399" s="2" t="str">
        <f>"20477481"</f>
        <v>20477481</v>
      </c>
      <c r="D12399" s="2">
        <v>0</v>
      </c>
      <c r="E12399" s="2">
        <v>2</v>
      </c>
      <c r="F12399" s="2" t="s">
        <v>16</v>
      </c>
    </row>
    <row r="12400" spans="1:6" ht="25.5">
      <c r="A12400" s="2">
        <v>12397</v>
      </c>
      <c r="B12400" s="2" t="s">
        <v>12475</v>
      </c>
      <c r="C12400" s="2" t="str">
        <f>"14390108"</f>
        <v>14390108</v>
      </c>
      <c r="D12400" s="2">
        <v>0.877</v>
      </c>
      <c r="E12400" s="2">
        <v>28</v>
      </c>
      <c r="F12400" s="2" t="s">
        <v>6</v>
      </c>
    </row>
    <row r="12401" spans="1:6" ht="25.5">
      <c r="A12401" s="2">
        <v>12398</v>
      </c>
      <c r="B12401" s="2" t="s">
        <v>12476</v>
      </c>
      <c r="C12401" s="2" t="str">
        <f>"00224561"</f>
        <v>00224561</v>
      </c>
      <c r="D12401" s="2">
        <v>0.57899999999999996</v>
      </c>
      <c r="E12401" s="2">
        <v>43</v>
      </c>
      <c r="F12401" s="2" t="s">
        <v>6</v>
      </c>
    </row>
    <row r="12402" spans="1:6" ht="25.5">
      <c r="A12402" s="2">
        <v>12399</v>
      </c>
      <c r="B12402" s="2" t="s">
        <v>12477</v>
      </c>
      <c r="C12402" s="2" t="str">
        <f>"07189516"</f>
        <v>07189516</v>
      </c>
      <c r="D12402" s="2">
        <v>0.248</v>
      </c>
      <c r="E12402" s="2">
        <v>4</v>
      </c>
      <c r="F12402" s="2" t="s">
        <v>182</v>
      </c>
    </row>
    <row r="12403" spans="1:6" ht="25.5">
      <c r="A12403" s="2">
        <v>12400</v>
      </c>
      <c r="B12403" s="2" t="s">
        <v>12478</v>
      </c>
      <c r="C12403" s="2" t="str">
        <f>"01996231"</f>
        <v>01996231</v>
      </c>
      <c r="D12403" s="2">
        <v>0.499</v>
      </c>
      <c r="E12403" s="2">
        <v>37</v>
      </c>
      <c r="F12403" s="2" t="s">
        <v>6</v>
      </c>
    </row>
    <row r="12404" spans="1:6" ht="25.5">
      <c r="A12404" s="2">
        <v>12401</v>
      </c>
      <c r="B12404" s="2" t="s">
        <v>12479</v>
      </c>
      <c r="C12404" s="2" t="str">
        <f>"15734846"</f>
        <v>15734846</v>
      </c>
      <c r="D12404" s="2">
        <v>0.65400000000000003</v>
      </c>
      <c r="E12404" s="2">
        <v>55</v>
      </c>
      <c r="F12404" s="2" t="s">
        <v>75</v>
      </c>
    </row>
    <row r="12405" spans="1:6" ht="25.5">
      <c r="A12405" s="2">
        <v>12402</v>
      </c>
      <c r="B12405" s="2" t="s">
        <v>12480</v>
      </c>
      <c r="C12405" s="2" t="str">
        <f>"20087683"</f>
        <v>20087683</v>
      </c>
      <c r="D12405" s="2">
        <v>0.21199999999999999</v>
      </c>
      <c r="E12405" s="2">
        <v>3</v>
      </c>
      <c r="F12405" s="2" t="s">
        <v>299</v>
      </c>
    </row>
    <row r="12406" spans="1:6" ht="25.5">
      <c r="A12406" s="2">
        <v>12403</v>
      </c>
      <c r="B12406" s="2" t="s">
        <v>12481</v>
      </c>
      <c r="C12406" s="2" t="str">
        <f>"1095726X"</f>
        <v>1095726X</v>
      </c>
      <c r="D12406" s="2">
        <v>0.83</v>
      </c>
      <c r="E12406" s="2">
        <v>89</v>
      </c>
      <c r="F12406" s="2" t="s">
        <v>6</v>
      </c>
    </row>
    <row r="12407" spans="1:6" ht="25.5">
      <c r="A12407" s="2">
        <v>12404</v>
      </c>
      <c r="B12407" s="2" t="s">
        <v>12482</v>
      </c>
      <c r="C12407" s="2" t="str">
        <f>"14328488"</f>
        <v>14328488</v>
      </c>
      <c r="D12407" s="2">
        <v>0.749</v>
      </c>
      <c r="E12407" s="2">
        <v>42</v>
      </c>
      <c r="F12407" s="2" t="s">
        <v>6</v>
      </c>
    </row>
    <row r="12408" spans="1:6" ht="25.5">
      <c r="A12408" s="2">
        <v>12405</v>
      </c>
      <c r="B12408" s="2" t="s">
        <v>12483</v>
      </c>
      <c r="C12408" s="2" t="str">
        <f>"10881697"</f>
        <v>10881697</v>
      </c>
      <c r="D12408" s="2">
        <v>0.13100000000000001</v>
      </c>
      <c r="E12408" s="2">
        <v>10</v>
      </c>
      <c r="F12408" s="2" t="s">
        <v>6</v>
      </c>
    </row>
    <row r="12409" spans="1:6" ht="25.5">
      <c r="A12409" s="2">
        <v>12406</v>
      </c>
      <c r="B12409" s="2" t="s">
        <v>12484</v>
      </c>
      <c r="C12409" s="2" t="str">
        <f>"15728927"</f>
        <v>15728927</v>
      </c>
      <c r="D12409" s="2">
        <v>0.443</v>
      </c>
      <c r="E12409" s="2">
        <v>41</v>
      </c>
      <c r="F12409" s="2" t="s">
        <v>6</v>
      </c>
    </row>
    <row r="12410" spans="1:6" ht="25.5">
      <c r="A12410" s="2">
        <v>12407</v>
      </c>
      <c r="B12410" s="2" t="s">
        <v>12485</v>
      </c>
      <c r="C12410" s="2" t="str">
        <f>"21546665"</f>
        <v>21546665</v>
      </c>
      <c r="D12410" s="2">
        <v>0.10199999999999999</v>
      </c>
      <c r="E12410" s="2">
        <v>0</v>
      </c>
      <c r="F12410" s="2" t="s">
        <v>6</v>
      </c>
    </row>
    <row r="12411" spans="1:6" ht="25.5">
      <c r="A12411" s="2">
        <v>12408</v>
      </c>
      <c r="B12411" s="2" t="s">
        <v>12486</v>
      </c>
      <c r="C12411" s="2" t="str">
        <f>"1673047X"</f>
        <v>1673047X</v>
      </c>
      <c r="D12411" s="2">
        <v>0.10299999999999999</v>
      </c>
      <c r="E12411" s="2">
        <v>3</v>
      </c>
      <c r="F12411" s="2" t="s">
        <v>46</v>
      </c>
    </row>
    <row r="12412" spans="1:6" ht="25.5">
      <c r="A12412" s="2">
        <v>12409</v>
      </c>
      <c r="B12412" s="2" t="s">
        <v>12487</v>
      </c>
      <c r="C12412" s="2" t="str">
        <f>"10958568"</f>
        <v>10958568</v>
      </c>
      <c r="D12412" s="2">
        <v>1.359</v>
      </c>
      <c r="E12412" s="2">
        <v>88</v>
      </c>
      <c r="F12412" s="2" t="s">
        <v>6</v>
      </c>
    </row>
    <row r="12413" spans="1:6" ht="25.5">
      <c r="A12413" s="2">
        <v>12410</v>
      </c>
      <c r="B12413" s="2" t="s">
        <v>12488</v>
      </c>
      <c r="C12413" s="2" t="str">
        <f>"08959811"</f>
        <v>08959811</v>
      </c>
      <c r="D12413" s="2">
        <v>0.80500000000000005</v>
      </c>
      <c r="E12413" s="2">
        <v>42</v>
      </c>
      <c r="F12413" s="2" t="s">
        <v>75</v>
      </c>
    </row>
    <row r="12414" spans="1:6" ht="25.5">
      <c r="A12414" s="2">
        <v>12411</v>
      </c>
      <c r="B12414" s="2" t="s">
        <v>12489</v>
      </c>
      <c r="C12414" s="2" t="str">
        <f>"09731741"</f>
        <v>09731741</v>
      </c>
      <c r="D12414" s="2">
        <v>0.17199999999999999</v>
      </c>
      <c r="E12414" s="2">
        <v>3</v>
      </c>
      <c r="F12414" s="2" t="s">
        <v>488</v>
      </c>
    </row>
    <row r="12415" spans="1:6" ht="25.5">
      <c r="A12415" s="2">
        <v>12412</v>
      </c>
      <c r="B12415" s="2" t="s">
        <v>12490</v>
      </c>
      <c r="C12415" s="2" t="str">
        <f>"14740680"</f>
        <v>14740680</v>
      </c>
      <c r="D12415" s="2">
        <v>0.13300000000000001</v>
      </c>
      <c r="E12415" s="2">
        <v>11</v>
      </c>
      <c r="F12415" s="2" t="s">
        <v>16</v>
      </c>
    </row>
    <row r="12416" spans="1:6" ht="25.5">
      <c r="A12416" s="2">
        <v>12413</v>
      </c>
      <c r="B12416" s="2" t="s">
        <v>12491</v>
      </c>
      <c r="C12416" s="2" t="str">
        <f>"14683857"</f>
        <v>14683857</v>
      </c>
      <c r="D12416" s="2">
        <v>0.20899999999999999</v>
      </c>
      <c r="E12416" s="2">
        <v>4</v>
      </c>
      <c r="F12416" s="2" t="s">
        <v>16</v>
      </c>
    </row>
    <row r="12417" spans="1:6" ht="25.5">
      <c r="A12417" s="2">
        <v>12414</v>
      </c>
      <c r="B12417" s="2" t="s">
        <v>12492</v>
      </c>
      <c r="C12417" s="2" t="str">
        <f>"10037985"</f>
        <v>10037985</v>
      </c>
      <c r="D12417" s="2">
        <v>0.153</v>
      </c>
      <c r="E12417" s="2">
        <v>10</v>
      </c>
      <c r="F12417" s="2" t="s">
        <v>46</v>
      </c>
    </row>
    <row r="12418" spans="1:6" ht="25.5">
      <c r="A12418" s="2">
        <v>12415</v>
      </c>
      <c r="B12418" s="2" t="s">
        <v>12493</v>
      </c>
      <c r="C12418" s="2" t="str">
        <f>"14653893"</f>
        <v>14653893</v>
      </c>
      <c r="D12418" s="2">
        <v>0.65800000000000003</v>
      </c>
      <c r="E12418" s="2">
        <v>22</v>
      </c>
      <c r="F12418" s="2" t="s">
        <v>16</v>
      </c>
    </row>
    <row r="12419" spans="1:6" ht="25.5">
      <c r="A12419" s="2">
        <v>12416</v>
      </c>
      <c r="B12419" s="2" t="s">
        <v>12494</v>
      </c>
      <c r="C12419" s="2" t="str">
        <f>"00224642"</f>
        <v>00224642</v>
      </c>
      <c r="D12419" s="2">
        <v>0.127</v>
      </c>
      <c r="E12419" s="2">
        <v>4</v>
      </c>
      <c r="F12419" s="2" t="s">
        <v>6</v>
      </c>
    </row>
    <row r="12420" spans="1:6" ht="25.5">
      <c r="A12420" s="2">
        <v>12417</v>
      </c>
      <c r="B12420" s="2" t="s">
        <v>12495</v>
      </c>
      <c r="C12420" s="2" t="str">
        <f>"09746196"</f>
        <v>09746196</v>
      </c>
      <c r="D12420" s="2">
        <v>0.10199999999999999</v>
      </c>
      <c r="E12420" s="2">
        <v>1</v>
      </c>
      <c r="F12420" s="2" t="s">
        <v>488</v>
      </c>
    </row>
    <row r="12421" spans="1:6" ht="25.5">
      <c r="A12421" s="2">
        <v>12418</v>
      </c>
      <c r="B12421" s="2" t="s">
        <v>12496</v>
      </c>
      <c r="C12421" s="2" t="str">
        <f>"15336794"</f>
        <v>15336794</v>
      </c>
      <c r="D12421" s="2">
        <v>0.54600000000000004</v>
      </c>
      <c r="E12421" s="2">
        <v>41</v>
      </c>
      <c r="F12421" s="2" t="s">
        <v>6</v>
      </c>
    </row>
    <row r="12422" spans="1:6" ht="25.5">
      <c r="A12422" s="2">
        <v>12419</v>
      </c>
      <c r="B12422" s="2" t="s">
        <v>12497</v>
      </c>
      <c r="C12422" s="2" t="str">
        <f>"09711600"</f>
        <v>09711600</v>
      </c>
      <c r="D12422" s="2">
        <v>0.11700000000000001</v>
      </c>
      <c r="E12422" s="2">
        <v>3</v>
      </c>
      <c r="F12422" s="2" t="s">
        <v>488</v>
      </c>
    </row>
    <row r="12423" spans="1:6" ht="25.5">
      <c r="A12423" s="2">
        <v>12420</v>
      </c>
      <c r="B12423" s="2" t="s">
        <v>12498</v>
      </c>
      <c r="C12423" s="2" t="str">
        <f>"14699818"</f>
        <v>14699818</v>
      </c>
      <c r="D12423" s="2">
        <v>0.13900000000000001</v>
      </c>
      <c r="E12423" s="2">
        <v>2</v>
      </c>
      <c r="F12423" s="2" t="s">
        <v>16</v>
      </c>
    </row>
    <row r="12424" spans="1:6" ht="25.5">
      <c r="A12424" s="2">
        <v>12421</v>
      </c>
      <c r="B12424" s="2" t="s">
        <v>12499</v>
      </c>
      <c r="C12424" s="2" t="str">
        <f>"15304736"</f>
        <v>15304736</v>
      </c>
      <c r="D12424" s="2">
        <v>0.17399999999999999</v>
      </c>
      <c r="E12424" s="2">
        <v>4</v>
      </c>
      <c r="F12424" s="2" t="s">
        <v>6</v>
      </c>
    </row>
    <row r="12425" spans="1:6" ht="25.5">
      <c r="A12425" s="2">
        <v>12422</v>
      </c>
      <c r="B12425" s="2" t="s">
        <v>12500</v>
      </c>
      <c r="C12425" s="2" t="str">
        <f>"14498596"</f>
        <v>14498596</v>
      </c>
      <c r="D12425" s="2">
        <v>0.45300000000000001</v>
      </c>
      <c r="E12425" s="2">
        <v>10</v>
      </c>
      <c r="F12425" s="2" t="s">
        <v>127</v>
      </c>
    </row>
    <row r="12426" spans="1:6" ht="25.5">
      <c r="A12426" s="2">
        <v>12423</v>
      </c>
      <c r="B12426" s="2" t="s">
        <v>12501</v>
      </c>
      <c r="C12426" s="2" t="str">
        <f>"00224669"</f>
        <v>00224669</v>
      </c>
      <c r="D12426" s="2">
        <v>1.44</v>
      </c>
      <c r="E12426" s="2">
        <v>36</v>
      </c>
      <c r="F12426" s="2" t="s">
        <v>6</v>
      </c>
    </row>
    <row r="12427" spans="1:6" ht="25.5">
      <c r="A12427" s="2">
        <v>12424</v>
      </c>
      <c r="B12427" s="2" t="s">
        <v>12502</v>
      </c>
      <c r="C12427" s="2" t="str">
        <f>"15539768"</f>
        <v>15539768</v>
      </c>
      <c r="D12427" s="2">
        <v>0.157</v>
      </c>
      <c r="E12427" s="2">
        <v>4</v>
      </c>
      <c r="F12427" s="2" t="s">
        <v>6</v>
      </c>
    </row>
    <row r="12428" spans="1:6" ht="25.5">
      <c r="A12428" s="2">
        <v>12425</v>
      </c>
      <c r="B12428" s="2" t="s">
        <v>12503</v>
      </c>
      <c r="C12428" s="2" t="str">
        <f>"15279383"</f>
        <v>15279383</v>
      </c>
      <c r="D12428" s="2">
        <v>0.129</v>
      </c>
      <c r="E12428" s="2">
        <v>2</v>
      </c>
      <c r="F12428" s="2" t="s">
        <v>6</v>
      </c>
    </row>
    <row r="12429" spans="1:6" ht="25.5">
      <c r="A12429" s="2">
        <v>12426</v>
      </c>
      <c r="B12429" s="2" t="s">
        <v>12504</v>
      </c>
      <c r="C12429" s="2" t="str">
        <f>"10924388"</f>
        <v>10924388</v>
      </c>
      <c r="D12429" s="2">
        <v>1.0960000000000001</v>
      </c>
      <c r="E12429" s="2">
        <v>79</v>
      </c>
      <c r="F12429" s="2" t="s">
        <v>6</v>
      </c>
    </row>
    <row r="12430" spans="1:6" ht="25.5">
      <c r="A12430" s="2">
        <v>12427</v>
      </c>
      <c r="B12430" s="2" t="s">
        <v>12505</v>
      </c>
      <c r="C12430" s="2" t="str">
        <f>"10790268"</f>
        <v>10790268</v>
      </c>
      <c r="D12430" s="2">
        <v>0.71599999999999997</v>
      </c>
      <c r="E12430" s="2">
        <v>34</v>
      </c>
      <c r="F12430" s="2" t="s">
        <v>16</v>
      </c>
    </row>
    <row r="12431" spans="1:6" ht="25.5">
      <c r="A12431" s="2">
        <v>12428</v>
      </c>
      <c r="B12431" s="2" t="s">
        <v>12506</v>
      </c>
      <c r="C12431" s="2" t="str">
        <f>"15392465"</f>
        <v>15392465</v>
      </c>
      <c r="D12431" s="2">
        <v>1.0609999999999999</v>
      </c>
      <c r="E12431" s="2">
        <v>59</v>
      </c>
      <c r="F12431" s="2" t="s">
        <v>6</v>
      </c>
    </row>
    <row r="12432" spans="1:6" ht="25.5">
      <c r="A12432" s="2">
        <v>12429</v>
      </c>
      <c r="B12432" s="2" t="s">
        <v>12507</v>
      </c>
      <c r="C12432" s="2" t="str">
        <f>"19349645"</f>
        <v>19349645</v>
      </c>
      <c r="D12432" s="2">
        <v>0.19900000000000001</v>
      </c>
      <c r="E12432" s="2">
        <v>2</v>
      </c>
      <c r="F12432" s="2" t="s">
        <v>16</v>
      </c>
    </row>
    <row r="12433" spans="1:6" ht="25.5">
      <c r="A12433" s="2">
        <v>12430</v>
      </c>
      <c r="B12433" s="2" t="s">
        <v>12508</v>
      </c>
      <c r="C12433" s="2" t="str">
        <f>"15432904"</f>
        <v>15432904</v>
      </c>
      <c r="D12433" s="2">
        <v>1.1879999999999999</v>
      </c>
      <c r="E12433" s="2">
        <v>49</v>
      </c>
      <c r="F12433" s="2" t="s">
        <v>6</v>
      </c>
    </row>
    <row r="12434" spans="1:6" ht="25.5">
      <c r="A12434" s="2">
        <v>12431</v>
      </c>
      <c r="B12434" s="2" t="s">
        <v>12509</v>
      </c>
      <c r="C12434" s="2" t="str">
        <f>"01937235"</f>
        <v>01937235</v>
      </c>
      <c r="D12434" s="2">
        <v>0.67700000000000005</v>
      </c>
      <c r="E12434" s="2">
        <v>21</v>
      </c>
      <c r="F12434" s="2" t="s">
        <v>6</v>
      </c>
    </row>
    <row r="12435" spans="1:6" ht="25.5">
      <c r="A12435" s="2">
        <v>12432</v>
      </c>
      <c r="B12435" s="2" t="s">
        <v>12510</v>
      </c>
      <c r="C12435" s="2" t="str">
        <f>"14775085"</f>
        <v>14775085</v>
      </c>
      <c r="D12435" s="2">
        <v>0.32800000000000001</v>
      </c>
      <c r="E12435" s="2">
        <v>3</v>
      </c>
      <c r="F12435" s="2" t="s">
        <v>6</v>
      </c>
    </row>
    <row r="12436" spans="1:6" ht="25.5">
      <c r="A12436" s="2">
        <v>12433</v>
      </c>
      <c r="B12436" s="2" t="s">
        <v>12511</v>
      </c>
      <c r="C12436" s="2" t="str">
        <f>"00941700"</f>
        <v>00941700</v>
      </c>
      <c r="D12436" s="2">
        <v>0.113</v>
      </c>
      <c r="E12436" s="2">
        <v>3</v>
      </c>
      <c r="F12436" s="2" t="s">
        <v>6</v>
      </c>
    </row>
    <row r="12437" spans="1:6" ht="25.5">
      <c r="A12437" s="2">
        <v>12434</v>
      </c>
      <c r="B12437" s="2" t="s">
        <v>12512</v>
      </c>
      <c r="C12437" s="2" t="str">
        <f>"1543270X"</f>
        <v>1543270X</v>
      </c>
      <c r="D12437" s="2">
        <v>0.68899999999999995</v>
      </c>
      <c r="E12437" s="2">
        <v>27</v>
      </c>
      <c r="F12437" s="2" t="s">
        <v>6</v>
      </c>
    </row>
    <row r="12438" spans="1:6" ht="25.5">
      <c r="A12438" s="2">
        <v>12435</v>
      </c>
      <c r="B12438" s="2" t="s">
        <v>12513</v>
      </c>
      <c r="C12438" s="2" t="str">
        <f>"15433072"</f>
        <v>15433072</v>
      </c>
      <c r="D12438" s="2">
        <v>0.71</v>
      </c>
      <c r="E12438" s="2">
        <v>24</v>
      </c>
      <c r="F12438" s="2" t="s">
        <v>6</v>
      </c>
    </row>
    <row r="12439" spans="1:6" ht="25.5">
      <c r="A12439" s="2">
        <v>12436</v>
      </c>
      <c r="B12439" s="2" t="s">
        <v>12514</v>
      </c>
      <c r="C12439" s="2" t="str">
        <f>"15270025"</f>
        <v>15270025</v>
      </c>
      <c r="D12439" s="2">
        <v>0.47599999999999998</v>
      </c>
      <c r="E12439" s="2">
        <v>7</v>
      </c>
      <c r="F12439" s="2" t="s">
        <v>16</v>
      </c>
    </row>
    <row r="12440" spans="1:6" ht="25.5">
      <c r="A12440" s="2">
        <v>12437</v>
      </c>
      <c r="B12440" s="2" t="s">
        <v>12515</v>
      </c>
      <c r="C12440" s="2" t="str">
        <f>"00224707"</f>
        <v>00224707</v>
      </c>
      <c r="D12440" s="2">
        <v>0.376</v>
      </c>
      <c r="E12440" s="2">
        <v>40</v>
      </c>
      <c r="F12440" s="2" t="s">
        <v>190</v>
      </c>
    </row>
    <row r="12441" spans="1:6" ht="25.5">
      <c r="A12441" s="2">
        <v>12438</v>
      </c>
      <c r="B12441" s="2" t="s">
        <v>12516</v>
      </c>
      <c r="C12441" s="2" t="str">
        <f>"13032968"</f>
        <v>13032968</v>
      </c>
      <c r="D12441" s="2">
        <v>0.46700000000000003</v>
      </c>
      <c r="E12441" s="2">
        <v>23</v>
      </c>
      <c r="F12441" s="2" t="s">
        <v>345</v>
      </c>
    </row>
    <row r="12442" spans="1:6" ht="25.5">
      <c r="A12442" s="2">
        <v>12439</v>
      </c>
      <c r="B12442" s="2" t="s">
        <v>12517</v>
      </c>
      <c r="C12442" s="2" t="str">
        <f>"1466447X"</f>
        <v>1466447X</v>
      </c>
      <c r="D12442" s="2">
        <v>1.0589999999999999</v>
      </c>
      <c r="E12442" s="2">
        <v>67</v>
      </c>
      <c r="F12442" s="2" t="s">
        <v>16</v>
      </c>
    </row>
    <row r="12443" spans="1:6" ht="25.5">
      <c r="A12443" s="2">
        <v>12440</v>
      </c>
      <c r="B12443" s="2" t="s">
        <v>12518</v>
      </c>
      <c r="C12443" s="2" t="str">
        <f>"00949655"</f>
        <v>00949655</v>
      </c>
      <c r="D12443" s="2">
        <v>0.57399999999999995</v>
      </c>
      <c r="E12443" s="2">
        <v>23</v>
      </c>
      <c r="F12443" s="2" t="s">
        <v>16</v>
      </c>
    </row>
    <row r="12444" spans="1:6" ht="25.5">
      <c r="A12444" s="2">
        <v>12441</v>
      </c>
      <c r="B12444" s="2" t="s">
        <v>12519</v>
      </c>
      <c r="C12444" s="2" t="str">
        <f>"17425468"</f>
        <v>17425468</v>
      </c>
      <c r="D12444" s="2">
        <v>0.27400000000000002</v>
      </c>
      <c r="E12444" s="2">
        <v>27</v>
      </c>
      <c r="F12444" s="2" t="s">
        <v>16</v>
      </c>
    </row>
    <row r="12445" spans="1:6" ht="25.5">
      <c r="A12445" s="2">
        <v>12442</v>
      </c>
      <c r="B12445" s="2" t="s">
        <v>12520</v>
      </c>
      <c r="C12445" s="2" t="str">
        <f>"15729613"</f>
        <v>15729613</v>
      </c>
      <c r="D12445" s="2">
        <v>0.91</v>
      </c>
      <c r="E12445" s="2">
        <v>67</v>
      </c>
      <c r="F12445" s="2" t="s">
        <v>6</v>
      </c>
    </row>
    <row r="12446" spans="1:6" ht="25.5">
      <c r="A12446" s="2">
        <v>12443</v>
      </c>
      <c r="B12446" s="2" t="s">
        <v>12521</v>
      </c>
      <c r="C12446" s="2" t="str">
        <f>"03783758"</f>
        <v>03783758</v>
      </c>
      <c r="D12446" s="2">
        <v>0.89400000000000002</v>
      </c>
      <c r="E12446" s="2">
        <v>39</v>
      </c>
      <c r="F12446" s="2" t="s">
        <v>75</v>
      </c>
    </row>
    <row r="12447" spans="1:6" ht="25.5">
      <c r="A12447" s="2">
        <v>12444</v>
      </c>
      <c r="B12447" s="2" t="s">
        <v>12522</v>
      </c>
      <c r="C12447" s="2" t="str">
        <f>"15487660"</f>
        <v>15487660</v>
      </c>
      <c r="D12447" s="2">
        <v>3.0489999999999999</v>
      </c>
      <c r="E12447" s="2">
        <v>42</v>
      </c>
      <c r="F12447" s="2" t="s">
        <v>6</v>
      </c>
    </row>
    <row r="12448" spans="1:6" ht="25.5">
      <c r="A12448" s="2">
        <v>12445</v>
      </c>
      <c r="B12448" s="2" t="s">
        <v>12523</v>
      </c>
      <c r="C12448" s="2" t="str">
        <f>"15598616"</f>
        <v>15598616</v>
      </c>
      <c r="D12448" s="2">
        <v>0.20699999999999999</v>
      </c>
      <c r="E12448" s="2">
        <v>2</v>
      </c>
      <c r="F12448" s="2" t="s">
        <v>6</v>
      </c>
    </row>
    <row r="12449" spans="1:6" ht="25.5">
      <c r="A12449" s="2">
        <v>12446</v>
      </c>
      <c r="B12449" s="2" t="s">
        <v>12524</v>
      </c>
      <c r="C12449" s="2" t="str">
        <f>"10691898"</f>
        <v>10691898</v>
      </c>
      <c r="D12449" s="2">
        <v>0.29899999999999999</v>
      </c>
      <c r="E12449" s="2">
        <v>11</v>
      </c>
      <c r="F12449" s="2" t="s">
        <v>6</v>
      </c>
    </row>
    <row r="12450" spans="1:6" ht="25.5">
      <c r="A12450" s="2">
        <v>12447</v>
      </c>
      <c r="B12450" s="2" t="s">
        <v>12525</v>
      </c>
      <c r="C12450" s="2" t="str">
        <f>"15568539"</f>
        <v>15568539</v>
      </c>
      <c r="D12450" s="2">
        <v>0.36399999999999999</v>
      </c>
      <c r="E12450" s="2">
        <v>6</v>
      </c>
      <c r="F12450" s="2" t="s">
        <v>6</v>
      </c>
    </row>
    <row r="12451" spans="1:6" ht="25.5">
      <c r="A12451" s="2">
        <v>12448</v>
      </c>
      <c r="B12451" s="2" t="s">
        <v>12526</v>
      </c>
      <c r="C12451" s="2" t="str">
        <f>"18791220"</f>
        <v>18791220</v>
      </c>
      <c r="D12451" s="2">
        <v>1.1160000000000001</v>
      </c>
      <c r="E12451" s="2">
        <v>85</v>
      </c>
      <c r="F12451" s="2" t="s">
        <v>16</v>
      </c>
    </row>
    <row r="12452" spans="1:6" ht="25.5">
      <c r="A12452" s="2">
        <v>12449</v>
      </c>
      <c r="B12452" s="2" t="s">
        <v>12527</v>
      </c>
      <c r="C12452" s="2" t="str">
        <f>"2299551X"</f>
        <v>2299551X</v>
      </c>
      <c r="D12452" s="2">
        <v>0.112</v>
      </c>
      <c r="E12452" s="2">
        <v>2</v>
      </c>
      <c r="F12452" s="2" t="s">
        <v>169</v>
      </c>
    </row>
    <row r="12453" spans="1:6" ht="25.5">
      <c r="A12453" s="2">
        <v>12450</v>
      </c>
      <c r="B12453" s="2" t="s">
        <v>12528</v>
      </c>
      <c r="C12453" s="2" t="str">
        <f>"0022474X"</f>
        <v>0022474X</v>
      </c>
      <c r="D12453" s="2">
        <v>1.0109999999999999</v>
      </c>
      <c r="E12453" s="2">
        <v>44</v>
      </c>
      <c r="F12453" s="2" t="s">
        <v>16</v>
      </c>
    </row>
    <row r="12454" spans="1:6" ht="25.5">
      <c r="A12454" s="2">
        <v>12451</v>
      </c>
      <c r="B12454" s="2" t="s">
        <v>12529</v>
      </c>
      <c r="C12454" s="2" t="str">
        <f>"03093247"</f>
        <v>03093247</v>
      </c>
      <c r="D12454" s="2">
        <v>0.57899999999999996</v>
      </c>
      <c r="E12454" s="2">
        <v>31</v>
      </c>
      <c r="F12454" s="2" t="s">
        <v>16</v>
      </c>
    </row>
    <row r="12455" spans="1:6" ht="25.5">
      <c r="A12455" s="2">
        <v>12452</v>
      </c>
      <c r="B12455" s="2" t="s">
        <v>12530</v>
      </c>
      <c r="C12455" s="2" t="str">
        <f>"09638687"</f>
        <v>09638687</v>
      </c>
      <c r="D12455" s="2">
        <v>0.96199999999999997</v>
      </c>
      <c r="E12455" s="2">
        <v>42</v>
      </c>
      <c r="F12455" s="2" t="s">
        <v>75</v>
      </c>
    </row>
    <row r="12456" spans="1:6" ht="25.5">
      <c r="A12456" s="2">
        <v>12453</v>
      </c>
      <c r="B12456" s="2" t="s">
        <v>12531</v>
      </c>
      <c r="C12456" s="2" t="str">
        <f>"14664488"</f>
        <v>14664488</v>
      </c>
      <c r="D12456" s="2">
        <v>0.28899999999999998</v>
      </c>
      <c r="E12456" s="2">
        <v>6</v>
      </c>
      <c r="F12456" s="2" t="s">
        <v>16</v>
      </c>
    </row>
    <row r="12457" spans="1:6" ht="25.5">
      <c r="A12457" s="2">
        <v>12454</v>
      </c>
      <c r="B12457" s="2" t="s">
        <v>12532</v>
      </c>
      <c r="C12457" s="2" t="str">
        <f>"01402390"</f>
        <v>01402390</v>
      </c>
      <c r="D12457" s="2">
        <v>0.66500000000000004</v>
      </c>
      <c r="E12457" s="2">
        <v>11</v>
      </c>
      <c r="F12457" s="2" t="s">
        <v>16</v>
      </c>
    </row>
    <row r="12458" spans="1:6" ht="25.5">
      <c r="A12458" s="2">
        <v>12455</v>
      </c>
      <c r="B12458" s="2" t="s">
        <v>12533</v>
      </c>
      <c r="C12458" s="2" t="str">
        <f>"15334287"</f>
        <v>15334287</v>
      </c>
      <c r="D12458" s="2">
        <v>1.0289999999999999</v>
      </c>
      <c r="E12458" s="2">
        <v>62</v>
      </c>
      <c r="F12458" s="2" t="s">
        <v>6</v>
      </c>
    </row>
    <row r="12459" spans="1:6" ht="25.5">
      <c r="A12459" s="2">
        <v>12456</v>
      </c>
      <c r="B12459" s="2" t="s">
        <v>12534</v>
      </c>
      <c r="C12459" s="2" t="str">
        <f>"15328511"</f>
        <v>15328511</v>
      </c>
      <c r="D12459" s="2">
        <v>0.74299999999999999</v>
      </c>
      <c r="E12459" s="2">
        <v>26</v>
      </c>
      <c r="F12459" s="2" t="s">
        <v>16</v>
      </c>
    </row>
    <row r="12460" spans="1:6" ht="25.5">
      <c r="A12460" s="2">
        <v>12457</v>
      </c>
      <c r="B12460" s="2" t="s">
        <v>12535</v>
      </c>
      <c r="C12460" s="2" t="str">
        <f>"15700267"</f>
        <v>15700267</v>
      </c>
      <c r="D12460" s="2">
        <v>1.482</v>
      </c>
      <c r="E12460" s="2">
        <v>36</v>
      </c>
      <c r="F12460" s="2" t="s">
        <v>75</v>
      </c>
    </row>
    <row r="12461" spans="1:6" ht="25.5">
      <c r="A12461" s="2">
        <v>12458</v>
      </c>
      <c r="B12461" s="2" t="s">
        <v>12536</v>
      </c>
      <c r="C12461" s="2" t="str">
        <f>"10958657"</f>
        <v>10958657</v>
      </c>
      <c r="D12461" s="2">
        <v>1.8460000000000001</v>
      </c>
      <c r="E12461" s="2">
        <v>96</v>
      </c>
      <c r="F12461" s="2" t="s">
        <v>6</v>
      </c>
    </row>
    <row r="12462" spans="1:6" ht="25.5">
      <c r="A12462" s="2">
        <v>12459</v>
      </c>
      <c r="B12462" s="2" t="s">
        <v>12537</v>
      </c>
      <c r="C12462" s="2" t="str">
        <f>"15738779"</f>
        <v>15738779</v>
      </c>
      <c r="D12462" s="2">
        <v>0.26400000000000001</v>
      </c>
      <c r="E12462" s="2">
        <v>17</v>
      </c>
      <c r="F12462" s="2" t="s">
        <v>12</v>
      </c>
    </row>
    <row r="12463" spans="1:6" ht="25.5">
      <c r="A12463" s="2">
        <v>12460</v>
      </c>
      <c r="B12463" s="2" t="s">
        <v>12538</v>
      </c>
      <c r="C12463" s="2" t="str">
        <f>"07339445"</f>
        <v>07339445</v>
      </c>
      <c r="D12463" s="2">
        <v>1.542</v>
      </c>
      <c r="E12463" s="2">
        <v>71</v>
      </c>
      <c r="F12463" s="2" t="s">
        <v>6</v>
      </c>
    </row>
    <row r="12464" spans="1:6" ht="25.5">
      <c r="A12464" s="2">
        <v>12461</v>
      </c>
      <c r="B12464" s="2" t="s">
        <v>12539</v>
      </c>
      <c r="C12464" s="2" t="str">
        <f>"09700137"</f>
        <v>09700137</v>
      </c>
      <c r="D12464" s="2">
        <v>0.17699999999999999</v>
      </c>
      <c r="E12464" s="2">
        <v>5</v>
      </c>
      <c r="F12464" s="2" t="s">
        <v>488</v>
      </c>
    </row>
    <row r="12465" spans="1:6" ht="25.5">
      <c r="A12465" s="2">
        <v>12462</v>
      </c>
      <c r="B12465" s="2" t="s">
        <v>12540</v>
      </c>
      <c r="C12465" s="2" t="str">
        <f>"01918141"</f>
        <v>01918141</v>
      </c>
      <c r="D12465" s="2">
        <v>1.4390000000000001</v>
      </c>
      <c r="E12465" s="2">
        <v>70</v>
      </c>
      <c r="F12465" s="2" t="s">
        <v>16</v>
      </c>
    </row>
    <row r="12466" spans="1:6" ht="25.5">
      <c r="A12466" s="2">
        <v>12463</v>
      </c>
      <c r="B12466" s="2" t="s">
        <v>12541</v>
      </c>
      <c r="C12466" s="2" t="str">
        <f>"19496605"</f>
        <v>19496605</v>
      </c>
      <c r="D12466" s="2">
        <v>0</v>
      </c>
      <c r="E12466" s="2">
        <v>0</v>
      </c>
      <c r="F12466" s="2" t="s">
        <v>12</v>
      </c>
    </row>
    <row r="12467" spans="1:6" ht="25.5">
      <c r="A12467" s="2">
        <v>12464</v>
      </c>
      <c r="B12467" s="2" t="s">
        <v>12542</v>
      </c>
      <c r="C12467" s="2" t="str">
        <f>"10283153"</f>
        <v>10283153</v>
      </c>
      <c r="D12467" s="2">
        <v>1.1990000000000001</v>
      </c>
      <c r="E12467" s="2">
        <v>16</v>
      </c>
      <c r="F12467" s="2" t="s">
        <v>6</v>
      </c>
    </row>
    <row r="12468" spans="1:6" ht="25.5">
      <c r="A12468" s="2">
        <v>12465</v>
      </c>
      <c r="B12468" s="2" t="s">
        <v>12543</v>
      </c>
      <c r="C12468" s="2" t="str">
        <f>"19384114"</f>
        <v>19384114</v>
      </c>
      <c r="D12468" s="2">
        <v>0.87</v>
      </c>
      <c r="E12468" s="2">
        <v>83</v>
      </c>
      <c r="F12468" s="2" t="s">
        <v>6</v>
      </c>
    </row>
    <row r="12469" spans="1:6" ht="25.5">
      <c r="A12469" s="2">
        <v>12466</v>
      </c>
      <c r="B12469" s="2" t="s">
        <v>12544</v>
      </c>
      <c r="C12469" s="2" t="str">
        <f>"07405472"</f>
        <v>07405472</v>
      </c>
      <c r="D12469" s="2">
        <v>1.2370000000000001</v>
      </c>
      <c r="E12469" s="2">
        <v>63</v>
      </c>
      <c r="F12469" s="2" t="s">
        <v>6</v>
      </c>
    </row>
    <row r="12470" spans="1:6" ht="25.5">
      <c r="A12470" s="2">
        <v>12467</v>
      </c>
      <c r="B12470" s="2" t="s">
        <v>12545</v>
      </c>
      <c r="C12470" s="2" t="str">
        <f>"14659891"</f>
        <v>14659891</v>
      </c>
      <c r="D12470" s="2">
        <v>0.31</v>
      </c>
      <c r="E12470" s="2">
        <v>16</v>
      </c>
      <c r="F12470" s="2" t="s">
        <v>16</v>
      </c>
    </row>
    <row r="12471" spans="1:6" ht="25.5">
      <c r="A12471" s="2">
        <v>12468</v>
      </c>
      <c r="B12471" s="2" t="s">
        <v>12546</v>
      </c>
      <c r="C12471" s="2" t="str">
        <f>"17415993"</f>
        <v>17415993</v>
      </c>
      <c r="D12471" s="2">
        <v>0.31900000000000001</v>
      </c>
      <c r="E12471" s="2">
        <v>16</v>
      </c>
      <c r="F12471" s="2" t="s">
        <v>16</v>
      </c>
    </row>
    <row r="12472" spans="1:6" ht="25.5">
      <c r="A12472" s="2">
        <v>12469</v>
      </c>
      <c r="B12472" s="2" t="s">
        <v>12547</v>
      </c>
      <c r="C12472" s="2" t="str">
        <f>"15730484"</f>
        <v>15730484</v>
      </c>
      <c r="D12472" s="2">
        <v>0.314</v>
      </c>
      <c r="E12472" s="2">
        <v>23</v>
      </c>
      <c r="F12472" s="2" t="s">
        <v>75</v>
      </c>
    </row>
    <row r="12473" spans="1:6" ht="25.5">
      <c r="A12473" s="2">
        <v>12470</v>
      </c>
      <c r="B12473" s="2" t="s">
        <v>12548</v>
      </c>
      <c r="C12473" s="2" t="str">
        <f>"15571947"</f>
        <v>15571947</v>
      </c>
      <c r="D12473" s="2">
        <v>0.38600000000000001</v>
      </c>
      <c r="E12473" s="2">
        <v>24</v>
      </c>
      <c r="F12473" s="2" t="s">
        <v>6</v>
      </c>
    </row>
    <row r="12474" spans="1:6" ht="25.5">
      <c r="A12474" s="2">
        <v>12471</v>
      </c>
      <c r="B12474" s="2" t="s">
        <v>12549</v>
      </c>
      <c r="C12474" s="2" t="str">
        <f>"08968446"</f>
        <v>08968446</v>
      </c>
      <c r="D12474" s="2">
        <v>1.151</v>
      </c>
      <c r="E12474" s="2">
        <v>60</v>
      </c>
      <c r="F12474" s="2" t="s">
        <v>75</v>
      </c>
    </row>
    <row r="12475" spans="1:6" ht="25.5">
      <c r="A12475" s="2">
        <v>12472</v>
      </c>
      <c r="B12475" s="2" t="s">
        <v>12550</v>
      </c>
      <c r="C12475" s="2" t="str">
        <f>"19349408"</f>
        <v>19349408</v>
      </c>
      <c r="D12475" s="2">
        <v>0.312</v>
      </c>
      <c r="E12475" s="2">
        <v>8</v>
      </c>
      <c r="F12475" s="2" t="s">
        <v>6</v>
      </c>
    </row>
    <row r="12476" spans="1:6" ht="25.5">
      <c r="A12476" s="2">
        <v>12473</v>
      </c>
      <c r="B12476" s="2" t="s">
        <v>12551</v>
      </c>
      <c r="C12476" s="2" t="str">
        <f>"15232409"</f>
        <v>15232409</v>
      </c>
      <c r="D12476" s="2">
        <v>3</v>
      </c>
      <c r="E12476" s="2">
        <v>24</v>
      </c>
      <c r="F12476" s="2" t="s">
        <v>16</v>
      </c>
    </row>
    <row r="12477" spans="1:6" ht="25.5">
      <c r="A12477" s="2">
        <v>12474</v>
      </c>
      <c r="B12477" s="2" t="s">
        <v>12552</v>
      </c>
      <c r="C12477" s="2" t="str">
        <f>"15446794"</f>
        <v>15446794</v>
      </c>
      <c r="D12477" s="2">
        <v>0.70899999999999996</v>
      </c>
      <c r="E12477" s="2">
        <v>32</v>
      </c>
      <c r="F12477" s="2" t="s">
        <v>6</v>
      </c>
    </row>
    <row r="12478" spans="1:6" ht="25.5">
      <c r="A12478" s="2">
        <v>12475</v>
      </c>
      <c r="B12478" s="2" t="s">
        <v>12553</v>
      </c>
      <c r="C12478" s="2" t="str">
        <f>"09701893"</f>
        <v>09701893</v>
      </c>
      <c r="D12478" s="2">
        <v>0.13300000000000001</v>
      </c>
      <c r="E12478" s="2">
        <v>9</v>
      </c>
      <c r="F12478" s="2" t="s">
        <v>488</v>
      </c>
    </row>
    <row r="12479" spans="1:6" ht="25.5">
      <c r="A12479" s="2">
        <v>12476</v>
      </c>
      <c r="B12479" s="2" t="s">
        <v>12554</v>
      </c>
      <c r="C12479" s="2" t="str">
        <f>"10973958"</f>
        <v>10973958</v>
      </c>
      <c r="D12479" s="2">
        <v>0.54900000000000004</v>
      </c>
      <c r="E12479" s="2">
        <v>23</v>
      </c>
      <c r="F12479" s="2" t="s">
        <v>12</v>
      </c>
    </row>
    <row r="12480" spans="1:6" ht="25.5">
      <c r="A12480" s="2">
        <v>12477</v>
      </c>
      <c r="B12480" s="2" t="s">
        <v>12555</v>
      </c>
      <c r="C12480" s="2" t="str">
        <f>"19317204"</f>
        <v>19317204</v>
      </c>
      <c r="D12480" s="2">
        <v>0.62</v>
      </c>
      <c r="E12480" s="2">
        <v>26</v>
      </c>
      <c r="F12480" s="2" t="s">
        <v>6</v>
      </c>
    </row>
    <row r="12481" spans="1:6" ht="25.5">
      <c r="A12481" s="2">
        <v>12478</v>
      </c>
      <c r="B12481" s="2" t="s">
        <v>12556</v>
      </c>
      <c r="C12481" s="2" t="str">
        <f>"10969098"</f>
        <v>10969098</v>
      </c>
      <c r="D12481" s="2">
        <v>1.024</v>
      </c>
      <c r="E12481" s="2">
        <v>69</v>
      </c>
      <c r="F12481" s="2" t="s">
        <v>6</v>
      </c>
    </row>
    <row r="12482" spans="1:6" ht="25.5">
      <c r="A12482" s="2">
        <v>12479</v>
      </c>
      <c r="B12482" s="2" t="s">
        <v>12557</v>
      </c>
      <c r="C12482" s="2" t="str">
        <f>"1548825X"</f>
        <v>1548825X</v>
      </c>
      <c r="D12482" s="2">
        <v>0.39</v>
      </c>
      <c r="E12482" s="2">
        <v>21</v>
      </c>
      <c r="F12482" s="2" t="s">
        <v>6</v>
      </c>
    </row>
    <row r="12483" spans="1:6" ht="25.5">
      <c r="A12483" s="2">
        <v>12480</v>
      </c>
      <c r="B12483" s="2" t="s">
        <v>12558</v>
      </c>
      <c r="C12483" s="2" t="str">
        <f>"21564566"</f>
        <v>21564566</v>
      </c>
      <c r="D12483" s="2">
        <v>0.104</v>
      </c>
      <c r="E12483" s="2">
        <v>2</v>
      </c>
      <c r="F12483" s="2" t="s">
        <v>6</v>
      </c>
    </row>
    <row r="12484" spans="1:6" ht="25.5">
      <c r="A12484" s="2">
        <v>12481</v>
      </c>
      <c r="B12484" s="2" t="s">
        <v>12559</v>
      </c>
      <c r="C12484" s="2" t="str">
        <f>"10958673"</f>
        <v>10958673</v>
      </c>
      <c r="D12484" s="2">
        <v>0.67900000000000005</v>
      </c>
      <c r="E12484" s="2">
        <v>70</v>
      </c>
      <c r="F12484" s="2" t="s">
        <v>6</v>
      </c>
    </row>
    <row r="12485" spans="1:6" ht="25.5">
      <c r="A12485" s="2">
        <v>12482</v>
      </c>
      <c r="B12485" s="2" t="s">
        <v>12560</v>
      </c>
      <c r="C12485" s="2" t="str">
        <f>"07339453"</f>
        <v>07339453</v>
      </c>
      <c r="D12485" s="2">
        <v>0.71399999999999997</v>
      </c>
      <c r="E12485" s="2">
        <v>16</v>
      </c>
      <c r="F12485" s="2" t="s">
        <v>6</v>
      </c>
    </row>
    <row r="12486" spans="1:6" ht="25.5">
      <c r="A12486" s="2">
        <v>12483</v>
      </c>
      <c r="B12486" s="2" t="s">
        <v>12561</v>
      </c>
      <c r="C12486" s="2" t="str">
        <f>"18238556"</f>
        <v>18238556</v>
      </c>
      <c r="D12486" s="2">
        <v>0.18099999999999999</v>
      </c>
      <c r="E12486" s="2">
        <v>3</v>
      </c>
      <c r="F12486" s="2" t="s">
        <v>37</v>
      </c>
    </row>
    <row r="12487" spans="1:6" ht="25.5">
      <c r="A12487" s="2">
        <v>12484</v>
      </c>
      <c r="B12487" s="2" t="s">
        <v>12562</v>
      </c>
      <c r="C12487" s="2" t="str">
        <f>"15407578"</f>
        <v>15407578</v>
      </c>
      <c r="D12487" s="2">
        <v>0.32</v>
      </c>
      <c r="E12487" s="2">
        <v>19</v>
      </c>
      <c r="F12487" s="2" t="s">
        <v>6</v>
      </c>
    </row>
    <row r="12488" spans="1:6" ht="25.5">
      <c r="A12488" s="2">
        <v>12485</v>
      </c>
      <c r="B12488" s="2" t="s">
        <v>12563</v>
      </c>
      <c r="C12488" s="2" t="str">
        <f>"1540756X"</f>
        <v>1540756X</v>
      </c>
      <c r="D12488" s="2">
        <v>0.41299999999999998</v>
      </c>
      <c r="E12488" s="2">
        <v>14</v>
      </c>
      <c r="F12488" s="2" t="s">
        <v>6</v>
      </c>
    </row>
    <row r="12489" spans="1:6" ht="25.5">
      <c r="A12489" s="2">
        <v>12486</v>
      </c>
      <c r="B12489" s="2" t="s">
        <v>12564</v>
      </c>
      <c r="C12489" s="2" t="str">
        <f>"09669582"</f>
        <v>09669582</v>
      </c>
      <c r="D12489" s="2">
        <v>1.9259999999999999</v>
      </c>
      <c r="E12489" s="2">
        <v>31</v>
      </c>
      <c r="F12489" s="2" t="s">
        <v>16</v>
      </c>
    </row>
    <row r="12490" spans="1:6" ht="25.5">
      <c r="A12490" s="2">
        <v>12487</v>
      </c>
      <c r="B12490" s="2" t="s">
        <v>12565</v>
      </c>
      <c r="C12490" s="2" t="str">
        <f>"1537209X"</f>
        <v>1537209X</v>
      </c>
      <c r="D12490" s="2">
        <v>0.23699999999999999</v>
      </c>
      <c r="E12490" s="2">
        <v>24</v>
      </c>
      <c r="F12490" s="2" t="s">
        <v>6</v>
      </c>
    </row>
    <row r="12491" spans="1:6" ht="25.5">
      <c r="A12491" s="2">
        <v>12488</v>
      </c>
      <c r="B12491" s="2" t="s">
        <v>12566</v>
      </c>
      <c r="C12491" s="2" t="str">
        <f>"1095855X"</f>
        <v>1095855X</v>
      </c>
      <c r="D12491" s="2">
        <v>0.93</v>
      </c>
      <c r="E12491" s="2">
        <v>34</v>
      </c>
      <c r="F12491" s="2" t="s">
        <v>6</v>
      </c>
    </row>
    <row r="12492" spans="1:6" ht="25.5">
      <c r="A12492" s="2">
        <v>12489</v>
      </c>
      <c r="B12492" s="2" t="s">
        <v>12567</v>
      </c>
      <c r="C12492" s="2" t="str">
        <f>"00224812"</f>
        <v>00224812</v>
      </c>
      <c r="D12492" s="2">
        <v>1.0820000000000001</v>
      </c>
      <c r="E12492" s="2">
        <v>28</v>
      </c>
      <c r="F12492" s="2" t="s">
        <v>6</v>
      </c>
    </row>
    <row r="12493" spans="1:6" ht="25.5">
      <c r="A12493" s="2">
        <v>12490</v>
      </c>
      <c r="B12493" s="2" t="s">
        <v>12568</v>
      </c>
      <c r="C12493" s="2" t="str">
        <f>"15275256"</f>
        <v>15275256</v>
      </c>
      <c r="D12493" s="2">
        <v>1.7170000000000001</v>
      </c>
      <c r="E12493" s="2">
        <v>5</v>
      </c>
      <c r="F12493" s="2" t="s">
        <v>6</v>
      </c>
    </row>
    <row r="12494" spans="1:6" ht="25.5">
      <c r="A12494" s="2">
        <v>12491</v>
      </c>
      <c r="B12494" s="2" t="s">
        <v>12569</v>
      </c>
      <c r="C12494" s="2" t="str">
        <f>"16005775"</f>
        <v>16005775</v>
      </c>
      <c r="D12494" s="2">
        <v>1.3720000000000001</v>
      </c>
      <c r="E12494" s="2">
        <v>59</v>
      </c>
      <c r="F12494" s="2" t="s">
        <v>16</v>
      </c>
    </row>
    <row r="12495" spans="1:6" ht="25.5">
      <c r="A12495" s="2">
        <v>12492</v>
      </c>
      <c r="B12495" s="2" t="s">
        <v>12570</v>
      </c>
      <c r="C12495" s="2" t="str">
        <f>"14780941"</f>
        <v>14780941</v>
      </c>
      <c r="D12495" s="2">
        <v>1.05</v>
      </c>
      <c r="E12495" s="2">
        <v>20</v>
      </c>
      <c r="F12495" s="2" t="s">
        <v>16</v>
      </c>
    </row>
    <row r="12496" spans="1:6" ht="25.5">
      <c r="A12496" s="2">
        <v>12493</v>
      </c>
      <c r="B12496" s="2" t="s">
        <v>12571</v>
      </c>
      <c r="C12496" s="2" t="str">
        <f>"16744918"</f>
        <v>16744918</v>
      </c>
      <c r="D12496" s="2">
        <v>0.93300000000000005</v>
      </c>
      <c r="E12496" s="2">
        <v>19</v>
      </c>
      <c r="F12496" s="2" t="s">
        <v>46</v>
      </c>
    </row>
    <row r="12497" spans="1:6" ht="25.5">
      <c r="A12497" s="2">
        <v>12494</v>
      </c>
      <c r="B12497" s="2" t="s">
        <v>12572</v>
      </c>
      <c r="C12497" s="2" t="str">
        <f>"13287265"</f>
        <v>13287265</v>
      </c>
      <c r="D12497" s="2">
        <v>0</v>
      </c>
      <c r="E12497" s="2">
        <v>1</v>
      </c>
      <c r="F12497" s="2" t="s">
        <v>16</v>
      </c>
    </row>
    <row r="12498" spans="1:6" ht="25.5">
      <c r="A12498" s="2">
        <v>12495</v>
      </c>
      <c r="B12498" s="2" t="s">
        <v>12573</v>
      </c>
      <c r="C12498" s="2" t="str">
        <f>"01641212"</f>
        <v>01641212</v>
      </c>
      <c r="D12498" s="2">
        <v>1.0880000000000001</v>
      </c>
      <c r="E12498" s="2">
        <v>54</v>
      </c>
      <c r="F12498" s="2" t="s">
        <v>6</v>
      </c>
    </row>
    <row r="12499" spans="1:6" ht="25.5">
      <c r="A12499" s="2">
        <v>12496</v>
      </c>
      <c r="B12499" s="2" t="s">
        <v>12574</v>
      </c>
      <c r="C12499" s="2" t="str">
        <f>"13837621"</f>
        <v>13837621</v>
      </c>
      <c r="D12499" s="2">
        <v>0.55300000000000005</v>
      </c>
      <c r="E12499" s="2">
        <v>27</v>
      </c>
      <c r="F12499" s="2" t="s">
        <v>75</v>
      </c>
    </row>
    <row r="12500" spans="1:6" ht="25.5">
      <c r="A12500" s="2">
        <v>12497</v>
      </c>
      <c r="B12500" s="2" t="s">
        <v>12575</v>
      </c>
      <c r="C12500" s="2" t="str">
        <f>"16711793"</f>
        <v>16711793</v>
      </c>
      <c r="D12500" s="2">
        <v>0.312</v>
      </c>
      <c r="E12500" s="2">
        <v>17</v>
      </c>
      <c r="F12500" s="2" t="s">
        <v>46</v>
      </c>
    </row>
    <row r="12501" spans="1:6" ht="25.5">
      <c r="A12501" s="2">
        <v>12498</v>
      </c>
      <c r="B12501" s="2" t="s">
        <v>12576</v>
      </c>
      <c r="C12501" s="2" t="str">
        <f>"10096124"</f>
        <v>10096124</v>
      </c>
      <c r="D12501" s="2">
        <v>0.35199999999999998</v>
      </c>
      <c r="E12501" s="2">
        <v>12</v>
      </c>
      <c r="F12501" s="2" t="s">
        <v>6</v>
      </c>
    </row>
    <row r="12502" spans="1:6" ht="25.5">
      <c r="A12502" s="2">
        <v>12499</v>
      </c>
      <c r="B12502" s="2" t="s">
        <v>12577</v>
      </c>
      <c r="C12502" s="2" t="str">
        <f>"10043756"</f>
        <v>10043756</v>
      </c>
      <c r="D12502" s="2">
        <v>0.46300000000000002</v>
      </c>
      <c r="E12502" s="2">
        <v>10</v>
      </c>
      <c r="F12502" s="2" t="s">
        <v>12</v>
      </c>
    </row>
    <row r="12503" spans="1:6" ht="25.5">
      <c r="A12503" s="2">
        <v>12500</v>
      </c>
      <c r="B12503" s="2" t="s">
        <v>12578</v>
      </c>
      <c r="C12503" s="2" t="str">
        <f>"16583612"</f>
        <v>16583612</v>
      </c>
      <c r="D12503" s="2">
        <v>0.111</v>
      </c>
      <c r="E12503" s="2">
        <v>1</v>
      </c>
      <c r="F12503" s="2" t="s">
        <v>75</v>
      </c>
    </row>
    <row r="12504" spans="1:6" ht="25.5">
      <c r="A12504" s="2">
        <v>12501</v>
      </c>
      <c r="B12504" s="2" t="s">
        <v>12579</v>
      </c>
      <c r="C12504" s="2" t="str">
        <f>"02575744"</f>
        <v>02575744</v>
      </c>
      <c r="D12504" s="2">
        <v>0.105</v>
      </c>
      <c r="E12504" s="2">
        <v>1</v>
      </c>
      <c r="F12504" s="2" t="s">
        <v>46</v>
      </c>
    </row>
    <row r="12505" spans="1:6" ht="25.5">
      <c r="A12505" s="2">
        <v>12502</v>
      </c>
      <c r="B12505" s="2" t="s">
        <v>12580</v>
      </c>
      <c r="C12505" s="2" t="str">
        <f>"10234535"</f>
        <v>10234535</v>
      </c>
      <c r="D12505" s="2">
        <v>0.109</v>
      </c>
      <c r="E12505" s="2">
        <v>2</v>
      </c>
      <c r="F12505" s="2" t="s">
        <v>165</v>
      </c>
    </row>
    <row r="12506" spans="1:6" ht="25.5">
      <c r="A12506" s="2">
        <v>12503</v>
      </c>
      <c r="B12506" s="2" t="s">
        <v>12581</v>
      </c>
      <c r="C12506" s="2" t="str">
        <f>"09673237"</f>
        <v>09673237</v>
      </c>
      <c r="D12506" s="2">
        <v>0.191</v>
      </c>
      <c r="E12506" s="2">
        <v>4</v>
      </c>
      <c r="F12506" s="2" t="s">
        <v>16</v>
      </c>
    </row>
    <row r="12507" spans="1:6" ht="25.5">
      <c r="A12507" s="2">
        <v>12504</v>
      </c>
      <c r="B12507" s="2" t="s">
        <v>12582</v>
      </c>
      <c r="C12507" s="2" t="str">
        <f>"00224863"</f>
        <v>00224863</v>
      </c>
      <c r="D12507" s="2">
        <v>0.10100000000000001</v>
      </c>
      <c r="E12507" s="2">
        <v>4</v>
      </c>
      <c r="F12507" s="2" t="s">
        <v>6</v>
      </c>
    </row>
    <row r="12508" spans="1:6" ht="25.5">
      <c r="A12508" s="2">
        <v>12505</v>
      </c>
      <c r="B12508" s="2" t="s">
        <v>12583</v>
      </c>
      <c r="C12508" s="2" t="str">
        <f>"00224871"</f>
        <v>00224871</v>
      </c>
      <c r="D12508" s="2">
        <v>2.222</v>
      </c>
      <c r="E12508" s="2">
        <v>36</v>
      </c>
      <c r="F12508" s="2" t="s">
        <v>6</v>
      </c>
    </row>
    <row r="12509" spans="1:6" ht="25.5">
      <c r="A12509" s="2">
        <v>12506</v>
      </c>
      <c r="B12509" s="2" t="s">
        <v>12584</v>
      </c>
      <c r="C12509" s="2" t="str">
        <f>"16915534"</f>
        <v>16915534</v>
      </c>
      <c r="D12509" s="2">
        <v>0.10299999999999999</v>
      </c>
      <c r="E12509" s="2">
        <v>2</v>
      </c>
      <c r="F12509" s="2" t="s">
        <v>169</v>
      </c>
    </row>
    <row r="12510" spans="1:6" ht="25.5">
      <c r="A12510" s="2">
        <v>12507</v>
      </c>
      <c r="B12510" s="2" t="s">
        <v>12585</v>
      </c>
      <c r="C12510" s="2" t="str">
        <f>"08975930"</f>
        <v>08975930</v>
      </c>
      <c r="D12510" s="2">
        <v>0.20200000000000001</v>
      </c>
      <c r="E12510" s="2">
        <v>6</v>
      </c>
      <c r="F12510" s="2" t="s">
        <v>16</v>
      </c>
    </row>
    <row r="12511" spans="1:6" ht="25.5">
      <c r="A12511" s="2">
        <v>12508</v>
      </c>
      <c r="B12511" s="2" t="s">
        <v>12586</v>
      </c>
      <c r="C12511" s="2" t="str">
        <f>"15432769"</f>
        <v>15432769</v>
      </c>
      <c r="D12511" s="2">
        <v>0.77600000000000002</v>
      </c>
      <c r="E12511" s="2">
        <v>27</v>
      </c>
      <c r="F12511" s="2" t="s">
        <v>6</v>
      </c>
    </row>
    <row r="12512" spans="1:6" ht="25.5">
      <c r="A12512" s="2">
        <v>12509</v>
      </c>
      <c r="B12512" s="2" t="s">
        <v>12587</v>
      </c>
      <c r="C12512" s="2" t="str">
        <f>"15407349"</f>
        <v>15407349</v>
      </c>
      <c r="D12512" s="2">
        <v>0.373</v>
      </c>
      <c r="E12512" s="2">
        <v>6</v>
      </c>
      <c r="F12512" s="2" t="s">
        <v>16</v>
      </c>
    </row>
    <row r="12513" spans="1:6" ht="25.5">
      <c r="A12513" s="2">
        <v>12510</v>
      </c>
      <c r="B12513" s="2" t="s">
        <v>12588</v>
      </c>
      <c r="C12513" s="2" t="str">
        <f>"15313220"</f>
        <v>15313220</v>
      </c>
      <c r="D12513" s="2">
        <v>0.214</v>
      </c>
      <c r="E12513" s="2">
        <v>6</v>
      </c>
      <c r="F12513" s="2" t="s">
        <v>16</v>
      </c>
    </row>
    <row r="12514" spans="1:6" ht="25.5">
      <c r="A12514" s="2">
        <v>12511</v>
      </c>
      <c r="B12514" s="2" t="s">
        <v>12589</v>
      </c>
      <c r="C12514" s="2" t="str">
        <f>"10123407"</f>
        <v>10123407</v>
      </c>
      <c r="D12514" s="2">
        <v>0.10100000000000001</v>
      </c>
      <c r="E12514" s="2">
        <v>0</v>
      </c>
      <c r="F12514" s="2" t="s">
        <v>165</v>
      </c>
    </row>
    <row r="12515" spans="1:6" ht="25.5">
      <c r="A12515" s="2">
        <v>12512</v>
      </c>
      <c r="B12515" s="2" t="s">
        <v>12590</v>
      </c>
      <c r="C12515" s="2" t="str">
        <f>"10451064"</f>
        <v>10451064</v>
      </c>
      <c r="D12515" s="2">
        <v>0.185</v>
      </c>
      <c r="E12515" s="2">
        <v>11</v>
      </c>
      <c r="F12515" s="2" t="s">
        <v>6</v>
      </c>
    </row>
    <row r="12516" spans="1:6" ht="25.5">
      <c r="A12516" s="2">
        <v>12513</v>
      </c>
      <c r="B12516" s="2" t="s">
        <v>12591</v>
      </c>
      <c r="C12516" s="2" t="str">
        <f>"15228991"</f>
        <v>15228991</v>
      </c>
      <c r="D12516" s="2">
        <v>0.17</v>
      </c>
      <c r="E12516" s="2">
        <v>12</v>
      </c>
      <c r="F12516" s="2" t="s">
        <v>16</v>
      </c>
    </row>
    <row r="12517" spans="1:6" ht="25.5">
      <c r="A12517" s="2">
        <v>12514</v>
      </c>
      <c r="B12517" s="2" t="s">
        <v>12592</v>
      </c>
      <c r="C12517" s="2" t="str">
        <f>"07182724"</f>
        <v>07182724</v>
      </c>
      <c r="D12517" s="2">
        <v>0.223</v>
      </c>
      <c r="E12517" s="2">
        <v>6</v>
      </c>
      <c r="F12517" s="2" t="s">
        <v>182</v>
      </c>
    </row>
    <row r="12518" spans="1:6" ht="25.5">
      <c r="A12518" s="2">
        <v>12515</v>
      </c>
      <c r="B12518" s="2" t="s">
        <v>12593</v>
      </c>
      <c r="C12518" s="2" t="str">
        <f>"08929912"</f>
        <v>08929912</v>
      </c>
      <c r="D12518" s="2">
        <v>1.3640000000000001</v>
      </c>
      <c r="E12518" s="2">
        <v>33</v>
      </c>
      <c r="F12518" s="2" t="s">
        <v>75</v>
      </c>
    </row>
    <row r="12519" spans="1:6" ht="25.5">
      <c r="A12519" s="2">
        <v>12516</v>
      </c>
      <c r="B12519" s="2" t="s">
        <v>12594</v>
      </c>
      <c r="C12519" s="2" t="str">
        <f>"20082371"</f>
        <v>20082371</v>
      </c>
      <c r="D12519" s="2">
        <v>0.13700000000000001</v>
      </c>
      <c r="E12519" s="2">
        <v>3</v>
      </c>
      <c r="F12519" s="2" t="s">
        <v>299</v>
      </c>
    </row>
    <row r="12520" spans="1:6" ht="25.5">
      <c r="A12520" s="2">
        <v>12517</v>
      </c>
      <c r="B12520" s="2" t="s">
        <v>12595</v>
      </c>
      <c r="C12520" s="2" t="str">
        <f>"17581109"</f>
        <v>17581109</v>
      </c>
      <c r="D12520" s="2">
        <v>0.54300000000000004</v>
      </c>
      <c r="E12520" s="2">
        <v>45</v>
      </c>
      <c r="F12520" s="2" t="s">
        <v>16</v>
      </c>
    </row>
    <row r="12521" spans="1:6" ht="25.5">
      <c r="A12521" s="2">
        <v>12518</v>
      </c>
      <c r="B12521" s="2" t="s">
        <v>12596</v>
      </c>
      <c r="C12521" s="2" t="str">
        <f>"00224898"</f>
        <v>00224898</v>
      </c>
      <c r="D12521" s="2">
        <v>0.48899999999999999</v>
      </c>
      <c r="E12521" s="2">
        <v>23</v>
      </c>
      <c r="F12521" s="2" t="s">
        <v>16</v>
      </c>
    </row>
    <row r="12522" spans="1:6" ht="25.5">
      <c r="A12522" s="2">
        <v>12519</v>
      </c>
      <c r="B12522" s="2" t="s">
        <v>12597</v>
      </c>
      <c r="C12522" s="2" t="str">
        <f>"00903973"</f>
        <v>00903973</v>
      </c>
      <c r="D12522" s="2">
        <v>0.26400000000000001</v>
      </c>
      <c r="E12522" s="2">
        <v>20</v>
      </c>
      <c r="F12522" s="2" t="s">
        <v>6</v>
      </c>
    </row>
    <row r="12523" spans="1:6" ht="25.5">
      <c r="A12523" s="2">
        <v>12520</v>
      </c>
      <c r="B12523" s="2" t="s">
        <v>12598</v>
      </c>
      <c r="C12523" s="2" t="str">
        <f>"15330915"</f>
        <v>15330915</v>
      </c>
      <c r="D12523" s="2">
        <v>0.14599999999999999</v>
      </c>
      <c r="E12523" s="2">
        <v>10</v>
      </c>
      <c r="F12523" s="2" t="s">
        <v>6</v>
      </c>
    </row>
    <row r="12524" spans="1:6" ht="25.5">
      <c r="A12524" s="2">
        <v>12521</v>
      </c>
      <c r="B12524" s="2" t="s">
        <v>12599</v>
      </c>
      <c r="C12524" s="2" t="str">
        <f>"13468235"</f>
        <v>13468235</v>
      </c>
      <c r="D12524" s="2">
        <v>0.16</v>
      </c>
      <c r="E12524" s="2">
        <v>7</v>
      </c>
      <c r="F12524" s="2" t="s">
        <v>131</v>
      </c>
    </row>
    <row r="12525" spans="1:6" ht="25.5">
      <c r="A12525" s="2">
        <v>12522</v>
      </c>
      <c r="B12525" s="2" t="s">
        <v>12600</v>
      </c>
      <c r="C12525" s="2" t="str">
        <f>"21470510"</f>
        <v>21470510</v>
      </c>
      <c r="D12525" s="2">
        <v>0</v>
      </c>
      <c r="E12525" s="2">
        <v>1</v>
      </c>
      <c r="F12525" s="2" t="s">
        <v>345</v>
      </c>
    </row>
    <row r="12526" spans="1:6" ht="25.5">
      <c r="A12526" s="2">
        <v>12523</v>
      </c>
      <c r="B12526" s="2" t="s">
        <v>12601</v>
      </c>
      <c r="C12526" s="2" t="str">
        <f>"00224901"</f>
        <v>00224901</v>
      </c>
      <c r="D12526" s="2">
        <v>0.60099999999999998</v>
      </c>
      <c r="E12526" s="2">
        <v>29</v>
      </c>
      <c r="F12526" s="2" t="s">
        <v>16</v>
      </c>
    </row>
    <row r="12527" spans="1:6" ht="25.5">
      <c r="A12527" s="2">
        <v>12524</v>
      </c>
      <c r="B12527" s="2" t="s">
        <v>12602</v>
      </c>
      <c r="C12527" s="2" t="str">
        <f>"00920703"</f>
        <v>00920703</v>
      </c>
      <c r="D12527" s="2">
        <v>1.776</v>
      </c>
      <c r="E12527" s="2">
        <v>91</v>
      </c>
      <c r="F12527" s="2" t="s">
        <v>6</v>
      </c>
    </row>
    <row r="12528" spans="1:6" ht="25.5">
      <c r="A12528" s="2">
        <v>12525</v>
      </c>
      <c r="B12528" s="2" t="s">
        <v>12603</v>
      </c>
      <c r="C12528" s="2" t="str">
        <f>"22122672"</f>
        <v>22122672</v>
      </c>
      <c r="D12528" s="2">
        <v>1.369</v>
      </c>
      <c r="E12528" s="2">
        <v>94</v>
      </c>
      <c r="F12528" s="2" t="s">
        <v>6</v>
      </c>
    </row>
    <row r="12529" spans="1:6" ht="25.5">
      <c r="A12529" s="2">
        <v>12526</v>
      </c>
      <c r="B12529" s="2" t="s">
        <v>12604</v>
      </c>
      <c r="C12529" s="2" t="str">
        <f>"00045411"</f>
        <v>00045411</v>
      </c>
      <c r="D12529" s="2">
        <v>5.952</v>
      </c>
      <c r="E12529" s="2">
        <v>81</v>
      </c>
      <c r="F12529" s="2" t="s">
        <v>6</v>
      </c>
    </row>
    <row r="12530" spans="1:6" ht="25.5">
      <c r="A12530" s="2">
        <v>12527</v>
      </c>
      <c r="B12530" s="2" t="s">
        <v>12605</v>
      </c>
      <c r="C12530" s="2" t="str">
        <f>"15208524"</f>
        <v>15208524</v>
      </c>
      <c r="D12530" s="2">
        <v>0.71599999999999997</v>
      </c>
      <c r="E12530" s="2">
        <v>105</v>
      </c>
      <c r="F12530" s="2" t="s">
        <v>6</v>
      </c>
    </row>
    <row r="12531" spans="1:6" ht="25.5">
      <c r="A12531" s="2">
        <v>12528</v>
      </c>
      <c r="B12531" s="2" t="s">
        <v>12606</v>
      </c>
      <c r="C12531" s="2" t="str">
        <f>"10962247"</f>
        <v>10962247</v>
      </c>
      <c r="D12531" s="2">
        <v>0.61</v>
      </c>
      <c r="E12531" s="2">
        <v>63</v>
      </c>
      <c r="F12531" s="2" t="s">
        <v>6</v>
      </c>
    </row>
    <row r="12532" spans="1:6" ht="25.5">
      <c r="A12532" s="2">
        <v>12529</v>
      </c>
      <c r="B12532" s="2" t="s">
        <v>12607</v>
      </c>
      <c r="C12532" s="2" t="str">
        <f>"10500545"</f>
        <v>10500545</v>
      </c>
      <c r="D12532" s="2">
        <v>0.91100000000000003</v>
      </c>
      <c r="E12532" s="2">
        <v>44</v>
      </c>
      <c r="F12532" s="2" t="s">
        <v>6</v>
      </c>
    </row>
    <row r="12533" spans="1:6" ht="25.5">
      <c r="A12533" s="2">
        <v>12530</v>
      </c>
      <c r="B12533" s="2" t="s">
        <v>12608</v>
      </c>
      <c r="C12533" s="2" t="str">
        <f>"08908567"</f>
        <v>08908567</v>
      </c>
      <c r="D12533" s="2">
        <v>3.1240000000000001</v>
      </c>
      <c r="E12533" s="2">
        <v>156</v>
      </c>
      <c r="F12533" s="2" t="s">
        <v>16</v>
      </c>
    </row>
    <row r="12534" spans="1:6" ht="25.5">
      <c r="A12534" s="2">
        <v>12531</v>
      </c>
      <c r="B12534" s="2" t="s">
        <v>12609</v>
      </c>
      <c r="C12534" s="2" t="str">
        <f>"10976787"</f>
        <v>10976787</v>
      </c>
      <c r="D12534" s="2">
        <v>1.5609999999999999</v>
      </c>
      <c r="E12534" s="2">
        <v>131</v>
      </c>
      <c r="F12534" s="2" t="s">
        <v>6</v>
      </c>
    </row>
    <row r="12535" spans="1:6" ht="25.5">
      <c r="A12535" s="2">
        <v>12532</v>
      </c>
      <c r="B12535" s="2" t="s">
        <v>12610</v>
      </c>
      <c r="C12535" s="2" t="str">
        <f>"10412972"</f>
        <v>10412972</v>
      </c>
      <c r="D12535" s="2">
        <v>0.36</v>
      </c>
      <c r="E12535" s="2">
        <v>23</v>
      </c>
      <c r="F12535" s="2" t="s">
        <v>16</v>
      </c>
    </row>
    <row r="12536" spans="1:6" ht="25.5">
      <c r="A12536" s="2">
        <v>12533</v>
      </c>
      <c r="B12536" s="2" t="s">
        <v>12611</v>
      </c>
      <c r="C12536" s="2" t="str">
        <f>"1067151X"</f>
        <v>1067151X</v>
      </c>
      <c r="D12536" s="2">
        <v>1.7090000000000001</v>
      </c>
      <c r="E12536" s="2">
        <v>54</v>
      </c>
      <c r="F12536" s="2" t="s">
        <v>6</v>
      </c>
    </row>
    <row r="12537" spans="1:6" ht="25.5">
      <c r="A12537" s="2">
        <v>12534</v>
      </c>
      <c r="B12537" s="2" t="s">
        <v>12612</v>
      </c>
      <c r="C12537" s="2" t="str">
        <f>"10936793"</f>
        <v>10936793</v>
      </c>
      <c r="D12537" s="2">
        <v>0.374</v>
      </c>
      <c r="E12537" s="2">
        <v>34</v>
      </c>
      <c r="F12537" s="2" t="s">
        <v>6</v>
      </c>
    </row>
    <row r="12538" spans="1:6" ht="25.5">
      <c r="A12538" s="2">
        <v>12535</v>
      </c>
      <c r="B12538" s="2" t="s">
        <v>12613</v>
      </c>
      <c r="C12538" s="2" t="str">
        <f>"14774585"</f>
        <v>14774585</v>
      </c>
      <c r="D12538" s="2">
        <v>0.28199999999999997</v>
      </c>
      <c r="E12538" s="2">
        <v>9</v>
      </c>
      <c r="F12538" s="2" t="s">
        <v>16</v>
      </c>
    </row>
    <row r="12539" spans="1:6" ht="25.5">
      <c r="A12539" s="2">
        <v>12536</v>
      </c>
      <c r="B12539" s="2" t="s">
        <v>12614</v>
      </c>
      <c r="C12539" s="2" t="str">
        <f>"15473317"</f>
        <v>15473317</v>
      </c>
      <c r="D12539" s="2">
        <v>0.48399999999999999</v>
      </c>
      <c r="E12539" s="2">
        <v>41</v>
      </c>
      <c r="F12539" s="2" t="s">
        <v>6</v>
      </c>
    </row>
    <row r="12540" spans="1:6" ht="25.5">
      <c r="A12540" s="2">
        <v>12537</v>
      </c>
      <c r="B12540" s="2" t="s">
        <v>12615</v>
      </c>
      <c r="C12540" s="2" t="str">
        <f>"15596109"</f>
        <v>15596109</v>
      </c>
      <c r="D12540" s="2">
        <v>0.42199999999999999</v>
      </c>
      <c r="E12540" s="2">
        <v>23</v>
      </c>
      <c r="F12540" s="2" t="s">
        <v>6</v>
      </c>
    </row>
    <row r="12541" spans="1:6" ht="25.5">
      <c r="A12541" s="2">
        <v>12538</v>
      </c>
      <c r="B12541" s="2" t="s">
        <v>12616</v>
      </c>
      <c r="C12541" s="2" t="str">
        <f>"15587118"</f>
        <v>15587118</v>
      </c>
      <c r="D12541" s="2">
        <v>0.54100000000000004</v>
      </c>
      <c r="E12541" s="2">
        <v>46</v>
      </c>
      <c r="F12541" s="2" t="s">
        <v>6</v>
      </c>
    </row>
    <row r="12542" spans="1:6" ht="25.5">
      <c r="A12542" s="2">
        <v>12539</v>
      </c>
      <c r="B12542" s="2" t="s">
        <v>12617</v>
      </c>
      <c r="C12542" s="2" t="str">
        <f>"00027820"</f>
        <v>00027820</v>
      </c>
      <c r="D12542" s="2">
        <v>1.167</v>
      </c>
      <c r="E12542" s="2">
        <v>119</v>
      </c>
      <c r="F12542" s="2" t="s">
        <v>16</v>
      </c>
    </row>
    <row r="12543" spans="1:6" ht="25.5">
      <c r="A12543" s="2">
        <v>12540</v>
      </c>
      <c r="B12543" s="2" t="s">
        <v>12618</v>
      </c>
      <c r="C12543" s="2" t="str">
        <f>"15205126"</f>
        <v>15205126</v>
      </c>
      <c r="D12543" s="2">
        <v>5.1820000000000004</v>
      </c>
      <c r="E12543" s="2">
        <v>340</v>
      </c>
      <c r="F12543" s="2" t="s">
        <v>6</v>
      </c>
    </row>
    <row r="12544" spans="1:6" ht="25.5">
      <c r="A12544" s="2">
        <v>12541</v>
      </c>
      <c r="B12544" s="2" t="s">
        <v>12619</v>
      </c>
      <c r="C12544" s="2" t="str">
        <f>"07351097"</f>
        <v>07351097</v>
      </c>
      <c r="D12544" s="2">
        <v>6.95</v>
      </c>
      <c r="E12544" s="2">
        <v>277</v>
      </c>
      <c r="F12544" s="2" t="s">
        <v>6</v>
      </c>
    </row>
    <row r="12545" spans="1:6" ht="25.5">
      <c r="A12545" s="2">
        <v>12542</v>
      </c>
      <c r="B12545" s="2" t="s">
        <v>12620</v>
      </c>
      <c r="C12545" s="2" t="str">
        <f>"18764983"</f>
        <v>18764983</v>
      </c>
      <c r="D12545" s="2">
        <v>0.14799999999999999</v>
      </c>
      <c r="E12545" s="2">
        <v>3</v>
      </c>
      <c r="F12545" s="2" t="s">
        <v>6</v>
      </c>
    </row>
    <row r="12546" spans="1:6" ht="25.5">
      <c r="A12546" s="2">
        <v>12543</v>
      </c>
      <c r="B12546" s="2" t="s">
        <v>12621</v>
      </c>
      <c r="C12546" s="2" t="str">
        <f>"00027979"</f>
        <v>00027979</v>
      </c>
      <c r="D12546" s="2">
        <v>0.11799999999999999</v>
      </c>
      <c r="E12546" s="2">
        <v>8</v>
      </c>
      <c r="F12546" s="2" t="s">
        <v>6</v>
      </c>
    </row>
    <row r="12547" spans="1:6" ht="25.5">
      <c r="A12547" s="2">
        <v>12544</v>
      </c>
      <c r="B12547" s="2" t="s">
        <v>12622</v>
      </c>
      <c r="C12547" s="2" t="str">
        <f>"15411087"</f>
        <v>15411087</v>
      </c>
      <c r="D12547" s="2">
        <v>0.91700000000000004</v>
      </c>
      <c r="E12547" s="2">
        <v>77</v>
      </c>
      <c r="F12547" s="2" t="s">
        <v>6</v>
      </c>
    </row>
    <row r="12548" spans="1:6" ht="25.5">
      <c r="A12548" s="2">
        <v>12545</v>
      </c>
      <c r="B12548" s="2" t="s">
        <v>12623</v>
      </c>
      <c r="C12548" s="2" t="str">
        <f>"18791190"</f>
        <v>18791190</v>
      </c>
      <c r="D12548" s="2">
        <v>1.647</v>
      </c>
      <c r="E12548" s="2">
        <v>105</v>
      </c>
      <c r="F12548" s="2" t="s">
        <v>6</v>
      </c>
    </row>
    <row r="12549" spans="1:6" ht="25.5">
      <c r="A12549" s="2">
        <v>12546</v>
      </c>
      <c r="B12549" s="2" t="s">
        <v>12624</v>
      </c>
      <c r="C12549" s="2" t="str">
        <f>"19434723"</f>
        <v>19434723</v>
      </c>
      <c r="D12549" s="2">
        <v>0.67100000000000004</v>
      </c>
      <c r="E12549" s="2">
        <v>67</v>
      </c>
      <c r="F12549" s="2" t="s">
        <v>6</v>
      </c>
    </row>
    <row r="12550" spans="1:6" ht="25.5">
      <c r="A12550" s="2">
        <v>12547</v>
      </c>
      <c r="B12550" s="2" t="s">
        <v>12625</v>
      </c>
      <c r="C12550" s="2" t="str">
        <f>"00028614"</f>
        <v>00028614</v>
      </c>
      <c r="D12550" s="2">
        <v>1.673</v>
      </c>
      <c r="E12550" s="2">
        <v>138</v>
      </c>
      <c r="F12550" s="2" t="s">
        <v>16</v>
      </c>
    </row>
    <row r="12551" spans="1:6" ht="25.5">
      <c r="A12551" s="2">
        <v>12548</v>
      </c>
      <c r="B12551" s="2" t="s">
        <v>12626</v>
      </c>
      <c r="C12551" s="2" t="str">
        <f>"10605487"</f>
        <v>10605487</v>
      </c>
      <c r="D12551" s="2">
        <v>0.105</v>
      </c>
      <c r="E12551" s="2">
        <v>8</v>
      </c>
      <c r="F12551" s="2" t="s">
        <v>6</v>
      </c>
    </row>
    <row r="12552" spans="1:6" ht="25.5">
      <c r="A12552" s="2">
        <v>12549</v>
      </c>
      <c r="B12552" s="2" t="s">
        <v>12627</v>
      </c>
      <c r="C12552" s="2" t="str">
        <f>"00028711"</f>
        <v>00028711</v>
      </c>
      <c r="D12552" s="2">
        <v>0.59199999999999997</v>
      </c>
      <c r="E12552" s="2">
        <v>31</v>
      </c>
      <c r="F12552" s="2" t="s">
        <v>6</v>
      </c>
    </row>
    <row r="12553" spans="1:6" ht="25.5">
      <c r="A12553" s="2">
        <v>12550</v>
      </c>
      <c r="B12553" s="2" t="s">
        <v>12628</v>
      </c>
      <c r="C12553" s="2" t="str">
        <f>"19452330"</f>
        <v>19452330</v>
      </c>
      <c r="D12553" s="2">
        <v>0.128</v>
      </c>
      <c r="E12553" s="2">
        <v>7</v>
      </c>
      <c r="F12553" s="2" t="s">
        <v>16</v>
      </c>
    </row>
    <row r="12554" spans="1:6" ht="25.5">
      <c r="A12554" s="2">
        <v>12551</v>
      </c>
      <c r="B12554" s="2" t="s">
        <v>12629</v>
      </c>
      <c r="C12554" s="2" t="str">
        <f>"00029726"</f>
        <v>00029726</v>
      </c>
      <c r="D12554" s="2">
        <v>0.39</v>
      </c>
      <c r="E12554" s="2">
        <v>20</v>
      </c>
      <c r="F12554" s="2" t="s">
        <v>6</v>
      </c>
    </row>
    <row r="12555" spans="1:6" ht="25.5">
      <c r="A12555" s="2">
        <v>12552</v>
      </c>
      <c r="B12555" s="2" t="s">
        <v>12630</v>
      </c>
      <c r="C12555" s="2" t="str">
        <f>"10886834"</f>
        <v>10886834</v>
      </c>
      <c r="D12555" s="2">
        <v>7.2270000000000003</v>
      </c>
      <c r="E12555" s="2">
        <v>54</v>
      </c>
      <c r="F12555" s="2" t="s">
        <v>6</v>
      </c>
    </row>
    <row r="12556" spans="1:6" ht="25.5">
      <c r="A12556" s="2">
        <v>12553</v>
      </c>
      <c r="B12556" s="2" t="s">
        <v>12631</v>
      </c>
      <c r="C12556" s="2" t="str">
        <f>"15258610"</f>
        <v>15258610</v>
      </c>
      <c r="D12556" s="2">
        <v>0.84099999999999997</v>
      </c>
      <c r="E12556" s="2">
        <v>38</v>
      </c>
      <c r="F12556" s="2" t="s">
        <v>6</v>
      </c>
    </row>
    <row r="12557" spans="1:6" ht="25.5">
      <c r="A12557" s="2">
        <v>12554</v>
      </c>
      <c r="B12557" s="2" t="s">
        <v>12632</v>
      </c>
      <c r="C12557" s="2" t="str">
        <f>"10675027"</f>
        <v>10675027</v>
      </c>
      <c r="D12557" s="2">
        <v>2.2130000000000001</v>
      </c>
      <c r="E12557" s="2">
        <v>87</v>
      </c>
      <c r="F12557" s="2" t="s">
        <v>16</v>
      </c>
    </row>
    <row r="12558" spans="1:6" ht="25.5">
      <c r="A12558" s="2">
        <v>12555</v>
      </c>
      <c r="B12558" s="2" t="s">
        <v>12633</v>
      </c>
      <c r="C12558" s="2" t="str">
        <f>"8756971X"</f>
        <v>8756971X</v>
      </c>
      <c r="D12558" s="2">
        <v>0.40799999999999997</v>
      </c>
      <c r="E12558" s="2">
        <v>36</v>
      </c>
      <c r="F12558" s="2" t="s">
        <v>6</v>
      </c>
    </row>
    <row r="12559" spans="1:6" ht="25.5">
      <c r="A12559" s="2">
        <v>12556</v>
      </c>
      <c r="B12559" s="2" t="s">
        <v>12634</v>
      </c>
      <c r="C12559" s="2" t="str">
        <f>"03623300"</f>
        <v>03623300</v>
      </c>
      <c r="D12559" s="2">
        <v>0.10199999999999999</v>
      </c>
      <c r="E12559" s="2">
        <v>1</v>
      </c>
      <c r="F12559" s="2" t="s">
        <v>6</v>
      </c>
    </row>
    <row r="12560" spans="1:6" ht="25.5">
      <c r="A12560" s="2">
        <v>12557</v>
      </c>
      <c r="B12560" s="2" t="s">
        <v>12635</v>
      </c>
      <c r="C12560" s="2" t="str">
        <f>"00030139"</f>
        <v>00030139</v>
      </c>
      <c r="D12560" s="2">
        <v>0.41599999999999998</v>
      </c>
      <c r="E12560" s="2">
        <v>10</v>
      </c>
      <c r="F12560" s="2" t="s">
        <v>6</v>
      </c>
    </row>
    <row r="12561" spans="1:6" ht="25.5">
      <c r="A12561" s="2">
        <v>12558</v>
      </c>
      <c r="B12561" s="2" t="s">
        <v>12636</v>
      </c>
      <c r="C12561" s="2" t="str">
        <f>"00030279"</f>
        <v>00030279</v>
      </c>
      <c r="D12561" s="2">
        <v>0.1</v>
      </c>
      <c r="E12561" s="2">
        <v>4</v>
      </c>
      <c r="F12561" s="2" t="s">
        <v>6</v>
      </c>
    </row>
    <row r="12562" spans="1:6" ht="25.5">
      <c r="A12562" s="2">
        <v>12559</v>
      </c>
      <c r="B12562" s="2" t="s">
        <v>12637</v>
      </c>
      <c r="C12562" s="2" t="str">
        <f>"00986151"</f>
        <v>00986151</v>
      </c>
      <c r="D12562" s="2">
        <v>0.30399999999999999</v>
      </c>
      <c r="E12562" s="2">
        <v>27</v>
      </c>
      <c r="F12562" s="2" t="s">
        <v>6</v>
      </c>
    </row>
    <row r="12563" spans="1:6" ht="25.5">
      <c r="A12563" s="2">
        <v>12560</v>
      </c>
      <c r="B12563" s="2" t="s">
        <v>12638</v>
      </c>
      <c r="C12563" s="2" t="str">
        <f>"15443450"</f>
        <v>15443450</v>
      </c>
      <c r="D12563" s="2">
        <v>0.35599999999999998</v>
      </c>
      <c r="E12563" s="2">
        <v>41</v>
      </c>
      <c r="F12563" s="2" t="s">
        <v>6</v>
      </c>
    </row>
    <row r="12564" spans="1:6" ht="25.5">
      <c r="A12564" s="2">
        <v>12561</v>
      </c>
      <c r="B12564" s="2" t="s">
        <v>12639</v>
      </c>
      <c r="C12564" s="2" t="str">
        <f>"01944363"</f>
        <v>01944363</v>
      </c>
      <c r="D12564" s="2">
        <v>1.841</v>
      </c>
      <c r="E12564" s="2">
        <v>50</v>
      </c>
      <c r="F12564" s="2" t="s">
        <v>16</v>
      </c>
    </row>
    <row r="12565" spans="1:6" ht="25.5">
      <c r="A12565" s="2">
        <v>12562</v>
      </c>
      <c r="B12565" s="2" t="s">
        <v>12640</v>
      </c>
      <c r="C12565" s="2" t="str">
        <f>"87507315"</f>
        <v>87507315</v>
      </c>
      <c r="D12565" s="2">
        <v>0.38700000000000001</v>
      </c>
      <c r="E12565" s="2">
        <v>35</v>
      </c>
      <c r="F12565" s="2" t="s">
        <v>6</v>
      </c>
    </row>
    <row r="12566" spans="1:6" ht="25.5">
      <c r="A12566" s="2">
        <v>12563</v>
      </c>
      <c r="B12566" s="2" t="s">
        <v>12641</v>
      </c>
      <c r="C12566" s="2" t="str">
        <f>"15325725"</f>
        <v>15325725</v>
      </c>
      <c r="D12566" s="2">
        <v>0.22700000000000001</v>
      </c>
      <c r="E12566" s="2">
        <v>15</v>
      </c>
      <c r="F12566" s="2" t="s">
        <v>6</v>
      </c>
    </row>
    <row r="12567" spans="1:6" ht="25.5">
      <c r="A12567" s="2">
        <v>12564</v>
      </c>
      <c r="B12567" s="2" t="s">
        <v>12642</v>
      </c>
      <c r="C12567" s="2" t="str">
        <f>"00030651"</f>
        <v>00030651</v>
      </c>
      <c r="D12567" s="2">
        <v>0.63500000000000001</v>
      </c>
      <c r="E12567" s="2">
        <v>30</v>
      </c>
      <c r="F12567" s="2" t="s">
        <v>6</v>
      </c>
    </row>
    <row r="12568" spans="1:6" ht="25.5">
      <c r="A12568" s="2">
        <v>12565</v>
      </c>
      <c r="B12568" s="2" t="s">
        <v>12643</v>
      </c>
      <c r="C12568" s="2" t="str">
        <f>"00031062"</f>
        <v>00031062</v>
      </c>
      <c r="D12568" s="2">
        <v>0.67</v>
      </c>
      <c r="E12568" s="2">
        <v>46</v>
      </c>
      <c r="F12568" s="2" t="s">
        <v>6</v>
      </c>
    </row>
    <row r="12569" spans="1:6" ht="25.5">
      <c r="A12569" s="2">
        <v>12566</v>
      </c>
      <c r="B12569" s="2" t="s">
        <v>12644</v>
      </c>
      <c r="C12569" s="2" t="str">
        <f>"15322890"</f>
        <v>15322890</v>
      </c>
      <c r="D12569" s="2">
        <v>1.5549999999999999</v>
      </c>
      <c r="E12569" s="2">
        <v>74</v>
      </c>
      <c r="F12569" s="2" t="s">
        <v>6</v>
      </c>
    </row>
    <row r="12570" spans="1:6" ht="25.5">
      <c r="A12570" s="2">
        <v>12567</v>
      </c>
      <c r="B12570" s="2" t="s">
        <v>12645</v>
      </c>
      <c r="C12570" s="2" t="str">
        <f>"10440305"</f>
        <v>10440305</v>
      </c>
      <c r="D12570" s="2">
        <v>1.5569999999999999</v>
      </c>
      <c r="E12570" s="2">
        <v>86</v>
      </c>
      <c r="F12570" s="2" t="s">
        <v>6</v>
      </c>
    </row>
    <row r="12571" spans="1:6" ht="25.5">
      <c r="A12571" s="2">
        <v>12568</v>
      </c>
      <c r="B12571" s="2" t="s">
        <v>12646</v>
      </c>
      <c r="C12571" s="2" t="str">
        <f>"03610470"</f>
        <v>03610470</v>
      </c>
      <c r="D12571" s="2">
        <v>0.34499999999999997</v>
      </c>
      <c r="E12571" s="2">
        <v>26</v>
      </c>
      <c r="F12571" s="2" t="s">
        <v>6</v>
      </c>
    </row>
    <row r="12572" spans="1:6" ht="25.5">
      <c r="A12572" s="2">
        <v>12569</v>
      </c>
      <c r="B12572" s="2" t="s">
        <v>12647</v>
      </c>
      <c r="C12572" s="2" t="str">
        <f>"08947317"</f>
        <v>08947317</v>
      </c>
      <c r="D12572" s="2">
        <v>2.3610000000000002</v>
      </c>
      <c r="E12572" s="2">
        <v>80</v>
      </c>
      <c r="F12572" s="2" t="s">
        <v>6</v>
      </c>
    </row>
    <row r="12573" spans="1:6" ht="25.5">
      <c r="A12573" s="2">
        <v>12570</v>
      </c>
      <c r="B12573" s="2" t="s">
        <v>12648</v>
      </c>
      <c r="C12573" s="2" t="str">
        <f>"19331711"</f>
        <v>19331711</v>
      </c>
      <c r="D12573" s="2">
        <v>0.80300000000000005</v>
      </c>
      <c r="E12573" s="2">
        <v>17</v>
      </c>
      <c r="F12573" s="2" t="s">
        <v>732</v>
      </c>
    </row>
    <row r="12574" spans="1:6" ht="25.5">
      <c r="A12574" s="2">
        <v>12571</v>
      </c>
      <c r="B12574" s="2" t="s">
        <v>12649</v>
      </c>
      <c r="C12574" s="2" t="str">
        <f>"15333450"</f>
        <v>15333450</v>
      </c>
      <c r="D12574" s="2">
        <v>4.3970000000000002</v>
      </c>
      <c r="E12574" s="2">
        <v>178</v>
      </c>
      <c r="F12574" s="2" t="s">
        <v>6</v>
      </c>
    </row>
    <row r="12575" spans="1:6" ht="25.5">
      <c r="A12575" s="2">
        <v>12572</v>
      </c>
      <c r="B12575" s="2" t="s">
        <v>12650</v>
      </c>
      <c r="C12575" s="2" t="str">
        <f>"1537274X"</f>
        <v>1537274X</v>
      </c>
      <c r="D12575" s="2">
        <v>3.1120000000000001</v>
      </c>
      <c r="E12575" s="2">
        <v>103</v>
      </c>
      <c r="F12575" s="2" t="s">
        <v>6</v>
      </c>
    </row>
    <row r="12576" spans="1:6" ht="25.5">
      <c r="A12576" s="2">
        <v>12573</v>
      </c>
      <c r="B12576" s="2" t="s">
        <v>12651</v>
      </c>
      <c r="C12576" s="2" t="str">
        <f>"15588017"</f>
        <v>15588017</v>
      </c>
      <c r="D12576" s="2">
        <v>0.66900000000000004</v>
      </c>
      <c r="E12576" s="2">
        <v>4</v>
      </c>
      <c r="F12576" s="2" t="s">
        <v>6</v>
      </c>
    </row>
    <row r="12577" spans="1:6" ht="25.5">
      <c r="A12577" s="2">
        <v>12574</v>
      </c>
      <c r="B12577" s="2" t="s">
        <v>12652</v>
      </c>
      <c r="C12577" s="2" t="str">
        <f>"00031488"</f>
        <v>00031488</v>
      </c>
      <c r="D12577" s="2">
        <v>0.63300000000000001</v>
      </c>
      <c r="E12577" s="2">
        <v>68</v>
      </c>
      <c r="F12577" s="2" t="s">
        <v>6</v>
      </c>
    </row>
    <row r="12578" spans="1:6" ht="25.5">
      <c r="A12578" s="2">
        <v>12575</v>
      </c>
      <c r="B12578" s="2" t="s">
        <v>12653</v>
      </c>
      <c r="C12578" s="2" t="str">
        <f>"1093474X"</f>
        <v>1093474X</v>
      </c>
      <c r="D12578" s="2">
        <v>0.81699999999999995</v>
      </c>
      <c r="E12578" s="2">
        <v>56</v>
      </c>
      <c r="F12578" s="2" t="s">
        <v>16</v>
      </c>
    </row>
    <row r="12579" spans="1:6" ht="25.5">
      <c r="A12579" s="2">
        <v>12576</v>
      </c>
      <c r="B12579" s="2" t="s">
        <v>12654</v>
      </c>
      <c r="C12579" s="2" t="str">
        <f>"0003150X"</f>
        <v>0003150X</v>
      </c>
      <c r="D12579" s="2">
        <v>0.42799999999999999</v>
      </c>
      <c r="E12579" s="2">
        <v>50</v>
      </c>
      <c r="F12579" s="2" t="s">
        <v>6</v>
      </c>
    </row>
    <row r="12580" spans="1:6" ht="25.5">
      <c r="A12580" s="2">
        <v>12577</v>
      </c>
      <c r="B12580" s="2" t="s">
        <v>12655</v>
      </c>
      <c r="C12580" s="2" t="str">
        <f>"00032778"</f>
        <v>00032778</v>
      </c>
      <c r="D12580" s="2">
        <v>0.106</v>
      </c>
      <c r="E12580" s="2">
        <v>2</v>
      </c>
      <c r="F12580" s="2" t="s">
        <v>488</v>
      </c>
    </row>
    <row r="12581" spans="1:6" ht="25.5">
      <c r="A12581" s="2">
        <v>12578</v>
      </c>
      <c r="B12581" s="2" t="s">
        <v>12656</v>
      </c>
      <c r="C12581" s="2" t="str">
        <f>"00041858"</f>
        <v>00041858</v>
      </c>
      <c r="D12581" s="2">
        <v>0.114</v>
      </c>
      <c r="E12581" s="2">
        <v>7</v>
      </c>
      <c r="F12581" s="2" t="s">
        <v>64</v>
      </c>
    </row>
    <row r="12582" spans="1:6" ht="25.5">
      <c r="A12582" s="2">
        <v>12579</v>
      </c>
      <c r="B12582" s="2" t="s">
        <v>12657</v>
      </c>
      <c r="C12582" s="2" t="str">
        <f>"14699648"</f>
        <v>14699648</v>
      </c>
      <c r="D12582" s="2">
        <v>0.20399999999999999</v>
      </c>
      <c r="E12582" s="2">
        <v>10</v>
      </c>
      <c r="F12582" s="2" t="s">
        <v>6</v>
      </c>
    </row>
    <row r="12583" spans="1:6" ht="25.5">
      <c r="A12583" s="2">
        <v>12580</v>
      </c>
      <c r="B12583" s="2" t="s">
        <v>12658</v>
      </c>
      <c r="C12583" s="2" t="str">
        <f>"15369323"</f>
        <v>15369323</v>
      </c>
      <c r="D12583" s="2">
        <v>1.423</v>
      </c>
      <c r="E12583" s="2">
        <v>23</v>
      </c>
      <c r="F12583" s="2" t="s">
        <v>6</v>
      </c>
    </row>
    <row r="12584" spans="1:6" ht="25.5">
      <c r="A12584" s="2">
        <v>12581</v>
      </c>
      <c r="B12584" s="2" t="s">
        <v>12659</v>
      </c>
      <c r="C12584" s="2" t="str">
        <f>"10553290"</f>
        <v>10553290</v>
      </c>
      <c r="D12584" s="2">
        <v>0.51400000000000001</v>
      </c>
      <c r="E12584" s="2">
        <v>28</v>
      </c>
      <c r="F12584" s="2" t="s">
        <v>6</v>
      </c>
    </row>
    <row r="12585" spans="1:6" ht="25.5">
      <c r="A12585" s="2">
        <v>12582</v>
      </c>
      <c r="B12585" s="2" t="s">
        <v>12660</v>
      </c>
      <c r="C12585" s="2" t="str">
        <f>"00045772"</f>
        <v>00045772</v>
      </c>
      <c r="D12585" s="2">
        <v>0.216</v>
      </c>
      <c r="E12585" s="2">
        <v>33</v>
      </c>
      <c r="F12585" s="2" t="s">
        <v>488</v>
      </c>
    </row>
    <row r="12586" spans="1:6" ht="25.5">
      <c r="A12586" s="2">
        <v>12583</v>
      </c>
      <c r="B12586" s="2" t="s">
        <v>12661</v>
      </c>
      <c r="C12586" s="2" t="str">
        <f>"00219142"</f>
        <v>00219142</v>
      </c>
      <c r="D12586" s="2">
        <v>0.33400000000000002</v>
      </c>
      <c r="E12586" s="2">
        <v>29</v>
      </c>
      <c r="F12586" s="2" t="s">
        <v>6</v>
      </c>
    </row>
    <row r="12587" spans="1:6" ht="25.5">
      <c r="A12587" s="2">
        <v>12584</v>
      </c>
      <c r="B12587" s="2" t="s">
        <v>12662</v>
      </c>
      <c r="C12587" s="2" t="str">
        <f>"13202480"</f>
        <v>13202480</v>
      </c>
      <c r="D12587" s="2">
        <v>0.1</v>
      </c>
      <c r="E12587" s="2">
        <v>1</v>
      </c>
      <c r="F12587" s="2" t="s">
        <v>127</v>
      </c>
    </row>
    <row r="12588" spans="1:6" ht="25.5">
      <c r="A12588" s="2">
        <v>12585</v>
      </c>
      <c r="B12588" s="2" t="s">
        <v>12663</v>
      </c>
      <c r="C12588" s="2" t="str">
        <f>"14467887"</f>
        <v>14467887</v>
      </c>
      <c r="D12588" s="2">
        <v>0.46899999999999997</v>
      </c>
      <c r="E12588" s="2">
        <v>22</v>
      </c>
      <c r="F12588" s="2" t="s">
        <v>16</v>
      </c>
    </row>
    <row r="12589" spans="1:6" ht="25.5">
      <c r="A12589" s="2">
        <v>12586</v>
      </c>
      <c r="B12589" s="2" t="s">
        <v>12664</v>
      </c>
      <c r="C12589" s="2" t="str">
        <f>"13263390"</f>
        <v>13263390</v>
      </c>
      <c r="D12589" s="2">
        <v>0.1</v>
      </c>
      <c r="E12589" s="2">
        <v>2</v>
      </c>
      <c r="F12589" s="2" t="s">
        <v>127</v>
      </c>
    </row>
    <row r="12590" spans="1:6" ht="25.5">
      <c r="A12590" s="2">
        <v>12587</v>
      </c>
      <c r="B12590" s="2" t="s">
        <v>12665</v>
      </c>
      <c r="C12590" s="2" t="str">
        <f>"13104772"</f>
        <v>13104772</v>
      </c>
      <c r="D12590" s="2">
        <v>0.19</v>
      </c>
      <c r="E12590" s="2">
        <v>5</v>
      </c>
      <c r="F12590" s="2" t="s">
        <v>293</v>
      </c>
    </row>
    <row r="12591" spans="1:6" ht="25.5">
      <c r="A12591" s="2">
        <v>12588</v>
      </c>
      <c r="B12591" s="2" t="s">
        <v>12666</v>
      </c>
      <c r="C12591" s="2" t="str">
        <f>"19345259"</f>
        <v>19345259</v>
      </c>
      <c r="D12591" s="2">
        <v>0.29499999999999998</v>
      </c>
      <c r="E12591" s="2">
        <v>14</v>
      </c>
      <c r="F12591" s="2" t="s">
        <v>6</v>
      </c>
    </row>
    <row r="12592" spans="1:6" ht="25.5">
      <c r="A12592" s="2">
        <v>12589</v>
      </c>
      <c r="B12592" s="2" t="s">
        <v>12667</v>
      </c>
      <c r="C12592" s="2" t="str">
        <f>"01035053"</f>
        <v>01035053</v>
      </c>
      <c r="D12592" s="2">
        <v>0.41599999999999998</v>
      </c>
      <c r="E12592" s="2">
        <v>40</v>
      </c>
      <c r="F12592" s="2" t="s">
        <v>159</v>
      </c>
    </row>
    <row r="12593" spans="1:6" ht="25.5">
      <c r="A12593" s="2">
        <v>12590</v>
      </c>
      <c r="B12593" s="2" t="s">
        <v>12668</v>
      </c>
      <c r="C12593" s="2" t="str">
        <f>"16784804"</f>
        <v>16784804</v>
      </c>
      <c r="D12593" s="2">
        <v>0.28999999999999998</v>
      </c>
      <c r="E12593" s="2">
        <v>6</v>
      </c>
      <c r="F12593" s="2" t="s">
        <v>159</v>
      </c>
    </row>
    <row r="12594" spans="1:6" ht="25.5">
      <c r="A12594" s="2">
        <v>12591</v>
      </c>
      <c r="B12594" s="2" t="s">
        <v>12669</v>
      </c>
      <c r="C12594" s="2" t="str">
        <f>"18063691"</f>
        <v>18063691</v>
      </c>
      <c r="D12594" s="2">
        <v>0.24199999999999999</v>
      </c>
      <c r="E12594" s="2">
        <v>14</v>
      </c>
      <c r="F12594" s="2" t="s">
        <v>159</v>
      </c>
    </row>
    <row r="12595" spans="1:6" ht="25.5">
      <c r="A12595" s="2">
        <v>12592</v>
      </c>
      <c r="B12595" s="2" t="s">
        <v>12670</v>
      </c>
      <c r="C12595" s="2" t="str">
        <f>"17476704"</f>
        <v>17476704</v>
      </c>
      <c r="D12595" s="2">
        <v>0.10100000000000001</v>
      </c>
      <c r="E12595" s="2">
        <v>2</v>
      </c>
      <c r="F12595" s="2" t="s">
        <v>16</v>
      </c>
    </row>
    <row r="12596" spans="1:6" ht="25.5">
      <c r="A12596" s="2">
        <v>12593</v>
      </c>
      <c r="B12596" s="2" t="s">
        <v>12671</v>
      </c>
      <c r="C12596" s="2" t="str">
        <f>"13621807"</f>
        <v>13621807</v>
      </c>
      <c r="D12596" s="2">
        <v>0.35799999999999998</v>
      </c>
      <c r="E12596" s="2">
        <v>20</v>
      </c>
      <c r="F12596" s="2" t="s">
        <v>16</v>
      </c>
    </row>
    <row r="12597" spans="1:6" ht="25.5">
      <c r="A12597" s="2">
        <v>12594</v>
      </c>
      <c r="B12597" s="2" t="s">
        <v>12672</v>
      </c>
      <c r="C12597" s="2" t="str">
        <f>"00071773"</f>
        <v>00071773</v>
      </c>
      <c r="D12597" s="2">
        <v>0.11799999999999999</v>
      </c>
      <c r="E12597" s="2">
        <v>3</v>
      </c>
      <c r="F12597" s="2" t="s">
        <v>16</v>
      </c>
    </row>
    <row r="12598" spans="1:6" ht="25.5">
      <c r="A12598" s="2">
        <v>12595</v>
      </c>
      <c r="B12598" s="2" t="s">
        <v>12673</v>
      </c>
      <c r="C12598" s="2" t="str">
        <f>"10432256"</f>
        <v>10432256</v>
      </c>
      <c r="D12598" s="2">
        <v>0.19</v>
      </c>
      <c r="E12598" s="2">
        <v>21</v>
      </c>
      <c r="F12598" s="2" t="s">
        <v>6</v>
      </c>
    </row>
    <row r="12599" spans="1:6" ht="25.5">
      <c r="A12599" s="2">
        <v>12596</v>
      </c>
      <c r="B12599" s="2" t="s">
        <v>12674</v>
      </c>
      <c r="C12599" s="2" t="str">
        <f>"17198429"</f>
        <v>17198429</v>
      </c>
      <c r="D12599" s="2">
        <v>0.45800000000000002</v>
      </c>
      <c r="E12599" s="2">
        <v>12</v>
      </c>
      <c r="F12599" s="2" t="s">
        <v>64</v>
      </c>
    </row>
    <row r="12600" spans="1:6" ht="25.5">
      <c r="A12600" s="2">
        <v>12597</v>
      </c>
      <c r="B12600" s="2" t="s">
        <v>12675</v>
      </c>
      <c r="C12600" s="2" t="str">
        <f>"14882159"</f>
        <v>14882159</v>
      </c>
      <c r="D12600" s="2">
        <v>0.23599999999999999</v>
      </c>
      <c r="E12600" s="2">
        <v>36</v>
      </c>
      <c r="F12600" s="2" t="s">
        <v>64</v>
      </c>
    </row>
    <row r="12601" spans="1:6" ht="25.5">
      <c r="A12601" s="2">
        <v>12598</v>
      </c>
      <c r="B12601" s="2" t="s">
        <v>12676</v>
      </c>
      <c r="C12601" s="2" t="str">
        <f>"00085030"</f>
        <v>00085030</v>
      </c>
      <c r="D12601" s="2">
        <v>0.25</v>
      </c>
      <c r="E12601" s="2">
        <v>10</v>
      </c>
      <c r="F12601" s="2" t="s">
        <v>64</v>
      </c>
    </row>
    <row r="12602" spans="1:6" ht="25.5">
      <c r="A12602" s="2">
        <v>12599</v>
      </c>
      <c r="B12602" s="2" t="s">
        <v>12677</v>
      </c>
      <c r="C12602" s="2" t="str">
        <f>"19116470"</f>
        <v>19116470</v>
      </c>
      <c r="D12602" s="2">
        <v>0.36299999999999999</v>
      </c>
      <c r="E12602" s="2">
        <v>12</v>
      </c>
      <c r="F12602" s="2" t="s">
        <v>64</v>
      </c>
    </row>
    <row r="12603" spans="1:6" ht="25.5">
      <c r="A12603" s="2">
        <v>12600</v>
      </c>
      <c r="B12603" s="2" t="s">
        <v>12678</v>
      </c>
      <c r="C12603" s="2" t="str">
        <f>"07179707"</f>
        <v>07179707</v>
      </c>
      <c r="D12603" s="2">
        <v>0.20699999999999999</v>
      </c>
      <c r="E12603" s="2">
        <v>16</v>
      </c>
      <c r="F12603" s="2" t="s">
        <v>182</v>
      </c>
    </row>
    <row r="12604" spans="1:6" ht="25.5">
      <c r="A12604" s="2">
        <v>12601</v>
      </c>
      <c r="B12604" s="2" t="s">
        <v>12679</v>
      </c>
      <c r="C12604" s="2" t="str">
        <f>"00094536"</f>
        <v>00094536</v>
      </c>
      <c r="D12604" s="2">
        <v>0.28100000000000003</v>
      </c>
      <c r="E12604" s="2">
        <v>25</v>
      </c>
      <c r="F12604" s="2" t="s">
        <v>46</v>
      </c>
    </row>
    <row r="12605" spans="1:6" ht="25.5">
      <c r="A12605" s="2">
        <v>12602</v>
      </c>
      <c r="B12605" s="2" t="s">
        <v>12680</v>
      </c>
      <c r="C12605" s="2" t="str">
        <f>"10155856"</f>
        <v>10155856</v>
      </c>
      <c r="D12605" s="2">
        <v>0.106</v>
      </c>
      <c r="E12605" s="2">
        <v>2</v>
      </c>
      <c r="F12605" s="2" t="s">
        <v>165</v>
      </c>
    </row>
    <row r="12606" spans="1:6" ht="25.5">
      <c r="A12606" s="2">
        <v>12603</v>
      </c>
      <c r="B12606" s="2" t="s">
        <v>12681</v>
      </c>
      <c r="C12606" s="2" t="str">
        <f>"10170669"</f>
        <v>10170669</v>
      </c>
      <c r="D12606" s="2">
        <v>0.28999999999999998</v>
      </c>
      <c r="E12606" s="2">
        <v>12</v>
      </c>
      <c r="F12606" s="2" t="s">
        <v>16</v>
      </c>
    </row>
    <row r="12607" spans="1:6" ht="25.5">
      <c r="A12607" s="2">
        <v>12604</v>
      </c>
      <c r="B12607" s="2" t="s">
        <v>12682</v>
      </c>
      <c r="C12607" s="2" t="str">
        <f>"17264901"</f>
        <v>17264901</v>
      </c>
      <c r="D12607" s="2">
        <v>0.23</v>
      </c>
      <c r="E12607" s="2">
        <v>21</v>
      </c>
      <c r="F12607" s="2" t="s">
        <v>165</v>
      </c>
    </row>
    <row r="12608" spans="1:6" ht="25.5">
      <c r="A12608" s="2">
        <v>12605</v>
      </c>
      <c r="B12608" s="2" t="s">
        <v>12683</v>
      </c>
      <c r="C12608" s="2" t="str">
        <f>"10116958"</f>
        <v>10116958</v>
      </c>
      <c r="D12608" s="2">
        <v>0.105</v>
      </c>
      <c r="E12608" s="2">
        <v>8</v>
      </c>
      <c r="F12608" s="2" t="s">
        <v>165</v>
      </c>
    </row>
    <row r="12609" spans="1:6" ht="25.5">
      <c r="A12609" s="2">
        <v>12606</v>
      </c>
      <c r="B12609" s="2" t="s">
        <v>12684</v>
      </c>
      <c r="C12609" s="2" t="str">
        <f>"10054537"</f>
        <v>10054537</v>
      </c>
      <c r="D12609" s="2">
        <v>0.17599999999999999</v>
      </c>
      <c r="E12609" s="2">
        <v>10</v>
      </c>
      <c r="F12609" s="2" t="s">
        <v>46</v>
      </c>
    </row>
    <row r="12610" spans="1:6" ht="38.25">
      <c r="A12610" s="2">
        <v>12607</v>
      </c>
      <c r="B12610" s="2" t="s">
        <v>12685</v>
      </c>
      <c r="C12610" s="2" t="str">
        <f>"02579731"</f>
        <v>02579731</v>
      </c>
      <c r="D12610" s="2">
        <v>0.218</v>
      </c>
      <c r="E12610" s="2">
        <v>7</v>
      </c>
      <c r="F12610" s="2" t="s">
        <v>46</v>
      </c>
    </row>
    <row r="12611" spans="1:6" ht="25.5">
      <c r="A12611" s="2">
        <v>12608</v>
      </c>
      <c r="B12611" s="2" t="s">
        <v>12686</v>
      </c>
      <c r="C12611" s="2" t="str">
        <f>"1022386X"</f>
        <v>1022386X</v>
      </c>
      <c r="D12611" s="2">
        <v>0.185</v>
      </c>
      <c r="E12611" s="2">
        <v>19</v>
      </c>
      <c r="F12611" s="2" t="s">
        <v>43</v>
      </c>
    </row>
    <row r="12612" spans="1:6" ht="25.5">
      <c r="A12612" s="2">
        <v>12609</v>
      </c>
      <c r="B12612" s="2" t="s">
        <v>12687</v>
      </c>
      <c r="C12612" s="2" t="str">
        <f>"08863520"</f>
        <v>08863520</v>
      </c>
      <c r="D12612" s="2">
        <v>0.27800000000000002</v>
      </c>
      <c r="E12612" s="2">
        <v>4</v>
      </c>
      <c r="F12612" s="2" t="s">
        <v>6</v>
      </c>
    </row>
    <row r="12613" spans="1:6" ht="25.5">
      <c r="A12613" s="2">
        <v>12610</v>
      </c>
      <c r="B12613" s="2" t="s">
        <v>12688</v>
      </c>
      <c r="C12613" s="2" t="str">
        <f>"1945760X"</f>
        <v>1945760X</v>
      </c>
      <c r="D12613" s="2">
        <v>0</v>
      </c>
      <c r="E12613" s="2">
        <v>1</v>
      </c>
      <c r="F12613" s="2" t="s">
        <v>6</v>
      </c>
    </row>
    <row r="12614" spans="1:6" ht="25.5">
      <c r="A12614" s="2">
        <v>12611</v>
      </c>
      <c r="B12614" s="2" t="s">
        <v>12689</v>
      </c>
      <c r="C12614" s="2" t="str">
        <f>"15256790"</f>
        <v>15256790</v>
      </c>
      <c r="D12614" s="2">
        <v>0.115</v>
      </c>
      <c r="E12614" s="2">
        <v>3</v>
      </c>
      <c r="F12614" s="2" t="s">
        <v>6</v>
      </c>
    </row>
    <row r="12615" spans="1:6" ht="25.5">
      <c r="A12615" s="2">
        <v>12612</v>
      </c>
      <c r="B12615" s="2" t="s">
        <v>12690</v>
      </c>
      <c r="C12615" s="2" t="str">
        <f>"02751275"</f>
        <v>02751275</v>
      </c>
      <c r="D12615" s="2">
        <v>0.13700000000000001</v>
      </c>
      <c r="E12615" s="2">
        <v>5</v>
      </c>
      <c r="F12615" s="2" t="s">
        <v>6</v>
      </c>
    </row>
    <row r="12616" spans="1:6" ht="25.5">
      <c r="A12616" s="2">
        <v>12613</v>
      </c>
      <c r="B12616" s="2" t="s">
        <v>12691</v>
      </c>
      <c r="C12616" s="2" t="str">
        <f>"00224995"</f>
        <v>00224995</v>
      </c>
      <c r="D12616" s="2">
        <v>0.17699999999999999</v>
      </c>
      <c r="E12616" s="2">
        <v>8</v>
      </c>
      <c r="F12616" s="2" t="s">
        <v>75</v>
      </c>
    </row>
    <row r="12617" spans="1:6" ht="25.5">
      <c r="A12617" s="2">
        <v>12614</v>
      </c>
      <c r="B12617" s="2" t="s">
        <v>12692</v>
      </c>
      <c r="C12617" s="2" t="str">
        <f>"11100362"</f>
        <v>11100362</v>
      </c>
      <c r="D12617" s="2">
        <v>0.13400000000000001</v>
      </c>
      <c r="E12617" s="2">
        <v>10</v>
      </c>
      <c r="F12617" s="2" t="s">
        <v>523</v>
      </c>
    </row>
    <row r="12618" spans="1:6" ht="25.5">
      <c r="A12618" s="2">
        <v>12615</v>
      </c>
      <c r="B12618" s="2" t="s">
        <v>12693</v>
      </c>
      <c r="C12618" s="2" t="str">
        <f>"00132446"</f>
        <v>00132446</v>
      </c>
      <c r="D12618" s="2">
        <v>0.16</v>
      </c>
      <c r="E12618" s="2">
        <v>8</v>
      </c>
      <c r="F12618" s="2" t="s">
        <v>523</v>
      </c>
    </row>
    <row r="12619" spans="1:6" ht="25.5">
      <c r="A12619" s="2">
        <v>12616</v>
      </c>
      <c r="B12619" s="2" t="s">
        <v>12694</v>
      </c>
      <c r="C12619" s="2" t="str">
        <f>"02535890"</f>
        <v>02535890</v>
      </c>
      <c r="D12619" s="2">
        <v>0.19400000000000001</v>
      </c>
      <c r="E12619" s="2">
        <v>17</v>
      </c>
      <c r="F12619" s="2" t="s">
        <v>523</v>
      </c>
    </row>
    <row r="12620" spans="1:6" ht="25.5">
      <c r="A12620" s="2">
        <v>12617</v>
      </c>
      <c r="B12620" s="2" t="s">
        <v>12695</v>
      </c>
      <c r="C12620" s="2" t="str">
        <f>"00134651"</f>
        <v>00134651</v>
      </c>
      <c r="D12620" s="2">
        <v>1.127</v>
      </c>
      <c r="E12620" s="2">
        <v>169</v>
      </c>
      <c r="F12620" s="2" t="s">
        <v>6</v>
      </c>
    </row>
    <row r="12621" spans="1:6" ht="25.5">
      <c r="A12621" s="2">
        <v>12618</v>
      </c>
      <c r="B12621" s="2" t="s">
        <v>12696</v>
      </c>
      <c r="C12621" s="2" t="str">
        <f>"17439671"</f>
        <v>17439671</v>
      </c>
      <c r="D12621" s="2">
        <v>0.253</v>
      </c>
      <c r="E12621" s="2">
        <v>18</v>
      </c>
      <c r="F12621" s="2" t="s">
        <v>16</v>
      </c>
    </row>
    <row r="12622" spans="1:6" ht="25.5">
      <c r="A12622" s="2">
        <v>12619</v>
      </c>
      <c r="B12622" s="2" t="s">
        <v>12697</v>
      </c>
      <c r="C12622" s="2" t="str">
        <f>"13020250"</f>
        <v>13020250</v>
      </c>
      <c r="D12622" s="2">
        <v>0.249</v>
      </c>
      <c r="E12622" s="2">
        <v>4</v>
      </c>
      <c r="F12622" s="2" t="s">
        <v>345</v>
      </c>
    </row>
    <row r="12623" spans="1:6" ht="25.5">
      <c r="A12623" s="2">
        <v>12620</v>
      </c>
      <c r="B12623" s="2" t="s">
        <v>12698</v>
      </c>
      <c r="C12623" s="2" t="str">
        <f>"14683083"</f>
        <v>14683083</v>
      </c>
      <c r="D12623" s="2">
        <v>1.2110000000000001</v>
      </c>
      <c r="E12623" s="2">
        <v>51</v>
      </c>
      <c r="F12623" s="2" t="s">
        <v>16</v>
      </c>
    </row>
    <row r="12624" spans="1:6" ht="25.5">
      <c r="A12624" s="2">
        <v>12621</v>
      </c>
      <c r="B12624" s="2" t="s">
        <v>12699</v>
      </c>
      <c r="C12624" s="2" t="str">
        <f>"09552219"</f>
        <v>09552219</v>
      </c>
      <c r="D12624" s="2">
        <v>1.218</v>
      </c>
      <c r="E12624" s="2">
        <v>81</v>
      </c>
      <c r="F12624" s="2" t="s">
        <v>75</v>
      </c>
    </row>
    <row r="12625" spans="1:6" ht="25.5">
      <c r="A12625" s="2">
        <v>12622</v>
      </c>
      <c r="B12625" s="2" t="s">
        <v>12700</v>
      </c>
      <c r="C12625" s="2" t="str">
        <f>"15424774"</f>
        <v>15424774</v>
      </c>
      <c r="D12625" s="2">
        <v>4.16</v>
      </c>
      <c r="E12625" s="2">
        <v>38</v>
      </c>
      <c r="F12625" s="2" t="s">
        <v>6</v>
      </c>
    </row>
    <row r="12626" spans="1:6" ht="25.5">
      <c r="A12626" s="2">
        <v>12623</v>
      </c>
      <c r="B12626" s="2" t="s">
        <v>12701</v>
      </c>
      <c r="C12626" s="2" t="str">
        <f>"14359863"</f>
        <v>14359863</v>
      </c>
      <c r="D12626" s="2">
        <v>3.657</v>
      </c>
      <c r="E12626" s="2">
        <v>20</v>
      </c>
      <c r="F12626" s="2" t="s">
        <v>31</v>
      </c>
    </row>
    <row r="12627" spans="1:6" ht="25.5">
      <c r="A12627" s="2">
        <v>12624</v>
      </c>
      <c r="B12627" s="2" t="s">
        <v>12702</v>
      </c>
      <c r="C12627" s="2" t="str">
        <f>"19902573"</f>
        <v>19902573</v>
      </c>
      <c r="D12627" s="2">
        <v>0.40799999999999997</v>
      </c>
      <c r="E12627" s="2">
        <v>9</v>
      </c>
      <c r="F12627" s="2" t="s">
        <v>16</v>
      </c>
    </row>
    <row r="12628" spans="1:6" ht="25.5">
      <c r="A12628" s="2">
        <v>12625</v>
      </c>
      <c r="B12628" s="2" t="s">
        <v>12703</v>
      </c>
      <c r="C12628" s="2" t="str">
        <f>"00225002"</f>
        <v>00225002</v>
      </c>
      <c r="D12628" s="2">
        <v>0.53500000000000003</v>
      </c>
      <c r="E12628" s="2">
        <v>35</v>
      </c>
      <c r="F12628" s="2" t="s">
        <v>6</v>
      </c>
    </row>
    <row r="12629" spans="1:6" ht="25.5">
      <c r="A12629" s="2">
        <v>12626</v>
      </c>
      <c r="B12629" s="2" t="s">
        <v>12704</v>
      </c>
      <c r="C12629" s="2" t="str">
        <f>"00236152"</f>
        <v>00236152</v>
      </c>
      <c r="D12629" s="2">
        <v>0.189</v>
      </c>
      <c r="E12629" s="2">
        <v>10</v>
      </c>
      <c r="F12629" s="2" t="s">
        <v>131</v>
      </c>
    </row>
    <row r="12630" spans="1:6" ht="25.5">
      <c r="A12630" s="2">
        <v>12627</v>
      </c>
      <c r="B12630" s="2" t="s">
        <v>12705</v>
      </c>
      <c r="C12630" s="2" t="str">
        <f>"13001884"</f>
        <v>13001884</v>
      </c>
      <c r="D12630" s="2">
        <v>0.22</v>
      </c>
      <c r="E12630" s="2">
        <v>8</v>
      </c>
      <c r="F12630" s="2" t="s">
        <v>345</v>
      </c>
    </row>
    <row r="12631" spans="1:6" ht="25.5">
      <c r="A12631" s="2">
        <v>12628</v>
      </c>
      <c r="B12631" s="2" t="s">
        <v>12706</v>
      </c>
      <c r="C12631" s="2" t="str">
        <f>"09296646"</f>
        <v>09296646</v>
      </c>
      <c r="D12631" s="2">
        <v>0.35099999999999998</v>
      </c>
      <c r="E12631" s="2">
        <v>29</v>
      </c>
      <c r="F12631" s="2" t="s">
        <v>46</v>
      </c>
    </row>
    <row r="12632" spans="1:6" ht="25.5">
      <c r="A12632" s="2">
        <v>12629</v>
      </c>
      <c r="B12632" s="2" t="s">
        <v>12707</v>
      </c>
      <c r="C12632" s="2" t="str">
        <f>"00160032"</f>
        <v>00160032</v>
      </c>
      <c r="D12632" s="2">
        <v>1.0189999999999999</v>
      </c>
      <c r="E12632" s="2">
        <v>35</v>
      </c>
      <c r="F12632" s="2" t="s">
        <v>16</v>
      </c>
    </row>
    <row r="12633" spans="1:6" ht="25.5">
      <c r="A12633" s="2">
        <v>12630</v>
      </c>
      <c r="B12633" s="2" t="s">
        <v>12708</v>
      </c>
      <c r="C12633" s="2" t="str">
        <f>"00380830"</f>
        <v>00380830</v>
      </c>
      <c r="D12633" s="2">
        <v>0.14399999999999999</v>
      </c>
      <c r="E12633" s="2">
        <v>6</v>
      </c>
      <c r="F12633" s="2" t="s">
        <v>131</v>
      </c>
    </row>
    <row r="12634" spans="1:6" ht="25.5">
      <c r="A12634" s="2">
        <v>12631</v>
      </c>
      <c r="B12634" s="2" t="s">
        <v>12709</v>
      </c>
      <c r="C12634" s="2" t="str">
        <f>"00167649"</f>
        <v>00167649</v>
      </c>
      <c r="D12634" s="2">
        <v>1.653</v>
      </c>
      <c r="E12634" s="2">
        <v>70</v>
      </c>
      <c r="F12634" s="2" t="s">
        <v>16</v>
      </c>
    </row>
    <row r="12635" spans="1:6" ht="25.5">
      <c r="A12635" s="2">
        <v>12632</v>
      </c>
      <c r="B12635" s="2" t="s">
        <v>12710</v>
      </c>
      <c r="C12635" s="2" t="str">
        <f>"00167622"</f>
        <v>00167622</v>
      </c>
      <c r="D12635" s="2">
        <v>0.4</v>
      </c>
      <c r="E12635" s="2">
        <v>25</v>
      </c>
      <c r="F12635" s="2" t="s">
        <v>488</v>
      </c>
    </row>
    <row r="12636" spans="1:6" ht="25.5">
      <c r="A12636" s="2">
        <v>12633</v>
      </c>
      <c r="B12636" s="2" t="s">
        <v>12711</v>
      </c>
      <c r="C12636" s="2" t="str">
        <f>"17922720"</f>
        <v>17922720</v>
      </c>
      <c r="D12636" s="2">
        <v>0.109</v>
      </c>
      <c r="E12636" s="2">
        <v>1</v>
      </c>
      <c r="F12636" s="2" t="s">
        <v>313</v>
      </c>
    </row>
    <row r="12637" spans="1:6" ht="25.5">
      <c r="A12637" s="2">
        <v>12634</v>
      </c>
      <c r="B12637" s="2" t="s">
        <v>12712</v>
      </c>
      <c r="C12637" s="2" t="str">
        <f>"15405923"</f>
        <v>15405923</v>
      </c>
      <c r="D12637" s="2">
        <v>0.10299999999999999</v>
      </c>
      <c r="E12637" s="2">
        <v>2</v>
      </c>
      <c r="F12637" s="2" t="s">
        <v>6</v>
      </c>
    </row>
    <row r="12638" spans="1:6" ht="25.5">
      <c r="A12638" s="2">
        <v>12635</v>
      </c>
      <c r="B12638" s="2" t="s">
        <v>12713</v>
      </c>
      <c r="C12638" s="2" t="str">
        <f>"15730387"</f>
        <v>15730387</v>
      </c>
      <c r="D12638" s="2">
        <v>0.59699999999999998</v>
      </c>
      <c r="E12638" s="2">
        <v>14</v>
      </c>
      <c r="F12638" s="2" t="s">
        <v>75</v>
      </c>
    </row>
    <row r="12639" spans="1:6" ht="25.5">
      <c r="A12639" s="2">
        <v>12636</v>
      </c>
      <c r="B12639" s="2" t="s">
        <v>12714</v>
      </c>
      <c r="C12639" s="2" t="str">
        <f>"14778564"</f>
        <v>14778564</v>
      </c>
      <c r="D12639" s="2">
        <v>0.112</v>
      </c>
      <c r="E12639" s="2">
        <v>5</v>
      </c>
      <c r="F12639" s="2" t="s">
        <v>16</v>
      </c>
    </row>
    <row r="12640" spans="1:6" ht="25.5">
      <c r="A12640" s="2">
        <v>12637</v>
      </c>
      <c r="B12640" s="2" t="s">
        <v>12715</v>
      </c>
      <c r="C12640" s="2" t="str">
        <f>"10896287"</f>
        <v>10896287</v>
      </c>
      <c r="D12640" s="2">
        <v>0.10100000000000001</v>
      </c>
      <c r="E12640" s="2">
        <v>5</v>
      </c>
      <c r="F12640" s="2" t="s">
        <v>6</v>
      </c>
    </row>
    <row r="12641" spans="1:6" ht="25.5">
      <c r="A12641" s="2">
        <v>12638</v>
      </c>
      <c r="B12641" s="2" t="s">
        <v>12716</v>
      </c>
      <c r="C12641" s="2" t="str">
        <f>"10538372"</f>
        <v>10538372</v>
      </c>
      <c r="D12641" s="2">
        <v>0.14399999999999999</v>
      </c>
      <c r="E12641" s="2">
        <v>7</v>
      </c>
      <c r="F12641" s="2" t="s">
        <v>6</v>
      </c>
    </row>
    <row r="12642" spans="1:6" ht="25.5">
      <c r="A12642" s="2">
        <v>12639</v>
      </c>
      <c r="B12642" s="2" t="s">
        <v>12717</v>
      </c>
      <c r="C12642" s="2" t="str">
        <f>"10863222"</f>
        <v>10863222</v>
      </c>
      <c r="D12642" s="2">
        <v>0.34799999999999998</v>
      </c>
      <c r="E12642" s="2">
        <v>13</v>
      </c>
      <c r="F12642" s="2" t="s">
        <v>6</v>
      </c>
    </row>
    <row r="12643" spans="1:6" ht="25.5">
      <c r="A12643" s="2">
        <v>12640</v>
      </c>
      <c r="B12643" s="2" t="s">
        <v>12718</v>
      </c>
      <c r="C12643" s="2" t="str">
        <f>"15718050"</f>
        <v>15718050</v>
      </c>
      <c r="D12643" s="2">
        <v>0.16200000000000001</v>
      </c>
      <c r="E12643" s="2">
        <v>3</v>
      </c>
      <c r="F12643" s="2" t="s">
        <v>75</v>
      </c>
    </row>
    <row r="12644" spans="1:6" ht="25.5">
      <c r="A12644" s="2">
        <v>12641</v>
      </c>
      <c r="B12644" s="2" t="s">
        <v>12719</v>
      </c>
      <c r="C12644" s="2" t="str">
        <f>"14684373"</f>
        <v>14684373</v>
      </c>
      <c r="D12644" s="2">
        <v>0.20699999999999999</v>
      </c>
      <c r="E12644" s="2">
        <v>13</v>
      </c>
      <c r="F12644" s="2" t="s">
        <v>16</v>
      </c>
    </row>
    <row r="12645" spans="1:6" ht="25.5">
      <c r="A12645" s="2">
        <v>12642</v>
      </c>
      <c r="B12645" s="2" t="s">
        <v>12720</v>
      </c>
      <c r="C12645" s="2" t="str">
        <f>"15384586"</f>
        <v>15384586</v>
      </c>
      <c r="D12645" s="2">
        <v>0.16700000000000001</v>
      </c>
      <c r="E12645" s="2">
        <v>7</v>
      </c>
      <c r="F12645" s="2" t="s">
        <v>6</v>
      </c>
    </row>
    <row r="12646" spans="1:6" ht="25.5">
      <c r="A12646" s="2">
        <v>12643</v>
      </c>
      <c r="B12646" s="2" t="s">
        <v>12721</v>
      </c>
      <c r="C12646" s="2" t="str">
        <f>"15353605"</f>
        <v>15353605</v>
      </c>
      <c r="D12646" s="2">
        <v>0.125</v>
      </c>
      <c r="E12646" s="2">
        <v>12</v>
      </c>
      <c r="F12646" s="2" t="s">
        <v>6</v>
      </c>
    </row>
    <row r="12647" spans="1:6" ht="25.5">
      <c r="A12647" s="2">
        <v>12644</v>
      </c>
      <c r="B12647" s="2" t="s">
        <v>12722</v>
      </c>
      <c r="C12647" s="2" t="str">
        <f>"15206696"</f>
        <v>15206696</v>
      </c>
      <c r="D12647" s="2">
        <v>0.46</v>
      </c>
      <c r="E12647" s="2">
        <v>13</v>
      </c>
      <c r="F12647" s="2" t="s">
        <v>6</v>
      </c>
    </row>
    <row r="12648" spans="1:6" ht="25.5">
      <c r="A12648" s="2">
        <v>12645</v>
      </c>
      <c r="B12648" s="2" t="s">
        <v>12723</v>
      </c>
      <c r="C12648" s="2" t="str">
        <f>"0964704X"</f>
        <v>0964704X</v>
      </c>
      <c r="D12648" s="2">
        <v>0.24199999999999999</v>
      </c>
      <c r="E12648" s="2">
        <v>13</v>
      </c>
      <c r="F12648" s="2" t="s">
        <v>16</v>
      </c>
    </row>
    <row r="12649" spans="1:6" ht="25.5">
      <c r="A12649" s="2">
        <v>12646</v>
      </c>
      <c r="B12649" s="2" t="s">
        <v>12724</v>
      </c>
      <c r="C12649" s="2" t="str">
        <f>"10277811"</f>
        <v>10277811</v>
      </c>
      <c r="D12649" s="2">
        <v>0</v>
      </c>
      <c r="E12649" s="2">
        <v>0</v>
      </c>
      <c r="F12649" s="2" t="s">
        <v>46</v>
      </c>
    </row>
    <row r="12650" spans="1:6" ht="25.5">
      <c r="A12650" s="2">
        <v>12647</v>
      </c>
      <c r="B12650" s="2" t="s">
        <v>12725</v>
      </c>
      <c r="C12650" s="2" t="str">
        <f>"14736691"</f>
        <v>14736691</v>
      </c>
      <c r="D12650" s="2">
        <v>0.13700000000000001</v>
      </c>
      <c r="E12650" s="2">
        <v>3</v>
      </c>
      <c r="F12650" s="2" t="s">
        <v>16</v>
      </c>
    </row>
    <row r="12651" spans="1:6" ht="25.5">
      <c r="A12651" s="2">
        <v>12648</v>
      </c>
      <c r="B12651" s="2" t="s">
        <v>12726</v>
      </c>
      <c r="C12651" s="2" t="str">
        <f>"10984321"</f>
        <v>10984321</v>
      </c>
      <c r="D12651" s="2">
        <v>0.10100000000000001</v>
      </c>
      <c r="E12651" s="2">
        <v>8</v>
      </c>
      <c r="F12651" s="2" t="s">
        <v>6</v>
      </c>
    </row>
    <row r="12652" spans="1:6" ht="25.5">
      <c r="A12652" s="2">
        <v>12649</v>
      </c>
      <c r="B12652" s="2" t="s">
        <v>12727</v>
      </c>
      <c r="C12652" s="2" t="str">
        <f>"00194247"</f>
        <v>00194247</v>
      </c>
      <c r="D12652" s="2">
        <v>0.2</v>
      </c>
      <c r="E12652" s="2">
        <v>2</v>
      </c>
      <c r="F12652" s="2" t="s">
        <v>488</v>
      </c>
    </row>
    <row r="12653" spans="1:6" ht="25.5">
      <c r="A12653" s="2">
        <v>12650</v>
      </c>
      <c r="B12653" s="2" t="s">
        <v>12728</v>
      </c>
      <c r="C12653" s="2" t="str">
        <f>"09768432"</f>
        <v>09768432</v>
      </c>
      <c r="D12653" s="2">
        <v>0.10100000000000001</v>
      </c>
      <c r="E12653" s="2">
        <v>0</v>
      </c>
      <c r="F12653" s="2" t="s">
        <v>488</v>
      </c>
    </row>
    <row r="12654" spans="1:6" ht="25.5">
      <c r="A12654" s="2">
        <v>12651</v>
      </c>
      <c r="B12654" s="2" t="s">
        <v>12729</v>
      </c>
      <c r="C12654" s="2" t="str">
        <f>"00196568"</f>
        <v>00196568</v>
      </c>
      <c r="D12654" s="2">
        <v>0.10100000000000001</v>
      </c>
      <c r="E12654" s="2">
        <v>6</v>
      </c>
      <c r="F12654" s="2" t="s">
        <v>6</v>
      </c>
    </row>
    <row r="12655" spans="1:6" ht="25.5">
      <c r="A12655" s="2">
        <v>12652</v>
      </c>
      <c r="B12655" s="2" t="s">
        <v>12730</v>
      </c>
      <c r="C12655" s="2" t="str">
        <f>"00194522"</f>
        <v>00194522</v>
      </c>
      <c r="D12655" s="2">
        <v>0.182</v>
      </c>
      <c r="E12655" s="2">
        <v>24</v>
      </c>
      <c r="F12655" s="2" t="s">
        <v>488</v>
      </c>
    </row>
    <row r="12656" spans="1:6" ht="25.5">
      <c r="A12656" s="2">
        <v>12653</v>
      </c>
      <c r="B12656" s="2" t="s">
        <v>12731</v>
      </c>
      <c r="C12656" s="2" t="str">
        <f>"00194964"</f>
        <v>00194964</v>
      </c>
      <c r="D12656" s="2">
        <v>0.21099999999999999</v>
      </c>
      <c r="E12656" s="2">
        <v>12</v>
      </c>
      <c r="F12656" s="2" t="s">
        <v>488</v>
      </c>
    </row>
    <row r="12657" spans="1:6" ht="25.5">
      <c r="A12657" s="2">
        <v>12654</v>
      </c>
      <c r="B12657" s="2" t="s">
        <v>12732</v>
      </c>
      <c r="C12657" s="2" t="str">
        <f>"14743655"</f>
        <v>14743655</v>
      </c>
      <c r="D12657" s="2">
        <v>0.13800000000000001</v>
      </c>
      <c r="E12657" s="2">
        <v>18</v>
      </c>
      <c r="F12657" s="2" t="s">
        <v>16</v>
      </c>
    </row>
    <row r="12658" spans="1:6" ht="25.5">
      <c r="A12658" s="2">
        <v>12655</v>
      </c>
      <c r="B12658" s="2" t="s">
        <v>12733</v>
      </c>
      <c r="C12658" s="2" t="str">
        <f>"1948108X"</f>
        <v>1948108X</v>
      </c>
      <c r="D12658" s="2">
        <v>0.27600000000000002</v>
      </c>
      <c r="E12658" s="2">
        <v>3</v>
      </c>
      <c r="F12658" s="2" t="s">
        <v>6</v>
      </c>
    </row>
    <row r="12659" spans="1:6" ht="25.5">
      <c r="A12659" s="2">
        <v>12656</v>
      </c>
      <c r="B12659" s="2" t="s">
        <v>12734</v>
      </c>
      <c r="C12659" s="2" t="str">
        <f>"09704388"</f>
        <v>09704388</v>
      </c>
      <c r="D12659" s="2">
        <v>0.19600000000000001</v>
      </c>
      <c r="E12659" s="2">
        <v>13</v>
      </c>
      <c r="F12659" s="2" t="s">
        <v>488</v>
      </c>
    </row>
    <row r="12660" spans="1:6" ht="25.5">
      <c r="A12660" s="2">
        <v>12657</v>
      </c>
      <c r="B12660" s="2" t="s">
        <v>12735</v>
      </c>
      <c r="C12660" s="2" t="str">
        <f>"09743006"</f>
        <v>09743006</v>
      </c>
      <c r="D12660" s="2">
        <v>0.26100000000000001</v>
      </c>
      <c r="E12660" s="2">
        <v>16</v>
      </c>
      <c r="F12660" s="2" t="s">
        <v>488</v>
      </c>
    </row>
    <row r="12661" spans="1:6" ht="25.5">
      <c r="A12661" s="2">
        <v>12658</v>
      </c>
      <c r="B12661" s="2" t="s">
        <v>12736</v>
      </c>
      <c r="C12661" s="2" t="str">
        <f>"0019638X"</f>
        <v>0019638X</v>
      </c>
      <c r="D12661" s="2">
        <v>0.10299999999999999</v>
      </c>
      <c r="E12661" s="2">
        <v>1</v>
      </c>
      <c r="F12661" s="2" t="s">
        <v>75</v>
      </c>
    </row>
    <row r="12662" spans="1:6" ht="25.5">
      <c r="A12662" s="2">
        <v>12659</v>
      </c>
      <c r="B12662" s="2" t="s">
        <v>12737</v>
      </c>
      <c r="C12662" s="2" t="str">
        <f>"00469750"</f>
        <v>00469750</v>
      </c>
      <c r="D12662" s="2">
        <v>0.52800000000000002</v>
      </c>
      <c r="E12662" s="2">
        <v>25</v>
      </c>
      <c r="F12662" s="2" t="s">
        <v>16</v>
      </c>
    </row>
    <row r="12663" spans="1:6" ht="25.5">
      <c r="A12663" s="2">
        <v>12660</v>
      </c>
      <c r="B12663" s="2" t="s">
        <v>12738</v>
      </c>
      <c r="C12663" s="2" t="str">
        <f>"19455232"</f>
        <v>19455232</v>
      </c>
      <c r="D12663" s="2">
        <v>0.14399999999999999</v>
      </c>
      <c r="E12663" s="2">
        <v>3</v>
      </c>
      <c r="F12663" s="2" t="s">
        <v>6</v>
      </c>
    </row>
    <row r="12664" spans="1:6" ht="25.5">
      <c r="A12664" s="2">
        <v>12661</v>
      </c>
      <c r="B12664" s="2" t="s">
        <v>12739</v>
      </c>
      <c r="C12664" s="2" t="str">
        <f>"18814190"</f>
        <v>18814190</v>
      </c>
      <c r="D12664" s="2">
        <v>0.10100000000000001</v>
      </c>
      <c r="E12664" s="2">
        <v>1</v>
      </c>
      <c r="F12664" s="2" t="s">
        <v>131</v>
      </c>
    </row>
    <row r="12665" spans="1:6" ht="25.5">
      <c r="A12665" s="2">
        <v>12662</v>
      </c>
      <c r="B12665" s="2" t="s">
        <v>12740</v>
      </c>
      <c r="C12665" s="2" t="str">
        <f>"14753030"</f>
        <v>14753030</v>
      </c>
      <c r="D12665" s="2">
        <v>1.772</v>
      </c>
      <c r="E12665" s="2">
        <v>8</v>
      </c>
      <c r="F12665" s="2" t="s">
        <v>16</v>
      </c>
    </row>
    <row r="12666" spans="1:6" ht="25.5">
      <c r="A12666" s="2">
        <v>12663</v>
      </c>
      <c r="B12666" s="2" t="s">
        <v>12741</v>
      </c>
      <c r="C12666" s="2" t="str">
        <f>"17559278"</f>
        <v>17559278</v>
      </c>
      <c r="D12666" s="2">
        <v>0.113</v>
      </c>
      <c r="E12666" s="2">
        <v>8</v>
      </c>
      <c r="F12666" s="2" t="s">
        <v>16</v>
      </c>
    </row>
    <row r="12667" spans="1:6" ht="25.5">
      <c r="A12667" s="2">
        <v>12664</v>
      </c>
      <c r="B12667" s="2" t="s">
        <v>12742</v>
      </c>
      <c r="C12667" s="2" t="str">
        <f>"02573423"</f>
        <v>02573423</v>
      </c>
      <c r="D12667" s="2">
        <v>0.10100000000000001</v>
      </c>
      <c r="E12667" s="2">
        <v>5</v>
      </c>
      <c r="F12667" s="2" t="s">
        <v>488</v>
      </c>
    </row>
    <row r="12668" spans="1:6" ht="25.5">
      <c r="A12668" s="2">
        <v>12665</v>
      </c>
      <c r="B12668" s="2" t="s">
        <v>12743</v>
      </c>
      <c r="C12668" s="2" t="str">
        <f>"02573431"</f>
        <v>02573431</v>
      </c>
      <c r="D12668" s="2">
        <v>0.11700000000000001</v>
      </c>
      <c r="E12668" s="2">
        <v>5</v>
      </c>
      <c r="F12668" s="2" t="s">
        <v>488</v>
      </c>
    </row>
    <row r="12669" spans="1:6" ht="25.5">
      <c r="A12669" s="2">
        <v>12666</v>
      </c>
      <c r="B12669" s="2" t="s">
        <v>12744</v>
      </c>
      <c r="C12669" s="2" t="str">
        <f>"0257344X"</f>
        <v>0257344X</v>
      </c>
      <c r="D12669" s="2">
        <v>0.10100000000000001</v>
      </c>
      <c r="E12669" s="2">
        <v>4</v>
      </c>
      <c r="F12669" s="2" t="s">
        <v>488</v>
      </c>
    </row>
    <row r="12670" spans="1:6" ht="25.5">
      <c r="A12670" s="2">
        <v>12667</v>
      </c>
      <c r="B12670" s="2" t="s">
        <v>12745</v>
      </c>
      <c r="C12670" s="2" t="str">
        <f>"00203351"</f>
        <v>00203351</v>
      </c>
      <c r="D12670" s="2">
        <v>0.109</v>
      </c>
      <c r="E12670" s="2">
        <v>5</v>
      </c>
      <c r="F12670" s="2" t="s">
        <v>488</v>
      </c>
    </row>
    <row r="12671" spans="1:6" ht="25.5">
      <c r="A12671" s="2">
        <v>12668</v>
      </c>
      <c r="B12671" s="2" t="s">
        <v>12746</v>
      </c>
      <c r="C12671" s="2" t="str">
        <f>"03731995"</f>
        <v>03731995</v>
      </c>
      <c r="D12671" s="2">
        <v>0.13800000000000001</v>
      </c>
      <c r="E12671" s="2">
        <v>7</v>
      </c>
      <c r="F12671" s="2" t="s">
        <v>488</v>
      </c>
    </row>
    <row r="12672" spans="1:6" ht="25.5">
      <c r="A12672" s="2">
        <v>12669</v>
      </c>
      <c r="B12672" s="2" t="s">
        <v>12747</v>
      </c>
      <c r="C12672" s="2" t="str">
        <f>"00203408"</f>
        <v>00203408</v>
      </c>
      <c r="D12672" s="2">
        <v>0.10299999999999999</v>
      </c>
      <c r="E12672" s="2">
        <v>7</v>
      </c>
      <c r="F12672" s="2" t="s">
        <v>488</v>
      </c>
    </row>
    <row r="12673" spans="1:6" ht="25.5">
      <c r="A12673" s="2">
        <v>12670</v>
      </c>
      <c r="B12673" s="2" t="s">
        <v>12748</v>
      </c>
      <c r="C12673" s="2" t="str">
        <f>"09710469"</f>
        <v>09710469</v>
      </c>
      <c r="D12673" s="2">
        <v>0.10100000000000001</v>
      </c>
      <c r="E12673" s="2">
        <v>4</v>
      </c>
      <c r="F12673" s="2" t="s">
        <v>488</v>
      </c>
    </row>
    <row r="12674" spans="1:6" ht="25.5">
      <c r="A12674" s="2">
        <v>12671</v>
      </c>
      <c r="B12674" s="2" t="s">
        <v>12749</v>
      </c>
      <c r="C12674" s="2" t="str">
        <f>"02574411"</f>
        <v>02574411</v>
      </c>
      <c r="D12674" s="2">
        <v>0.10199999999999999</v>
      </c>
      <c r="E12674" s="2">
        <v>4</v>
      </c>
      <c r="F12674" s="2" t="s">
        <v>488</v>
      </c>
    </row>
    <row r="12675" spans="1:6" ht="25.5">
      <c r="A12675" s="2">
        <v>12672</v>
      </c>
      <c r="B12675" s="2" t="s">
        <v>12750</v>
      </c>
      <c r="C12675" s="2" t="str">
        <f>"09710450"</f>
        <v>09710450</v>
      </c>
      <c r="D12675" s="2">
        <v>0.10199999999999999</v>
      </c>
      <c r="E12675" s="2">
        <v>2</v>
      </c>
      <c r="F12675" s="2" t="s">
        <v>488</v>
      </c>
    </row>
    <row r="12676" spans="1:6" ht="25.5">
      <c r="A12676" s="2">
        <v>12673</v>
      </c>
      <c r="B12676" s="2" t="s">
        <v>12751</v>
      </c>
      <c r="C12676" s="2" t="str">
        <f>"02576708"</f>
        <v>02576708</v>
      </c>
      <c r="D12676" s="2">
        <v>0.10100000000000001</v>
      </c>
      <c r="E12676" s="2">
        <v>5</v>
      </c>
      <c r="F12676" s="2" t="s">
        <v>488</v>
      </c>
    </row>
    <row r="12677" spans="1:6" ht="25.5">
      <c r="A12677" s="2">
        <v>12674</v>
      </c>
      <c r="B12677" s="2" t="s">
        <v>12752</v>
      </c>
      <c r="C12677" s="2" t="str">
        <f>"02574438"</f>
        <v>02574438</v>
      </c>
      <c r="D12677" s="2">
        <v>0.14000000000000001</v>
      </c>
      <c r="E12677" s="2">
        <v>6</v>
      </c>
      <c r="F12677" s="2" t="s">
        <v>488</v>
      </c>
    </row>
    <row r="12678" spans="1:6" ht="25.5">
      <c r="A12678" s="2">
        <v>12675</v>
      </c>
      <c r="B12678" s="2" t="s">
        <v>12753</v>
      </c>
      <c r="C12678" s="2" t="str">
        <f>"17511437"</f>
        <v>17511437</v>
      </c>
      <c r="D12678" s="2">
        <v>0.14399999999999999</v>
      </c>
      <c r="E12678" s="2">
        <v>4</v>
      </c>
      <c r="F12678" s="2" t="s">
        <v>16</v>
      </c>
    </row>
    <row r="12679" spans="1:6" ht="25.5">
      <c r="A12679" s="2">
        <v>12676</v>
      </c>
      <c r="B12679" s="2" t="s">
        <v>12754</v>
      </c>
      <c r="C12679" s="2" t="str">
        <f>"14662094"</f>
        <v>14662094</v>
      </c>
      <c r="D12679" s="2">
        <v>0.218</v>
      </c>
      <c r="E12679" s="2">
        <v>19</v>
      </c>
      <c r="F12679" s="2" t="s">
        <v>16</v>
      </c>
    </row>
    <row r="12680" spans="1:6" ht="25.5">
      <c r="A12680" s="2">
        <v>12677</v>
      </c>
      <c r="B12680" s="2" t="s">
        <v>12755</v>
      </c>
      <c r="C12680" s="2" t="str">
        <f>"17582652"</f>
        <v>17582652</v>
      </c>
      <c r="D12680" s="2">
        <v>1.2829999999999999</v>
      </c>
      <c r="E12680" s="2">
        <v>11</v>
      </c>
      <c r="F12680" s="2" t="s">
        <v>31</v>
      </c>
    </row>
    <row r="12681" spans="1:6" ht="25.5">
      <c r="A12681" s="2">
        <v>12678</v>
      </c>
      <c r="B12681" s="2" t="s">
        <v>12756</v>
      </c>
      <c r="C12681" s="2" t="str">
        <f>"19969015"</f>
        <v>19969015</v>
      </c>
      <c r="D12681" s="2">
        <v>0.33</v>
      </c>
      <c r="E12681" s="2">
        <v>11</v>
      </c>
      <c r="F12681" s="2" t="s">
        <v>351</v>
      </c>
    </row>
    <row r="12682" spans="1:6" ht="25.5">
      <c r="A12682" s="2">
        <v>12679</v>
      </c>
      <c r="B12682" s="2" t="s">
        <v>12757</v>
      </c>
      <c r="C12682" s="2" t="str">
        <f>"15451097"</f>
        <v>15451097</v>
      </c>
      <c r="D12682" s="2">
        <v>0.41199999999999998</v>
      </c>
      <c r="E12682" s="2">
        <v>14</v>
      </c>
      <c r="F12682" s="2" t="s">
        <v>6</v>
      </c>
    </row>
    <row r="12683" spans="1:6" ht="25.5">
      <c r="A12683" s="2">
        <v>12680</v>
      </c>
      <c r="B12683" s="2" t="s">
        <v>12758</v>
      </c>
      <c r="C12683" s="2" t="str">
        <f>"14697661"</f>
        <v>14697661</v>
      </c>
      <c r="D12683" s="2">
        <v>1.179</v>
      </c>
      <c r="E12683" s="2">
        <v>76</v>
      </c>
      <c r="F12683" s="2" t="s">
        <v>16</v>
      </c>
    </row>
    <row r="12684" spans="1:6" ht="25.5">
      <c r="A12684" s="2">
        <v>12681</v>
      </c>
      <c r="B12684" s="2" t="s">
        <v>12759</v>
      </c>
      <c r="C12684" s="2" t="str">
        <f>"00251003"</f>
        <v>00251003</v>
      </c>
      <c r="D12684" s="2">
        <v>0.85099999999999998</v>
      </c>
      <c r="E12684" s="2">
        <v>10</v>
      </c>
      <c r="F12684" s="2" t="s">
        <v>16</v>
      </c>
    </row>
    <row r="12685" spans="1:6" ht="25.5">
      <c r="A12685" s="2">
        <v>12682</v>
      </c>
      <c r="B12685" s="2" t="s">
        <v>12760</v>
      </c>
      <c r="C12685" s="2" t="str">
        <f>"08593132"</f>
        <v>08593132</v>
      </c>
      <c r="D12685" s="2">
        <v>0</v>
      </c>
      <c r="E12685" s="2">
        <v>0</v>
      </c>
      <c r="F12685" s="2" t="s">
        <v>304</v>
      </c>
    </row>
    <row r="12686" spans="1:6" ht="25.5">
      <c r="A12686" s="2">
        <v>12683</v>
      </c>
      <c r="B12686" s="2" t="s">
        <v>12761</v>
      </c>
      <c r="C12686" s="2" t="str">
        <f>"15502783"</f>
        <v>15502783</v>
      </c>
      <c r="D12686" s="2">
        <v>0.55000000000000004</v>
      </c>
      <c r="E12686" s="2">
        <v>16</v>
      </c>
      <c r="F12686" s="2" t="s">
        <v>16</v>
      </c>
    </row>
    <row r="12687" spans="1:6" ht="25.5">
      <c r="A12687" s="2">
        <v>12684</v>
      </c>
      <c r="B12687" s="2" t="s">
        <v>12762</v>
      </c>
      <c r="C12687" s="2" t="str">
        <f>"17352428"</f>
        <v>17352428</v>
      </c>
      <c r="D12687" s="2">
        <v>0.45</v>
      </c>
      <c r="E12687" s="2">
        <v>23</v>
      </c>
      <c r="F12687" s="2" t="s">
        <v>299</v>
      </c>
    </row>
    <row r="12688" spans="1:6" ht="25.5">
      <c r="A12688" s="2">
        <v>12685</v>
      </c>
      <c r="B12688" s="2" t="s">
        <v>12763</v>
      </c>
      <c r="C12688" s="2" t="str">
        <f>"17264057"</f>
        <v>17264057</v>
      </c>
      <c r="D12688" s="2">
        <v>0.21</v>
      </c>
      <c r="E12688" s="2">
        <v>2</v>
      </c>
      <c r="F12688" s="2" t="s">
        <v>299</v>
      </c>
    </row>
    <row r="12689" spans="1:6" ht="25.5">
      <c r="A12689" s="2">
        <v>12686</v>
      </c>
      <c r="B12689" s="2" t="s">
        <v>12764</v>
      </c>
      <c r="C12689" s="2" t="str">
        <f>"00211133"</f>
        <v>00211133</v>
      </c>
      <c r="D12689" s="2">
        <v>0.124</v>
      </c>
      <c r="E12689" s="2">
        <v>7</v>
      </c>
      <c r="F12689" s="2" t="s">
        <v>732</v>
      </c>
    </row>
    <row r="12690" spans="1:6" ht="25.5">
      <c r="A12690" s="2">
        <v>12687</v>
      </c>
      <c r="B12690" s="2" t="s">
        <v>12765</v>
      </c>
      <c r="C12690" s="2" t="str">
        <f>"0021437X"</f>
        <v>0021437X</v>
      </c>
      <c r="D12690" s="2">
        <v>0.156</v>
      </c>
      <c r="E12690" s="2">
        <v>7</v>
      </c>
      <c r="F12690" s="2" t="s">
        <v>131</v>
      </c>
    </row>
    <row r="12691" spans="1:6" ht="25.5">
      <c r="A12691" s="2">
        <v>12688</v>
      </c>
      <c r="B12691" s="2" t="s">
        <v>12766</v>
      </c>
      <c r="C12691" s="2" t="str">
        <f>"13475509"</f>
        <v>13475509</v>
      </c>
      <c r="D12691" s="2">
        <v>0.10100000000000001</v>
      </c>
      <c r="E12691" s="2">
        <v>3</v>
      </c>
      <c r="F12691" s="2" t="s">
        <v>131</v>
      </c>
    </row>
    <row r="12692" spans="1:6" ht="25.5">
      <c r="A12692" s="2">
        <v>12689</v>
      </c>
      <c r="B12692" s="2" t="s">
        <v>12767</v>
      </c>
      <c r="C12692" s="2" t="str">
        <f>"10958681"</f>
        <v>10958681</v>
      </c>
      <c r="D12692" s="2">
        <v>0.76800000000000002</v>
      </c>
      <c r="E12692" s="2">
        <v>23</v>
      </c>
      <c r="F12692" s="2" t="s">
        <v>6</v>
      </c>
    </row>
    <row r="12693" spans="1:6" ht="25.5">
      <c r="A12693" s="2">
        <v>12690</v>
      </c>
      <c r="B12693" s="2" t="s">
        <v>12768</v>
      </c>
      <c r="C12693" s="2" t="str">
        <f>"18814131"</f>
        <v>18814131</v>
      </c>
      <c r="D12693" s="2">
        <v>0</v>
      </c>
      <c r="E12693" s="2">
        <v>0</v>
      </c>
      <c r="F12693" s="2" t="s">
        <v>131</v>
      </c>
    </row>
    <row r="12694" spans="1:6" ht="25.5">
      <c r="A12694" s="2">
        <v>12691</v>
      </c>
      <c r="B12694" s="2" t="s">
        <v>12769</v>
      </c>
      <c r="C12694" s="2" t="str">
        <f>"13441272"</f>
        <v>13441272</v>
      </c>
      <c r="D12694" s="2">
        <v>0.10299999999999999</v>
      </c>
      <c r="E12694" s="2">
        <v>4</v>
      </c>
      <c r="F12694" s="2" t="s">
        <v>131</v>
      </c>
    </row>
    <row r="12695" spans="1:6" ht="25.5">
      <c r="A12695" s="2">
        <v>12692</v>
      </c>
      <c r="B12695" s="2" t="s">
        <v>12770</v>
      </c>
      <c r="C12695" s="2" t="str">
        <f>"00137626"</f>
        <v>00137626</v>
      </c>
      <c r="D12695" s="2">
        <v>0.621</v>
      </c>
      <c r="E12695" s="2">
        <v>21</v>
      </c>
      <c r="F12695" s="2" t="s">
        <v>131</v>
      </c>
    </row>
    <row r="12696" spans="1:6" ht="25.5">
      <c r="A12696" s="2">
        <v>12693</v>
      </c>
      <c r="B12696" s="2" t="s">
        <v>12771</v>
      </c>
      <c r="C12696" s="2" t="str">
        <f>"13468804"</f>
        <v>13468804</v>
      </c>
      <c r="D12696" s="2">
        <v>0.27</v>
      </c>
      <c r="E12696" s="2">
        <v>17</v>
      </c>
      <c r="F12696" s="2" t="s">
        <v>131</v>
      </c>
    </row>
    <row r="12697" spans="1:6" ht="25.5">
      <c r="A12697" s="2">
        <v>12694</v>
      </c>
      <c r="B12697" s="2" t="s">
        <v>12772</v>
      </c>
      <c r="C12697" s="2" t="str">
        <f>"00372072"</f>
        <v>00372072</v>
      </c>
      <c r="D12697" s="2">
        <v>0.1</v>
      </c>
      <c r="E12697" s="2">
        <v>4</v>
      </c>
      <c r="F12697" s="2" t="s">
        <v>131</v>
      </c>
    </row>
    <row r="12698" spans="1:6" ht="25.5">
      <c r="A12698" s="2">
        <v>12695</v>
      </c>
      <c r="B12698" s="2" t="s">
        <v>12773</v>
      </c>
      <c r="C12698" s="2" t="str">
        <f>"00228567"</f>
        <v>00228567</v>
      </c>
      <c r="D12698" s="2">
        <v>0.27600000000000002</v>
      </c>
      <c r="E12698" s="2">
        <v>21</v>
      </c>
      <c r="F12698" s="2" t="s">
        <v>6</v>
      </c>
    </row>
    <row r="12699" spans="1:6" ht="25.5">
      <c r="A12699" s="2">
        <v>12696</v>
      </c>
      <c r="B12699" s="2" t="s">
        <v>12774</v>
      </c>
      <c r="C12699" s="2" t="str">
        <f>"18687873"</f>
        <v>18687873</v>
      </c>
      <c r="D12699" s="2">
        <v>0.17299999999999999</v>
      </c>
      <c r="E12699" s="2">
        <v>2</v>
      </c>
      <c r="F12699" s="2" t="s">
        <v>12</v>
      </c>
    </row>
    <row r="12700" spans="1:6" ht="25.5">
      <c r="A12700" s="2">
        <v>12697</v>
      </c>
      <c r="B12700" s="2" t="s">
        <v>12775</v>
      </c>
      <c r="C12700" s="2" t="str">
        <f>"12293008"</f>
        <v>12293008</v>
      </c>
      <c r="D12700" s="2">
        <v>0.23699999999999999</v>
      </c>
      <c r="E12700" s="2">
        <v>2</v>
      </c>
      <c r="F12700" s="2" t="s">
        <v>274</v>
      </c>
    </row>
    <row r="12701" spans="1:6" ht="25.5">
      <c r="A12701" s="2">
        <v>12698</v>
      </c>
      <c r="B12701" s="2" t="s">
        <v>12776</v>
      </c>
      <c r="C12701" s="2" t="str">
        <f>"12254614"</f>
        <v>12254614</v>
      </c>
      <c r="D12701" s="2">
        <v>0.68700000000000006</v>
      </c>
      <c r="E12701" s="2">
        <v>6</v>
      </c>
      <c r="F12701" s="2" t="s">
        <v>274</v>
      </c>
    </row>
    <row r="12702" spans="1:6" ht="25.5">
      <c r="A12702" s="2">
        <v>12699</v>
      </c>
      <c r="B12702" s="2" t="s">
        <v>12777</v>
      </c>
      <c r="C12702" s="2" t="str">
        <f>"12297801"</f>
        <v>12297801</v>
      </c>
      <c r="D12702" s="2">
        <v>0.21199999999999999</v>
      </c>
      <c r="E12702" s="2">
        <v>7</v>
      </c>
      <c r="F12702" s="2" t="s">
        <v>274</v>
      </c>
    </row>
    <row r="12703" spans="1:6" ht="25.5">
      <c r="A12703" s="2">
        <v>12700</v>
      </c>
      <c r="B12703" s="2" t="s">
        <v>12778</v>
      </c>
      <c r="C12703" s="2" t="str">
        <f>"10172548"</f>
        <v>10172548</v>
      </c>
      <c r="D12703" s="2">
        <v>0.191</v>
      </c>
      <c r="E12703" s="2">
        <v>9</v>
      </c>
      <c r="F12703" s="2" t="s">
        <v>274</v>
      </c>
    </row>
    <row r="12704" spans="1:6" ht="25.5">
      <c r="A12704" s="2">
        <v>12701</v>
      </c>
      <c r="B12704" s="2" t="s">
        <v>12779</v>
      </c>
      <c r="C12704" s="2" t="str">
        <f>"12250112"</f>
        <v>12250112</v>
      </c>
      <c r="D12704" s="2">
        <v>0.19500000000000001</v>
      </c>
      <c r="E12704" s="2">
        <v>7</v>
      </c>
      <c r="F12704" s="2" t="s">
        <v>274</v>
      </c>
    </row>
    <row r="12705" spans="1:6" ht="25.5">
      <c r="A12705" s="2">
        <v>12702</v>
      </c>
      <c r="B12705" s="2" t="s">
        <v>12780</v>
      </c>
      <c r="C12705" s="2" t="str">
        <f>"03049914"</f>
        <v>03049914</v>
      </c>
      <c r="D12705" s="2">
        <v>0.33600000000000002</v>
      </c>
      <c r="E12705" s="2">
        <v>16</v>
      </c>
      <c r="F12705" s="2" t="s">
        <v>274</v>
      </c>
    </row>
    <row r="12706" spans="1:6" ht="25.5">
      <c r="A12706" s="2">
        <v>12703</v>
      </c>
      <c r="B12706" s="2" t="s">
        <v>12781</v>
      </c>
      <c r="C12706" s="2" t="str">
        <f>"20935951"</f>
        <v>20935951</v>
      </c>
      <c r="D12706" s="2">
        <v>0.15</v>
      </c>
      <c r="E12706" s="2">
        <v>4</v>
      </c>
      <c r="F12706" s="2" t="s">
        <v>274</v>
      </c>
    </row>
    <row r="12707" spans="1:6" ht="25.5">
      <c r="A12707" s="2">
        <v>12704</v>
      </c>
      <c r="B12707" s="2" t="s">
        <v>12782</v>
      </c>
      <c r="C12707" s="2" t="str">
        <f>"03744884"</f>
        <v>03744884</v>
      </c>
      <c r="D12707" s="2">
        <v>0.25900000000000001</v>
      </c>
      <c r="E12707" s="2">
        <v>31</v>
      </c>
      <c r="F12707" s="2" t="s">
        <v>274</v>
      </c>
    </row>
    <row r="12708" spans="1:6" ht="25.5">
      <c r="A12708" s="2">
        <v>12705</v>
      </c>
      <c r="B12708" s="2" t="s">
        <v>12783</v>
      </c>
      <c r="C12708" s="2" t="str">
        <f>"2234344X"</f>
        <v>2234344X</v>
      </c>
      <c r="D12708" s="2">
        <v>0.158</v>
      </c>
      <c r="E12708" s="2">
        <v>3</v>
      </c>
      <c r="F12708" s="2" t="s">
        <v>274</v>
      </c>
    </row>
    <row r="12709" spans="1:6" ht="25.5">
      <c r="A12709" s="2">
        <v>12706</v>
      </c>
      <c r="B12709" s="2" t="s">
        <v>12784</v>
      </c>
      <c r="C12709" s="2" t="str">
        <f>"19764111"</f>
        <v>19764111</v>
      </c>
      <c r="D12709" s="2">
        <v>0.215</v>
      </c>
      <c r="E12709" s="2">
        <v>4</v>
      </c>
      <c r="F12709" s="2" t="s">
        <v>274</v>
      </c>
    </row>
    <row r="12710" spans="1:6" ht="25.5">
      <c r="A12710" s="2">
        <v>12707</v>
      </c>
      <c r="B12710" s="2" t="s">
        <v>12785</v>
      </c>
      <c r="C12710" s="2" t="str">
        <f>"12263311"</f>
        <v>12263311</v>
      </c>
      <c r="D12710" s="2">
        <v>0.29699999999999999</v>
      </c>
      <c r="E12710" s="2">
        <v>9</v>
      </c>
      <c r="F12710" s="2" t="s">
        <v>274</v>
      </c>
    </row>
    <row r="12711" spans="1:6" ht="25.5">
      <c r="A12711" s="2">
        <v>12708</v>
      </c>
      <c r="B12711" s="2" t="s">
        <v>12786</v>
      </c>
      <c r="C12711" s="2" t="str">
        <f>"15984850"</f>
        <v>15984850</v>
      </c>
      <c r="D12711" s="2">
        <v>0.10199999999999999</v>
      </c>
      <c r="E12711" s="2">
        <v>3</v>
      </c>
      <c r="F12711" s="2" t="s">
        <v>274</v>
      </c>
    </row>
    <row r="12712" spans="1:6" ht="25.5">
      <c r="A12712" s="2">
        <v>12709</v>
      </c>
      <c r="B12712" s="2" t="s">
        <v>12787</v>
      </c>
      <c r="C12712" s="2" t="str">
        <f>"12263192"</f>
        <v>12263192</v>
      </c>
      <c r="D12712" s="2">
        <v>0.35199999999999998</v>
      </c>
      <c r="E12712" s="2">
        <v>7</v>
      </c>
      <c r="F12712" s="2" t="s">
        <v>274</v>
      </c>
    </row>
    <row r="12713" spans="1:6" ht="25.5">
      <c r="A12713" s="2">
        <v>12710</v>
      </c>
      <c r="B12713" s="2" t="s">
        <v>12788</v>
      </c>
      <c r="C12713" s="2" t="str">
        <f>"20930488"</f>
        <v>20930488</v>
      </c>
      <c r="D12713" s="2">
        <v>0.14499999999999999</v>
      </c>
      <c r="E12713" s="2">
        <v>4</v>
      </c>
      <c r="F12713" s="2" t="s">
        <v>274</v>
      </c>
    </row>
    <row r="12714" spans="1:6" ht="25.5">
      <c r="A12714" s="2">
        <v>12711</v>
      </c>
      <c r="B12714" s="2" t="s">
        <v>12789</v>
      </c>
      <c r="C12714" s="2" t="str">
        <f>"10170715"</f>
        <v>10170715</v>
      </c>
      <c r="D12714" s="2">
        <v>0</v>
      </c>
      <c r="E12714" s="2">
        <v>1</v>
      </c>
      <c r="F12714" s="2" t="s">
        <v>274</v>
      </c>
    </row>
    <row r="12715" spans="1:6" ht="25.5">
      <c r="A12715" s="2">
        <v>12712</v>
      </c>
      <c r="B12715" s="2" t="s">
        <v>12790</v>
      </c>
      <c r="C12715" s="2" t="str">
        <f>"15327809"</f>
        <v>15327809</v>
      </c>
      <c r="D12715" s="2">
        <v>2.141</v>
      </c>
      <c r="E12715" s="2">
        <v>47</v>
      </c>
      <c r="F12715" s="2" t="s">
        <v>16</v>
      </c>
    </row>
    <row r="12716" spans="1:6" ht="25.5">
      <c r="A12716" s="2">
        <v>12713</v>
      </c>
      <c r="B12716" s="2" t="s">
        <v>12791</v>
      </c>
      <c r="C12716" s="2" t="str">
        <f>"00240966"</f>
        <v>00240966</v>
      </c>
      <c r="D12716" s="2">
        <v>0.21199999999999999</v>
      </c>
      <c r="E12716" s="2">
        <v>12</v>
      </c>
      <c r="F12716" s="2" t="s">
        <v>6</v>
      </c>
    </row>
    <row r="12717" spans="1:6" ht="25.5">
      <c r="A12717" s="2">
        <v>12714</v>
      </c>
      <c r="B12717" s="2" t="s">
        <v>12792</v>
      </c>
      <c r="C12717" s="2" t="str">
        <f>"17290341"</f>
        <v>17290341</v>
      </c>
      <c r="D12717" s="2">
        <v>0.14299999999999999</v>
      </c>
      <c r="E12717" s="2">
        <v>4</v>
      </c>
      <c r="F12717" s="2" t="s">
        <v>43</v>
      </c>
    </row>
    <row r="12718" spans="1:6" ht="25.5">
      <c r="A12718" s="2">
        <v>12715</v>
      </c>
      <c r="B12718" s="2" t="s">
        <v>12793</v>
      </c>
      <c r="C12718" s="2" t="str">
        <f>"14697750"</f>
        <v>14697750</v>
      </c>
      <c r="D12718" s="2">
        <v>1.3480000000000001</v>
      </c>
      <c r="E12718" s="2">
        <v>37</v>
      </c>
      <c r="F12718" s="2" t="s">
        <v>16</v>
      </c>
    </row>
    <row r="12719" spans="1:6" ht="25.5">
      <c r="A12719" s="2">
        <v>12716</v>
      </c>
      <c r="B12719" s="2" t="s">
        <v>12794</v>
      </c>
      <c r="C12719" s="2" t="str">
        <f>"00246921"</f>
        <v>00246921</v>
      </c>
      <c r="D12719" s="2">
        <v>0.122</v>
      </c>
      <c r="E12719" s="2">
        <v>15</v>
      </c>
      <c r="F12719" s="2" t="s">
        <v>6</v>
      </c>
    </row>
    <row r="12720" spans="1:6" ht="25.5">
      <c r="A12720" s="2">
        <v>12717</v>
      </c>
      <c r="B12720" s="2" t="s">
        <v>12795</v>
      </c>
      <c r="C12720" s="2" t="str">
        <f>"14697769"</f>
        <v>14697769</v>
      </c>
      <c r="D12720" s="2">
        <v>0.48499999999999999</v>
      </c>
      <c r="E12720" s="2">
        <v>42</v>
      </c>
      <c r="F12720" s="2" t="s">
        <v>16</v>
      </c>
    </row>
    <row r="12721" spans="1:6" ht="25.5">
      <c r="A12721" s="2">
        <v>12718</v>
      </c>
      <c r="B12721" s="2" t="s">
        <v>12796</v>
      </c>
      <c r="C12721" s="2" t="str">
        <f>"00254800"</f>
        <v>00254800</v>
      </c>
      <c r="D12721" s="2">
        <v>0.10299999999999999</v>
      </c>
      <c r="E12721" s="2">
        <v>6</v>
      </c>
      <c r="F12721" s="2" t="s">
        <v>6</v>
      </c>
    </row>
    <row r="12722" spans="1:6" ht="25.5">
      <c r="A12722" s="2">
        <v>12719</v>
      </c>
      <c r="B12722" s="2" t="s">
        <v>12797</v>
      </c>
      <c r="C12722" s="2" t="str">
        <f>"00255645"</f>
        <v>00255645</v>
      </c>
      <c r="D12722" s="2">
        <v>0.72899999999999998</v>
      </c>
      <c r="E12722" s="2">
        <v>17</v>
      </c>
      <c r="F12722" s="2" t="s">
        <v>131</v>
      </c>
    </row>
    <row r="12723" spans="1:6" ht="25.5">
      <c r="A12723" s="2">
        <v>12720</v>
      </c>
      <c r="B12723" s="2" t="s">
        <v>12798</v>
      </c>
      <c r="C12723" s="2" t="str">
        <f>"17516161"</f>
        <v>17516161</v>
      </c>
      <c r="D12723" s="2">
        <v>0.78</v>
      </c>
      <c r="E12723" s="2">
        <v>21</v>
      </c>
      <c r="F12723" s="2" t="s">
        <v>75</v>
      </c>
    </row>
    <row r="12724" spans="1:6" ht="25.5">
      <c r="A12724" s="2">
        <v>12721</v>
      </c>
      <c r="B12724" s="2" t="s">
        <v>12799</v>
      </c>
      <c r="C12724" s="2" t="str">
        <f>"00225096"</f>
        <v>00225096</v>
      </c>
      <c r="D12724" s="2">
        <v>2.081</v>
      </c>
      <c r="E12724" s="2">
        <v>98</v>
      </c>
      <c r="F12724" s="2" t="s">
        <v>16</v>
      </c>
    </row>
    <row r="12725" spans="1:6" ht="25.5">
      <c r="A12725" s="2">
        <v>12722</v>
      </c>
      <c r="B12725" s="2" t="s">
        <v>12800</v>
      </c>
      <c r="C12725" s="2" t="str">
        <f>"00257028"</f>
        <v>00257028</v>
      </c>
      <c r="D12725" s="2">
        <v>0.1</v>
      </c>
      <c r="E12725" s="2">
        <v>4</v>
      </c>
      <c r="F12725" s="2" t="s">
        <v>6</v>
      </c>
    </row>
    <row r="12726" spans="1:6" ht="25.5">
      <c r="A12726" s="2">
        <v>12723</v>
      </c>
      <c r="B12726" s="2" t="s">
        <v>12801</v>
      </c>
      <c r="C12726" s="2" t="str">
        <f>"01252208"</f>
        <v>01252208</v>
      </c>
      <c r="D12726" s="2">
        <v>0.215</v>
      </c>
      <c r="E12726" s="2">
        <v>25</v>
      </c>
      <c r="F12726" s="2" t="s">
        <v>1966</v>
      </c>
    </row>
    <row r="12727" spans="1:6" ht="25.5">
      <c r="A12727" s="2">
        <v>12724</v>
      </c>
      <c r="B12727" s="2" t="s">
        <v>12802</v>
      </c>
      <c r="C12727" s="2" t="str">
        <f>"15589439"</f>
        <v>15589439</v>
      </c>
      <c r="D12727" s="2">
        <v>1.32</v>
      </c>
      <c r="E12727" s="2">
        <v>33</v>
      </c>
      <c r="F12727" s="2" t="s">
        <v>6</v>
      </c>
    </row>
    <row r="12728" spans="1:6" ht="25.5">
      <c r="A12728" s="2">
        <v>12725</v>
      </c>
      <c r="B12728" s="2" t="s">
        <v>12803</v>
      </c>
      <c r="C12728" s="2" t="str">
        <f>"00408670"</f>
        <v>00408670</v>
      </c>
      <c r="D12728" s="2">
        <v>0.11</v>
      </c>
      <c r="E12728" s="2">
        <v>3</v>
      </c>
      <c r="F12728" s="2" t="s">
        <v>131</v>
      </c>
    </row>
    <row r="12729" spans="1:6" ht="25.5">
      <c r="A12729" s="2">
        <v>12726</v>
      </c>
      <c r="B12729" s="2" t="s">
        <v>12804</v>
      </c>
      <c r="C12729" s="2" t="str">
        <f>"00261165"</f>
        <v>00261165</v>
      </c>
      <c r="D12729" s="2">
        <v>0.85099999999999998</v>
      </c>
      <c r="E12729" s="2">
        <v>46</v>
      </c>
      <c r="F12729" s="2" t="s">
        <v>131</v>
      </c>
    </row>
    <row r="12730" spans="1:6" ht="25.5">
      <c r="A12730" s="2">
        <v>12727</v>
      </c>
      <c r="B12730" s="2" t="s">
        <v>12805</v>
      </c>
      <c r="C12730" s="2" t="str">
        <f>"1870249X"</f>
        <v>1870249X</v>
      </c>
      <c r="D12730" s="2">
        <v>0.151</v>
      </c>
      <c r="E12730" s="2">
        <v>6</v>
      </c>
      <c r="F12730" s="2" t="s">
        <v>200</v>
      </c>
    </row>
    <row r="12731" spans="1:6" ht="25.5">
      <c r="A12731" s="2">
        <v>12728</v>
      </c>
      <c r="B12731" s="2" t="s">
        <v>12806</v>
      </c>
      <c r="C12731" s="2" t="str">
        <f>"00262102"</f>
        <v>00262102</v>
      </c>
      <c r="D12731" s="2">
        <v>0.10199999999999999</v>
      </c>
      <c r="E12731" s="2">
        <v>5</v>
      </c>
      <c r="F12731" s="2" t="s">
        <v>6</v>
      </c>
    </row>
    <row r="12732" spans="1:6" ht="25.5">
      <c r="A12732" s="2">
        <v>12729</v>
      </c>
      <c r="B12732" s="2" t="s">
        <v>12807</v>
      </c>
      <c r="C12732" s="2" t="str">
        <f>"03683206"</f>
        <v>03683206</v>
      </c>
      <c r="D12732" s="2">
        <v>0.115</v>
      </c>
      <c r="E12732" s="2">
        <v>3</v>
      </c>
      <c r="F12732" s="2" t="s">
        <v>410</v>
      </c>
    </row>
    <row r="12733" spans="1:6" ht="25.5">
      <c r="A12733" s="2">
        <v>12730</v>
      </c>
      <c r="B12733" s="2" t="s">
        <v>12808</v>
      </c>
      <c r="C12733" s="2" t="str">
        <f>"00266396"</f>
        <v>00266396</v>
      </c>
      <c r="D12733" s="2">
        <v>0.113</v>
      </c>
      <c r="E12733" s="2">
        <v>9</v>
      </c>
      <c r="F12733" s="2" t="s">
        <v>6</v>
      </c>
    </row>
    <row r="12734" spans="1:6" ht="25.5">
      <c r="A12734" s="2">
        <v>12731</v>
      </c>
      <c r="B12734" s="2" t="s">
        <v>12809</v>
      </c>
      <c r="C12734" s="2" t="str">
        <f>"2070626X"</f>
        <v>2070626X</v>
      </c>
      <c r="D12734" s="2">
        <v>0.10100000000000001</v>
      </c>
      <c r="E12734" s="2">
        <v>1</v>
      </c>
      <c r="F12734" s="2" t="s">
        <v>6</v>
      </c>
    </row>
    <row r="12735" spans="1:6" ht="25.5">
      <c r="A12735" s="2">
        <v>12732</v>
      </c>
      <c r="B12735" s="2" t="s">
        <v>12810</v>
      </c>
      <c r="C12735" s="2" t="str">
        <f>"00278874"</f>
        <v>00278874</v>
      </c>
      <c r="D12735" s="2">
        <v>5.3</v>
      </c>
      <c r="E12735" s="2">
        <v>254</v>
      </c>
      <c r="F12735" s="2" t="s">
        <v>16</v>
      </c>
    </row>
    <row r="12736" spans="1:6" ht="25.5">
      <c r="A12736" s="2">
        <v>12733</v>
      </c>
      <c r="B12736" s="2" t="s">
        <v>12811</v>
      </c>
      <c r="C12736" s="2" t="str">
        <f>"10526773"</f>
        <v>10526773</v>
      </c>
      <c r="D12736" s="2">
        <v>2.101</v>
      </c>
      <c r="E12736" s="2">
        <v>59</v>
      </c>
      <c r="F12736" s="2" t="s">
        <v>6</v>
      </c>
    </row>
    <row r="12737" spans="1:6" ht="25.5">
      <c r="A12737" s="2">
        <v>12734</v>
      </c>
      <c r="B12737" s="2" t="s">
        <v>12812</v>
      </c>
      <c r="C12737" s="2" t="str">
        <f>"15401413"</f>
        <v>15401413</v>
      </c>
      <c r="D12737" s="2">
        <v>2.226</v>
      </c>
      <c r="E12737" s="2">
        <v>36</v>
      </c>
      <c r="F12737" s="2" t="s">
        <v>6</v>
      </c>
    </row>
    <row r="12738" spans="1:6" ht="25.5">
      <c r="A12738" s="2">
        <v>12735</v>
      </c>
      <c r="B12738" s="2" t="s">
        <v>12813</v>
      </c>
      <c r="C12738" s="2" t="str">
        <f>"13493205"</f>
        <v>13493205</v>
      </c>
      <c r="D12738" s="2">
        <v>0.11600000000000001</v>
      </c>
      <c r="E12738" s="2">
        <v>7</v>
      </c>
      <c r="F12738" s="2" t="s">
        <v>131</v>
      </c>
    </row>
    <row r="12739" spans="1:6" ht="25.5">
      <c r="A12739" s="2">
        <v>12736</v>
      </c>
      <c r="B12739" s="2" t="s">
        <v>12814</v>
      </c>
      <c r="C12739" s="2" t="str">
        <f>"00279684"</f>
        <v>00279684</v>
      </c>
      <c r="D12739" s="2">
        <v>0.44500000000000001</v>
      </c>
      <c r="E12739" s="2">
        <v>41</v>
      </c>
      <c r="F12739" s="2" t="s">
        <v>6</v>
      </c>
    </row>
    <row r="12740" spans="1:6" ht="25.5">
      <c r="A12740" s="2">
        <v>12737</v>
      </c>
      <c r="B12740" s="2" t="s">
        <v>12815</v>
      </c>
      <c r="C12740" s="2" t="str">
        <f>"13914588"</f>
        <v>13914588</v>
      </c>
      <c r="D12740" s="2">
        <v>0.14399999999999999</v>
      </c>
      <c r="E12740" s="2">
        <v>4</v>
      </c>
      <c r="F12740" s="2" t="s">
        <v>3443</v>
      </c>
    </row>
    <row r="12741" spans="1:6" ht="25.5">
      <c r="A12741" s="2">
        <v>12738</v>
      </c>
      <c r="B12741" s="2" t="s">
        <v>12816</v>
      </c>
      <c r="C12741" s="2" t="str">
        <f>"00282715"</f>
        <v>00282715</v>
      </c>
      <c r="D12741" s="2">
        <v>0.13900000000000001</v>
      </c>
      <c r="E12741" s="2">
        <v>8</v>
      </c>
      <c r="F12741" s="2" t="s">
        <v>11849</v>
      </c>
    </row>
    <row r="12742" spans="1:6" ht="25.5">
      <c r="A12742" s="2">
        <v>12739</v>
      </c>
      <c r="B12742" s="2" t="s">
        <v>12817</v>
      </c>
      <c r="C12742" s="2" t="str">
        <f>"0022510X"</f>
        <v>0022510X</v>
      </c>
      <c r="D12742" s="2">
        <v>0.91100000000000003</v>
      </c>
      <c r="E12742" s="2">
        <v>87</v>
      </c>
      <c r="F12742" s="2" t="s">
        <v>75</v>
      </c>
    </row>
    <row r="12743" spans="1:6" ht="25.5">
      <c r="A12743" s="2">
        <v>12740</v>
      </c>
      <c r="B12743" s="2" t="s">
        <v>12818</v>
      </c>
      <c r="C12743" s="2" t="str">
        <f>"00937347"</f>
        <v>00937347</v>
      </c>
      <c r="D12743" s="2">
        <v>0.10199999999999999</v>
      </c>
      <c r="E12743" s="2">
        <v>4</v>
      </c>
      <c r="F12743" s="2" t="s">
        <v>6</v>
      </c>
    </row>
    <row r="12744" spans="1:6" ht="25.5">
      <c r="A12744" s="2">
        <v>12741</v>
      </c>
      <c r="B12744" s="2" t="s">
        <v>12819</v>
      </c>
      <c r="C12744" s="2" t="str">
        <f>"00287644"</f>
        <v>00287644</v>
      </c>
      <c r="D12744" s="2">
        <v>0.13500000000000001</v>
      </c>
      <c r="E12744" s="2">
        <v>8</v>
      </c>
      <c r="F12744" s="2" t="s">
        <v>6</v>
      </c>
    </row>
    <row r="12745" spans="1:6" ht="25.5">
      <c r="A12745" s="2">
        <v>12742</v>
      </c>
      <c r="B12745" s="2" t="s">
        <v>12820</v>
      </c>
      <c r="C12745" s="2" t="str">
        <f>"08873593"</f>
        <v>08873593</v>
      </c>
      <c r="D12745" s="2">
        <v>0.78300000000000003</v>
      </c>
      <c r="E12745" s="2">
        <v>69</v>
      </c>
      <c r="F12745" s="2" t="s">
        <v>64</v>
      </c>
    </row>
    <row r="12746" spans="1:6" ht="25.5">
      <c r="A12746" s="2">
        <v>12743</v>
      </c>
      <c r="B12746" s="2" t="s">
        <v>12821</v>
      </c>
      <c r="C12746" s="2" t="str">
        <f>"19351984"</f>
        <v>19351984</v>
      </c>
      <c r="D12746" s="2">
        <v>0</v>
      </c>
      <c r="E12746" s="2">
        <v>3</v>
      </c>
      <c r="F12746" s="2" t="s">
        <v>6</v>
      </c>
    </row>
    <row r="12747" spans="1:6" ht="25.5">
      <c r="A12747" s="2">
        <v>12744</v>
      </c>
      <c r="B12747" s="2" t="s">
        <v>12822</v>
      </c>
      <c r="C12747" s="2" t="str">
        <f>"00301876"</f>
        <v>00301876</v>
      </c>
      <c r="D12747" s="2">
        <v>0.107</v>
      </c>
      <c r="E12747" s="2">
        <v>13</v>
      </c>
      <c r="F12747" s="2" t="s">
        <v>6</v>
      </c>
    </row>
    <row r="12748" spans="1:6" ht="25.5">
      <c r="A12748" s="2">
        <v>12745</v>
      </c>
      <c r="B12748" s="2" t="s">
        <v>12823</v>
      </c>
      <c r="C12748" s="2" t="str">
        <f>"14774607"</f>
        <v>14774607</v>
      </c>
      <c r="D12748" s="2">
        <v>0.122</v>
      </c>
      <c r="E12748" s="2">
        <v>6</v>
      </c>
      <c r="F12748" s="2" t="s">
        <v>16</v>
      </c>
    </row>
    <row r="12749" spans="1:6" ht="25.5">
      <c r="A12749" s="2">
        <v>12746</v>
      </c>
      <c r="B12749" s="2" t="s">
        <v>12824</v>
      </c>
      <c r="C12749" s="2" t="str">
        <f>"14769360"</f>
        <v>14769360</v>
      </c>
      <c r="D12749" s="2">
        <v>1.367</v>
      </c>
      <c r="E12749" s="2">
        <v>55</v>
      </c>
      <c r="F12749" s="2" t="s">
        <v>16</v>
      </c>
    </row>
    <row r="12750" spans="1:6" ht="25.5">
      <c r="A12750" s="2">
        <v>12747</v>
      </c>
      <c r="B12750" s="2" t="s">
        <v>12825</v>
      </c>
      <c r="C12750" s="2" t="str">
        <f>"15208532"</f>
        <v>15208532</v>
      </c>
      <c r="D12750" s="2">
        <v>1.022</v>
      </c>
      <c r="E12750" s="2">
        <v>102</v>
      </c>
      <c r="F12750" s="2" t="s">
        <v>6</v>
      </c>
    </row>
    <row r="12751" spans="1:6" ht="25.5">
      <c r="A12751" s="2">
        <v>12748</v>
      </c>
      <c r="B12751" s="2" t="s">
        <v>12826</v>
      </c>
      <c r="C12751" s="2" t="str">
        <f>"07403224"</f>
        <v>07403224</v>
      </c>
      <c r="D12751" s="2">
        <v>1.3240000000000001</v>
      </c>
      <c r="E12751" s="2">
        <v>98</v>
      </c>
      <c r="F12751" s="2" t="s">
        <v>6</v>
      </c>
    </row>
    <row r="12752" spans="1:6" ht="25.5">
      <c r="A12752" s="2">
        <v>12749</v>
      </c>
      <c r="B12752" s="2" t="s">
        <v>12827</v>
      </c>
      <c r="C12752" s="2" t="str">
        <f>"12264776"</f>
        <v>12264776</v>
      </c>
      <c r="D12752" s="2">
        <v>0.64800000000000002</v>
      </c>
      <c r="E12752" s="2">
        <v>10</v>
      </c>
      <c r="F12752" s="2" t="s">
        <v>274</v>
      </c>
    </row>
    <row r="12753" spans="1:6" ht="25.5">
      <c r="A12753" s="2">
        <v>12750</v>
      </c>
      <c r="B12753" s="2" t="s">
        <v>12828</v>
      </c>
      <c r="C12753" s="2" t="str">
        <f>"07181876"</f>
        <v>07181876</v>
      </c>
      <c r="D12753" s="2">
        <v>0.316</v>
      </c>
      <c r="E12753" s="2">
        <v>11</v>
      </c>
      <c r="F12753" s="2" t="s">
        <v>182</v>
      </c>
    </row>
    <row r="12754" spans="1:6" ht="25.5">
      <c r="A12754" s="2">
        <v>12751</v>
      </c>
      <c r="B12754" s="2" t="s">
        <v>12829</v>
      </c>
      <c r="C12754" s="2" t="str">
        <f>"19928645"</f>
        <v>19928645</v>
      </c>
      <c r="D12754" s="2">
        <v>0.16700000000000001</v>
      </c>
      <c r="E12754" s="2">
        <v>5</v>
      </c>
      <c r="F12754" s="2" t="s">
        <v>43</v>
      </c>
    </row>
    <row r="12755" spans="1:6" ht="25.5">
      <c r="A12755" s="2">
        <v>12752</v>
      </c>
      <c r="B12755" s="2" t="s">
        <v>12830</v>
      </c>
      <c r="C12755" s="2" t="str">
        <f>"14292955"</f>
        <v>14292955</v>
      </c>
      <c r="D12755" s="2">
        <v>0.24299999999999999</v>
      </c>
      <c r="E12755" s="2">
        <v>6</v>
      </c>
      <c r="F12755" s="2" t="s">
        <v>169</v>
      </c>
    </row>
    <row r="12756" spans="1:6" ht="25.5">
      <c r="A12756" s="2">
        <v>12753</v>
      </c>
      <c r="B12756" s="2" t="s">
        <v>12831</v>
      </c>
      <c r="C12756" s="2" t="str">
        <f>"02196336"</f>
        <v>02196336</v>
      </c>
      <c r="D12756" s="2">
        <v>0.28599999999999998</v>
      </c>
      <c r="E12756" s="2">
        <v>16</v>
      </c>
      <c r="F12756" s="2" t="s">
        <v>543</v>
      </c>
    </row>
    <row r="12757" spans="1:6" ht="25.5">
      <c r="A12757" s="2">
        <v>12754</v>
      </c>
      <c r="B12757" s="2" t="s">
        <v>12832</v>
      </c>
      <c r="C12757" s="2" t="str">
        <f>"10688471"</f>
        <v>10688471</v>
      </c>
      <c r="D12757" s="2">
        <v>0.219</v>
      </c>
      <c r="E12757" s="2">
        <v>12</v>
      </c>
      <c r="F12757" s="2" t="s">
        <v>6</v>
      </c>
    </row>
    <row r="12758" spans="1:6" ht="25.5">
      <c r="A12758" s="2">
        <v>12755</v>
      </c>
      <c r="B12758" s="2" t="s">
        <v>12833</v>
      </c>
      <c r="C12758" s="2" t="str">
        <f>"10958541"</f>
        <v>10958541</v>
      </c>
      <c r="D12758" s="2">
        <v>0.80100000000000005</v>
      </c>
      <c r="E12758" s="2">
        <v>92</v>
      </c>
      <c r="F12758" s="2" t="s">
        <v>6</v>
      </c>
    </row>
    <row r="12759" spans="1:6" ht="25.5">
      <c r="A12759" s="2">
        <v>12756</v>
      </c>
      <c r="B12759" s="2" t="s">
        <v>12834</v>
      </c>
      <c r="C12759" s="2" t="str">
        <f>"09516298"</f>
        <v>09516298</v>
      </c>
      <c r="D12759" s="2">
        <v>0.66300000000000003</v>
      </c>
      <c r="E12759" s="2">
        <v>25</v>
      </c>
      <c r="F12759" s="2" t="s">
        <v>16</v>
      </c>
    </row>
    <row r="12760" spans="1:6" ht="25.5">
      <c r="A12760" s="2">
        <v>12757</v>
      </c>
      <c r="B12760" s="2" t="s">
        <v>12835</v>
      </c>
      <c r="C12760" s="2" t="str">
        <f>"15729230"</f>
        <v>15729230</v>
      </c>
      <c r="D12760" s="2">
        <v>0.60299999999999998</v>
      </c>
      <c r="E12760" s="2">
        <v>23</v>
      </c>
      <c r="F12760" s="2" t="s">
        <v>6</v>
      </c>
    </row>
    <row r="12761" spans="1:6" ht="25.5">
      <c r="A12761" s="2">
        <v>12758</v>
      </c>
      <c r="B12761" s="2" t="s">
        <v>12836</v>
      </c>
      <c r="C12761" s="2" t="str">
        <f>"05529360"</f>
        <v>05529360</v>
      </c>
      <c r="D12761" s="2">
        <v>0.114</v>
      </c>
      <c r="E12761" s="2">
        <v>1</v>
      </c>
      <c r="F12761" s="2" t="s">
        <v>488</v>
      </c>
    </row>
    <row r="12762" spans="1:6" ht="25.5">
      <c r="A12762" s="2">
        <v>12759</v>
      </c>
      <c r="B12762" s="2" t="s">
        <v>12837</v>
      </c>
      <c r="C12762" s="2" t="str">
        <f>"15908577"</f>
        <v>15908577</v>
      </c>
      <c r="D12762" s="2">
        <v>0.44</v>
      </c>
      <c r="E12762" s="2">
        <v>31</v>
      </c>
      <c r="F12762" s="2" t="s">
        <v>190</v>
      </c>
    </row>
    <row r="12763" spans="1:6" ht="25.5">
      <c r="A12763" s="2">
        <v>12760</v>
      </c>
      <c r="B12763" s="2" t="s">
        <v>12838</v>
      </c>
      <c r="C12763" s="2" t="str">
        <f>"15298027"</f>
        <v>15298027</v>
      </c>
      <c r="D12763" s="2">
        <v>0.93500000000000005</v>
      </c>
      <c r="E12763" s="2">
        <v>40</v>
      </c>
      <c r="F12763" s="2" t="s">
        <v>16</v>
      </c>
    </row>
    <row r="12764" spans="1:6" ht="25.5">
      <c r="A12764" s="2">
        <v>12761</v>
      </c>
      <c r="B12764" s="2" t="s">
        <v>12839</v>
      </c>
      <c r="C12764" s="2" t="str">
        <f>"18722636"</f>
        <v>18722636</v>
      </c>
      <c r="D12764" s="2">
        <v>0.14199999999999999</v>
      </c>
      <c r="E12764" s="2">
        <v>5</v>
      </c>
      <c r="F12764" s="2" t="s">
        <v>75</v>
      </c>
    </row>
    <row r="12765" spans="1:6" ht="25.5">
      <c r="A12765" s="2">
        <v>12762</v>
      </c>
      <c r="B12765" s="2" t="s">
        <v>12840</v>
      </c>
      <c r="C12765" s="2" t="str">
        <f>"00948705"</f>
        <v>00948705</v>
      </c>
      <c r="D12765" s="2">
        <v>0.23799999999999999</v>
      </c>
      <c r="E12765" s="2">
        <v>10</v>
      </c>
      <c r="F12765" s="2" t="s">
        <v>6</v>
      </c>
    </row>
    <row r="12766" spans="1:6" ht="25.5">
      <c r="A12766" s="2">
        <v>12763</v>
      </c>
      <c r="B12766" s="2" t="s">
        <v>12841</v>
      </c>
      <c r="C12766" s="2" t="str">
        <f>"00319015"</f>
        <v>00319015</v>
      </c>
      <c r="D12766" s="2">
        <v>1.1599999999999999</v>
      </c>
      <c r="E12766" s="2">
        <v>90</v>
      </c>
      <c r="F12766" s="2" t="s">
        <v>131</v>
      </c>
    </row>
    <row r="12767" spans="1:6" ht="25.5">
      <c r="A12767" s="2">
        <v>12764</v>
      </c>
      <c r="B12767" s="2" t="s">
        <v>12842</v>
      </c>
      <c r="C12767" s="2" t="str">
        <f>"00324000"</f>
        <v>00324000</v>
      </c>
      <c r="D12767" s="2">
        <v>0.17799999999999999</v>
      </c>
      <c r="E12767" s="2">
        <v>7</v>
      </c>
      <c r="F12767" s="2" t="s">
        <v>503</v>
      </c>
    </row>
    <row r="12768" spans="1:6">
      <c r="A12768" s="2">
        <v>12765</v>
      </c>
      <c r="B12768" s="2" t="s">
        <v>12843</v>
      </c>
      <c r="C12768" s="2" t="str">
        <f>"0"</f>
        <v>0</v>
      </c>
      <c r="D12768" s="2">
        <v>0.13600000000000001</v>
      </c>
      <c r="E12768" s="2">
        <v>9</v>
      </c>
      <c r="F12768" s="2" t="s">
        <v>6</v>
      </c>
    </row>
    <row r="12769" spans="1:6" ht="25.5">
      <c r="A12769" s="2">
        <v>12766</v>
      </c>
      <c r="B12769" s="2" t="s">
        <v>12844</v>
      </c>
      <c r="C12769" s="2" t="str">
        <f>"15882926"</f>
        <v>15882926</v>
      </c>
      <c r="D12769" s="2">
        <v>0.53700000000000003</v>
      </c>
      <c r="E12769" s="2">
        <v>50</v>
      </c>
      <c r="F12769" s="2" t="s">
        <v>75</v>
      </c>
    </row>
    <row r="12770" spans="1:6" ht="25.5">
      <c r="A12770" s="2">
        <v>12767</v>
      </c>
      <c r="B12770" s="2" t="s">
        <v>12845</v>
      </c>
      <c r="C12770" s="2" t="str">
        <f>"03064565"</f>
        <v>03064565</v>
      </c>
      <c r="D12770" s="2">
        <v>0.42899999999999999</v>
      </c>
      <c r="E12770" s="2">
        <v>35</v>
      </c>
      <c r="F12770" s="2" t="s">
        <v>16</v>
      </c>
    </row>
    <row r="12771" spans="1:6" ht="25.5">
      <c r="A12771" s="2">
        <v>12768</v>
      </c>
      <c r="B12771" s="2" t="s">
        <v>12846</v>
      </c>
      <c r="C12771" s="2" t="str">
        <f>"10032169"</f>
        <v>10032169</v>
      </c>
      <c r="D12771" s="2">
        <v>0.22600000000000001</v>
      </c>
      <c r="E12771" s="2">
        <v>9</v>
      </c>
      <c r="F12771" s="2" t="s">
        <v>46</v>
      </c>
    </row>
    <row r="12772" spans="1:6" ht="25.5">
      <c r="A12772" s="2">
        <v>12769</v>
      </c>
      <c r="B12772" s="2" t="s">
        <v>12847</v>
      </c>
      <c r="C12772" s="2" t="str">
        <f>"19485085"</f>
        <v>19485085</v>
      </c>
      <c r="D12772" s="2">
        <v>0.17699999999999999</v>
      </c>
      <c r="E12772" s="2">
        <v>3</v>
      </c>
      <c r="F12772" s="2" t="s">
        <v>6</v>
      </c>
    </row>
    <row r="12773" spans="1:6" ht="25.5">
      <c r="A12773" s="2">
        <v>12770</v>
      </c>
      <c r="B12773" s="2" t="s">
        <v>12848</v>
      </c>
      <c r="C12773" s="2" t="str">
        <f>"18805566"</f>
        <v>18805566</v>
      </c>
      <c r="D12773" s="2">
        <v>0.184</v>
      </c>
      <c r="E12773" s="2">
        <v>3</v>
      </c>
      <c r="F12773" s="2" t="s">
        <v>131</v>
      </c>
    </row>
    <row r="12774" spans="1:6" ht="25.5">
      <c r="A12774" s="2">
        <v>12771</v>
      </c>
      <c r="B12774" s="2" t="s">
        <v>12849</v>
      </c>
      <c r="C12774" s="2" t="str">
        <f>"15441016"</f>
        <v>15441016</v>
      </c>
      <c r="D12774" s="2">
        <v>0.83299999999999996</v>
      </c>
      <c r="E12774" s="2">
        <v>42</v>
      </c>
      <c r="F12774" s="2" t="s">
        <v>6</v>
      </c>
    </row>
    <row r="12775" spans="1:6" ht="25.5">
      <c r="A12775" s="2">
        <v>12772</v>
      </c>
      <c r="B12775" s="2" t="s">
        <v>12850</v>
      </c>
      <c r="C12775" s="2" t="str">
        <f>"1521074X"</f>
        <v>1521074X</v>
      </c>
      <c r="D12775" s="2">
        <v>0.57099999999999995</v>
      </c>
      <c r="E12775" s="2">
        <v>36</v>
      </c>
      <c r="F12775" s="2" t="s">
        <v>16</v>
      </c>
    </row>
    <row r="12776" spans="1:6" ht="25.5">
      <c r="A12776" s="2">
        <v>12773</v>
      </c>
      <c r="B12776" s="2" t="s">
        <v>12851</v>
      </c>
      <c r="C12776" s="2" t="str">
        <f>"16879252"</f>
        <v>16879252</v>
      </c>
      <c r="D12776" s="2">
        <v>0</v>
      </c>
      <c r="E12776" s="2">
        <v>1</v>
      </c>
      <c r="F12776" s="2" t="s">
        <v>523</v>
      </c>
    </row>
    <row r="12777" spans="1:6" ht="25.5">
      <c r="A12777" s="2">
        <v>12774</v>
      </c>
      <c r="B12777" s="2" t="s">
        <v>12852</v>
      </c>
      <c r="C12777" s="2" t="str">
        <f>"15336808"</f>
        <v>15336808</v>
      </c>
      <c r="D12777" s="2">
        <v>0.56699999999999995</v>
      </c>
      <c r="E12777" s="2">
        <v>39</v>
      </c>
      <c r="F12777" s="2" t="s">
        <v>6</v>
      </c>
    </row>
    <row r="12778" spans="1:6" ht="25.5">
      <c r="A12778" s="2">
        <v>12775</v>
      </c>
      <c r="B12778" s="2" t="s">
        <v>12853</v>
      </c>
      <c r="C12778" s="2" t="str">
        <f>"08927057"</f>
        <v>08927057</v>
      </c>
      <c r="D12778" s="2">
        <v>0.36199999999999999</v>
      </c>
      <c r="E12778" s="2">
        <v>22</v>
      </c>
      <c r="F12778" s="2" t="s">
        <v>16</v>
      </c>
    </row>
    <row r="12779" spans="1:6" ht="25.5">
      <c r="A12779" s="2">
        <v>12776</v>
      </c>
      <c r="B12779" s="2" t="s">
        <v>12854</v>
      </c>
      <c r="C12779" s="2" t="str">
        <f>"00804134"</f>
        <v>00804134</v>
      </c>
      <c r="D12779" s="2">
        <v>0.10299999999999999</v>
      </c>
      <c r="E12779" s="2">
        <v>3</v>
      </c>
      <c r="F12779" s="2" t="s">
        <v>16</v>
      </c>
    </row>
    <row r="12780" spans="1:6" ht="25.5">
      <c r="A12780" s="2">
        <v>12777</v>
      </c>
      <c r="B12780" s="2" t="s">
        <v>12855</v>
      </c>
      <c r="C12780" s="2" t="str">
        <f>"13590987"</f>
        <v>13590987</v>
      </c>
      <c r="D12780" s="2">
        <v>1.1279999999999999</v>
      </c>
      <c r="E12780" s="2">
        <v>25</v>
      </c>
      <c r="F12780" s="2" t="s">
        <v>16</v>
      </c>
    </row>
    <row r="12781" spans="1:6" ht="25.5">
      <c r="A12781" s="2">
        <v>12778</v>
      </c>
      <c r="B12781" s="2" t="s">
        <v>12856</v>
      </c>
      <c r="C12781" s="2" t="str">
        <f>"00358665"</f>
        <v>00358665</v>
      </c>
      <c r="D12781" s="2">
        <v>0.36299999999999999</v>
      </c>
      <c r="E12781" s="2">
        <v>13</v>
      </c>
      <c r="F12781" s="2" t="s">
        <v>16</v>
      </c>
    </row>
    <row r="12782" spans="1:6" ht="25.5">
      <c r="A12782" s="2">
        <v>12779</v>
      </c>
      <c r="B12782" s="2" t="s">
        <v>12857</v>
      </c>
      <c r="C12782" s="2" t="str">
        <f>"13561863"</f>
        <v>13561863</v>
      </c>
      <c r="D12782" s="2">
        <v>0.11</v>
      </c>
      <c r="E12782" s="2">
        <v>6</v>
      </c>
      <c r="F12782" s="2" t="s">
        <v>16</v>
      </c>
    </row>
    <row r="12783" spans="1:6" ht="25.5">
      <c r="A12783" s="2">
        <v>12780</v>
      </c>
      <c r="B12783" s="2" t="s">
        <v>12858</v>
      </c>
      <c r="C12783" s="2" t="str">
        <f>"14782715"</f>
        <v>14782715</v>
      </c>
      <c r="D12783" s="2">
        <v>0.187</v>
      </c>
      <c r="E12783" s="2">
        <v>7</v>
      </c>
      <c r="F12783" s="2" t="s">
        <v>16</v>
      </c>
    </row>
    <row r="12784" spans="1:6" ht="25.5">
      <c r="A12784" s="2">
        <v>12781</v>
      </c>
      <c r="B12784" s="2" t="s">
        <v>12859</v>
      </c>
      <c r="C12784" s="2" t="str">
        <f>"14716933"</f>
        <v>14716933</v>
      </c>
      <c r="D12784" s="2">
        <v>0.10299999999999999</v>
      </c>
      <c r="E12784" s="2">
        <v>6</v>
      </c>
      <c r="F12784" s="2" t="s">
        <v>16</v>
      </c>
    </row>
    <row r="12785" spans="1:6" ht="25.5">
      <c r="A12785" s="2">
        <v>12782</v>
      </c>
      <c r="B12785" s="2" t="s">
        <v>12860</v>
      </c>
      <c r="C12785" s="2" t="str">
        <f>"00359033"</f>
        <v>00359033</v>
      </c>
      <c r="D12785" s="2">
        <v>0.114</v>
      </c>
      <c r="E12785" s="2">
        <v>9</v>
      </c>
      <c r="F12785" s="2" t="s">
        <v>16</v>
      </c>
    </row>
    <row r="12786" spans="1:6" ht="25.5">
      <c r="A12786" s="2">
        <v>12783</v>
      </c>
      <c r="B12786" s="2" t="s">
        <v>12861</v>
      </c>
      <c r="C12786" s="2" t="str">
        <f>"17425689"</f>
        <v>17425689</v>
      </c>
      <c r="D12786" s="2">
        <v>1.6890000000000001</v>
      </c>
      <c r="E12786" s="2">
        <v>51</v>
      </c>
      <c r="F12786" s="2" t="s">
        <v>16</v>
      </c>
    </row>
    <row r="12787" spans="1:6" ht="25.5">
      <c r="A12787" s="2">
        <v>12784</v>
      </c>
      <c r="B12787" s="2" t="s">
        <v>12862</v>
      </c>
      <c r="C12787" s="2" t="str">
        <f>"17581095"</f>
        <v>17581095</v>
      </c>
      <c r="D12787" s="2">
        <v>0.40400000000000003</v>
      </c>
      <c r="E12787" s="2">
        <v>46</v>
      </c>
      <c r="F12787" s="2" t="s">
        <v>16</v>
      </c>
    </row>
    <row r="12788" spans="1:6" ht="25.5">
      <c r="A12788" s="2">
        <v>12785</v>
      </c>
      <c r="B12788" s="2" t="s">
        <v>12863</v>
      </c>
      <c r="C12788" s="2" t="str">
        <f>"02675331"</f>
        <v>02675331</v>
      </c>
      <c r="D12788" s="2">
        <v>0.157</v>
      </c>
      <c r="E12788" s="2">
        <v>17</v>
      </c>
      <c r="F12788" s="2" t="s">
        <v>16</v>
      </c>
    </row>
    <row r="12789" spans="1:6" ht="25.5">
      <c r="A12789" s="2">
        <v>12786</v>
      </c>
      <c r="B12789" s="2" t="s">
        <v>12864</v>
      </c>
      <c r="C12789" s="2" t="str">
        <f>"03036758"</f>
        <v>03036758</v>
      </c>
      <c r="D12789" s="2">
        <v>0.32</v>
      </c>
      <c r="E12789" s="2">
        <v>26</v>
      </c>
      <c r="F12789" s="2" t="s">
        <v>503</v>
      </c>
    </row>
    <row r="12790" spans="1:6" ht="25.5">
      <c r="A12790" s="2">
        <v>12787</v>
      </c>
      <c r="B12790" s="2" t="s">
        <v>12865</v>
      </c>
      <c r="C12790" s="2" t="str">
        <f>"0035922X"</f>
        <v>0035922X</v>
      </c>
      <c r="D12790" s="2">
        <v>0.15</v>
      </c>
      <c r="E12790" s="2">
        <v>17</v>
      </c>
      <c r="F12790" s="2" t="s">
        <v>127</v>
      </c>
    </row>
    <row r="12791" spans="1:6" ht="25.5">
      <c r="A12791" s="2">
        <v>12788</v>
      </c>
      <c r="B12791" s="2" t="s">
        <v>12866</v>
      </c>
      <c r="C12791" s="2" t="str">
        <f>"1467985X"</f>
        <v>1467985X</v>
      </c>
      <c r="D12791" s="2">
        <v>1.258</v>
      </c>
      <c r="E12791" s="2">
        <v>44</v>
      </c>
      <c r="F12791" s="2" t="s">
        <v>16</v>
      </c>
    </row>
    <row r="12792" spans="1:6" ht="25.5">
      <c r="A12792" s="2">
        <v>12789</v>
      </c>
      <c r="B12792" s="2" t="s">
        <v>12867</v>
      </c>
      <c r="C12792" s="2" t="str">
        <f>"14679868"</f>
        <v>14679868</v>
      </c>
      <c r="D12792" s="2">
        <v>5.5179999999999998</v>
      </c>
      <c r="E12792" s="2">
        <v>75</v>
      </c>
      <c r="F12792" s="2" t="s">
        <v>16</v>
      </c>
    </row>
    <row r="12793" spans="1:6" ht="25.5">
      <c r="A12793" s="2">
        <v>12790</v>
      </c>
      <c r="B12793" s="2" t="s">
        <v>12868</v>
      </c>
      <c r="C12793" s="2" t="str">
        <f>"14679876"</f>
        <v>14679876</v>
      </c>
      <c r="D12793" s="2">
        <v>0.877</v>
      </c>
      <c r="E12793" s="2">
        <v>47</v>
      </c>
      <c r="F12793" s="2" t="s">
        <v>16</v>
      </c>
    </row>
    <row r="12794" spans="1:6" ht="25.5">
      <c r="A12794" s="2">
        <v>12791</v>
      </c>
      <c r="B12794" s="2" t="s">
        <v>12869</v>
      </c>
      <c r="C12794" s="2" t="str">
        <f>"13199218"</f>
        <v>13199218</v>
      </c>
      <c r="D12794" s="2">
        <v>0.13100000000000001</v>
      </c>
      <c r="E12794" s="2">
        <v>2</v>
      </c>
      <c r="F12794" s="2" t="s">
        <v>7417</v>
      </c>
    </row>
    <row r="12795" spans="1:6" ht="25.5">
      <c r="A12795" s="2">
        <v>12792</v>
      </c>
      <c r="B12795" s="2" t="s">
        <v>12870</v>
      </c>
      <c r="C12795" s="2" t="str">
        <f>"10970010"</f>
        <v>10970010</v>
      </c>
      <c r="D12795" s="2">
        <v>0.78100000000000003</v>
      </c>
      <c r="E12795" s="2">
        <v>80</v>
      </c>
      <c r="F12795" s="2" t="s">
        <v>16</v>
      </c>
    </row>
    <row r="12796" spans="1:6" ht="25.5">
      <c r="A12796" s="2">
        <v>12793</v>
      </c>
      <c r="B12796" s="2" t="s">
        <v>12871</v>
      </c>
      <c r="C12796" s="2" t="str">
        <f>"03525139"</f>
        <v>03525139</v>
      </c>
      <c r="D12796" s="2">
        <v>0.28699999999999998</v>
      </c>
      <c r="E12796" s="2">
        <v>23</v>
      </c>
      <c r="F12796" s="2" t="s">
        <v>212</v>
      </c>
    </row>
    <row r="12797" spans="1:6" ht="25.5">
      <c r="A12797" s="2">
        <v>12794</v>
      </c>
      <c r="B12797" s="2" t="s">
        <v>12872</v>
      </c>
      <c r="C12797" s="2" t="str">
        <f>"18206530"</f>
        <v>18206530</v>
      </c>
      <c r="D12797" s="2">
        <v>0</v>
      </c>
      <c r="E12797" s="2">
        <v>0</v>
      </c>
      <c r="F12797" s="2" t="s">
        <v>212</v>
      </c>
    </row>
    <row r="12798" spans="1:6" ht="25.5">
      <c r="A12798" s="2">
        <v>12795</v>
      </c>
      <c r="B12798" s="2" t="s">
        <v>12873</v>
      </c>
      <c r="C12798" s="2" t="str">
        <f>"02531097"</f>
        <v>02531097</v>
      </c>
      <c r="D12798" s="2">
        <v>0.1</v>
      </c>
      <c r="E12798" s="2">
        <v>2</v>
      </c>
      <c r="F12798" s="2" t="s">
        <v>12874</v>
      </c>
    </row>
    <row r="12799" spans="1:6" ht="25.5">
      <c r="A12799" s="2">
        <v>12796</v>
      </c>
      <c r="B12799" s="2" t="s">
        <v>12875</v>
      </c>
      <c r="C12799" s="2" t="str">
        <f>"17521971"</f>
        <v>17521971</v>
      </c>
      <c r="D12799" s="2">
        <v>0.159</v>
      </c>
      <c r="E12799" s="2">
        <v>3</v>
      </c>
      <c r="F12799" s="2" t="s">
        <v>16</v>
      </c>
    </row>
    <row r="12800" spans="1:6" ht="25.5">
      <c r="A12800" s="2">
        <v>12797</v>
      </c>
      <c r="B12800" s="2" t="s">
        <v>12876</v>
      </c>
      <c r="C12800" s="2" t="str">
        <f>"10710922"</f>
        <v>10710922</v>
      </c>
      <c r="D12800" s="2">
        <v>0.52100000000000002</v>
      </c>
      <c r="E12800" s="2">
        <v>30</v>
      </c>
      <c r="F12800" s="2" t="s">
        <v>6</v>
      </c>
    </row>
    <row r="12801" spans="1:6" ht="25.5">
      <c r="A12801" s="2">
        <v>12798</v>
      </c>
      <c r="B12801" s="2" t="s">
        <v>12877</v>
      </c>
      <c r="C12801" s="2" t="str">
        <f>"00379808"</f>
        <v>00379808</v>
      </c>
      <c r="D12801" s="2">
        <v>0.107</v>
      </c>
      <c r="E12801" s="2">
        <v>5</v>
      </c>
      <c r="F12801" s="2" t="s">
        <v>6</v>
      </c>
    </row>
    <row r="12802" spans="1:6" ht="25.5">
      <c r="A12802" s="2">
        <v>12799</v>
      </c>
      <c r="B12802" s="2" t="s">
        <v>12878</v>
      </c>
      <c r="C12802" s="2" t="str">
        <f>"00379816"</f>
        <v>00379816</v>
      </c>
      <c r="D12802" s="2">
        <v>0.106</v>
      </c>
      <c r="E12802" s="2">
        <v>7</v>
      </c>
      <c r="F12802" s="2" t="s">
        <v>16</v>
      </c>
    </row>
    <row r="12803" spans="1:6" ht="25.5">
      <c r="A12803" s="2">
        <v>12800</v>
      </c>
      <c r="B12803" s="2" t="s">
        <v>12879</v>
      </c>
      <c r="C12803" s="2" t="str">
        <f>"15407942"</f>
        <v>15407942</v>
      </c>
      <c r="D12803" s="2">
        <v>0.14899999999999999</v>
      </c>
      <c r="E12803" s="2">
        <v>3</v>
      </c>
      <c r="F12803" s="2" t="s">
        <v>6</v>
      </c>
    </row>
    <row r="12804" spans="1:6" ht="25.5">
      <c r="A12804" s="2">
        <v>12801</v>
      </c>
      <c r="B12804" s="2" t="s">
        <v>12880</v>
      </c>
      <c r="C12804" s="2" t="str">
        <f>"01440322"</f>
        <v>01440322</v>
      </c>
      <c r="D12804" s="2">
        <v>0.34799999999999998</v>
      </c>
      <c r="E12804" s="2">
        <v>19</v>
      </c>
      <c r="F12804" s="2" t="s">
        <v>16</v>
      </c>
    </row>
    <row r="12805" spans="1:6" ht="25.5">
      <c r="A12805" s="2">
        <v>12802</v>
      </c>
      <c r="B12805" s="2" t="s">
        <v>12881</v>
      </c>
      <c r="C12805" s="2" t="str">
        <f>"10212019"</f>
        <v>10212019</v>
      </c>
      <c r="D12805" s="2">
        <v>0.14099999999999999</v>
      </c>
      <c r="E12805" s="2">
        <v>5</v>
      </c>
      <c r="F12805" s="2" t="s">
        <v>410</v>
      </c>
    </row>
    <row r="12806" spans="1:6" ht="25.5">
      <c r="A12806" s="2">
        <v>12803</v>
      </c>
      <c r="B12806" s="2" t="s">
        <v>12882</v>
      </c>
      <c r="C12806" s="2" t="str">
        <f>"10199128"</f>
        <v>10199128</v>
      </c>
      <c r="D12806" s="2">
        <v>0.17799999999999999</v>
      </c>
      <c r="E12806" s="2">
        <v>19</v>
      </c>
      <c r="F12806" s="2" t="s">
        <v>410</v>
      </c>
    </row>
    <row r="12807" spans="1:6" ht="25.5">
      <c r="A12807" s="2">
        <v>12804</v>
      </c>
      <c r="B12807" s="2" t="s">
        <v>12883</v>
      </c>
      <c r="C12807" s="2" t="str">
        <f>"15444910"</f>
        <v>15444910</v>
      </c>
      <c r="D12807" s="2">
        <v>0.14599999999999999</v>
      </c>
      <c r="E12807" s="2">
        <v>8</v>
      </c>
      <c r="F12807" s="2" t="s">
        <v>6</v>
      </c>
    </row>
    <row r="12808" spans="1:6" ht="25.5">
      <c r="A12808" s="2">
        <v>12805</v>
      </c>
      <c r="B12808" s="2" t="s">
        <v>12884</v>
      </c>
      <c r="C12808" s="2" t="str">
        <f>"22256253"</f>
        <v>22256253</v>
      </c>
      <c r="D12808" s="2">
        <v>0.255</v>
      </c>
      <c r="E12808" s="2">
        <v>14</v>
      </c>
      <c r="F12808" s="2" t="s">
        <v>410</v>
      </c>
    </row>
    <row r="12809" spans="1:6" ht="25.5">
      <c r="A12809" s="2">
        <v>12806</v>
      </c>
      <c r="B12809" s="2" t="s">
        <v>12885</v>
      </c>
      <c r="C12809" s="2" t="str">
        <f>"08948410"</f>
        <v>08948410</v>
      </c>
      <c r="D12809" s="2">
        <v>0.114</v>
      </c>
      <c r="E12809" s="2">
        <v>4</v>
      </c>
      <c r="F12809" s="2" t="s">
        <v>6</v>
      </c>
    </row>
    <row r="12810" spans="1:6" ht="25.5">
      <c r="A12810" s="2">
        <v>12807</v>
      </c>
      <c r="B12810" s="2" t="s">
        <v>12886</v>
      </c>
      <c r="C12810" s="2" t="str">
        <f>"00814776"</f>
        <v>00814776</v>
      </c>
      <c r="D12810" s="2">
        <v>0.13900000000000001</v>
      </c>
      <c r="E12810" s="2">
        <v>2</v>
      </c>
      <c r="F12810" s="2" t="s">
        <v>732</v>
      </c>
    </row>
    <row r="12811" spans="1:6" ht="25.5">
      <c r="A12811" s="2">
        <v>12808</v>
      </c>
      <c r="B12811" s="2" t="s">
        <v>12887</v>
      </c>
      <c r="C12811" s="2" t="str">
        <f>"18761070"</f>
        <v>18761070</v>
      </c>
      <c r="D12811" s="2">
        <v>0.54800000000000004</v>
      </c>
      <c r="E12811" s="2">
        <v>20</v>
      </c>
      <c r="F12811" s="2" t="s">
        <v>165</v>
      </c>
    </row>
    <row r="12812" spans="1:6" ht="25.5">
      <c r="A12812" s="2">
        <v>12809</v>
      </c>
      <c r="B12812" s="2" t="s">
        <v>12888</v>
      </c>
      <c r="C12812" s="2" t="str">
        <f>"00403385"</f>
        <v>00403385</v>
      </c>
      <c r="D12812" s="2">
        <v>0.157</v>
      </c>
      <c r="E12812" s="2">
        <v>6</v>
      </c>
      <c r="F12812" s="2" t="s">
        <v>6</v>
      </c>
    </row>
    <row r="12813" spans="1:6" ht="25.5">
      <c r="A12813" s="2">
        <v>12810</v>
      </c>
      <c r="B12813" s="2" t="s">
        <v>12889</v>
      </c>
      <c r="C12813" s="2" t="str">
        <f>"03684636"</f>
        <v>03684636</v>
      </c>
      <c r="D12813" s="2">
        <v>0.10299999999999999</v>
      </c>
      <c r="E12813" s="2">
        <v>6</v>
      </c>
      <c r="F12813" s="2" t="s">
        <v>488</v>
      </c>
    </row>
    <row r="12814" spans="1:6" ht="25.5">
      <c r="A12814" s="2">
        <v>12811</v>
      </c>
      <c r="B12814" s="2" t="s">
        <v>12890</v>
      </c>
      <c r="C12814" s="2" t="str">
        <f>"00405000"</f>
        <v>00405000</v>
      </c>
      <c r="D12814" s="2">
        <v>0.53</v>
      </c>
      <c r="E12814" s="2">
        <v>19</v>
      </c>
      <c r="F12814" s="2" t="s">
        <v>16</v>
      </c>
    </row>
    <row r="12815" spans="1:6" ht="25.5">
      <c r="A12815" s="2">
        <v>12812</v>
      </c>
      <c r="B12815" s="2" t="s">
        <v>12891</v>
      </c>
      <c r="C12815" s="2" t="str">
        <f>"10955674"</f>
        <v>10955674</v>
      </c>
      <c r="D12815" s="2">
        <v>0.36599999999999999</v>
      </c>
      <c r="E12815" s="2">
        <v>29</v>
      </c>
      <c r="F12815" s="2" t="s">
        <v>6</v>
      </c>
    </row>
    <row r="12816" spans="1:6" ht="25.5">
      <c r="A12816" s="2">
        <v>12813</v>
      </c>
      <c r="B12816" s="2" t="s">
        <v>12892</v>
      </c>
      <c r="C12816" s="2" t="str">
        <f>"13090399"</f>
        <v>13090399</v>
      </c>
      <c r="D12816" s="2">
        <v>0.124</v>
      </c>
      <c r="E12816" s="2">
        <v>5</v>
      </c>
      <c r="F12816" s="2" t="s">
        <v>345</v>
      </c>
    </row>
    <row r="12817" spans="1:6" ht="25.5">
      <c r="A12817" s="2">
        <v>12814</v>
      </c>
      <c r="B12817" s="2" t="s">
        <v>12893</v>
      </c>
      <c r="C12817" s="2" t="str">
        <f>"13117629"</f>
        <v>13117629</v>
      </c>
      <c r="D12817" s="2">
        <v>0.14199999999999999</v>
      </c>
      <c r="E12817" s="2">
        <v>2</v>
      </c>
      <c r="F12817" s="2" t="s">
        <v>293</v>
      </c>
    </row>
    <row r="12818" spans="1:6" ht="25.5">
      <c r="A12818" s="2">
        <v>12815</v>
      </c>
      <c r="B12818" s="2" t="s">
        <v>12894</v>
      </c>
      <c r="C12818" s="2" t="str">
        <f>"18237339"</f>
        <v>18237339</v>
      </c>
      <c r="D12818" s="2">
        <v>0.10299999999999999</v>
      </c>
      <c r="E12818" s="2">
        <v>3</v>
      </c>
      <c r="F12818" s="2" t="s">
        <v>37</v>
      </c>
    </row>
    <row r="12819" spans="1:6" ht="25.5">
      <c r="A12819" s="2">
        <v>12816</v>
      </c>
      <c r="B12819" s="2" t="s">
        <v>12895</v>
      </c>
      <c r="C12819" s="2" t="str">
        <f>"07339488"</f>
        <v>07339488</v>
      </c>
      <c r="D12819" s="2">
        <v>0.57999999999999996</v>
      </c>
      <c r="E12819" s="2">
        <v>18</v>
      </c>
      <c r="F12819" s="2" t="s">
        <v>6</v>
      </c>
    </row>
    <row r="12820" spans="1:6" ht="25.5">
      <c r="A12820" s="2">
        <v>12817</v>
      </c>
      <c r="B12820" s="2" t="s">
        <v>12896</v>
      </c>
      <c r="C12820" s="2" t="str">
        <f>"18824749"</f>
        <v>18824749</v>
      </c>
      <c r="D12820" s="2">
        <v>0.155</v>
      </c>
      <c r="E12820" s="2">
        <v>8</v>
      </c>
      <c r="F12820" s="2" t="s">
        <v>131</v>
      </c>
    </row>
    <row r="12821" spans="1:6" ht="25.5">
      <c r="A12821" s="2">
        <v>12818</v>
      </c>
      <c r="B12821" s="2" t="s">
        <v>12897</v>
      </c>
      <c r="C12821" s="2" t="str">
        <f>"14418142"</f>
        <v>14418142</v>
      </c>
      <c r="D12821" s="2">
        <v>0.57399999999999995</v>
      </c>
      <c r="E12821" s="2">
        <v>6</v>
      </c>
      <c r="F12821" s="2" t="s">
        <v>127</v>
      </c>
    </row>
    <row r="12822" spans="1:6" ht="25.5">
      <c r="A12822" s="2">
        <v>12819</v>
      </c>
      <c r="B12822" s="2" t="s">
        <v>12898</v>
      </c>
      <c r="C12822" s="2" t="str">
        <f>"00754390"</f>
        <v>00754390</v>
      </c>
      <c r="D12822" s="2">
        <v>0.11600000000000001</v>
      </c>
      <c r="E12822" s="2">
        <v>4</v>
      </c>
      <c r="F12822" s="2" t="s">
        <v>16</v>
      </c>
    </row>
    <row r="12823" spans="1:6" ht="25.5">
      <c r="A12823" s="2">
        <v>12820</v>
      </c>
      <c r="B12823" s="2" t="s">
        <v>12899</v>
      </c>
      <c r="C12823" s="2" t="str">
        <f>"01484893"</f>
        <v>01484893</v>
      </c>
      <c r="D12823" s="2">
        <v>0.104</v>
      </c>
      <c r="E12823" s="2">
        <v>6</v>
      </c>
      <c r="F12823" s="2" t="s">
        <v>6</v>
      </c>
    </row>
    <row r="12824" spans="1:6" ht="25.5">
      <c r="A12824" s="2">
        <v>12821</v>
      </c>
      <c r="B12824" s="2" t="s">
        <v>12900</v>
      </c>
      <c r="C12824" s="2" t="str">
        <f>"08938849"</f>
        <v>08938849</v>
      </c>
      <c r="D12824" s="2">
        <v>0.44600000000000001</v>
      </c>
      <c r="E12824" s="2">
        <v>36</v>
      </c>
      <c r="F12824" s="2" t="s">
        <v>16</v>
      </c>
    </row>
    <row r="12825" spans="1:6" ht="25.5">
      <c r="A12825" s="2">
        <v>12822</v>
      </c>
      <c r="B12825" s="2" t="s">
        <v>12901</v>
      </c>
      <c r="C12825" s="2" t="str">
        <f>"18820999"</f>
        <v>18820999</v>
      </c>
      <c r="D12825" s="2">
        <v>0.114</v>
      </c>
      <c r="E12825" s="2">
        <v>2</v>
      </c>
      <c r="F12825" s="2" t="s">
        <v>131</v>
      </c>
    </row>
    <row r="12826" spans="1:6" ht="25.5">
      <c r="A12826" s="2">
        <v>12823</v>
      </c>
      <c r="B12826" s="2" t="s">
        <v>12902</v>
      </c>
      <c r="C12826" s="2" t="str">
        <f>"87553449"</f>
        <v>87553449</v>
      </c>
      <c r="D12826" s="2">
        <v>0.14199999999999999</v>
      </c>
      <c r="E12826" s="2">
        <v>6</v>
      </c>
      <c r="F12826" s="2" t="s">
        <v>6</v>
      </c>
    </row>
    <row r="12827" spans="1:6" ht="25.5">
      <c r="A12827" s="2">
        <v>12824</v>
      </c>
      <c r="B12827" s="2" t="s">
        <v>12903</v>
      </c>
      <c r="C12827" s="2" t="str">
        <f>"1097685X"</f>
        <v>1097685X</v>
      </c>
      <c r="D12827" s="2">
        <v>1.73</v>
      </c>
      <c r="E12827" s="2">
        <v>133</v>
      </c>
      <c r="F12827" s="2" t="s">
        <v>6</v>
      </c>
    </row>
    <row r="12828" spans="1:6" ht="25.5">
      <c r="A12828" s="2">
        <v>12825</v>
      </c>
      <c r="B12828" s="2" t="s">
        <v>12904</v>
      </c>
      <c r="C12828" s="2" t="str">
        <f>"20776624"</f>
        <v>20776624</v>
      </c>
      <c r="D12828" s="2">
        <v>0.32900000000000001</v>
      </c>
      <c r="E12828" s="2">
        <v>7</v>
      </c>
      <c r="F12828" s="2" t="s">
        <v>46</v>
      </c>
    </row>
    <row r="12829" spans="1:6" ht="25.5">
      <c r="A12829" s="2">
        <v>12826</v>
      </c>
      <c r="B12829" s="2" t="s">
        <v>12905</v>
      </c>
      <c r="C12829" s="2" t="str">
        <f>"08835993"</f>
        <v>08835993</v>
      </c>
      <c r="D12829" s="2">
        <v>0.49399999999999999</v>
      </c>
      <c r="E12829" s="2">
        <v>37</v>
      </c>
      <c r="F12829" s="2" t="s">
        <v>6</v>
      </c>
    </row>
    <row r="12830" spans="1:6" ht="25.5">
      <c r="A12830" s="2">
        <v>12827</v>
      </c>
      <c r="B12830" s="2" t="s">
        <v>12906</v>
      </c>
      <c r="C12830" s="2" t="str">
        <f>"15561380"</f>
        <v>15561380</v>
      </c>
      <c r="D12830" s="2">
        <v>1.766</v>
      </c>
      <c r="E12830" s="2">
        <v>50</v>
      </c>
      <c r="F12830" s="2" t="s">
        <v>6</v>
      </c>
    </row>
    <row r="12831" spans="1:6" ht="25.5">
      <c r="A12831" s="2">
        <v>12828</v>
      </c>
      <c r="B12831" s="2" t="s">
        <v>12907</v>
      </c>
      <c r="C12831" s="2" t="str">
        <f>"15387933"</f>
        <v>15387933</v>
      </c>
      <c r="D12831" s="2">
        <v>2.1349999999999998</v>
      </c>
      <c r="E12831" s="2">
        <v>97</v>
      </c>
      <c r="F12831" s="2" t="s">
        <v>16</v>
      </c>
    </row>
    <row r="12832" spans="1:6" ht="25.5">
      <c r="A12832" s="2">
        <v>12829</v>
      </c>
      <c r="B12832" s="2" t="s">
        <v>12908</v>
      </c>
      <c r="C12832" s="2" t="str">
        <f>"1573742X"</f>
        <v>1573742X</v>
      </c>
      <c r="D12832" s="2">
        <v>0.63100000000000001</v>
      </c>
      <c r="E12832" s="2">
        <v>38</v>
      </c>
      <c r="F12832" s="2" t="s">
        <v>75</v>
      </c>
    </row>
    <row r="12833" spans="1:6" ht="25.5">
      <c r="A12833" s="2">
        <v>12830</v>
      </c>
      <c r="B12833" s="2" t="s">
        <v>12909</v>
      </c>
      <c r="C12833" s="2" t="str">
        <f>"1671024X"</f>
        <v>1671024X</v>
      </c>
      <c r="D12833" s="2">
        <v>0.10299999999999999</v>
      </c>
      <c r="E12833" s="2">
        <v>4</v>
      </c>
      <c r="F12833" s="2" t="s">
        <v>46</v>
      </c>
    </row>
    <row r="12834" spans="1:6" ht="25.5">
      <c r="A12834" s="2">
        <v>12831</v>
      </c>
      <c r="B12834" s="2" t="s">
        <v>12910</v>
      </c>
      <c r="C12834" s="2" t="str">
        <f>"01439782"</f>
        <v>01439782</v>
      </c>
      <c r="D12834" s="2">
        <v>0.94099999999999995</v>
      </c>
      <c r="E12834" s="2">
        <v>32</v>
      </c>
      <c r="F12834" s="2" t="s">
        <v>16</v>
      </c>
    </row>
    <row r="12835" spans="1:6" ht="25.5">
      <c r="A12835" s="2">
        <v>12832</v>
      </c>
      <c r="B12835" s="2" t="s">
        <v>12911</v>
      </c>
      <c r="C12835" s="2" t="str">
        <f>"19326254"</f>
        <v>19326254</v>
      </c>
      <c r="D12835" s="2">
        <v>0.98599999999999999</v>
      </c>
      <c r="E12835" s="2">
        <v>29</v>
      </c>
      <c r="F12835" s="2" t="s">
        <v>16</v>
      </c>
    </row>
    <row r="12836" spans="1:6" ht="25.5">
      <c r="A12836" s="2">
        <v>12833</v>
      </c>
      <c r="B12836" s="2" t="s">
        <v>12912</v>
      </c>
      <c r="C12836" s="2" t="str">
        <f>"0965206X"</f>
        <v>0965206X</v>
      </c>
      <c r="D12836" s="2">
        <v>0.47</v>
      </c>
      <c r="E12836" s="2">
        <v>14</v>
      </c>
      <c r="F12836" s="2" t="s">
        <v>16</v>
      </c>
    </row>
    <row r="12837" spans="1:6" ht="25.5">
      <c r="A12837" s="2">
        <v>12834</v>
      </c>
      <c r="B12837" s="2" t="s">
        <v>12913</v>
      </c>
      <c r="C12837" s="2" t="str">
        <f>"00408905"</f>
        <v>00408905</v>
      </c>
      <c r="D12837" s="2">
        <v>0.1</v>
      </c>
      <c r="E12837" s="2">
        <v>3</v>
      </c>
      <c r="F12837" s="2" t="s">
        <v>131</v>
      </c>
    </row>
    <row r="12838" spans="1:6" ht="25.5">
      <c r="A12838" s="2">
        <v>12835</v>
      </c>
      <c r="B12838" s="2" t="s">
        <v>12914</v>
      </c>
      <c r="C12838" s="2" t="str">
        <f>"17538416"</f>
        <v>17538416</v>
      </c>
      <c r="D12838" s="2">
        <v>1.264</v>
      </c>
      <c r="E12838" s="2">
        <v>3</v>
      </c>
      <c r="F12838" s="2" t="s">
        <v>16</v>
      </c>
    </row>
    <row r="12839" spans="1:6" ht="25.5">
      <c r="A12839" s="2">
        <v>12836</v>
      </c>
      <c r="B12839" s="2" t="s">
        <v>12915</v>
      </c>
      <c r="C12839" s="2" t="str">
        <f>"17937167"</f>
        <v>17937167</v>
      </c>
      <c r="D12839" s="2">
        <v>1.0940000000000001</v>
      </c>
      <c r="E12839" s="2">
        <v>4</v>
      </c>
      <c r="F12839" s="2" t="s">
        <v>543</v>
      </c>
    </row>
    <row r="12840" spans="1:6" ht="25.5">
      <c r="A12840" s="2">
        <v>12837</v>
      </c>
      <c r="B12840" s="2" t="s">
        <v>12916</v>
      </c>
      <c r="C12840" s="2" t="str">
        <f>"19329148"</f>
        <v>19329148</v>
      </c>
      <c r="D12840" s="2">
        <v>0.61299999999999999</v>
      </c>
      <c r="E12840" s="2">
        <v>2</v>
      </c>
      <c r="F12840" s="2" t="s">
        <v>6</v>
      </c>
    </row>
    <row r="12841" spans="1:6" ht="25.5">
      <c r="A12841" s="2">
        <v>12838</v>
      </c>
      <c r="B12841" s="2" t="s">
        <v>12917</v>
      </c>
      <c r="C12841" s="2" t="str">
        <f>"14766825"</f>
        <v>14766825</v>
      </c>
      <c r="D12841" s="2">
        <v>0.158</v>
      </c>
      <c r="E12841" s="2">
        <v>1</v>
      </c>
      <c r="F12841" s="2" t="s">
        <v>16</v>
      </c>
    </row>
    <row r="12842" spans="1:6" ht="25.5">
      <c r="A12842" s="2">
        <v>12839</v>
      </c>
      <c r="B12842" s="2" t="s">
        <v>12918</v>
      </c>
      <c r="C12842" s="2" t="str">
        <f>"1755182X"</f>
        <v>1755182X</v>
      </c>
      <c r="D12842" s="2">
        <v>0.13</v>
      </c>
      <c r="E12842" s="2">
        <v>2</v>
      </c>
      <c r="F12842" s="2" t="s">
        <v>16</v>
      </c>
    </row>
    <row r="12843" spans="1:6" ht="25.5">
      <c r="A12843" s="2">
        <v>12840</v>
      </c>
      <c r="B12843" s="2" t="s">
        <v>12919</v>
      </c>
      <c r="C12843" s="2" t="str">
        <f>"18803989"</f>
        <v>18803989</v>
      </c>
      <c r="D12843" s="2">
        <v>0.5</v>
      </c>
      <c r="E12843" s="2">
        <v>27</v>
      </c>
      <c r="F12843" s="2" t="s">
        <v>131</v>
      </c>
    </row>
    <row r="12844" spans="1:6" ht="25.5">
      <c r="A12844" s="2">
        <v>12841</v>
      </c>
      <c r="B12844" s="2" t="s">
        <v>12920</v>
      </c>
      <c r="C12844" s="2" t="str">
        <f>"09149198"</f>
        <v>09149198</v>
      </c>
      <c r="D12844" s="2">
        <v>0.156</v>
      </c>
      <c r="E12844" s="2">
        <v>10</v>
      </c>
      <c r="F12844" s="2" t="s">
        <v>131</v>
      </c>
    </row>
    <row r="12845" spans="1:6" ht="25.5">
      <c r="A12845" s="2">
        <v>12842</v>
      </c>
      <c r="B12845" s="2" t="s">
        <v>12921</v>
      </c>
      <c r="C12845" s="2" t="str">
        <f>"16878205"</f>
        <v>16878205</v>
      </c>
      <c r="D12845" s="2">
        <v>0.35</v>
      </c>
      <c r="E12845" s="2">
        <v>5</v>
      </c>
      <c r="F12845" s="2" t="s">
        <v>523</v>
      </c>
    </row>
    <row r="12846" spans="1:6" ht="25.5">
      <c r="A12846" s="2">
        <v>12843</v>
      </c>
      <c r="B12846" s="2" t="s">
        <v>12922</v>
      </c>
      <c r="C12846" s="2" t="str">
        <f>"15287394"</f>
        <v>15287394</v>
      </c>
      <c r="D12846" s="2">
        <v>0.60399999999999998</v>
      </c>
      <c r="E12846" s="2">
        <v>57</v>
      </c>
      <c r="F12846" s="2" t="s">
        <v>16</v>
      </c>
    </row>
    <row r="12847" spans="1:6" ht="25.5">
      <c r="A12847" s="2">
        <v>12844</v>
      </c>
      <c r="B12847" s="2" t="s">
        <v>12923</v>
      </c>
      <c r="C12847" s="2" t="str">
        <f>"15216950"</f>
        <v>15216950</v>
      </c>
      <c r="D12847" s="2">
        <v>1.29</v>
      </c>
      <c r="E12847" s="2">
        <v>45</v>
      </c>
      <c r="F12847" s="2" t="s">
        <v>16</v>
      </c>
    </row>
    <row r="12848" spans="1:6" ht="25.5">
      <c r="A12848" s="2">
        <v>12845</v>
      </c>
      <c r="B12848" s="2" t="s">
        <v>12924</v>
      </c>
      <c r="C12848" s="2" t="str">
        <f>"0946672X"</f>
        <v>0946672X</v>
      </c>
      <c r="D12848" s="2">
        <v>0.41499999999999998</v>
      </c>
      <c r="E12848" s="2">
        <v>38</v>
      </c>
      <c r="F12848" s="2" t="s">
        <v>12</v>
      </c>
    </row>
    <row r="12849" spans="1:6" ht="25.5">
      <c r="A12849" s="2">
        <v>12846</v>
      </c>
      <c r="B12849" s="2" t="s">
        <v>12925</v>
      </c>
      <c r="C12849" s="2" t="str">
        <f>"02552922"</f>
        <v>02552922</v>
      </c>
      <c r="D12849" s="2">
        <v>0.17799999999999999</v>
      </c>
      <c r="E12849" s="2">
        <v>12</v>
      </c>
      <c r="F12849" s="2" t="s">
        <v>46</v>
      </c>
    </row>
    <row r="12850" spans="1:6" ht="25.5">
      <c r="A12850" s="2">
        <v>12847</v>
      </c>
      <c r="B12850" s="2" t="s">
        <v>12926</v>
      </c>
      <c r="C12850" s="2" t="str">
        <f>"16711637"</f>
        <v>16711637</v>
      </c>
      <c r="D12850" s="2">
        <v>0.41899999999999998</v>
      </c>
      <c r="E12850" s="2">
        <v>14</v>
      </c>
      <c r="F12850" s="2" t="s">
        <v>46</v>
      </c>
    </row>
    <row r="12851" spans="1:6" ht="25.5">
      <c r="A12851" s="2">
        <v>12848</v>
      </c>
      <c r="B12851" s="2" t="s">
        <v>12927</v>
      </c>
      <c r="C12851" s="2" t="str">
        <f>"10436596"</f>
        <v>10436596</v>
      </c>
      <c r="D12851" s="2">
        <v>0.45700000000000002</v>
      </c>
      <c r="E12851" s="2">
        <v>28</v>
      </c>
      <c r="F12851" s="2" t="s">
        <v>6</v>
      </c>
    </row>
    <row r="12852" spans="1:6" ht="25.5">
      <c r="A12852" s="2">
        <v>12849</v>
      </c>
      <c r="B12852" s="2" t="s">
        <v>12928</v>
      </c>
      <c r="C12852" s="2" t="str">
        <f>"15527840"</f>
        <v>15527840</v>
      </c>
      <c r="D12852" s="2">
        <v>0.154</v>
      </c>
      <c r="E12852" s="2">
        <v>7</v>
      </c>
      <c r="F12852" s="2" t="s">
        <v>6</v>
      </c>
    </row>
    <row r="12853" spans="1:6" ht="25.5">
      <c r="A12853" s="2">
        <v>12850</v>
      </c>
      <c r="B12853" s="2" t="s">
        <v>12929</v>
      </c>
      <c r="C12853" s="2" t="str">
        <f>"14795876"</f>
        <v>14795876</v>
      </c>
      <c r="D12853" s="2">
        <v>1.242</v>
      </c>
      <c r="E12853" s="2">
        <v>43</v>
      </c>
      <c r="F12853" s="2" t="s">
        <v>16</v>
      </c>
    </row>
    <row r="12854" spans="1:6" ht="25.5">
      <c r="A12854" s="2">
        <v>12851</v>
      </c>
      <c r="B12854" s="2" t="s">
        <v>12930</v>
      </c>
      <c r="C12854" s="2" t="str">
        <f>"19400764"</f>
        <v>19400764</v>
      </c>
      <c r="D12854" s="2">
        <v>0.16400000000000001</v>
      </c>
      <c r="E12854" s="2">
        <v>2</v>
      </c>
      <c r="F12854" s="2" t="s">
        <v>6</v>
      </c>
    </row>
    <row r="12855" spans="1:6" ht="25.5">
      <c r="A12855" s="2">
        <v>12852</v>
      </c>
      <c r="B12855" s="2" t="s">
        <v>12931</v>
      </c>
      <c r="C12855" s="2" t="str">
        <f>"15475786"</f>
        <v>15475786</v>
      </c>
      <c r="D12855" s="2">
        <v>0.127</v>
      </c>
      <c r="E12855" s="2">
        <v>3</v>
      </c>
      <c r="F12855" s="2" t="s">
        <v>6</v>
      </c>
    </row>
    <row r="12856" spans="1:6" ht="25.5">
      <c r="A12856" s="2">
        <v>12853</v>
      </c>
      <c r="B12856" s="2" t="s">
        <v>12932</v>
      </c>
      <c r="C12856" s="2" t="str">
        <f>"19387849"</f>
        <v>19387849</v>
      </c>
      <c r="D12856" s="2">
        <v>0</v>
      </c>
      <c r="E12856" s="2">
        <v>1</v>
      </c>
      <c r="F12856" s="2" t="s">
        <v>6</v>
      </c>
    </row>
    <row r="12857" spans="1:6" ht="25.5">
      <c r="A12857" s="2">
        <v>12854</v>
      </c>
      <c r="B12857" s="2" t="s">
        <v>12933</v>
      </c>
      <c r="C12857" s="2" t="str">
        <f>"0733947X"</f>
        <v>0733947X</v>
      </c>
      <c r="D12857" s="2">
        <v>0.85899999999999999</v>
      </c>
      <c r="E12857" s="2">
        <v>36</v>
      </c>
      <c r="F12857" s="2" t="s">
        <v>6</v>
      </c>
    </row>
    <row r="12858" spans="1:6" ht="25.5">
      <c r="A12858" s="2">
        <v>12855</v>
      </c>
      <c r="B12858" s="2" t="s">
        <v>12934</v>
      </c>
      <c r="C12858" s="2" t="str">
        <f>"1938775X"</f>
        <v>1938775X</v>
      </c>
      <c r="D12858" s="2">
        <v>0.32600000000000001</v>
      </c>
      <c r="E12858" s="2">
        <v>3</v>
      </c>
      <c r="F12858" s="2" t="s">
        <v>6</v>
      </c>
    </row>
    <row r="12859" spans="1:6" ht="25.5">
      <c r="A12859" s="2">
        <v>12856</v>
      </c>
      <c r="B12859" s="2" t="s">
        <v>12935</v>
      </c>
      <c r="C12859" s="2" t="str">
        <f>"15706672"</f>
        <v>15706672</v>
      </c>
      <c r="D12859" s="2">
        <v>0.309</v>
      </c>
      <c r="E12859" s="2">
        <v>8</v>
      </c>
      <c r="F12859" s="2" t="s">
        <v>75</v>
      </c>
    </row>
    <row r="12860" spans="1:6" ht="25.5">
      <c r="A12860" s="2">
        <v>12857</v>
      </c>
      <c r="B12860" s="2" t="s">
        <v>12936</v>
      </c>
      <c r="C12860" s="2" t="str">
        <f>"00225258"</f>
        <v>00225258</v>
      </c>
      <c r="D12860" s="2">
        <v>1.2190000000000001</v>
      </c>
      <c r="E12860" s="2">
        <v>29</v>
      </c>
      <c r="F12860" s="2" t="s">
        <v>16</v>
      </c>
    </row>
    <row r="12861" spans="1:6" ht="25.5">
      <c r="A12861" s="2">
        <v>12858</v>
      </c>
      <c r="B12861" s="2" t="s">
        <v>12937</v>
      </c>
      <c r="C12861" s="2" t="str">
        <f>"09666923"</f>
        <v>09666923</v>
      </c>
      <c r="D12861" s="2">
        <v>1.532</v>
      </c>
      <c r="E12861" s="2">
        <v>38</v>
      </c>
      <c r="F12861" s="2" t="s">
        <v>75</v>
      </c>
    </row>
    <row r="12862" spans="1:6" ht="25.5">
      <c r="A12862" s="2">
        <v>12859</v>
      </c>
      <c r="B12862" s="2" t="s">
        <v>12938</v>
      </c>
      <c r="C12862" s="2" t="str">
        <f>"00225266"</f>
        <v>00225266</v>
      </c>
      <c r="D12862" s="2">
        <v>0.127</v>
      </c>
      <c r="E12862" s="2">
        <v>7</v>
      </c>
      <c r="F12862" s="2" t="s">
        <v>16</v>
      </c>
    </row>
    <row r="12863" spans="1:6" ht="25.5">
      <c r="A12863" s="2">
        <v>12860</v>
      </c>
      <c r="B12863" s="2" t="s">
        <v>12939</v>
      </c>
      <c r="C12863" s="2" t="str">
        <f>"21630763"</f>
        <v>21630763</v>
      </c>
      <c r="D12863" s="2">
        <v>0.89200000000000002</v>
      </c>
      <c r="E12863" s="2">
        <v>115</v>
      </c>
      <c r="F12863" s="2" t="s">
        <v>6</v>
      </c>
    </row>
    <row r="12864" spans="1:6" ht="25.5">
      <c r="A12864" s="2">
        <v>12861</v>
      </c>
      <c r="B12864" s="2" t="s">
        <v>12940</v>
      </c>
      <c r="C12864" s="2" t="str">
        <f>"15299740"</f>
        <v>15299740</v>
      </c>
      <c r="D12864" s="2">
        <v>0.621</v>
      </c>
      <c r="E12864" s="2">
        <v>23</v>
      </c>
      <c r="F12864" s="2" t="s">
        <v>16</v>
      </c>
    </row>
    <row r="12865" spans="1:6" ht="25.5">
      <c r="A12865" s="2">
        <v>12862</v>
      </c>
      <c r="B12865" s="2" t="s">
        <v>12941</v>
      </c>
      <c r="C12865" s="2" t="str">
        <f>"10787496"</f>
        <v>10787496</v>
      </c>
      <c r="D12865" s="2">
        <v>0.22700000000000001</v>
      </c>
      <c r="E12865" s="2">
        <v>8</v>
      </c>
      <c r="F12865" s="2" t="s">
        <v>6</v>
      </c>
    </row>
    <row r="12866" spans="1:6" ht="25.5">
      <c r="A12866" s="2">
        <v>12863</v>
      </c>
      <c r="B12866" s="2" t="s">
        <v>12942</v>
      </c>
      <c r="C12866" s="2" t="str">
        <f>"15736598"</f>
        <v>15736598</v>
      </c>
      <c r="D12866" s="2">
        <v>1.5469999999999999</v>
      </c>
      <c r="E12866" s="2">
        <v>75</v>
      </c>
      <c r="F12866" s="2" t="s">
        <v>6</v>
      </c>
    </row>
    <row r="12867" spans="1:6" ht="25.5">
      <c r="A12867" s="2">
        <v>12864</v>
      </c>
      <c r="B12867" s="2" t="s">
        <v>12943</v>
      </c>
      <c r="C12867" s="2" t="str">
        <f>"15407306"</f>
        <v>15407306</v>
      </c>
      <c r="D12867" s="2">
        <v>0.43</v>
      </c>
      <c r="E12867" s="2">
        <v>13</v>
      </c>
      <c r="F12867" s="2" t="s">
        <v>16</v>
      </c>
    </row>
    <row r="12868" spans="1:6" ht="25.5">
      <c r="A12868" s="2">
        <v>12865</v>
      </c>
      <c r="B12868" s="2" t="s">
        <v>12944</v>
      </c>
      <c r="C12868" s="2" t="str">
        <f>"11951982"</f>
        <v>11951982</v>
      </c>
      <c r="D12868" s="2">
        <v>0.85</v>
      </c>
      <c r="E12868" s="2">
        <v>36</v>
      </c>
      <c r="F12868" s="2" t="s">
        <v>16</v>
      </c>
    </row>
    <row r="12869" spans="1:6" ht="25.5">
      <c r="A12869" s="2">
        <v>12866</v>
      </c>
      <c r="B12869" s="2" t="s">
        <v>12945</v>
      </c>
      <c r="C12869" s="2" t="str">
        <f>"00472875"</f>
        <v>00472875</v>
      </c>
      <c r="D12869" s="2">
        <v>1.7749999999999999</v>
      </c>
      <c r="E12869" s="2">
        <v>50</v>
      </c>
      <c r="F12869" s="2" t="s">
        <v>16</v>
      </c>
    </row>
    <row r="12870" spans="1:6" ht="25.5">
      <c r="A12870" s="2">
        <v>12867</v>
      </c>
      <c r="B12870" s="2" t="s">
        <v>12946</v>
      </c>
      <c r="C12870" s="2" t="str">
        <f>"15288897"</f>
        <v>15288897</v>
      </c>
      <c r="D12870" s="2">
        <v>0.79400000000000004</v>
      </c>
      <c r="E12870" s="2">
        <v>49</v>
      </c>
      <c r="F12870" s="2" t="s">
        <v>6</v>
      </c>
    </row>
    <row r="12871" spans="1:6" ht="25.5">
      <c r="A12871" s="2">
        <v>12868</v>
      </c>
      <c r="B12871" s="2" t="s">
        <v>12947</v>
      </c>
      <c r="C12871" s="2" t="str">
        <f>"0971636X"</f>
        <v>0971636X</v>
      </c>
      <c r="D12871" s="2">
        <v>0.109</v>
      </c>
      <c r="E12871" s="2">
        <v>4</v>
      </c>
      <c r="F12871" s="2" t="s">
        <v>488</v>
      </c>
    </row>
    <row r="12872" spans="1:6" ht="25.5">
      <c r="A12872" s="2">
        <v>12869</v>
      </c>
      <c r="B12872" s="2" t="s">
        <v>12948</v>
      </c>
      <c r="C12872" s="2" t="str">
        <f>"14697831"</f>
        <v>14697831</v>
      </c>
      <c r="D12872" s="2">
        <v>0.80800000000000005</v>
      </c>
      <c r="E12872" s="2">
        <v>51</v>
      </c>
      <c r="F12872" s="2" t="s">
        <v>16</v>
      </c>
    </row>
    <row r="12873" spans="1:6" ht="25.5">
      <c r="A12873" s="2">
        <v>12870</v>
      </c>
      <c r="B12873" s="2" t="s">
        <v>12949</v>
      </c>
      <c r="C12873" s="2" t="str">
        <f>"01281283"</f>
        <v>01281283</v>
      </c>
      <c r="D12873" s="2">
        <v>0.3</v>
      </c>
      <c r="E12873" s="2">
        <v>14</v>
      </c>
      <c r="F12873" s="2" t="s">
        <v>37</v>
      </c>
    </row>
    <row r="12874" spans="1:6" ht="25.5">
      <c r="A12874" s="2">
        <v>12871</v>
      </c>
      <c r="B12874" s="2" t="s">
        <v>12950</v>
      </c>
      <c r="C12874" s="2" t="str">
        <f>"16879694"</f>
        <v>16879694</v>
      </c>
      <c r="D12874" s="2">
        <v>0.27900000000000003</v>
      </c>
      <c r="E12874" s="2">
        <v>4</v>
      </c>
      <c r="F12874" s="2" t="s">
        <v>523</v>
      </c>
    </row>
    <row r="12875" spans="1:6" ht="25.5">
      <c r="A12875" s="2">
        <v>12872</v>
      </c>
      <c r="B12875" s="2" t="s">
        <v>12951</v>
      </c>
      <c r="C12875" s="2" t="str">
        <f>"14653664"</f>
        <v>14653664</v>
      </c>
      <c r="D12875" s="2">
        <v>0.48499999999999999</v>
      </c>
      <c r="E12875" s="2">
        <v>31</v>
      </c>
      <c r="F12875" s="2" t="s">
        <v>16</v>
      </c>
    </row>
    <row r="12876" spans="1:6" ht="25.5">
      <c r="A12876" s="2">
        <v>12873</v>
      </c>
      <c r="B12876" s="2" t="s">
        <v>12952</v>
      </c>
      <c r="C12876" s="2" t="str">
        <f>"0889504X"</f>
        <v>0889504X</v>
      </c>
      <c r="D12876" s="2">
        <v>0.53100000000000003</v>
      </c>
      <c r="E12876" s="2">
        <v>62</v>
      </c>
      <c r="F12876" s="2" t="s">
        <v>6</v>
      </c>
    </row>
    <row r="12877" spans="1:6" ht="25.5">
      <c r="A12877" s="2">
        <v>12874</v>
      </c>
      <c r="B12877" s="2" t="s">
        <v>12953</v>
      </c>
      <c r="C12877" s="2" t="str">
        <f>"14685248"</f>
        <v>14685248</v>
      </c>
      <c r="D12877" s="2">
        <v>0.60099999999999998</v>
      </c>
      <c r="E12877" s="2">
        <v>24</v>
      </c>
      <c r="F12877" s="2" t="s">
        <v>16</v>
      </c>
    </row>
    <row r="12878" spans="1:6" ht="25.5">
      <c r="A12878" s="2">
        <v>12875</v>
      </c>
      <c r="B12878" s="2" t="s">
        <v>12954</v>
      </c>
      <c r="C12878" s="2" t="str">
        <f>"13046020"</f>
        <v>13046020</v>
      </c>
      <c r="D12878" s="2">
        <v>0.34100000000000003</v>
      </c>
      <c r="E12878" s="2">
        <v>3</v>
      </c>
      <c r="F12878" s="2" t="s">
        <v>345</v>
      </c>
    </row>
    <row r="12879" spans="1:6" ht="25.5">
      <c r="A12879" s="2">
        <v>12876</v>
      </c>
      <c r="B12879" s="2" t="s">
        <v>12955</v>
      </c>
      <c r="C12879" s="2" t="str">
        <f>"19713495"</f>
        <v>19713495</v>
      </c>
      <c r="D12879" s="2">
        <v>0.14599999999999999</v>
      </c>
      <c r="E12879" s="2">
        <v>4</v>
      </c>
      <c r="F12879" s="2" t="s">
        <v>190</v>
      </c>
    </row>
    <row r="12880" spans="1:6" ht="25.5">
      <c r="A12880" s="2">
        <v>12877</v>
      </c>
      <c r="B12880" s="2" t="s">
        <v>12956</v>
      </c>
      <c r="C12880" s="2" t="str">
        <f>"15509613"</f>
        <v>15509613</v>
      </c>
      <c r="D12880" s="2">
        <v>0.48299999999999998</v>
      </c>
      <c r="E12880" s="2">
        <v>54</v>
      </c>
      <c r="F12880" s="2" t="s">
        <v>6</v>
      </c>
    </row>
    <row r="12881" spans="1:6" ht="25.5">
      <c r="A12881" s="2">
        <v>12878</v>
      </c>
      <c r="B12881" s="2" t="s">
        <v>12957</v>
      </c>
      <c r="C12881" s="2" t="str">
        <f>"17528917"</f>
        <v>17528917</v>
      </c>
      <c r="D12881" s="2">
        <v>0.35399999999999998</v>
      </c>
      <c r="E12881" s="2">
        <v>4</v>
      </c>
      <c r="F12881" s="2" t="s">
        <v>16</v>
      </c>
    </row>
    <row r="12882" spans="1:6" ht="25.5">
      <c r="A12882" s="2">
        <v>12879</v>
      </c>
      <c r="B12882" s="2" t="s">
        <v>12958</v>
      </c>
      <c r="C12882" s="2" t="str">
        <f>"15442896"</f>
        <v>15442896</v>
      </c>
      <c r="D12882" s="2">
        <v>0.24099999999999999</v>
      </c>
      <c r="E12882" s="2">
        <v>6</v>
      </c>
      <c r="F12882" s="2" t="s">
        <v>6</v>
      </c>
    </row>
    <row r="12883" spans="1:6" ht="25.5">
      <c r="A12883" s="2">
        <v>12880</v>
      </c>
      <c r="B12883" s="2" t="s">
        <v>12959</v>
      </c>
      <c r="C12883" s="2" t="str">
        <f>"09486968"</f>
        <v>09486968</v>
      </c>
      <c r="D12883" s="2">
        <v>0.55600000000000005</v>
      </c>
      <c r="E12883" s="2">
        <v>30</v>
      </c>
      <c r="F12883" s="2" t="s">
        <v>12</v>
      </c>
    </row>
    <row r="12884" spans="1:6" ht="25.5">
      <c r="A12884" s="2">
        <v>12881</v>
      </c>
      <c r="B12884" s="2" t="s">
        <v>12960</v>
      </c>
      <c r="C12884" s="2" t="str">
        <f>"02532778"</f>
        <v>02532778</v>
      </c>
      <c r="D12884" s="2">
        <v>0</v>
      </c>
      <c r="E12884" s="2">
        <v>1</v>
      </c>
      <c r="F12884" s="2" t="s">
        <v>46</v>
      </c>
    </row>
    <row r="12885" spans="1:6" ht="25.5">
      <c r="A12885" s="2">
        <v>12882</v>
      </c>
      <c r="B12885" s="2" t="s">
        <v>12961</v>
      </c>
      <c r="C12885" s="2" t="str">
        <f>"0387821X"</f>
        <v>0387821X</v>
      </c>
      <c r="D12885" s="2">
        <v>0.13800000000000001</v>
      </c>
      <c r="E12885" s="2">
        <v>10</v>
      </c>
      <c r="F12885" s="2" t="s">
        <v>131</v>
      </c>
    </row>
    <row r="12886" spans="1:6" ht="25.5">
      <c r="A12886" s="2">
        <v>12883</v>
      </c>
      <c r="B12886" s="2" t="s">
        <v>12962</v>
      </c>
      <c r="C12886" s="2" t="str">
        <f>"07352166"</f>
        <v>07352166</v>
      </c>
      <c r="D12886" s="2">
        <v>0.83699999999999997</v>
      </c>
      <c r="E12886" s="2">
        <v>30</v>
      </c>
      <c r="F12886" s="2" t="s">
        <v>16</v>
      </c>
    </row>
    <row r="12887" spans="1:6" ht="25.5">
      <c r="A12887" s="2">
        <v>12884</v>
      </c>
      <c r="B12887" s="2" t="s">
        <v>12963</v>
      </c>
      <c r="C12887" s="2" t="str">
        <f>"19823932"</f>
        <v>19823932</v>
      </c>
      <c r="D12887" s="2">
        <v>0.13500000000000001</v>
      </c>
      <c r="E12887" s="2">
        <v>3</v>
      </c>
      <c r="F12887" s="2" t="s">
        <v>159</v>
      </c>
    </row>
    <row r="12888" spans="1:6" ht="25.5">
      <c r="A12888" s="2">
        <v>12885</v>
      </c>
      <c r="B12888" s="2" t="s">
        <v>12964</v>
      </c>
      <c r="C12888" s="2" t="str">
        <f>"14699664"</f>
        <v>14699664</v>
      </c>
      <c r="D12888" s="2">
        <v>0.39900000000000002</v>
      </c>
      <c r="E12888" s="2">
        <v>17</v>
      </c>
      <c r="F12888" s="2" t="s">
        <v>16</v>
      </c>
    </row>
    <row r="12889" spans="1:6" ht="25.5">
      <c r="A12889" s="2">
        <v>12886</v>
      </c>
      <c r="B12889" s="2" t="s">
        <v>12965</v>
      </c>
      <c r="C12889" s="2" t="str">
        <f>"10959068"</f>
        <v>10959068</v>
      </c>
      <c r="D12889" s="2">
        <v>2.62</v>
      </c>
      <c r="E12889" s="2">
        <v>51</v>
      </c>
      <c r="F12889" s="2" t="s">
        <v>6</v>
      </c>
    </row>
    <row r="12890" spans="1:6" ht="25.5">
      <c r="A12890" s="2">
        <v>12887</v>
      </c>
      <c r="B12890" s="2" t="s">
        <v>12966</v>
      </c>
      <c r="C12890" s="2" t="str">
        <f>"14682869"</f>
        <v>14682869</v>
      </c>
      <c r="D12890" s="2">
        <v>0.92200000000000004</v>
      </c>
      <c r="E12890" s="2">
        <v>50</v>
      </c>
      <c r="F12890" s="2" t="s">
        <v>12</v>
      </c>
    </row>
    <row r="12891" spans="1:6" ht="25.5">
      <c r="A12891" s="2">
        <v>12888</v>
      </c>
      <c r="B12891" s="2" t="s">
        <v>12967</v>
      </c>
      <c r="C12891" s="2" t="str">
        <f>"15526771"</f>
        <v>15526771</v>
      </c>
      <c r="D12891" s="2">
        <v>0.22500000000000001</v>
      </c>
      <c r="E12891" s="2">
        <v>13</v>
      </c>
      <c r="F12891" s="2" t="s">
        <v>6</v>
      </c>
    </row>
    <row r="12892" spans="1:6" ht="25.5">
      <c r="A12892" s="2">
        <v>12889</v>
      </c>
      <c r="B12892" s="2" t="s">
        <v>12968</v>
      </c>
      <c r="C12892" s="2" t="str">
        <f>"17529646"</f>
        <v>17529646</v>
      </c>
      <c r="D12892" s="2">
        <v>0.182</v>
      </c>
      <c r="E12892" s="2">
        <v>2</v>
      </c>
      <c r="F12892" s="2" t="s">
        <v>16</v>
      </c>
    </row>
    <row r="12893" spans="1:6" ht="25.5">
      <c r="A12893" s="2">
        <v>12890</v>
      </c>
      <c r="B12893" s="2" t="s">
        <v>12969</v>
      </c>
      <c r="C12893" s="2" t="str">
        <f>"14661853"</f>
        <v>14661853</v>
      </c>
      <c r="D12893" s="2">
        <v>0.495</v>
      </c>
      <c r="E12893" s="2">
        <v>14</v>
      </c>
      <c r="F12893" s="2" t="s">
        <v>16</v>
      </c>
    </row>
    <row r="12894" spans="1:6" ht="25.5">
      <c r="A12894" s="2">
        <v>12891</v>
      </c>
      <c r="B12894" s="2" t="s">
        <v>12970</v>
      </c>
      <c r="C12894" s="2" t="str">
        <f>"15273792"</f>
        <v>15273792</v>
      </c>
      <c r="D12894" s="2">
        <v>1.77</v>
      </c>
      <c r="E12894" s="2">
        <v>174</v>
      </c>
      <c r="F12894" s="2" t="s">
        <v>6</v>
      </c>
    </row>
    <row r="12895" spans="1:6" ht="25.5">
      <c r="A12895" s="2">
        <v>12892</v>
      </c>
      <c r="B12895" s="2" t="s">
        <v>12971</v>
      </c>
      <c r="C12895" s="2" t="str">
        <f>"14791870"</f>
        <v>14791870</v>
      </c>
      <c r="D12895" s="2">
        <v>0.68100000000000005</v>
      </c>
      <c r="E12895" s="2">
        <v>13</v>
      </c>
      <c r="F12895" s="2" t="s">
        <v>16</v>
      </c>
    </row>
    <row r="12896" spans="1:6" ht="25.5">
      <c r="A12896" s="2">
        <v>12893</v>
      </c>
      <c r="B12896" s="2" t="s">
        <v>12972</v>
      </c>
      <c r="C12896" s="2" t="str">
        <f>"07342101"</f>
        <v>07342101</v>
      </c>
      <c r="D12896" s="2">
        <v>0.52800000000000002</v>
      </c>
      <c r="E12896" s="2">
        <v>74</v>
      </c>
      <c r="F12896" s="2" t="s">
        <v>6</v>
      </c>
    </row>
    <row r="12897" spans="1:6" ht="25.5">
      <c r="A12897" s="2">
        <v>12894</v>
      </c>
      <c r="B12897" s="2" t="s">
        <v>12973</v>
      </c>
      <c r="C12897" s="2" t="str">
        <f>"10711023"</f>
        <v>10711023</v>
      </c>
      <c r="D12897" s="2">
        <v>0.55700000000000005</v>
      </c>
      <c r="E12897" s="2">
        <v>92</v>
      </c>
      <c r="F12897" s="2" t="s">
        <v>6</v>
      </c>
    </row>
    <row r="12898" spans="1:6" ht="25.5">
      <c r="A12898" s="2">
        <v>12895</v>
      </c>
      <c r="B12898" s="2" t="s">
        <v>12974</v>
      </c>
      <c r="C12898" s="2" t="str">
        <f>"15730492"</f>
        <v>15730492</v>
      </c>
      <c r="D12898" s="2">
        <v>0.16900000000000001</v>
      </c>
      <c r="E12898" s="2">
        <v>7</v>
      </c>
      <c r="F12898" s="2" t="s">
        <v>75</v>
      </c>
    </row>
    <row r="12899" spans="1:6" ht="25.5">
      <c r="A12899" s="2">
        <v>12896</v>
      </c>
      <c r="B12899" s="2" t="s">
        <v>12975</v>
      </c>
      <c r="C12899" s="2" t="str">
        <f>"11297298"</f>
        <v>11297298</v>
      </c>
      <c r="D12899" s="2">
        <v>0.39700000000000002</v>
      </c>
      <c r="E12899" s="2">
        <v>13</v>
      </c>
      <c r="F12899" s="2" t="s">
        <v>190</v>
      </c>
    </row>
    <row r="12900" spans="1:6" ht="25.5">
      <c r="A12900" s="2">
        <v>12897</v>
      </c>
      <c r="B12900" s="2" t="s">
        <v>12976</v>
      </c>
      <c r="C12900" s="2" t="str">
        <f>"15357732"</f>
        <v>15357732</v>
      </c>
      <c r="D12900" s="2">
        <v>1.046</v>
      </c>
      <c r="E12900" s="2">
        <v>87</v>
      </c>
      <c r="F12900" s="2" t="s">
        <v>6</v>
      </c>
    </row>
    <row r="12901" spans="1:6" ht="25.5">
      <c r="A12901" s="2">
        <v>12898</v>
      </c>
      <c r="B12901" s="2" t="s">
        <v>12977</v>
      </c>
      <c r="C12901" s="2" t="str">
        <f>"10620303"</f>
        <v>10620303</v>
      </c>
      <c r="D12901" s="2">
        <v>0.13900000000000001</v>
      </c>
      <c r="E12901" s="2">
        <v>14</v>
      </c>
      <c r="F12901" s="2" t="s">
        <v>6</v>
      </c>
    </row>
    <row r="12902" spans="1:6" ht="25.5">
      <c r="A12902" s="2">
        <v>12899</v>
      </c>
      <c r="B12902" s="2" t="s">
        <v>12978</v>
      </c>
      <c r="C12902" s="2" t="str">
        <f>"14230135"</f>
        <v>14230135</v>
      </c>
      <c r="D12902" s="2">
        <v>0.876</v>
      </c>
      <c r="E12902" s="2">
        <v>55</v>
      </c>
      <c r="F12902" s="2" t="s">
        <v>31</v>
      </c>
    </row>
    <row r="12903" spans="1:6" ht="25.5">
      <c r="A12903" s="2">
        <v>12900</v>
      </c>
      <c r="B12903" s="2" t="s">
        <v>12979</v>
      </c>
      <c r="C12903" s="2" t="str">
        <f>"10976809"</f>
        <v>10976809</v>
      </c>
      <c r="D12903" s="2">
        <v>1.7150000000000001</v>
      </c>
      <c r="E12903" s="2">
        <v>130</v>
      </c>
      <c r="F12903" s="2" t="s">
        <v>6</v>
      </c>
    </row>
    <row r="12904" spans="1:6" ht="25.5">
      <c r="A12904" s="2">
        <v>12901</v>
      </c>
      <c r="B12904" s="2" t="s">
        <v>12980</v>
      </c>
      <c r="C12904" s="2" t="str">
        <f>"09729062"</f>
        <v>09729062</v>
      </c>
      <c r="D12904" s="2">
        <v>0.53100000000000003</v>
      </c>
      <c r="E12904" s="2">
        <v>21</v>
      </c>
      <c r="F12904" s="2" t="s">
        <v>488</v>
      </c>
    </row>
    <row r="12905" spans="1:6" ht="25.5">
      <c r="A12905" s="2">
        <v>12902</v>
      </c>
      <c r="B12905" s="2" t="s">
        <v>12981</v>
      </c>
      <c r="C12905" s="2" t="str">
        <f>"10811710"</f>
        <v>10811710</v>
      </c>
      <c r="D12905" s="2">
        <v>0.56699999999999995</v>
      </c>
      <c r="E12905" s="2">
        <v>31</v>
      </c>
      <c r="F12905" s="2" t="s">
        <v>6</v>
      </c>
    </row>
    <row r="12906" spans="1:6" ht="25.5">
      <c r="A12906" s="2">
        <v>12903</v>
      </c>
      <c r="B12906" s="2" t="s">
        <v>12982</v>
      </c>
      <c r="C12906" s="2" t="str">
        <f>"11009233"</f>
        <v>11009233</v>
      </c>
      <c r="D12906" s="2">
        <v>1.486</v>
      </c>
      <c r="E12906" s="2">
        <v>76</v>
      </c>
      <c r="F12906" s="2" t="s">
        <v>6</v>
      </c>
    </row>
    <row r="12907" spans="1:6" ht="25.5">
      <c r="A12907" s="2">
        <v>12904</v>
      </c>
      <c r="B12907" s="2" t="s">
        <v>12983</v>
      </c>
      <c r="C12907" s="2" t="str">
        <f>"16789199"</f>
        <v>16789199</v>
      </c>
      <c r="D12907" s="2">
        <v>0.24299999999999999</v>
      </c>
      <c r="E12907" s="2">
        <v>9</v>
      </c>
      <c r="F12907" s="2" t="s">
        <v>159</v>
      </c>
    </row>
    <row r="12908" spans="1:6" ht="25.5">
      <c r="A12908" s="2">
        <v>12905</v>
      </c>
      <c r="B12908" s="2" t="s">
        <v>12984</v>
      </c>
      <c r="C12908" s="2" t="str">
        <f>"02724634"</f>
        <v>02724634</v>
      </c>
      <c r="D12908" s="2">
        <v>0.70399999999999996</v>
      </c>
      <c r="E12908" s="2">
        <v>46</v>
      </c>
      <c r="F12908" s="2" t="s">
        <v>6</v>
      </c>
    </row>
    <row r="12909" spans="1:6" ht="25.5">
      <c r="A12909" s="2">
        <v>12906</v>
      </c>
      <c r="B12909" s="2" t="s">
        <v>12985</v>
      </c>
      <c r="C12909" s="2" t="str">
        <f>"09574271"</f>
        <v>09574271</v>
      </c>
      <c r="D12909" s="2">
        <v>0.46500000000000002</v>
      </c>
      <c r="E12909" s="2">
        <v>34</v>
      </c>
      <c r="F12909" s="2" t="s">
        <v>75</v>
      </c>
    </row>
    <row r="12910" spans="1:6" ht="25.5">
      <c r="A12910" s="2">
        <v>12907</v>
      </c>
      <c r="B12910" s="2" t="s">
        <v>12986</v>
      </c>
      <c r="C12910" s="2" t="str">
        <f>"15587878"</f>
        <v>15587878</v>
      </c>
      <c r="D12910" s="2">
        <v>0.39200000000000002</v>
      </c>
      <c r="E12910" s="2">
        <v>9</v>
      </c>
      <c r="F12910" s="2" t="s">
        <v>6</v>
      </c>
    </row>
    <row r="12911" spans="1:6" ht="25.5">
      <c r="A12911" s="2">
        <v>12908</v>
      </c>
      <c r="B12911" s="2" t="s">
        <v>12987</v>
      </c>
      <c r="C12911" s="2" t="str">
        <f>"18750834"</f>
        <v>18750834</v>
      </c>
      <c r="D12911" s="2">
        <v>0.56499999999999995</v>
      </c>
      <c r="E12911" s="2">
        <v>17</v>
      </c>
      <c r="F12911" s="2" t="s">
        <v>75</v>
      </c>
    </row>
    <row r="12912" spans="1:6" ht="25.5">
      <c r="A12912" s="2">
        <v>12909</v>
      </c>
      <c r="B12912" s="2" t="s">
        <v>12988</v>
      </c>
      <c r="C12912" s="2" t="str">
        <f>"1598298X"</f>
        <v>1598298X</v>
      </c>
      <c r="D12912" s="2">
        <v>0.16800000000000001</v>
      </c>
      <c r="E12912" s="2">
        <v>3</v>
      </c>
      <c r="F12912" s="2" t="s">
        <v>274</v>
      </c>
    </row>
    <row r="12913" spans="1:6" ht="25.5">
      <c r="A12913" s="2">
        <v>12910</v>
      </c>
      <c r="B12913" s="2" t="s">
        <v>12989</v>
      </c>
      <c r="C12913" s="2" t="str">
        <f>"08987564"</f>
        <v>08987564</v>
      </c>
      <c r="D12913" s="2">
        <v>0.22800000000000001</v>
      </c>
      <c r="E12913" s="2">
        <v>14</v>
      </c>
      <c r="F12913" s="2" t="s">
        <v>6</v>
      </c>
    </row>
    <row r="12914" spans="1:6" ht="25.5">
      <c r="A12914" s="2">
        <v>12911</v>
      </c>
      <c r="B12914" s="2" t="s">
        <v>12990</v>
      </c>
      <c r="C12914" s="2" t="str">
        <f>"10406387"</f>
        <v>10406387</v>
      </c>
      <c r="D12914" s="2">
        <v>0.627</v>
      </c>
      <c r="E12914" s="2">
        <v>51</v>
      </c>
      <c r="F12914" s="2" t="s">
        <v>6</v>
      </c>
    </row>
    <row r="12915" spans="1:6" ht="25.5">
      <c r="A12915" s="2">
        <v>12912</v>
      </c>
      <c r="B12915" s="2" t="s">
        <v>12991</v>
      </c>
      <c r="C12915" s="2" t="str">
        <f>"14793261"</f>
        <v>14793261</v>
      </c>
      <c r="D12915" s="2">
        <v>0.71199999999999997</v>
      </c>
      <c r="E12915" s="2">
        <v>17</v>
      </c>
      <c r="F12915" s="2" t="s">
        <v>16</v>
      </c>
    </row>
    <row r="12916" spans="1:6" ht="25.5">
      <c r="A12916" s="2">
        <v>12913</v>
      </c>
      <c r="B12916" s="2" t="s">
        <v>12992</v>
      </c>
      <c r="C12916" s="2" t="str">
        <f>"08916640"</f>
        <v>08916640</v>
      </c>
      <c r="D12916" s="2">
        <v>1.117</v>
      </c>
      <c r="E12916" s="2">
        <v>55</v>
      </c>
      <c r="F12916" s="2" t="s">
        <v>16</v>
      </c>
    </row>
    <row r="12917" spans="1:6" ht="25.5">
      <c r="A12917" s="2">
        <v>12914</v>
      </c>
      <c r="B12917" s="2" t="s">
        <v>12993</v>
      </c>
      <c r="C12917" s="2" t="str">
        <f>"0748321X"</f>
        <v>0748321X</v>
      </c>
      <c r="D12917" s="2">
        <v>0.27300000000000002</v>
      </c>
      <c r="E12917" s="2">
        <v>18</v>
      </c>
      <c r="F12917" s="2" t="s">
        <v>64</v>
      </c>
    </row>
    <row r="12918" spans="1:6" ht="25.5">
      <c r="A12918" s="2">
        <v>12915</v>
      </c>
      <c r="B12918" s="2" t="s">
        <v>12994</v>
      </c>
      <c r="C12918" s="2" t="str">
        <f>"09167250"</f>
        <v>09167250</v>
      </c>
      <c r="D12918" s="2">
        <v>0.40200000000000002</v>
      </c>
      <c r="E12918" s="2">
        <v>37</v>
      </c>
      <c r="F12918" s="2" t="s">
        <v>131</v>
      </c>
    </row>
    <row r="12919" spans="1:6" ht="25.5">
      <c r="A12919" s="2">
        <v>12916</v>
      </c>
      <c r="B12919" s="2" t="s">
        <v>12995</v>
      </c>
      <c r="C12919" s="2" t="str">
        <f>"14390264"</f>
        <v>14390264</v>
      </c>
      <c r="D12919" s="2">
        <v>0.307</v>
      </c>
      <c r="E12919" s="2">
        <v>22</v>
      </c>
      <c r="F12919" s="2" t="s">
        <v>16</v>
      </c>
    </row>
    <row r="12920" spans="1:6" ht="25.5">
      <c r="A12920" s="2">
        <v>12917</v>
      </c>
      <c r="B12920" s="2" t="s">
        <v>12996</v>
      </c>
      <c r="C12920" s="2" t="str">
        <f>"09711031"</f>
        <v>09711031</v>
      </c>
      <c r="D12920" s="2">
        <v>0.23100000000000001</v>
      </c>
      <c r="E12920" s="2">
        <v>4</v>
      </c>
      <c r="F12920" s="2" t="s">
        <v>488</v>
      </c>
    </row>
    <row r="12921" spans="1:6" ht="25.5">
      <c r="A12921" s="2">
        <v>12918</v>
      </c>
      <c r="B12921" s="2" t="s">
        <v>12997</v>
      </c>
      <c r="C12921" s="2" t="str">
        <f>"13652885"</f>
        <v>13652885</v>
      </c>
      <c r="D12921" s="2">
        <v>0.49099999999999999</v>
      </c>
      <c r="E12921" s="2">
        <v>38</v>
      </c>
      <c r="F12921" s="2" t="s">
        <v>16</v>
      </c>
    </row>
    <row r="12922" spans="1:6" ht="25.5">
      <c r="A12922" s="2">
        <v>12919</v>
      </c>
      <c r="B12922" s="2" t="s">
        <v>12998</v>
      </c>
      <c r="C12922" s="2" t="str">
        <f>"1229845X"</f>
        <v>1229845X</v>
      </c>
      <c r="D12922" s="2">
        <v>0.38300000000000001</v>
      </c>
      <c r="E12922" s="2">
        <v>24</v>
      </c>
      <c r="F12922" s="2" t="s">
        <v>274</v>
      </c>
    </row>
    <row r="12923" spans="1:6" ht="25.5">
      <c r="A12923" s="2">
        <v>12920</v>
      </c>
      <c r="B12923" s="2" t="s">
        <v>12999</v>
      </c>
      <c r="C12923" s="2" t="str">
        <f>"10489002"</f>
        <v>10489002</v>
      </c>
      <c r="D12923" s="2">
        <v>0.94</v>
      </c>
      <c r="E12923" s="2">
        <v>48</v>
      </c>
      <c r="F12923" s="2" t="s">
        <v>6</v>
      </c>
    </row>
    <row r="12924" spans="1:6" ht="25.5">
      <c r="A12924" s="2">
        <v>12921</v>
      </c>
      <c r="B12924" s="2" t="s">
        <v>13000</v>
      </c>
      <c r="C12924" s="2" t="str">
        <f>"13928716"</f>
        <v>13928716</v>
      </c>
      <c r="D12924" s="2">
        <v>0.217</v>
      </c>
      <c r="E12924" s="2">
        <v>7</v>
      </c>
      <c r="F12924" s="2" t="s">
        <v>426</v>
      </c>
    </row>
    <row r="12925" spans="1:6" ht="25.5">
      <c r="A12925" s="2">
        <v>12922</v>
      </c>
      <c r="B12925" s="2" t="s">
        <v>13001</v>
      </c>
      <c r="C12925" s="2" t="str">
        <f>"17500133"</f>
        <v>17500133</v>
      </c>
      <c r="D12925" s="2">
        <v>0.22</v>
      </c>
      <c r="E12925" s="2">
        <v>2</v>
      </c>
      <c r="F12925" s="2" t="s">
        <v>16</v>
      </c>
    </row>
    <row r="12926" spans="1:6" ht="25.5">
      <c r="A12926" s="2">
        <v>12923</v>
      </c>
      <c r="B12926" s="2" t="s">
        <v>13002</v>
      </c>
      <c r="C12926" s="2" t="str">
        <f>"15480585"</f>
        <v>15480585</v>
      </c>
      <c r="D12926" s="2">
        <v>0.53600000000000003</v>
      </c>
      <c r="E12926" s="2">
        <v>21</v>
      </c>
      <c r="F12926" s="2" t="s">
        <v>16</v>
      </c>
    </row>
    <row r="12927" spans="1:6" ht="25.5">
      <c r="A12927" s="2">
        <v>12924</v>
      </c>
      <c r="B12927" s="2" t="s">
        <v>13003</v>
      </c>
      <c r="C12927" s="2" t="str">
        <f>"13652893"</f>
        <v>13652893</v>
      </c>
      <c r="D12927" s="2">
        <v>1.1930000000000001</v>
      </c>
      <c r="E12927" s="2">
        <v>69</v>
      </c>
      <c r="F12927" s="2" t="s">
        <v>16</v>
      </c>
    </row>
    <row r="12928" spans="1:6" ht="25.5">
      <c r="A12928" s="2">
        <v>12925</v>
      </c>
      <c r="B12928" s="2" t="s">
        <v>13004</v>
      </c>
      <c r="C12928" s="2" t="str">
        <f>"01660934"</f>
        <v>01660934</v>
      </c>
      <c r="D12928" s="2">
        <v>0.74</v>
      </c>
      <c r="E12928" s="2">
        <v>65</v>
      </c>
      <c r="F12928" s="2" t="s">
        <v>75</v>
      </c>
    </row>
    <row r="12929" spans="1:6" ht="25.5">
      <c r="A12929" s="2">
        <v>12926</v>
      </c>
      <c r="B12929" s="2" t="s">
        <v>13005</v>
      </c>
      <c r="C12929" s="2" t="str">
        <f>"10985514"</f>
        <v>10985514</v>
      </c>
      <c r="D12929" s="2">
        <v>2.5590000000000002</v>
      </c>
      <c r="E12929" s="2">
        <v>211</v>
      </c>
      <c r="F12929" s="2" t="s">
        <v>6</v>
      </c>
    </row>
    <row r="12930" spans="1:6" ht="25.5">
      <c r="A12930" s="2">
        <v>12927</v>
      </c>
      <c r="B12930" s="2" t="s">
        <v>13006</v>
      </c>
      <c r="C12930" s="2" t="str">
        <f>"18787886"</f>
        <v>18787886</v>
      </c>
      <c r="D12930" s="2">
        <v>0.20599999999999999</v>
      </c>
      <c r="E12930" s="2">
        <v>5</v>
      </c>
      <c r="F12930" s="2" t="s">
        <v>66</v>
      </c>
    </row>
    <row r="12931" spans="1:6" ht="25.5">
      <c r="A12931" s="2">
        <v>12928</v>
      </c>
      <c r="B12931" s="2" t="s">
        <v>13007</v>
      </c>
      <c r="C12931" s="2" t="str">
        <f>"15347362"</f>
        <v>15347362</v>
      </c>
      <c r="D12931" s="2">
        <v>1.0189999999999999</v>
      </c>
      <c r="E12931" s="2">
        <v>55</v>
      </c>
      <c r="F12931" s="2" t="s">
        <v>6</v>
      </c>
    </row>
    <row r="12932" spans="1:6" ht="25.5">
      <c r="A12932" s="2">
        <v>12929</v>
      </c>
      <c r="B12932" s="2" t="s">
        <v>13008</v>
      </c>
      <c r="C12932" s="2" t="str">
        <f>"14702029"</f>
        <v>14702029</v>
      </c>
      <c r="D12932" s="2">
        <v>0.126</v>
      </c>
      <c r="E12932" s="2">
        <v>1</v>
      </c>
      <c r="F12932" s="2" t="s">
        <v>16</v>
      </c>
    </row>
    <row r="12933" spans="1:6" ht="25.5">
      <c r="A12933" s="2">
        <v>12930</v>
      </c>
      <c r="B12933" s="2" t="s">
        <v>13009</v>
      </c>
      <c r="C12933" s="2" t="str">
        <f>"10473203"</f>
        <v>10473203</v>
      </c>
      <c r="D12933" s="2">
        <v>0.89400000000000002</v>
      </c>
      <c r="E12933" s="2">
        <v>43</v>
      </c>
      <c r="F12933" s="2" t="s">
        <v>6</v>
      </c>
    </row>
    <row r="12934" spans="1:6" ht="25.5">
      <c r="A12934" s="2">
        <v>12931</v>
      </c>
      <c r="B12934" s="2" t="s">
        <v>13010</v>
      </c>
      <c r="C12934" s="2" t="str">
        <f>"17453062"</f>
        <v>17453062</v>
      </c>
      <c r="D12934" s="2">
        <v>0.189</v>
      </c>
      <c r="E12934" s="2">
        <v>8</v>
      </c>
      <c r="F12934" s="2" t="s">
        <v>16</v>
      </c>
    </row>
    <row r="12935" spans="1:6" ht="25.5">
      <c r="A12935" s="2">
        <v>12932</v>
      </c>
      <c r="B12935" s="2" t="s">
        <v>13011</v>
      </c>
      <c r="C12935" s="2" t="str">
        <f>"14704129"</f>
        <v>14704129</v>
      </c>
      <c r="D12935" s="2">
        <v>0.11600000000000001</v>
      </c>
      <c r="E12935" s="2">
        <v>9</v>
      </c>
      <c r="F12935" s="2" t="s">
        <v>16</v>
      </c>
    </row>
    <row r="12936" spans="1:6" ht="25.5">
      <c r="A12936" s="2">
        <v>12933</v>
      </c>
      <c r="B12936" s="2" t="s">
        <v>13012</v>
      </c>
      <c r="C12936" s="2" t="str">
        <f>"0145482X"</f>
        <v>0145482X</v>
      </c>
      <c r="D12936" s="2">
        <v>0.28799999999999998</v>
      </c>
      <c r="E12936" s="2">
        <v>19</v>
      </c>
      <c r="F12936" s="2" t="s">
        <v>6</v>
      </c>
    </row>
    <row r="12937" spans="1:6" ht="25.5">
      <c r="A12937" s="2">
        <v>12934</v>
      </c>
      <c r="B12937" s="2" t="s">
        <v>13013</v>
      </c>
      <c r="C12937" s="2" t="str">
        <f>"13866478"</f>
        <v>13866478</v>
      </c>
      <c r="D12937" s="2">
        <v>0.23499999999999999</v>
      </c>
      <c r="E12937" s="2">
        <v>14</v>
      </c>
      <c r="F12937" s="2" t="s">
        <v>12</v>
      </c>
    </row>
    <row r="12938" spans="1:6" ht="25.5">
      <c r="A12938" s="2">
        <v>12935</v>
      </c>
      <c r="B12938" s="2" t="s">
        <v>13014</v>
      </c>
      <c r="C12938" s="2" t="str">
        <f>"1940087X"</f>
        <v>1940087X</v>
      </c>
      <c r="D12938" s="2">
        <v>0.373</v>
      </c>
      <c r="E12938" s="2">
        <v>15</v>
      </c>
      <c r="F12938" s="2" t="s">
        <v>6</v>
      </c>
    </row>
    <row r="12939" spans="1:6" ht="25.5">
      <c r="A12939" s="2">
        <v>12936</v>
      </c>
      <c r="B12939" s="2" t="s">
        <v>13015</v>
      </c>
      <c r="C12939" s="2" t="str">
        <f>"10958533"</f>
        <v>10958533</v>
      </c>
      <c r="D12939" s="2">
        <v>0.85299999999999998</v>
      </c>
      <c r="E12939" s="2">
        <v>31</v>
      </c>
      <c r="F12939" s="2" t="s">
        <v>6</v>
      </c>
    </row>
    <row r="12940" spans="1:6" ht="25.5">
      <c r="A12940" s="2">
        <v>12937</v>
      </c>
      <c r="B12940" s="2" t="s">
        <v>13016</v>
      </c>
      <c r="C12940" s="2" t="str">
        <f>"10959084"</f>
        <v>10959084</v>
      </c>
      <c r="D12940" s="2">
        <v>1.381</v>
      </c>
      <c r="E12940" s="2">
        <v>73</v>
      </c>
      <c r="F12940" s="2" t="s">
        <v>6</v>
      </c>
    </row>
    <row r="12941" spans="1:6" ht="25.5">
      <c r="A12941" s="2">
        <v>12938</v>
      </c>
      <c r="B12941" s="2" t="s">
        <v>13017</v>
      </c>
      <c r="C12941" s="2" t="str">
        <f>"17475090"</f>
        <v>17475090</v>
      </c>
      <c r="D12941" s="2">
        <v>0.28799999999999998</v>
      </c>
      <c r="E12941" s="2">
        <v>4</v>
      </c>
      <c r="F12941" s="2" t="s">
        <v>16</v>
      </c>
    </row>
    <row r="12942" spans="1:6" ht="25.5">
      <c r="A12942" s="2">
        <v>12939</v>
      </c>
      <c r="B12942" s="2" t="s">
        <v>13018</v>
      </c>
      <c r="C12942" s="2" t="str">
        <f>"10522263"</f>
        <v>10522263</v>
      </c>
      <c r="D12942" s="2">
        <v>0.45500000000000002</v>
      </c>
      <c r="E12942" s="2">
        <v>18</v>
      </c>
      <c r="F12942" s="2" t="s">
        <v>75</v>
      </c>
    </row>
    <row r="12943" spans="1:6" ht="25.5">
      <c r="A12943" s="2">
        <v>12940</v>
      </c>
      <c r="B12943" s="2" t="s">
        <v>13019</v>
      </c>
      <c r="C12943" s="2" t="str">
        <f>"08921997"</f>
        <v>08921997</v>
      </c>
      <c r="D12943" s="2">
        <v>0.746</v>
      </c>
      <c r="E12943" s="2">
        <v>48</v>
      </c>
      <c r="F12943" s="2" t="s">
        <v>6</v>
      </c>
    </row>
    <row r="12944" spans="1:6" ht="25.5">
      <c r="A12944" s="2">
        <v>12941</v>
      </c>
      <c r="B12944" s="2" t="s">
        <v>13020</v>
      </c>
      <c r="C12944" s="2" t="str">
        <f>"03770273"</f>
        <v>03770273</v>
      </c>
      <c r="D12944" s="2">
        <v>1.7430000000000001</v>
      </c>
      <c r="E12944" s="2">
        <v>67</v>
      </c>
      <c r="F12944" s="2" t="s">
        <v>75</v>
      </c>
    </row>
    <row r="12945" spans="1:6" ht="25.5">
      <c r="A12945" s="2">
        <v>12942</v>
      </c>
      <c r="B12945" s="2" t="s">
        <v>13021</v>
      </c>
      <c r="C12945" s="2" t="str">
        <f>"18197108"</f>
        <v>18197108</v>
      </c>
      <c r="D12945" s="2">
        <v>0.35</v>
      </c>
      <c r="E12945" s="2">
        <v>9</v>
      </c>
      <c r="F12945" s="2" t="s">
        <v>129</v>
      </c>
    </row>
    <row r="12946" spans="1:6" ht="25.5">
      <c r="A12946" s="2">
        <v>12943</v>
      </c>
      <c r="B12946" s="2" t="s">
        <v>13022</v>
      </c>
      <c r="C12946" s="2" t="str">
        <f>"20402244"</f>
        <v>20402244</v>
      </c>
      <c r="D12946" s="2">
        <v>0.36199999999999999</v>
      </c>
      <c r="E12946" s="2">
        <v>4</v>
      </c>
      <c r="F12946" s="2" t="s">
        <v>16</v>
      </c>
    </row>
    <row r="12947" spans="1:6" ht="25.5">
      <c r="A12947" s="2">
        <v>12944</v>
      </c>
      <c r="B12947" s="2" t="s">
        <v>13023</v>
      </c>
      <c r="C12947" s="2" t="str">
        <f>"14778920"</f>
        <v>14778920</v>
      </c>
      <c r="D12947" s="2">
        <v>0.48599999999999999</v>
      </c>
      <c r="E12947" s="2">
        <v>29</v>
      </c>
      <c r="F12947" s="2" t="s">
        <v>16</v>
      </c>
    </row>
    <row r="12948" spans="1:6" ht="25.5">
      <c r="A12948" s="2">
        <v>12945</v>
      </c>
      <c r="B12948" s="2" t="s">
        <v>13024</v>
      </c>
      <c r="C12948" s="2" t="str">
        <f>"14297426"</f>
        <v>14297426</v>
      </c>
      <c r="D12948" s="2">
        <v>0.11799999999999999</v>
      </c>
      <c r="E12948" s="2">
        <v>3</v>
      </c>
      <c r="F12948" s="2" t="s">
        <v>169</v>
      </c>
    </row>
    <row r="12949" spans="1:6" ht="25.5">
      <c r="A12949" s="2">
        <v>12946</v>
      </c>
      <c r="B12949" s="2" t="s">
        <v>13025</v>
      </c>
      <c r="C12949" s="2" t="str">
        <f>"1063455X"</f>
        <v>1063455X</v>
      </c>
      <c r="D12949" s="2">
        <v>0.13400000000000001</v>
      </c>
      <c r="E12949" s="2">
        <v>3</v>
      </c>
      <c r="F12949" s="2" t="s">
        <v>6</v>
      </c>
    </row>
    <row r="12950" spans="1:6" ht="25.5">
      <c r="A12950" s="2">
        <v>12947</v>
      </c>
      <c r="B12950" s="2" t="s">
        <v>13026</v>
      </c>
      <c r="C12950" s="2" t="str">
        <f>"14785277"</f>
        <v>14785277</v>
      </c>
      <c r="D12950" s="2">
        <v>0.14699999999999999</v>
      </c>
      <c r="E12950" s="2">
        <v>4</v>
      </c>
      <c r="F12950" s="2" t="s">
        <v>16</v>
      </c>
    </row>
    <row r="12951" spans="1:6" ht="25.5">
      <c r="A12951" s="2">
        <v>12948</v>
      </c>
      <c r="B12951" s="2" t="s">
        <v>13027</v>
      </c>
      <c r="C12951" s="2" t="str">
        <f>"07339496"</f>
        <v>07339496</v>
      </c>
      <c r="D12951" s="2">
        <v>0.86099999999999999</v>
      </c>
      <c r="E12951" s="2">
        <v>53</v>
      </c>
      <c r="F12951" s="2" t="s">
        <v>6</v>
      </c>
    </row>
    <row r="12952" spans="1:6" ht="25.5">
      <c r="A12952" s="2">
        <v>12949</v>
      </c>
      <c r="B12952" s="2" t="s">
        <v>13028</v>
      </c>
      <c r="C12952" s="2" t="str">
        <f>"16069935"</f>
        <v>16069935</v>
      </c>
      <c r="D12952" s="2">
        <v>0.46100000000000002</v>
      </c>
      <c r="E12952" s="2">
        <v>29</v>
      </c>
      <c r="F12952" s="2" t="s">
        <v>16</v>
      </c>
    </row>
    <row r="12953" spans="1:6" ht="25.5">
      <c r="A12953" s="2">
        <v>12950</v>
      </c>
      <c r="B12953" s="2" t="s">
        <v>13029</v>
      </c>
      <c r="C12953" s="2" t="str">
        <f>"19435460"</f>
        <v>19435460</v>
      </c>
      <c r="D12953" s="2">
        <v>0.46300000000000002</v>
      </c>
      <c r="E12953" s="2">
        <v>33</v>
      </c>
      <c r="F12953" s="2" t="s">
        <v>6</v>
      </c>
    </row>
    <row r="12954" spans="1:6" ht="25.5">
      <c r="A12954" s="2">
        <v>12951</v>
      </c>
      <c r="B12954" s="2" t="s">
        <v>13030</v>
      </c>
      <c r="C12954" s="2" t="str">
        <f>"15347524"</f>
        <v>15347524</v>
      </c>
      <c r="D12954" s="2">
        <v>0.247</v>
      </c>
      <c r="E12954" s="2">
        <v>4</v>
      </c>
      <c r="F12954" s="2" t="s">
        <v>6</v>
      </c>
    </row>
    <row r="12955" spans="1:6" ht="25.5">
      <c r="A12955" s="2">
        <v>12952</v>
      </c>
      <c r="B12955" s="2" t="s">
        <v>13031</v>
      </c>
      <c r="C12955" s="2" t="str">
        <f>"15409589"</f>
        <v>15409589</v>
      </c>
      <c r="D12955" s="2">
        <v>0.249</v>
      </c>
      <c r="E12955" s="2">
        <v>4</v>
      </c>
      <c r="F12955" s="2" t="s">
        <v>6</v>
      </c>
    </row>
    <row r="12956" spans="1:6" ht="25.5">
      <c r="A12956" s="2">
        <v>12953</v>
      </c>
      <c r="B12956" s="2" t="s">
        <v>13032</v>
      </c>
      <c r="C12956" s="2" t="str">
        <f>"19322917"</f>
        <v>19322917</v>
      </c>
      <c r="D12956" s="2">
        <v>0.77</v>
      </c>
      <c r="E12956" s="2">
        <v>5</v>
      </c>
      <c r="F12956" s="2" t="s">
        <v>16</v>
      </c>
    </row>
    <row r="12957" spans="1:6" ht="25.5">
      <c r="A12957" s="2">
        <v>12954</v>
      </c>
      <c r="B12957" s="2" t="s">
        <v>13033</v>
      </c>
      <c r="C12957" s="2" t="str">
        <f>"00903558"</f>
        <v>00903558</v>
      </c>
      <c r="D12957" s="2">
        <v>0.63400000000000001</v>
      </c>
      <c r="E12957" s="2">
        <v>44</v>
      </c>
      <c r="F12957" s="2" t="s">
        <v>6</v>
      </c>
    </row>
    <row r="12958" spans="1:6" ht="25.5">
      <c r="A12958" s="2">
        <v>12955</v>
      </c>
      <c r="B12958" s="2" t="s">
        <v>13034</v>
      </c>
      <c r="C12958" s="2" t="str">
        <f>"0022541X"</f>
        <v>0022541X</v>
      </c>
      <c r="D12958" s="2">
        <v>0.96099999999999997</v>
      </c>
      <c r="E12958" s="2">
        <v>69</v>
      </c>
      <c r="F12958" s="2" t="s">
        <v>6</v>
      </c>
    </row>
    <row r="12959" spans="1:6" ht="25.5">
      <c r="A12959" s="2">
        <v>12956</v>
      </c>
      <c r="B12959" s="2" t="s">
        <v>13035</v>
      </c>
      <c r="C12959" s="2" t="str">
        <f>"10712232"</f>
        <v>10712232</v>
      </c>
      <c r="D12959" s="2">
        <v>0.10100000000000001</v>
      </c>
      <c r="E12959" s="2">
        <v>5</v>
      </c>
      <c r="F12959" s="2" t="s">
        <v>6</v>
      </c>
    </row>
    <row r="12960" spans="1:6" ht="25.5">
      <c r="A12960" s="2">
        <v>12957</v>
      </c>
      <c r="B12960" s="2" t="s">
        <v>13036</v>
      </c>
      <c r="C12960" s="2" t="str">
        <f>"01676105"</f>
        <v>01676105</v>
      </c>
      <c r="D12960" s="2">
        <v>0.64200000000000002</v>
      </c>
      <c r="E12960" s="2">
        <v>49</v>
      </c>
      <c r="F12960" s="2" t="s">
        <v>75</v>
      </c>
    </row>
    <row r="12961" spans="1:6" ht="25.5">
      <c r="A12961" s="2">
        <v>12958</v>
      </c>
      <c r="B12961" s="2" t="s">
        <v>13037</v>
      </c>
      <c r="C12961" s="2" t="str">
        <f>"14699672"</f>
        <v>14699672</v>
      </c>
      <c r="D12961" s="2">
        <v>0.28999999999999998</v>
      </c>
      <c r="E12961" s="2">
        <v>11</v>
      </c>
      <c r="F12961" s="2" t="s">
        <v>16</v>
      </c>
    </row>
    <row r="12962" spans="1:6" ht="25.5">
      <c r="A12962" s="2">
        <v>12959</v>
      </c>
      <c r="B12962" s="2" t="s">
        <v>13038</v>
      </c>
      <c r="C12962" s="2" t="str">
        <f>"15407322"</f>
        <v>15407322</v>
      </c>
      <c r="D12962" s="2">
        <v>0.27400000000000002</v>
      </c>
      <c r="E12962" s="2">
        <v>20</v>
      </c>
      <c r="F12962" s="2" t="s">
        <v>16</v>
      </c>
    </row>
    <row r="12963" spans="1:6" ht="25.5">
      <c r="A12963" s="2">
        <v>12960</v>
      </c>
      <c r="B12963" s="2" t="s">
        <v>13039</v>
      </c>
      <c r="C12963" s="2" t="str">
        <f>"10728325"</f>
        <v>10728325</v>
      </c>
      <c r="D12963" s="2">
        <v>0.188</v>
      </c>
      <c r="E12963" s="2">
        <v>7</v>
      </c>
      <c r="F12963" s="2" t="s">
        <v>6</v>
      </c>
    </row>
    <row r="12964" spans="1:6" ht="25.5">
      <c r="A12964" s="2">
        <v>12961</v>
      </c>
      <c r="B12964" s="2" t="s">
        <v>13040</v>
      </c>
      <c r="C12964" s="2" t="str">
        <f>"1554477X"</f>
        <v>1554477X</v>
      </c>
      <c r="D12964" s="2">
        <v>0.32500000000000001</v>
      </c>
      <c r="E12964" s="2">
        <v>13</v>
      </c>
      <c r="F12964" s="2" t="s">
        <v>16</v>
      </c>
    </row>
    <row r="12965" spans="1:6" ht="25.5">
      <c r="A12965" s="2">
        <v>12962</v>
      </c>
      <c r="B12965" s="2" t="s">
        <v>13041</v>
      </c>
      <c r="C12965" s="2" t="str">
        <f>"15409996"</f>
        <v>15409996</v>
      </c>
      <c r="D12965" s="2">
        <v>0.66700000000000004</v>
      </c>
      <c r="E12965" s="2">
        <v>58</v>
      </c>
      <c r="F12965" s="2" t="s">
        <v>6</v>
      </c>
    </row>
    <row r="12966" spans="1:6" ht="25.5">
      <c r="A12966" s="2">
        <v>12963</v>
      </c>
      <c r="B12966" s="2" t="s">
        <v>13042</v>
      </c>
      <c r="C12966" s="2" t="str">
        <f>"15272036"</f>
        <v>15272036</v>
      </c>
      <c r="D12966" s="2">
        <v>0.122</v>
      </c>
      <c r="E12966" s="2">
        <v>8</v>
      </c>
      <c r="F12966" s="2" t="s">
        <v>6</v>
      </c>
    </row>
    <row r="12967" spans="1:6" ht="25.5">
      <c r="A12967" s="2">
        <v>12964</v>
      </c>
      <c r="B12967" s="2" t="s">
        <v>13043</v>
      </c>
      <c r="C12967" s="2" t="str">
        <f>"15322319"</f>
        <v>15322319</v>
      </c>
      <c r="D12967" s="2">
        <v>0.54</v>
      </c>
      <c r="E12967" s="2">
        <v>26</v>
      </c>
      <c r="F12967" s="2" t="s">
        <v>16</v>
      </c>
    </row>
    <row r="12968" spans="1:6" ht="25.5">
      <c r="A12968" s="2">
        <v>12965</v>
      </c>
      <c r="B12968" s="2" t="s">
        <v>13044</v>
      </c>
      <c r="C12968" s="2" t="str">
        <f>"16114663"</f>
        <v>16114663</v>
      </c>
      <c r="D12968" s="2">
        <v>0.51200000000000001</v>
      </c>
      <c r="E12968" s="2">
        <v>28</v>
      </c>
      <c r="F12968" s="2" t="s">
        <v>131</v>
      </c>
    </row>
    <row r="12969" spans="1:6" ht="25.5">
      <c r="A12969" s="2">
        <v>12966</v>
      </c>
      <c r="B12969" s="2" t="s">
        <v>13045</v>
      </c>
      <c r="C12969" s="2" t="str">
        <f>"15555259"</f>
        <v>15555259</v>
      </c>
      <c r="D12969" s="2">
        <v>0.309</v>
      </c>
      <c r="E12969" s="2">
        <v>8</v>
      </c>
      <c r="F12969" s="2" t="s">
        <v>16</v>
      </c>
    </row>
    <row r="12970" spans="1:6" ht="25.5">
      <c r="A12970" s="2">
        <v>12967</v>
      </c>
      <c r="B12970" s="2" t="s">
        <v>13046</v>
      </c>
      <c r="C12970" s="2" t="str">
        <f>"13665626"</f>
        <v>13665626</v>
      </c>
      <c r="D12970" s="2">
        <v>0.41899999999999998</v>
      </c>
      <c r="E12970" s="2">
        <v>16</v>
      </c>
      <c r="F12970" s="2" t="s">
        <v>16</v>
      </c>
    </row>
    <row r="12971" spans="1:6" ht="25.5">
      <c r="A12971" s="2">
        <v>12968</v>
      </c>
      <c r="B12971" s="2" t="s">
        <v>13047</v>
      </c>
      <c r="C12971" s="2" t="str">
        <f>"10909516"</f>
        <v>10909516</v>
      </c>
      <c r="D12971" s="2">
        <v>1.3560000000000001</v>
      </c>
      <c r="E12971" s="2">
        <v>45</v>
      </c>
      <c r="F12971" s="2" t="s">
        <v>6</v>
      </c>
    </row>
    <row r="12972" spans="1:6" ht="25.5">
      <c r="A12972" s="2">
        <v>12969</v>
      </c>
      <c r="B12972" s="2" t="s">
        <v>13048</v>
      </c>
      <c r="C12972" s="2" t="str">
        <f>"17549965"</f>
        <v>17549965</v>
      </c>
      <c r="D12972" s="2">
        <v>0</v>
      </c>
      <c r="E12972" s="2">
        <v>1</v>
      </c>
      <c r="F12972" s="2" t="s">
        <v>6</v>
      </c>
    </row>
    <row r="12973" spans="1:6" ht="25.5">
      <c r="A12973" s="2">
        <v>12970</v>
      </c>
      <c r="B12973" s="2" t="s">
        <v>13049</v>
      </c>
      <c r="C12973" s="2" t="str">
        <f>"15278050"</f>
        <v>15278050</v>
      </c>
      <c r="D12973" s="2">
        <v>0.21299999999999999</v>
      </c>
      <c r="E12973" s="2">
        <v>13</v>
      </c>
      <c r="F12973" s="2" t="s">
        <v>6</v>
      </c>
    </row>
    <row r="12974" spans="1:6" ht="25.5">
      <c r="A12974" s="2">
        <v>12971</v>
      </c>
      <c r="B12974" s="2" t="s">
        <v>13050</v>
      </c>
      <c r="C12974" s="2" t="str">
        <f>"15737802"</f>
        <v>15737802</v>
      </c>
      <c r="D12974" s="2">
        <v>0.97699999999999998</v>
      </c>
      <c r="E12974" s="2">
        <v>27</v>
      </c>
      <c r="F12974" s="2" t="s">
        <v>6</v>
      </c>
    </row>
    <row r="12975" spans="1:6" ht="25.5">
      <c r="A12975" s="2">
        <v>12972</v>
      </c>
      <c r="B12975" s="2" t="s">
        <v>13051</v>
      </c>
      <c r="C12975" s="2" t="str">
        <f>"10116702"</f>
        <v>10116702</v>
      </c>
      <c r="D12975" s="2">
        <v>0.34300000000000003</v>
      </c>
      <c r="E12975" s="2">
        <v>14</v>
      </c>
      <c r="F12975" s="2" t="s">
        <v>75</v>
      </c>
    </row>
    <row r="12976" spans="1:6" ht="25.5">
      <c r="A12976" s="2">
        <v>12973</v>
      </c>
      <c r="B12976" s="2" t="s">
        <v>13052</v>
      </c>
      <c r="C12976" s="2" t="str">
        <f>"09690700"</f>
        <v>09690700</v>
      </c>
      <c r="D12976" s="2">
        <v>0.86799999999999999</v>
      </c>
      <c r="E12976" s="2">
        <v>36</v>
      </c>
      <c r="F12976" s="2" t="s">
        <v>16</v>
      </c>
    </row>
    <row r="12977" spans="1:6" ht="25.5">
      <c r="A12977" s="2">
        <v>12974</v>
      </c>
      <c r="B12977" s="2" t="s">
        <v>13053</v>
      </c>
      <c r="C12977" s="2" t="str">
        <f>"15283976"</f>
        <v>15283976</v>
      </c>
      <c r="D12977" s="2">
        <v>0.44800000000000001</v>
      </c>
      <c r="E12977" s="2">
        <v>25</v>
      </c>
      <c r="F12977" s="2" t="s">
        <v>6</v>
      </c>
    </row>
    <row r="12978" spans="1:6" ht="25.5">
      <c r="A12978" s="2">
        <v>12975</v>
      </c>
      <c r="B12978" s="2" t="s">
        <v>13054</v>
      </c>
      <c r="C12978" s="2" t="str">
        <f>"17535204"</f>
        <v>17535204</v>
      </c>
      <c r="D12978" s="2">
        <v>0</v>
      </c>
      <c r="E12978" s="2">
        <v>3</v>
      </c>
      <c r="F12978" s="2" t="s">
        <v>16</v>
      </c>
    </row>
    <row r="12979" spans="1:6" ht="25.5">
      <c r="A12979" s="2">
        <v>12976</v>
      </c>
      <c r="B12979" s="2" t="s">
        <v>13055</v>
      </c>
      <c r="C12979" s="2" t="str">
        <f>"20301006"</f>
        <v>20301006</v>
      </c>
      <c r="D12979" s="2">
        <v>0.32</v>
      </c>
      <c r="E12979" s="2">
        <v>2</v>
      </c>
      <c r="F12979" s="2" t="s">
        <v>161</v>
      </c>
    </row>
    <row r="12980" spans="1:6" ht="25.5">
      <c r="A12980" s="2">
        <v>12977</v>
      </c>
      <c r="B12980" s="2" t="s">
        <v>13056</v>
      </c>
      <c r="C12980" s="2" t="str">
        <f>"12136972"</f>
        <v>12136972</v>
      </c>
      <c r="D12980" s="2">
        <v>0.19</v>
      </c>
      <c r="E12980" s="2">
        <v>3</v>
      </c>
      <c r="F12980" s="2" t="s">
        <v>208</v>
      </c>
    </row>
    <row r="12981" spans="1:6" ht="25.5">
      <c r="A12981" s="2">
        <v>12978</v>
      </c>
      <c r="B12981" s="2" t="s">
        <v>13057</v>
      </c>
      <c r="C12981" s="2" t="str">
        <f>"10959114"</f>
        <v>10959114</v>
      </c>
      <c r="D12981" s="2">
        <v>0.41</v>
      </c>
      <c r="E12981" s="2">
        <v>20</v>
      </c>
      <c r="F12981" s="2" t="s">
        <v>75</v>
      </c>
    </row>
    <row r="12982" spans="1:6" ht="25.5">
      <c r="A12982" s="2">
        <v>12979</v>
      </c>
      <c r="B12982" s="2" t="s">
        <v>13058</v>
      </c>
      <c r="C12982" s="2" t="str">
        <f>"09751505"</f>
        <v>09751505</v>
      </c>
      <c r="D12982" s="2">
        <v>0.29799999999999999</v>
      </c>
      <c r="E12982" s="2">
        <v>6</v>
      </c>
      <c r="F12982" s="2" t="s">
        <v>488</v>
      </c>
    </row>
    <row r="12983" spans="1:6" ht="25.5">
      <c r="A12983" s="2">
        <v>12980</v>
      </c>
      <c r="B12983" s="2" t="s">
        <v>13059</v>
      </c>
      <c r="C12983" s="2" t="str">
        <f>"15736601"</f>
        <v>15736601</v>
      </c>
      <c r="D12983" s="2">
        <v>1.514</v>
      </c>
      <c r="E12983" s="2">
        <v>52</v>
      </c>
      <c r="F12983" s="2" t="s">
        <v>6</v>
      </c>
    </row>
    <row r="12984" spans="1:6" ht="25.5">
      <c r="A12984" s="2">
        <v>12981</v>
      </c>
      <c r="B12984" s="2" t="s">
        <v>13060</v>
      </c>
      <c r="C12984" s="2" t="str">
        <f>"14699680"</f>
        <v>14699680</v>
      </c>
      <c r="D12984" s="2">
        <v>0.442</v>
      </c>
      <c r="E12984" s="2">
        <v>21</v>
      </c>
      <c r="F12984" s="2" t="s">
        <v>16</v>
      </c>
    </row>
    <row r="12985" spans="1:6" ht="25.5">
      <c r="A12985" s="2">
        <v>12982</v>
      </c>
      <c r="B12985" s="2" t="s">
        <v>13061</v>
      </c>
      <c r="C12985" s="2" t="str">
        <f>"16069366"</f>
        <v>16069366</v>
      </c>
      <c r="D12985" s="2">
        <v>0.15</v>
      </c>
      <c r="E12985" s="2">
        <v>2</v>
      </c>
      <c r="F12985" s="2" t="s">
        <v>299</v>
      </c>
    </row>
    <row r="12986" spans="1:6" ht="25.5">
      <c r="A12986" s="2">
        <v>12983</v>
      </c>
      <c r="B12986" s="2" t="s">
        <v>13062</v>
      </c>
      <c r="C12986" s="2" t="str">
        <f>"18621775"</f>
        <v>18621775</v>
      </c>
      <c r="D12986" s="2">
        <v>0.32200000000000001</v>
      </c>
      <c r="E12986" s="2">
        <v>14</v>
      </c>
      <c r="F12986" s="2" t="s">
        <v>46</v>
      </c>
    </row>
    <row r="12987" spans="1:6" ht="25.5">
      <c r="A12987" s="2">
        <v>12984</v>
      </c>
      <c r="B12987" s="2" t="s">
        <v>13063</v>
      </c>
      <c r="C12987" s="2" t="str">
        <f>"16731581"</f>
        <v>16731581</v>
      </c>
      <c r="D12987" s="2">
        <v>0.35199999999999998</v>
      </c>
      <c r="E12987" s="2">
        <v>22</v>
      </c>
      <c r="F12987" s="2" t="s">
        <v>46</v>
      </c>
    </row>
    <row r="12988" spans="1:6" ht="25.5">
      <c r="A12988" s="2">
        <v>12985</v>
      </c>
      <c r="B12988" s="2" t="s">
        <v>13064</v>
      </c>
      <c r="C12988" s="2" t="str">
        <f>"18691951"</f>
        <v>18691951</v>
      </c>
      <c r="D12988" s="2">
        <v>0.21199999999999999</v>
      </c>
      <c r="E12988" s="2">
        <v>5</v>
      </c>
      <c r="F12988" s="2" t="s">
        <v>46</v>
      </c>
    </row>
    <row r="12989" spans="1:6" ht="25.5">
      <c r="A12989" s="2">
        <v>12986</v>
      </c>
      <c r="B12989" s="2" t="s">
        <v>13065</v>
      </c>
      <c r="C12989" s="2" t="str">
        <f>"10089497"</f>
        <v>10089497</v>
      </c>
      <c r="D12989" s="2">
        <v>0</v>
      </c>
      <c r="E12989" s="2">
        <v>1</v>
      </c>
      <c r="F12989" s="2" t="s">
        <v>46</v>
      </c>
    </row>
    <row r="12990" spans="1:6" ht="25.5">
      <c r="A12990" s="2">
        <v>12987</v>
      </c>
      <c r="B12990" s="2" t="s">
        <v>13066</v>
      </c>
      <c r="C12990" s="2" t="str">
        <f>"10427260"</f>
        <v>10427260</v>
      </c>
      <c r="D12990" s="2">
        <v>0.28000000000000003</v>
      </c>
      <c r="E12990" s="2">
        <v>25</v>
      </c>
      <c r="F12990" s="2" t="s">
        <v>6</v>
      </c>
    </row>
    <row r="12991" spans="1:6" ht="25.5">
      <c r="A12991" s="2">
        <v>12988</v>
      </c>
      <c r="B12991" s="2" t="s">
        <v>13067</v>
      </c>
      <c r="C12991" s="2" t="str">
        <f>"14390469"</f>
        <v>14390469</v>
      </c>
      <c r="D12991" s="2">
        <v>0.74399999999999999</v>
      </c>
      <c r="E12991" s="2">
        <v>32</v>
      </c>
      <c r="F12991" s="2" t="s">
        <v>16</v>
      </c>
    </row>
    <row r="12992" spans="1:6" ht="25.5">
      <c r="A12992" s="2">
        <v>12989</v>
      </c>
      <c r="B12992" s="2" t="s">
        <v>13068</v>
      </c>
      <c r="C12992" s="2" t="str">
        <f>"00225460"</f>
        <v>00225460</v>
      </c>
      <c r="D12992" s="2">
        <v>0</v>
      </c>
      <c r="E12992" s="2">
        <v>1</v>
      </c>
      <c r="F12992" s="2" t="s">
        <v>16</v>
      </c>
    </row>
    <row r="12993" spans="1:6" ht="25.5">
      <c r="A12993" s="2">
        <v>12990</v>
      </c>
      <c r="B12993" s="2" t="s">
        <v>13068</v>
      </c>
      <c r="C12993" s="2" t="str">
        <f>"14697998"</f>
        <v>14697998</v>
      </c>
      <c r="D12993" s="2">
        <v>0.93</v>
      </c>
      <c r="E12993" s="2">
        <v>55</v>
      </c>
      <c r="F12993" s="2" t="s">
        <v>16</v>
      </c>
    </row>
    <row r="12994" spans="1:6" ht="25.5">
      <c r="A12994" s="2">
        <v>12991</v>
      </c>
      <c r="B12994" s="2" t="s">
        <v>13069</v>
      </c>
      <c r="C12994" s="2" t="str">
        <f>"01649442"</f>
        <v>01649442</v>
      </c>
      <c r="D12994" s="2">
        <v>0.10299999999999999</v>
      </c>
      <c r="E12994" s="2">
        <v>4</v>
      </c>
      <c r="F12994" s="2" t="s">
        <v>6</v>
      </c>
    </row>
    <row r="12995" spans="1:6" ht="25.5">
      <c r="A12995" s="2">
        <v>12992</v>
      </c>
      <c r="B12995" s="2" t="s">
        <v>13070</v>
      </c>
      <c r="C12995" s="2" t="str">
        <f>"15691829"</f>
        <v>15691829</v>
      </c>
      <c r="D12995" s="2">
        <v>0.17</v>
      </c>
      <c r="E12995" s="2">
        <v>12</v>
      </c>
      <c r="F12995" s="2" t="s">
        <v>75</v>
      </c>
    </row>
    <row r="12996" spans="1:6" ht="25.5">
      <c r="A12996" s="2">
        <v>12993</v>
      </c>
      <c r="B12996" s="2" t="s">
        <v>13071</v>
      </c>
      <c r="C12996" s="2" t="str">
        <f>"17838738"</f>
        <v>17838738</v>
      </c>
      <c r="D12996" s="2">
        <v>0.55300000000000005</v>
      </c>
      <c r="E12996" s="2">
        <v>8</v>
      </c>
      <c r="F12996" s="2" t="s">
        <v>12</v>
      </c>
    </row>
    <row r="12997" spans="1:6" ht="25.5">
      <c r="A12997" s="2">
        <v>12994</v>
      </c>
      <c r="B12997" s="2" t="s">
        <v>13072</v>
      </c>
      <c r="C12997" s="2" t="str">
        <f>"19838905"</f>
        <v>19838905</v>
      </c>
      <c r="D12997" s="2">
        <v>0.104</v>
      </c>
      <c r="E12997" s="2">
        <v>0</v>
      </c>
      <c r="F12997" s="2" t="s">
        <v>159</v>
      </c>
    </row>
    <row r="12998" spans="1:6" ht="25.5">
      <c r="A12998" s="2">
        <v>12995</v>
      </c>
      <c r="B12998" s="2" t="s">
        <v>13073</v>
      </c>
      <c r="C12998" s="2" t="str">
        <f>"10795006"</f>
        <v>10795006</v>
      </c>
      <c r="D12998" s="2">
        <v>1.708</v>
      </c>
      <c r="E12998" s="2">
        <v>114</v>
      </c>
      <c r="F12998" s="2" t="s">
        <v>16</v>
      </c>
    </row>
    <row r="12999" spans="1:6" ht="25.5">
      <c r="A12999" s="2">
        <v>12996</v>
      </c>
      <c r="B12999" s="2" t="s">
        <v>13074</v>
      </c>
      <c r="C12999" s="2" t="str">
        <f>"17585368"</f>
        <v>17585368</v>
      </c>
      <c r="D12999" s="2">
        <v>1.3280000000000001</v>
      </c>
      <c r="E12999" s="2">
        <v>88</v>
      </c>
      <c r="F12999" s="2" t="s">
        <v>6</v>
      </c>
    </row>
    <row r="13000" spans="1:6" ht="25.5">
      <c r="A13000" s="2">
        <v>12997</v>
      </c>
      <c r="B13000" s="2" t="s">
        <v>13075</v>
      </c>
      <c r="C13000" s="2" t="str">
        <f>"15200469"</f>
        <v>15200469</v>
      </c>
      <c r="D13000" s="2">
        <v>2.5760000000000001</v>
      </c>
      <c r="E13000" s="2">
        <v>104</v>
      </c>
      <c r="F13000" s="2" t="s">
        <v>6</v>
      </c>
    </row>
    <row r="13001" spans="1:6" ht="25.5">
      <c r="A13001" s="2">
        <v>12998</v>
      </c>
      <c r="B13001" s="2" t="s">
        <v>13076</v>
      </c>
      <c r="C13001" s="2" t="str">
        <f>"10002413"</f>
        <v>10002413</v>
      </c>
      <c r="D13001" s="2">
        <v>0.28000000000000003</v>
      </c>
      <c r="E13001" s="2">
        <v>9</v>
      </c>
      <c r="F13001" s="2" t="s">
        <v>12</v>
      </c>
    </row>
    <row r="13002" spans="1:6" ht="25.5">
      <c r="A13002" s="2">
        <v>12999</v>
      </c>
      <c r="B13002" s="2" t="s">
        <v>13077</v>
      </c>
      <c r="C13002" s="2" t="str">
        <f>"09725555"</f>
        <v>09725555</v>
      </c>
      <c r="D13002" s="2">
        <v>0.187</v>
      </c>
      <c r="E13002" s="2">
        <v>2</v>
      </c>
      <c r="F13002" s="2" t="s">
        <v>488</v>
      </c>
    </row>
    <row r="13003" spans="1:6" ht="25.5">
      <c r="A13003" s="2">
        <v>13000</v>
      </c>
      <c r="B13003" s="2" t="s">
        <v>13078</v>
      </c>
      <c r="C13003" s="2" t="str">
        <f>"09735763"</f>
        <v>09735763</v>
      </c>
      <c r="D13003" s="2">
        <v>0.10100000000000001</v>
      </c>
      <c r="E13003" s="2">
        <v>1</v>
      </c>
      <c r="F13003" s="2" t="s">
        <v>488</v>
      </c>
    </row>
    <row r="13004" spans="1:6" ht="25.5">
      <c r="A13004" s="2">
        <v>13001</v>
      </c>
      <c r="B13004" s="2" t="s">
        <v>13079</v>
      </c>
      <c r="C13004" s="2" t="str">
        <f>"00309982"</f>
        <v>00309982</v>
      </c>
      <c r="D13004" s="2">
        <v>0.23300000000000001</v>
      </c>
      <c r="E13004" s="2">
        <v>23</v>
      </c>
      <c r="F13004" s="2" t="s">
        <v>43</v>
      </c>
    </row>
    <row r="13005" spans="1:6" ht="25.5">
      <c r="A13005" s="2">
        <v>13002</v>
      </c>
      <c r="B13005" s="2" t="s">
        <v>13080</v>
      </c>
      <c r="C13005" s="2" t="str">
        <f>"01492136"</f>
        <v>01492136</v>
      </c>
      <c r="D13005" s="2">
        <v>0.17299999999999999</v>
      </c>
      <c r="E13005" s="2">
        <v>18</v>
      </c>
      <c r="F13005" s="2" t="s">
        <v>6</v>
      </c>
    </row>
    <row r="13006" spans="1:6" ht="25.5">
      <c r="A13006" s="2">
        <v>13003</v>
      </c>
      <c r="B13006" s="2" t="s">
        <v>13081</v>
      </c>
      <c r="C13006" s="2" t="str">
        <f>"14703203"</f>
        <v>14703203</v>
      </c>
      <c r="D13006" s="2">
        <v>0.59499999999999997</v>
      </c>
      <c r="E13006" s="2">
        <v>31</v>
      </c>
      <c r="F13006" s="2" t="s">
        <v>16</v>
      </c>
    </row>
    <row r="13007" spans="1:6" ht="25.5">
      <c r="A13007" s="2">
        <v>13004</v>
      </c>
      <c r="B13007" s="2" t="s">
        <v>13082</v>
      </c>
      <c r="C13007" s="2" t="str">
        <f>"10868089"</f>
        <v>10868089</v>
      </c>
      <c r="D13007" s="2">
        <v>0.50600000000000001</v>
      </c>
      <c r="E13007" s="2">
        <v>32</v>
      </c>
      <c r="F13007" s="2" t="s">
        <v>6</v>
      </c>
    </row>
    <row r="13008" spans="1:6" ht="25.5">
      <c r="A13008" s="2">
        <v>13005</v>
      </c>
      <c r="B13008" s="2" t="s">
        <v>13083</v>
      </c>
      <c r="C13008" s="2" t="str">
        <f>"00225738"</f>
        <v>00225738</v>
      </c>
      <c r="D13008" s="2">
        <v>0.10100000000000001</v>
      </c>
      <c r="E13008" s="2">
        <v>2</v>
      </c>
      <c r="F13008" s="2" t="s">
        <v>208</v>
      </c>
    </row>
    <row r="13009" spans="1:6" ht="25.5">
      <c r="A13009" s="2">
        <v>13006</v>
      </c>
      <c r="B13009" s="2" t="s">
        <v>13084</v>
      </c>
      <c r="C13009" s="2" t="str">
        <f>"19302975"</f>
        <v>19302975</v>
      </c>
      <c r="D13009" s="2">
        <v>1.1359999999999999</v>
      </c>
      <c r="E13009" s="2">
        <v>17</v>
      </c>
      <c r="F13009" s="2" t="s">
        <v>6</v>
      </c>
    </row>
    <row r="13010" spans="1:6" ht="25.5">
      <c r="A13010" s="2">
        <v>13007</v>
      </c>
      <c r="B13010" s="2" t="s">
        <v>13085</v>
      </c>
      <c r="C13010" s="2" t="str">
        <f>"00225800"</f>
        <v>00225800</v>
      </c>
      <c r="D13010" s="2">
        <v>0.248</v>
      </c>
      <c r="E13010" s="2">
        <v>10</v>
      </c>
      <c r="F13010" s="2" t="s">
        <v>6</v>
      </c>
    </row>
    <row r="13011" spans="1:6" ht="25.5">
      <c r="A13011" s="2">
        <v>13008</v>
      </c>
      <c r="B13011" s="2" t="s">
        <v>13086</v>
      </c>
      <c r="C13011" s="2" t="str">
        <f>"11798912"</f>
        <v>11798912</v>
      </c>
      <c r="D13011" s="2">
        <v>0.11700000000000001</v>
      </c>
      <c r="E13011" s="2">
        <v>1</v>
      </c>
      <c r="F13011" s="2" t="s">
        <v>503</v>
      </c>
    </row>
    <row r="13012" spans="1:6" ht="25.5">
      <c r="A13012" s="2">
        <v>13009</v>
      </c>
      <c r="B13012" s="2" t="s">
        <v>13087</v>
      </c>
      <c r="C13012" s="2" t="str">
        <f>"20084161"</f>
        <v>20084161</v>
      </c>
      <c r="D13012" s="2">
        <v>0.16</v>
      </c>
      <c r="E13012" s="2">
        <v>4</v>
      </c>
      <c r="F13012" s="2" t="s">
        <v>299</v>
      </c>
    </row>
    <row r="13013" spans="1:6" ht="25.5">
      <c r="A13013" s="2">
        <v>13010</v>
      </c>
      <c r="B13013" s="2" t="s">
        <v>13088</v>
      </c>
      <c r="C13013" s="2" t="str">
        <f>"22287876"</f>
        <v>22287876</v>
      </c>
      <c r="D13013" s="2">
        <v>0.183</v>
      </c>
      <c r="E13013" s="2">
        <v>1</v>
      </c>
      <c r="F13013" s="2" t="s">
        <v>299</v>
      </c>
    </row>
    <row r="13014" spans="1:6" ht="25.5">
      <c r="A13014" s="2">
        <v>13011</v>
      </c>
      <c r="B13014" s="2" t="s">
        <v>13089</v>
      </c>
      <c r="C13014" s="2" t="str">
        <f>"19342039"</f>
        <v>19342039</v>
      </c>
      <c r="D13014" s="2">
        <v>0.10100000000000001</v>
      </c>
      <c r="E13014" s="2">
        <v>1</v>
      </c>
      <c r="F13014" s="2" t="s">
        <v>6</v>
      </c>
    </row>
    <row r="13015" spans="1:6" ht="25.5">
      <c r="A13015" s="2">
        <v>13012</v>
      </c>
      <c r="B13015" s="2" t="s">
        <v>13090</v>
      </c>
      <c r="C13015" s="2" t="str">
        <f>"01271962"</f>
        <v>01271962</v>
      </c>
      <c r="D13015" s="2">
        <v>0.10299999999999999</v>
      </c>
      <c r="E13015" s="2">
        <v>1</v>
      </c>
      <c r="F13015" s="2" t="s">
        <v>37</v>
      </c>
    </row>
    <row r="13016" spans="1:6" ht="25.5">
      <c r="A13016" s="2">
        <v>13013</v>
      </c>
      <c r="B13016" s="2" t="s">
        <v>13091</v>
      </c>
      <c r="C13016" s="2" t="str">
        <f>"01272713"</f>
        <v>01272713</v>
      </c>
      <c r="D13016" s="2">
        <v>0.14399999999999999</v>
      </c>
      <c r="E13016" s="2">
        <v>2</v>
      </c>
      <c r="F13016" s="2" t="s">
        <v>37</v>
      </c>
    </row>
    <row r="13017" spans="1:6" ht="25.5">
      <c r="A13017" s="2">
        <v>13014</v>
      </c>
      <c r="B13017" s="2" t="s">
        <v>13092</v>
      </c>
      <c r="C13017" s="2" t="str">
        <f>"21803722"</f>
        <v>21803722</v>
      </c>
      <c r="D13017" s="2">
        <v>0.10100000000000001</v>
      </c>
      <c r="E13017" s="2">
        <v>1</v>
      </c>
      <c r="F13017" s="2" t="s">
        <v>37</v>
      </c>
    </row>
    <row r="13018" spans="1:6" ht="25.5">
      <c r="A13018" s="2">
        <v>13015</v>
      </c>
      <c r="B13018" s="2" t="s">
        <v>13093</v>
      </c>
      <c r="C13018" s="2" t="str">
        <f>"21803722"</f>
        <v>21803722</v>
      </c>
      <c r="D13018" s="2">
        <v>0.1</v>
      </c>
      <c r="E13018" s="2">
        <v>4</v>
      </c>
      <c r="F13018" s="2" t="s">
        <v>37</v>
      </c>
    </row>
    <row r="13019" spans="1:6" ht="25.5">
      <c r="A13019" s="2">
        <v>13016</v>
      </c>
      <c r="B13019" s="2" t="s">
        <v>13094</v>
      </c>
      <c r="C13019" s="2" t="str">
        <f>"1582652X"</f>
        <v>1582652X</v>
      </c>
      <c r="D13019" s="2">
        <v>0.10100000000000001</v>
      </c>
      <c r="E13019" s="2">
        <v>2</v>
      </c>
      <c r="F13019" s="2" t="s">
        <v>19</v>
      </c>
    </row>
    <row r="13020" spans="1:6" ht="25.5">
      <c r="A13020" s="2">
        <v>13017</v>
      </c>
      <c r="B13020" s="2" t="s">
        <v>13095</v>
      </c>
      <c r="C13020" s="2" t="str">
        <f>"07418825"</f>
        <v>07418825</v>
      </c>
      <c r="D13020" s="2">
        <v>1.8580000000000001</v>
      </c>
      <c r="E13020" s="2">
        <v>38</v>
      </c>
      <c r="F13020" s="2" t="s">
        <v>16</v>
      </c>
    </row>
    <row r="13021" spans="1:6" ht="25.5">
      <c r="A13021" s="2">
        <v>13018</v>
      </c>
      <c r="B13021" s="2" t="s">
        <v>13096</v>
      </c>
      <c r="C13021" s="2" t="str">
        <f>"0098261X"</f>
        <v>0098261X</v>
      </c>
      <c r="D13021" s="2">
        <v>0.24</v>
      </c>
      <c r="E13021" s="2">
        <v>11</v>
      </c>
      <c r="F13021" s="2" t="s">
        <v>6</v>
      </c>
    </row>
    <row r="13022" spans="1:6" ht="25.5">
      <c r="A13022" s="2">
        <v>13019</v>
      </c>
      <c r="B13022" s="2" t="s">
        <v>13097</v>
      </c>
      <c r="C13022" s="2" t="str">
        <f>"01617109"</f>
        <v>01617109</v>
      </c>
      <c r="D13022" s="2">
        <v>0.154</v>
      </c>
      <c r="E13022" s="2">
        <v>9</v>
      </c>
      <c r="F13022" s="2" t="s">
        <v>6</v>
      </c>
    </row>
    <row r="13023" spans="1:6" ht="25.5">
      <c r="A13023" s="2">
        <v>13020</v>
      </c>
      <c r="B13023" s="2" t="s">
        <v>13098</v>
      </c>
      <c r="C13023" s="2" t="str">
        <f>"10775463"</f>
        <v>10775463</v>
      </c>
      <c r="D13023" s="2">
        <v>0.501</v>
      </c>
      <c r="E13023" s="2">
        <v>33</v>
      </c>
      <c r="F13023" s="2" t="s">
        <v>6</v>
      </c>
    </row>
    <row r="13024" spans="1:6" ht="25.5">
      <c r="A13024" s="2">
        <v>13021</v>
      </c>
      <c r="B13024" s="2" t="s">
        <v>13099</v>
      </c>
      <c r="C13024" s="2" t="str">
        <f>"16130723"</f>
        <v>16130723</v>
      </c>
      <c r="D13024" s="2">
        <v>0.10199999999999999</v>
      </c>
      <c r="E13024" s="2">
        <v>0</v>
      </c>
      <c r="F13024" s="2" t="s">
        <v>12</v>
      </c>
    </row>
    <row r="13025" spans="1:6" ht="25.5">
      <c r="A13025" s="2">
        <v>13022</v>
      </c>
      <c r="B13025" s="2" t="s">
        <v>13100</v>
      </c>
      <c r="C13025" s="2" t="str">
        <f>"13006045"</f>
        <v>13006045</v>
      </c>
      <c r="D13025" s="2">
        <v>0.27800000000000002</v>
      </c>
      <c r="E13025" s="2">
        <v>6</v>
      </c>
      <c r="F13025" s="2" t="s">
        <v>345</v>
      </c>
    </row>
    <row r="13026" spans="1:6" ht="25.5">
      <c r="A13026" s="2">
        <v>13023</v>
      </c>
      <c r="B13026" s="2" t="s">
        <v>13101</v>
      </c>
      <c r="C13026" s="2" t="str">
        <f>"0386216X"</f>
        <v>0386216X</v>
      </c>
      <c r="D13026" s="2">
        <v>0.24399999999999999</v>
      </c>
      <c r="E13026" s="2">
        <v>12</v>
      </c>
      <c r="F13026" s="2" t="s">
        <v>131</v>
      </c>
    </row>
    <row r="13027" spans="1:6" ht="25.5">
      <c r="A13027" s="2">
        <v>13024</v>
      </c>
      <c r="B13027" s="2" t="s">
        <v>13102</v>
      </c>
      <c r="C13027" s="2" t="str">
        <f>"00227692"</f>
        <v>00227692</v>
      </c>
      <c r="D13027" s="2">
        <v>0.104</v>
      </c>
      <c r="E13027" s="2">
        <v>1</v>
      </c>
      <c r="F13027" s="2" t="s">
        <v>131</v>
      </c>
    </row>
    <row r="13028" spans="1:6" ht="25.5">
      <c r="A13028" s="2">
        <v>13025</v>
      </c>
      <c r="B13028" s="2" t="s">
        <v>13103</v>
      </c>
      <c r="C13028" s="2" t="str">
        <f>"00227722"</f>
        <v>00227722</v>
      </c>
      <c r="D13028" s="2">
        <v>0.105</v>
      </c>
      <c r="E13028" s="2">
        <v>14</v>
      </c>
      <c r="F13028" s="2" t="s">
        <v>16</v>
      </c>
    </row>
    <row r="13029" spans="1:6" ht="25.5">
      <c r="A13029" s="2">
        <v>13026</v>
      </c>
      <c r="B13029" s="2" t="s">
        <v>13104</v>
      </c>
      <c r="C13029" s="2" t="str">
        <f>"21804273"</f>
        <v>21804273</v>
      </c>
      <c r="D13029" s="2">
        <v>0.11</v>
      </c>
      <c r="E13029" s="2">
        <v>1</v>
      </c>
      <c r="F13029" s="2" t="s">
        <v>37</v>
      </c>
    </row>
    <row r="13030" spans="1:6" ht="25.5">
      <c r="A13030" s="2">
        <v>13027</v>
      </c>
      <c r="B13030" s="2" t="s">
        <v>13105</v>
      </c>
      <c r="C13030" s="2" t="str">
        <f>"00227854"</f>
        <v>00227854</v>
      </c>
      <c r="D13030" s="2">
        <v>0.153</v>
      </c>
      <c r="E13030" s="2">
        <v>8</v>
      </c>
      <c r="F13030" s="2" t="s">
        <v>131</v>
      </c>
    </row>
    <row r="13031" spans="1:6" ht="25.5">
      <c r="A13031" s="2">
        <v>13028</v>
      </c>
      <c r="B13031" s="2" t="s">
        <v>13106</v>
      </c>
      <c r="C13031" s="2" t="str">
        <f>"0449749X"</f>
        <v>0449749X</v>
      </c>
      <c r="D13031" s="2">
        <v>0.155</v>
      </c>
      <c r="E13031" s="2">
        <v>10</v>
      </c>
      <c r="F13031" s="2" t="s">
        <v>46</v>
      </c>
    </row>
    <row r="13032" spans="1:6">
      <c r="A13032" s="2">
        <v>13029</v>
      </c>
      <c r="B13032" s="2" t="s">
        <v>13107</v>
      </c>
      <c r="C13032" s="2" t="str">
        <f>"0"</f>
        <v>0</v>
      </c>
      <c r="D13032" s="2">
        <v>0</v>
      </c>
      <c r="E13032" s="2">
        <v>0</v>
      </c>
      <c r="F13032" s="2" t="s">
        <v>6</v>
      </c>
    </row>
    <row r="13033" spans="1:6" ht="25.5">
      <c r="A13033" s="2">
        <v>13030</v>
      </c>
      <c r="B13033" s="2" t="s">
        <v>13108</v>
      </c>
      <c r="C13033" s="2" t="str">
        <f>"03875911"</f>
        <v>03875911</v>
      </c>
      <c r="D13033" s="2">
        <v>0.156</v>
      </c>
      <c r="E13033" s="2">
        <v>16</v>
      </c>
      <c r="F13033" s="2" t="s">
        <v>131</v>
      </c>
    </row>
    <row r="13034" spans="1:6" ht="25.5">
      <c r="A13034" s="2">
        <v>13031</v>
      </c>
      <c r="B13034" s="2" t="s">
        <v>13109</v>
      </c>
      <c r="C13034" s="2" t="str">
        <f>"13694154"</f>
        <v>13694154</v>
      </c>
      <c r="D13034" s="2">
        <v>0.159</v>
      </c>
      <c r="E13034" s="2">
        <v>4</v>
      </c>
      <c r="F13034" s="2" t="s">
        <v>16</v>
      </c>
    </row>
    <row r="13035" spans="1:6" ht="25.5">
      <c r="A13035" s="2">
        <v>13032</v>
      </c>
      <c r="B13035" s="2" t="s">
        <v>13110</v>
      </c>
      <c r="C13035" s="2" t="str">
        <f>"16131134"</f>
        <v>16131134</v>
      </c>
      <c r="D13035" s="2">
        <v>0.14899999999999999</v>
      </c>
      <c r="E13035" s="2">
        <v>5</v>
      </c>
      <c r="F13035" s="2" t="s">
        <v>12</v>
      </c>
    </row>
    <row r="13036" spans="1:6" ht="25.5">
      <c r="A13036" s="2">
        <v>13033</v>
      </c>
      <c r="B13036" s="2" t="s">
        <v>13111</v>
      </c>
      <c r="C13036" s="2" t="str">
        <f>"1832536X"</f>
        <v>1832536X</v>
      </c>
      <c r="D13036" s="2">
        <v>0.10299999999999999</v>
      </c>
      <c r="E13036" s="2">
        <v>0</v>
      </c>
      <c r="F13036" s="2" t="s">
        <v>127</v>
      </c>
    </row>
    <row r="13037" spans="1:6" ht="25.5">
      <c r="A13037" s="2">
        <v>13034</v>
      </c>
      <c r="B13037" s="2" t="s">
        <v>13112</v>
      </c>
      <c r="C13037" s="2" t="str">
        <f>"1607551X"</f>
        <v>1607551X</v>
      </c>
      <c r="D13037" s="2">
        <v>0.20399999999999999</v>
      </c>
      <c r="E13037" s="2">
        <v>19</v>
      </c>
      <c r="F13037" s="2" t="s">
        <v>543</v>
      </c>
    </row>
    <row r="13038" spans="1:6" ht="25.5">
      <c r="A13038" s="2">
        <v>13035</v>
      </c>
      <c r="B13038" s="2" t="s">
        <v>13113</v>
      </c>
      <c r="C13038" s="2" t="str">
        <f>"02510790"</f>
        <v>02510790</v>
      </c>
      <c r="D13038" s="2">
        <v>0.23200000000000001</v>
      </c>
      <c r="E13038" s="2">
        <v>16</v>
      </c>
      <c r="F13038" s="2" t="s">
        <v>46</v>
      </c>
    </row>
    <row r="13039" spans="1:6" ht="25.5">
      <c r="A13039" s="2">
        <v>13036</v>
      </c>
      <c r="B13039" s="2" t="s">
        <v>13114</v>
      </c>
      <c r="C13039" s="2" t="str">
        <f>"00229032"</f>
        <v>00229032</v>
      </c>
      <c r="D13039" s="2">
        <v>0.22</v>
      </c>
      <c r="E13039" s="2">
        <v>17</v>
      </c>
      <c r="F13039" s="2" t="s">
        <v>169</v>
      </c>
    </row>
    <row r="13040" spans="1:6" ht="25.5">
      <c r="A13040" s="2">
        <v>13037</v>
      </c>
      <c r="B13040" s="2" t="s">
        <v>13115</v>
      </c>
      <c r="C13040" s="2" t="str">
        <f>"12124540"</f>
        <v>12124540</v>
      </c>
      <c r="D13040" s="2">
        <v>0.10100000000000001</v>
      </c>
      <c r="E13040" s="2">
        <v>2</v>
      </c>
      <c r="F13040" s="2" t="s">
        <v>208</v>
      </c>
    </row>
    <row r="13041" spans="1:6" ht="25.5">
      <c r="A13041" s="2">
        <v>13038</v>
      </c>
      <c r="B13041" s="2" t="s">
        <v>13116</v>
      </c>
      <c r="C13041" s="2" t="str">
        <f>"00229040"</f>
        <v>00229040</v>
      </c>
      <c r="D13041" s="2">
        <v>0.122</v>
      </c>
      <c r="E13041" s="2">
        <v>7</v>
      </c>
      <c r="F13041" s="2" t="s">
        <v>129</v>
      </c>
    </row>
    <row r="13042" spans="1:6" ht="25.5">
      <c r="A13042" s="2">
        <v>13039</v>
      </c>
      <c r="B13042" s="2" t="s">
        <v>13117</v>
      </c>
      <c r="C13042" s="2" t="str">
        <f>"09412670"</f>
        <v>09412670</v>
      </c>
      <c r="D13042" s="2">
        <v>0.125</v>
      </c>
      <c r="E13042" s="2">
        <v>4</v>
      </c>
      <c r="F13042" s="2" t="s">
        <v>12</v>
      </c>
    </row>
    <row r="13043" spans="1:6" ht="25.5">
      <c r="A13043" s="2">
        <v>13040</v>
      </c>
      <c r="B13043" s="2" t="s">
        <v>13118</v>
      </c>
      <c r="C13043" s="2" t="str">
        <f>"1333896X"</f>
        <v>1333896X</v>
      </c>
      <c r="D13043" s="2">
        <v>0.111</v>
      </c>
      <c r="E13043" s="2">
        <v>2</v>
      </c>
      <c r="F13043" s="2" t="s">
        <v>149</v>
      </c>
    </row>
    <row r="13044" spans="1:6" ht="25.5">
      <c r="A13044" s="2">
        <v>13041</v>
      </c>
      <c r="B13044" s="2" t="s">
        <v>13119</v>
      </c>
      <c r="C13044" s="2" t="str">
        <f>"00229164"</f>
        <v>00229164</v>
      </c>
      <c r="D13044" s="2">
        <v>0.189</v>
      </c>
      <c r="E13044" s="2">
        <v>2</v>
      </c>
      <c r="F13044" s="2" t="s">
        <v>12</v>
      </c>
    </row>
    <row r="13045" spans="1:6" ht="25.5">
      <c r="A13045" s="2">
        <v>13042</v>
      </c>
      <c r="B13045" s="2" t="s">
        <v>13120</v>
      </c>
      <c r="C13045" s="2" t="str">
        <f>"00755192"</f>
        <v>00755192</v>
      </c>
      <c r="D13045" s="2">
        <v>0.16900000000000001</v>
      </c>
      <c r="E13045" s="2">
        <v>6</v>
      </c>
      <c r="F13045" s="2" t="s">
        <v>1966</v>
      </c>
    </row>
    <row r="13046" spans="1:6" ht="25.5">
      <c r="A13046" s="2">
        <v>13043</v>
      </c>
      <c r="B13046" s="2" t="s">
        <v>13121</v>
      </c>
      <c r="C13046" s="2" t="str">
        <f>"01258370"</f>
        <v>01258370</v>
      </c>
      <c r="D13046" s="2">
        <v>0.14099999999999999</v>
      </c>
      <c r="E13046" s="2">
        <v>2</v>
      </c>
      <c r="F13046" s="2" t="s">
        <v>1966</v>
      </c>
    </row>
    <row r="13047" spans="1:6" ht="25.5">
      <c r="A13047" s="2">
        <v>13044</v>
      </c>
      <c r="B13047" s="2" t="s">
        <v>13122</v>
      </c>
      <c r="C13047" s="2" t="str">
        <f>"00755222"</f>
        <v>00755222</v>
      </c>
      <c r="D13047" s="2">
        <v>0.114</v>
      </c>
      <c r="E13047" s="2">
        <v>2</v>
      </c>
      <c r="F13047" s="2" t="s">
        <v>40</v>
      </c>
    </row>
    <row r="13048" spans="1:6" ht="25.5">
      <c r="A13048" s="2">
        <v>13045</v>
      </c>
      <c r="B13048" s="2" t="s">
        <v>13123</v>
      </c>
      <c r="C13048" s="2" t="str">
        <f>"18122078"</f>
        <v>18122078</v>
      </c>
      <c r="D13048" s="2">
        <v>0.16700000000000001</v>
      </c>
      <c r="E13048" s="2">
        <v>10</v>
      </c>
      <c r="F13048" s="2" t="s">
        <v>11849</v>
      </c>
    </row>
    <row r="13049" spans="1:6" ht="25.5">
      <c r="A13049" s="2">
        <v>13046</v>
      </c>
      <c r="B13049" s="2" t="s">
        <v>13124</v>
      </c>
      <c r="C13049" s="2" t="str">
        <f>"04534387"</f>
        <v>04534387</v>
      </c>
      <c r="D13049" s="2">
        <v>0.10100000000000001</v>
      </c>
      <c r="E13049" s="2">
        <v>2</v>
      </c>
      <c r="F13049" s="2" t="s">
        <v>6</v>
      </c>
    </row>
    <row r="13050" spans="1:6" ht="25.5">
      <c r="A13050" s="2">
        <v>13047</v>
      </c>
      <c r="B13050" s="2" t="s">
        <v>13125</v>
      </c>
      <c r="C13050" s="2" t="str">
        <f>"09524142"</f>
        <v>09524142</v>
      </c>
      <c r="D13050" s="2">
        <v>0.10100000000000001</v>
      </c>
      <c r="E13050" s="2">
        <v>2</v>
      </c>
      <c r="F13050" s="2" t="s">
        <v>16</v>
      </c>
    </row>
    <row r="13051" spans="1:6" ht="25.5">
      <c r="A13051" s="2">
        <v>13048</v>
      </c>
      <c r="B13051" s="2" t="s">
        <v>13126</v>
      </c>
      <c r="C13051" s="2" t="str">
        <f>"17394341"</f>
        <v>17394341</v>
      </c>
      <c r="D13051" s="2">
        <v>0.251</v>
      </c>
      <c r="E13051" s="2">
        <v>3</v>
      </c>
      <c r="F13051" s="2" t="s">
        <v>274</v>
      </c>
    </row>
    <row r="13052" spans="1:6" ht="25.5">
      <c r="A13052" s="2">
        <v>13049</v>
      </c>
      <c r="B13052" s="2" t="s">
        <v>13127</v>
      </c>
      <c r="C13052" s="2" t="str">
        <f>"04515994"</f>
        <v>04515994</v>
      </c>
      <c r="D13052" s="2">
        <v>0.193</v>
      </c>
      <c r="E13052" s="2">
        <v>18</v>
      </c>
      <c r="F13052" s="2" t="s">
        <v>131</v>
      </c>
    </row>
    <row r="13053" spans="1:6" ht="25.5">
      <c r="A13053" s="2">
        <v>13050</v>
      </c>
      <c r="B13053" s="2" t="s">
        <v>13128</v>
      </c>
      <c r="C13053" s="2" t="str">
        <f>"03685306"</f>
        <v>03685306</v>
      </c>
      <c r="D13053" s="2">
        <v>0.1</v>
      </c>
      <c r="E13053" s="2">
        <v>4</v>
      </c>
      <c r="F13053" s="2" t="s">
        <v>131</v>
      </c>
    </row>
    <row r="13054" spans="1:6" ht="25.5">
      <c r="A13054" s="2">
        <v>13051</v>
      </c>
      <c r="B13054" s="2" t="s">
        <v>13129</v>
      </c>
      <c r="C13054" s="2" t="str">
        <f>"00229717"</f>
        <v>00229717</v>
      </c>
      <c r="D13054" s="2">
        <v>0.32900000000000001</v>
      </c>
      <c r="E13054" s="2">
        <v>26</v>
      </c>
      <c r="F13054" s="2" t="s">
        <v>131</v>
      </c>
    </row>
    <row r="13055" spans="1:6" ht="25.5">
      <c r="A13055" s="2">
        <v>13052</v>
      </c>
      <c r="B13055" s="2" t="s">
        <v>13130</v>
      </c>
      <c r="C13055" s="2" t="str">
        <f>"00229776"</f>
        <v>00229776</v>
      </c>
      <c r="D13055" s="2">
        <v>0.13600000000000001</v>
      </c>
      <c r="E13055" s="2">
        <v>11</v>
      </c>
      <c r="F13055" s="2" t="s">
        <v>131</v>
      </c>
    </row>
    <row r="13056" spans="1:6" ht="25.5">
      <c r="A13056" s="2">
        <v>13053</v>
      </c>
      <c r="B13056" s="2" t="s">
        <v>13131</v>
      </c>
      <c r="C13056" s="2" t="str">
        <f>"19858353"</f>
        <v>19858353</v>
      </c>
      <c r="D13056" s="2">
        <v>0.10100000000000001</v>
      </c>
      <c r="E13056" s="2">
        <v>0</v>
      </c>
      <c r="F13056" s="2" t="s">
        <v>37</v>
      </c>
    </row>
    <row r="13057" spans="1:6" ht="25.5">
      <c r="A13057" s="2">
        <v>13054</v>
      </c>
      <c r="B13057" s="2" t="s">
        <v>13132</v>
      </c>
      <c r="C13057" s="2" t="str">
        <f>"00229830"</f>
        <v>00229830</v>
      </c>
      <c r="D13057" s="2">
        <v>0.19600000000000001</v>
      </c>
      <c r="E13057" s="2">
        <v>6</v>
      </c>
      <c r="F13057" s="2" t="s">
        <v>149</v>
      </c>
    </row>
    <row r="13058" spans="1:6" ht="25.5">
      <c r="A13058" s="2">
        <v>13055</v>
      </c>
      <c r="B13058" s="2" t="s">
        <v>13133</v>
      </c>
      <c r="C13058" s="2" t="str">
        <f>"10546863"</f>
        <v>10546863</v>
      </c>
      <c r="D13058" s="2">
        <v>0.36799999999999999</v>
      </c>
      <c r="E13058" s="2">
        <v>25</v>
      </c>
      <c r="F13058" s="2" t="s">
        <v>6</v>
      </c>
    </row>
    <row r="13059" spans="1:6" ht="25.5">
      <c r="A13059" s="2">
        <v>13056</v>
      </c>
      <c r="B13059" s="2" t="s">
        <v>13134</v>
      </c>
      <c r="C13059" s="2" t="str">
        <f>"07428367"</f>
        <v>07428367</v>
      </c>
      <c r="D13059" s="2">
        <v>0.11899999999999999</v>
      </c>
      <c r="E13059" s="2">
        <v>3</v>
      </c>
      <c r="F13059" s="2" t="s">
        <v>6</v>
      </c>
    </row>
    <row r="13060" spans="1:6" ht="25.5">
      <c r="A13060" s="2">
        <v>13057</v>
      </c>
      <c r="B13060" s="2" t="s">
        <v>13135</v>
      </c>
      <c r="C13060" s="2" t="str">
        <f>"0163075X"</f>
        <v>0163075X</v>
      </c>
      <c r="D13060" s="2">
        <v>0.1</v>
      </c>
      <c r="E13060" s="2">
        <v>2</v>
      </c>
      <c r="F13060" s="2" t="s">
        <v>6</v>
      </c>
    </row>
    <row r="13061" spans="1:6" ht="25.5">
      <c r="A13061" s="2">
        <v>13058</v>
      </c>
      <c r="B13061" s="2" t="s">
        <v>13136</v>
      </c>
      <c r="C13061" s="2" t="str">
        <f>"00230561"</f>
        <v>00230561</v>
      </c>
      <c r="D13061" s="2">
        <v>0.13300000000000001</v>
      </c>
      <c r="E13061" s="2">
        <v>7</v>
      </c>
      <c r="F13061" s="2" t="s">
        <v>12</v>
      </c>
    </row>
    <row r="13062" spans="1:6" ht="25.5">
      <c r="A13062" s="2">
        <v>13059</v>
      </c>
      <c r="B13062" s="2" t="s">
        <v>13137</v>
      </c>
      <c r="C13062" s="2" t="str">
        <f>"09323902"</f>
        <v>09323902</v>
      </c>
      <c r="D13062" s="2">
        <v>0.29699999999999999</v>
      </c>
      <c r="E13062" s="2">
        <v>13</v>
      </c>
      <c r="F13062" s="2" t="s">
        <v>12</v>
      </c>
    </row>
    <row r="13063" spans="1:6" ht="25.5">
      <c r="A13063" s="2">
        <v>13060</v>
      </c>
      <c r="B13063" s="2" t="s">
        <v>13138</v>
      </c>
      <c r="C13063" s="2" t="str">
        <f>"00755974"</f>
        <v>00755974</v>
      </c>
      <c r="D13063" s="2">
        <v>0.26500000000000001</v>
      </c>
      <c r="E13063" s="2">
        <v>20</v>
      </c>
      <c r="F13063" s="2" t="s">
        <v>16</v>
      </c>
    </row>
    <row r="13064" spans="1:6" ht="25.5">
      <c r="A13064" s="2">
        <v>13061</v>
      </c>
      <c r="B13064" s="2" t="s">
        <v>13139</v>
      </c>
      <c r="C13064" s="2" t="str">
        <f>"10139826"</f>
        <v>10139826</v>
      </c>
      <c r="D13064" s="2">
        <v>0.16800000000000001</v>
      </c>
      <c r="E13064" s="2">
        <v>31</v>
      </c>
      <c r="F13064" s="2" t="s">
        <v>12</v>
      </c>
    </row>
    <row r="13065" spans="1:6" ht="25.5">
      <c r="A13065" s="2">
        <v>13062</v>
      </c>
      <c r="B13065" s="2" t="s">
        <v>13140</v>
      </c>
      <c r="C13065" s="2" t="str">
        <f>"09483276"</f>
        <v>09483276</v>
      </c>
      <c r="D13065" s="2">
        <v>0.219</v>
      </c>
      <c r="E13065" s="2">
        <v>19</v>
      </c>
      <c r="F13065" s="2" t="s">
        <v>12</v>
      </c>
    </row>
    <row r="13066" spans="1:6" ht="25.5">
      <c r="A13066" s="2">
        <v>13063</v>
      </c>
      <c r="B13066" s="2" t="s">
        <v>13141</v>
      </c>
      <c r="C13066" s="2" t="str">
        <f>"01326244"</f>
        <v>01326244</v>
      </c>
      <c r="D13066" s="2">
        <v>0.122</v>
      </c>
      <c r="E13066" s="2">
        <v>12</v>
      </c>
      <c r="F13066" s="2" t="s">
        <v>2275</v>
      </c>
    </row>
    <row r="13067" spans="1:6" ht="25.5">
      <c r="A13067" s="2">
        <v>13064</v>
      </c>
      <c r="B13067" s="2" t="s">
        <v>13142</v>
      </c>
      <c r="C13067" s="2" t="str">
        <f>"00231207"</f>
        <v>00231207</v>
      </c>
      <c r="D13067" s="2">
        <v>0.104</v>
      </c>
      <c r="E13067" s="2">
        <v>6</v>
      </c>
      <c r="F13067" s="2" t="s">
        <v>129</v>
      </c>
    </row>
    <row r="13068" spans="1:6" ht="25.5">
      <c r="A13068" s="2">
        <v>13065</v>
      </c>
      <c r="B13068" s="2" t="s">
        <v>13143</v>
      </c>
      <c r="C13068" s="2" t="str">
        <f>"14230143"</f>
        <v>14230143</v>
      </c>
      <c r="D13068" s="2">
        <v>0.48499999999999999</v>
      </c>
      <c r="E13068" s="2">
        <v>32</v>
      </c>
      <c r="F13068" s="2" t="s">
        <v>31</v>
      </c>
    </row>
    <row r="13069" spans="1:6" ht="25.5">
      <c r="A13069" s="2">
        <v>13066</v>
      </c>
      <c r="B13069" s="2" t="s">
        <v>13144</v>
      </c>
      <c r="C13069" s="2" t="str">
        <f>"15231755"</f>
        <v>15231755</v>
      </c>
      <c r="D13069" s="2">
        <v>2.6970000000000001</v>
      </c>
      <c r="E13069" s="2">
        <v>182</v>
      </c>
      <c r="F13069" s="2" t="s">
        <v>16</v>
      </c>
    </row>
    <row r="13070" spans="1:6" ht="25.5">
      <c r="A13070" s="2">
        <v>13067</v>
      </c>
      <c r="B13070" s="2" t="s">
        <v>13145</v>
      </c>
      <c r="C13070" s="2" t="str">
        <f>"00986577"</f>
        <v>00986577</v>
      </c>
      <c r="D13070" s="2">
        <v>0.66900000000000004</v>
      </c>
      <c r="E13070" s="2">
        <v>71</v>
      </c>
      <c r="F13070" s="2" t="s">
        <v>16</v>
      </c>
    </row>
    <row r="13071" spans="1:6" ht="25.5">
      <c r="A13071" s="2">
        <v>13068</v>
      </c>
      <c r="B13071" s="2" t="s">
        <v>13146</v>
      </c>
      <c r="C13071" s="2" t="str">
        <f>"14305372"</f>
        <v>14305372</v>
      </c>
      <c r="D13071" s="2">
        <v>0.10100000000000001</v>
      </c>
      <c r="E13071" s="2">
        <v>0</v>
      </c>
      <c r="F13071" s="2" t="s">
        <v>12</v>
      </c>
    </row>
    <row r="13072" spans="1:6" ht="25.5">
      <c r="A13072" s="2">
        <v>13069</v>
      </c>
      <c r="B13072" s="2" t="s">
        <v>13147</v>
      </c>
      <c r="C13072" s="2" t="str">
        <f>"09426051"</f>
        <v>09426051</v>
      </c>
      <c r="D13072" s="2">
        <v>0.10100000000000001</v>
      </c>
      <c r="E13072" s="2">
        <v>4</v>
      </c>
      <c r="F13072" s="2" t="s">
        <v>12</v>
      </c>
    </row>
    <row r="13073" spans="1:6" ht="38.25">
      <c r="A13073" s="2">
        <v>13070</v>
      </c>
      <c r="B13073" s="2" t="s">
        <v>13148</v>
      </c>
      <c r="C13073" s="2" t="str">
        <f>"07232276"</f>
        <v>07232276</v>
      </c>
      <c r="D13073" s="2">
        <v>0.1</v>
      </c>
      <c r="E13073" s="2">
        <v>4</v>
      </c>
      <c r="F13073" s="2" t="s">
        <v>12</v>
      </c>
    </row>
    <row r="13074" spans="1:6" ht="25.5">
      <c r="A13074" s="2">
        <v>13071</v>
      </c>
      <c r="B13074" s="2" t="s">
        <v>13149</v>
      </c>
      <c r="C13074" s="2" t="str">
        <f>"09425403"</f>
        <v>09425403</v>
      </c>
      <c r="D13074" s="2">
        <v>0.79900000000000004</v>
      </c>
      <c r="E13074" s="2">
        <v>25</v>
      </c>
      <c r="F13074" s="2" t="s">
        <v>12</v>
      </c>
    </row>
    <row r="13075" spans="1:6" ht="25.5">
      <c r="A13075" s="2">
        <v>13072</v>
      </c>
      <c r="B13075" s="2" t="s">
        <v>13150</v>
      </c>
      <c r="C13075" s="2" t="str">
        <f>"13311441"</f>
        <v>13311441</v>
      </c>
      <c r="D13075" s="2">
        <v>0.17699999999999999</v>
      </c>
      <c r="E13075" s="2">
        <v>5</v>
      </c>
      <c r="F13075" s="2" t="s">
        <v>149</v>
      </c>
    </row>
    <row r="13076" spans="1:6" ht="25.5">
      <c r="A13076" s="2">
        <v>13073</v>
      </c>
      <c r="B13076" s="2" t="s">
        <v>13151</v>
      </c>
      <c r="C13076" s="2" t="str">
        <f>"16328345"</f>
        <v>16328345</v>
      </c>
      <c r="D13076" s="2">
        <v>0.127</v>
      </c>
      <c r="E13076" s="2">
        <v>2</v>
      </c>
      <c r="F13076" s="2" t="s">
        <v>66</v>
      </c>
    </row>
    <row r="13077" spans="1:6" ht="25.5">
      <c r="A13077" s="2">
        <v>13074</v>
      </c>
      <c r="B13077" s="2" t="s">
        <v>13152</v>
      </c>
      <c r="C13077" s="2" t="str">
        <f>"19375093"</f>
        <v>19375093</v>
      </c>
      <c r="D13077" s="2">
        <v>0.70399999999999996</v>
      </c>
      <c r="E13077" s="2">
        <v>4</v>
      </c>
      <c r="F13077" s="2" t="s">
        <v>6</v>
      </c>
    </row>
    <row r="13078" spans="1:6" ht="25.5">
      <c r="A13078" s="2">
        <v>13075</v>
      </c>
      <c r="B13078" s="2" t="s">
        <v>13153</v>
      </c>
      <c r="C13078" s="2" t="str">
        <f>"16083210"</f>
        <v>16083210</v>
      </c>
      <c r="D13078" s="2">
        <v>0.25</v>
      </c>
      <c r="E13078" s="2">
        <v>19</v>
      </c>
      <c r="F13078" s="2" t="s">
        <v>129</v>
      </c>
    </row>
    <row r="13079" spans="1:6" ht="38.25">
      <c r="A13079" s="2">
        <v>13076</v>
      </c>
      <c r="B13079" s="2" t="s">
        <v>13154</v>
      </c>
      <c r="C13079" s="2" t="str">
        <f>"0"</f>
        <v>0</v>
      </c>
      <c r="D13079" s="2">
        <v>0.1</v>
      </c>
      <c r="E13079" s="2">
        <v>1</v>
      </c>
      <c r="F13079" s="2" t="s">
        <v>7417</v>
      </c>
    </row>
    <row r="13080" spans="1:6" ht="25.5">
      <c r="A13080" s="2">
        <v>13077</v>
      </c>
      <c r="B13080" s="2" t="s">
        <v>13155</v>
      </c>
      <c r="C13080" s="2" t="str">
        <f>"13432826"</f>
        <v>13432826</v>
      </c>
      <c r="D13080" s="2">
        <v>0.124</v>
      </c>
      <c r="E13080" s="2">
        <v>3</v>
      </c>
      <c r="F13080" s="2" t="s">
        <v>131</v>
      </c>
    </row>
    <row r="13081" spans="1:6" ht="25.5">
      <c r="A13081" s="2">
        <v>13078</v>
      </c>
      <c r="B13081" s="2" t="s">
        <v>13156</v>
      </c>
      <c r="C13081" s="2" t="str">
        <f>"00232076"</f>
        <v>00232076</v>
      </c>
      <c r="D13081" s="2">
        <v>0.11600000000000001</v>
      </c>
      <c r="E13081" s="2">
        <v>10</v>
      </c>
      <c r="F13081" s="2" t="s">
        <v>12</v>
      </c>
    </row>
    <row r="13082" spans="1:6" ht="25.5">
      <c r="A13082" s="2">
        <v>13079</v>
      </c>
      <c r="B13082" s="2" t="s">
        <v>13157</v>
      </c>
      <c r="C13082" s="2" t="str">
        <f>"1301143X"</f>
        <v>1301143X</v>
      </c>
      <c r="D13082" s="2">
        <v>0.13</v>
      </c>
      <c r="E13082" s="2">
        <v>2</v>
      </c>
      <c r="F13082" s="2" t="s">
        <v>345</v>
      </c>
    </row>
    <row r="13083" spans="1:6" ht="25.5">
      <c r="A13083" s="2">
        <v>13080</v>
      </c>
      <c r="B13083" s="2" t="s">
        <v>13158</v>
      </c>
      <c r="C13083" s="2" t="str">
        <f>"08692084"</f>
        <v>08692084</v>
      </c>
      <c r="D13083" s="2">
        <v>0.104</v>
      </c>
      <c r="E13083" s="2">
        <v>6</v>
      </c>
      <c r="F13083" s="2" t="s">
        <v>129</v>
      </c>
    </row>
    <row r="13084" spans="1:6" ht="25.5">
      <c r="A13084" s="2">
        <v>13081</v>
      </c>
      <c r="B13084" s="2" t="s">
        <v>13159</v>
      </c>
      <c r="C13084" s="2" t="str">
        <f>"00232149"</f>
        <v>00232149</v>
      </c>
      <c r="D13084" s="2">
        <v>0.10199999999999999</v>
      </c>
      <c r="E13084" s="2">
        <v>6</v>
      </c>
      <c r="F13084" s="2" t="s">
        <v>129</v>
      </c>
    </row>
    <row r="13085" spans="1:6" ht="25.5">
      <c r="A13085" s="2">
        <v>13082</v>
      </c>
      <c r="B13085" s="2" t="s">
        <v>13160</v>
      </c>
      <c r="C13085" s="2" t="str">
        <f>"00232130"</f>
        <v>00232130</v>
      </c>
      <c r="D13085" s="2">
        <v>0.10299999999999999</v>
      </c>
      <c r="E13085" s="2">
        <v>5</v>
      </c>
      <c r="F13085" s="2" t="s">
        <v>438</v>
      </c>
    </row>
    <row r="13086" spans="1:6" ht="25.5">
      <c r="A13086" s="2">
        <v>13083</v>
      </c>
      <c r="B13086" s="2" t="s">
        <v>13161</v>
      </c>
      <c r="C13086" s="2" t="str">
        <f>"12107921"</f>
        <v>12107921</v>
      </c>
      <c r="D13086" s="2">
        <v>0.16900000000000001</v>
      </c>
      <c r="E13086" s="2">
        <v>8</v>
      </c>
      <c r="F13086" s="2" t="s">
        <v>208</v>
      </c>
    </row>
    <row r="13087" spans="1:6" ht="25.5">
      <c r="A13087" s="2">
        <v>13084</v>
      </c>
      <c r="B13087" s="2" t="s">
        <v>13162</v>
      </c>
      <c r="C13087" s="2" t="str">
        <f>"18035353"</f>
        <v>18035353</v>
      </c>
      <c r="D13087" s="2">
        <v>0.11600000000000001</v>
      </c>
      <c r="E13087" s="2">
        <v>2</v>
      </c>
      <c r="F13087" s="2" t="s">
        <v>208</v>
      </c>
    </row>
    <row r="13088" spans="1:6" ht="25.5">
      <c r="A13088" s="2">
        <v>13085</v>
      </c>
      <c r="B13088" s="2" t="s">
        <v>13163</v>
      </c>
      <c r="C13088" s="2" t="str">
        <f>"13350013"</f>
        <v>13350013</v>
      </c>
      <c r="D13088" s="2">
        <v>0.1</v>
      </c>
      <c r="E13088" s="2">
        <v>2</v>
      </c>
      <c r="F13088" s="2" t="s">
        <v>241</v>
      </c>
    </row>
    <row r="13089" spans="1:6" ht="25.5">
      <c r="A13089" s="2">
        <v>13086</v>
      </c>
      <c r="B13089" s="2" t="s">
        <v>13164</v>
      </c>
      <c r="C13089" s="2" t="str">
        <f>"1211264X"</f>
        <v>1211264X</v>
      </c>
      <c r="D13089" s="2">
        <v>0.13300000000000001</v>
      </c>
      <c r="E13089" s="2">
        <v>5</v>
      </c>
      <c r="F13089" s="2" t="s">
        <v>208</v>
      </c>
    </row>
    <row r="13090" spans="1:6" ht="25.5">
      <c r="A13090" s="2">
        <v>13087</v>
      </c>
      <c r="B13090" s="2" t="s">
        <v>13165</v>
      </c>
      <c r="C13090" s="2" t="str">
        <f>"0862495X"</f>
        <v>0862495X</v>
      </c>
      <c r="D13090" s="2">
        <v>0.16900000000000001</v>
      </c>
      <c r="E13090" s="2">
        <v>7</v>
      </c>
      <c r="F13090" s="2" t="s">
        <v>208</v>
      </c>
    </row>
    <row r="13091" spans="1:6" ht="25.5">
      <c r="A13091" s="2">
        <v>13088</v>
      </c>
      <c r="B13091" s="2" t="s">
        <v>13166</v>
      </c>
      <c r="C13091" s="2" t="str">
        <f>"00232157"</f>
        <v>00232157</v>
      </c>
      <c r="D13091" s="2">
        <v>0.152</v>
      </c>
      <c r="E13091" s="2">
        <v>8</v>
      </c>
      <c r="F13091" s="2" t="s">
        <v>169</v>
      </c>
    </row>
    <row r="13092" spans="1:6" ht="25.5">
      <c r="A13092" s="2">
        <v>13089</v>
      </c>
      <c r="B13092" s="2" t="s">
        <v>13167</v>
      </c>
      <c r="C13092" s="2" t="str">
        <f>"14393859"</f>
        <v>14393859</v>
      </c>
      <c r="D13092" s="2">
        <v>0.105</v>
      </c>
      <c r="E13092" s="2">
        <v>5</v>
      </c>
      <c r="F13092" s="2" t="s">
        <v>12</v>
      </c>
    </row>
    <row r="13093" spans="1:6" ht="25.5">
      <c r="A13093" s="2">
        <v>13090</v>
      </c>
      <c r="B13093" s="2" t="s">
        <v>13168</v>
      </c>
      <c r="C13093" s="2" t="str">
        <f>"13029657"</f>
        <v>13029657</v>
      </c>
      <c r="D13093" s="2">
        <v>0.129</v>
      </c>
      <c r="E13093" s="2">
        <v>8</v>
      </c>
      <c r="F13093" s="2" t="s">
        <v>345</v>
      </c>
    </row>
    <row r="13094" spans="1:6" ht="25.5">
      <c r="A13094" s="2">
        <v>13091</v>
      </c>
      <c r="B13094" s="2" t="s">
        <v>13169</v>
      </c>
      <c r="C13094" s="2" t="str">
        <f>"14393999"</f>
        <v>14393999</v>
      </c>
      <c r="D13094" s="2">
        <v>0.313</v>
      </c>
      <c r="E13094" s="2">
        <v>26</v>
      </c>
      <c r="F13094" s="2" t="s">
        <v>12</v>
      </c>
    </row>
    <row r="13095" spans="1:6" ht="25.5">
      <c r="A13095" s="2">
        <v>13092</v>
      </c>
      <c r="B13095" s="2" t="s">
        <v>13170</v>
      </c>
      <c r="C13095" s="2" t="str">
        <f>"14394081"</f>
        <v>14394081</v>
      </c>
      <c r="D13095" s="2">
        <v>0.13</v>
      </c>
      <c r="E13095" s="2">
        <v>6</v>
      </c>
      <c r="F13095" s="2" t="s">
        <v>12</v>
      </c>
    </row>
    <row r="13096" spans="1:6" ht="25.5">
      <c r="A13096" s="2">
        <v>13093</v>
      </c>
      <c r="B13096" s="2" t="s">
        <v>13171</v>
      </c>
      <c r="C13096" s="2" t="str">
        <f>"16156706"</f>
        <v>16156706</v>
      </c>
      <c r="D13096" s="2">
        <v>0.40500000000000003</v>
      </c>
      <c r="E13096" s="2">
        <v>7</v>
      </c>
      <c r="F13096" s="2" t="s">
        <v>12</v>
      </c>
    </row>
    <row r="13097" spans="1:6" ht="25.5">
      <c r="A13097" s="2">
        <v>13094</v>
      </c>
      <c r="B13097" s="2" t="s">
        <v>13172</v>
      </c>
      <c r="C13097" s="2" t="str">
        <f>"14393824"</f>
        <v>14393824</v>
      </c>
      <c r="D13097" s="2">
        <v>0.44500000000000001</v>
      </c>
      <c r="E13097" s="2">
        <v>30</v>
      </c>
      <c r="F13097" s="2" t="s">
        <v>12</v>
      </c>
    </row>
    <row r="13098" spans="1:6" ht="25.5">
      <c r="A13098" s="2">
        <v>13095</v>
      </c>
      <c r="B13098" s="2" t="s">
        <v>13173</v>
      </c>
      <c r="C13098" s="2" t="str">
        <f>"00756334"</f>
        <v>00756334</v>
      </c>
      <c r="D13098" s="2">
        <v>0.122</v>
      </c>
      <c r="E13098" s="2">
        <v>4</v>
      </c>
      <c r="F13098" s="2" t="s">
        <v>12</v>
      </c>
    </row>
    <row r="13099" spans="1:6" ht="25.5">
      <c r="A13099" s="2">
        <v>13096</v>
      </c>
      <c r="B13099" s="2" t="s">
        <v>13174</v>
      </c>
      <c r="C13099" s="2" t="str">
        <f>"09680160"</f>
        <v>09680160</v>
      </c>
      <c r="D13099" s="2">
        <v>0.92300000000000004</v>
      </c>
      <c r="E13099" s="2">
        <v>38</v>
      </c>
      <c r="F13099" s="2" t="s">
        <v>75</v>
      </c>
    </row>
    <row r="13100" spans="1:6" ht="25.5">
      <c r="A13100" s="2">
        <v>13097</v>
      </c>
      <c r="B13100" s="2" t="s">
        <v>13175</v>
      </c>
      <c r="C13100" s="2" t="str">
        <f>"14337347"</f>
        <v>14337347</v>
      </c>
      <c r="D13100" s="2">
        <v>1.629</v>
      </c>
      <c r="E13100" s="2">
        <v>64</v>
      </c>
      <c r="F13100" s="2" t="s">
        <v>12</v>
      </c>
    </row>
    <row r="13101" spans="1:6" ht="25.5">
      <c r="A13101" s="2">
        <v>13098</v>
      </c>
      <c r="B13101" s="2" t="s">
        <v>13176</v>
      </c>
      <c r="C13101" s="2" t="str">
        <f>"01660470"</f>
        <v>01660470</v>
      </c>
      <c r="D13101" s="2">
        <v>0.10100000000000001</v>
      </c>
      <c r="E13101" s="2">
        <v>1</v>
      </c>
      <c r="F13101" s="2" t="s">
        <v>75</v>
      </c>
    </row>
    <row r="13102" spans="1:6" ht="25.5">
      <c r="A13102" s="2">
        <v>13099</v>
      </c>
      <c r="B13102" s="2" t="s">
        <v>13177</v>
      </c>
      <c r="C13102" s="2" t="str">
        <f>"02191377"</f>
        <v>02191377</v>
      </c>
      <c r="D13102" s="2">
        <v>1.92</v>
      </c>
      <c r="E13102" s="2">
        <v>28</v>
      </c>
      <c r="F13102" s="2" t="s">
        <v>16</v>
      </c>
    </row>
    <row r="13103" spans="1:6" ht="25.5">
      <c r="A13103" s="2">
        <v>13100</v>
      </c>
      <c r="B13103" s="2" t="s">
        <v>13178</v>
      </c>
      <c r="C13103" s="2" t="str">
        <f>"19619502"</f>
        <v>19619502</v>
      </c>
      <c r="D13103" s="2">
        <v>0.26700000000000002</v>
      </c>
      <c r="E13103" s="2">
        <v>5</v>
      </c>
      <c r="F13103" s="2" t="s">
        <v>66</v>
      </c>
    </row>
    <row r="13104" spans="1:6" ht="25.5">
      <c r="A13104" s="2">
        <v>13101</v>
      </c>
      <c r="B13104" s="2" t="s">
        <v>13179</v>
      </c>
      <c r="C13104" s="2" t="str">
        <f>"10991441"</f>
        <v>10991441</v>
      </c>
      <c r="D13104" s="2">
        <v>0.33400000000000002</v>
      </c>
      <c r="E13104" s="2">
        <v>5</v>
      </c>
      <c r="F13104" s="2" t="s">
        <v>16</v>
      </c>
    </row>
    <row r="13105" spans="1:6" ht="25.5">
      <c r="A13105" s="2">
        <v>13102</v>
      </c>
      <c r="B13105" s="2" t="s">
        <v>13180</v>
      </c>
      <c r="C13105" s="2" t="str">
        <f>"09507051"</f>
        <v>09507051</v>
      </c>
      <c r="D13105" s="2">
        <v>2.4220000000000002</v>
      </c>
      <c r="E13105" s="2">
        <v>41</v>
      </c>
      <c r="F13105" s="2" t="s">
        <v>75</v>
      </c>
    </row>
    <row r="13106" spans="1:6" ht="25.5">
      <c r="A13106" s="2">
        <v>13103</v>
      </c>
      <c r="B13106" s="2" t="s">
        <v>13181</v>
      </c>
      <c r="C13106" s="2" t="str">
        <f>"14698005"</f>
        <v>14698005</v>
      </c>
      <c r="D13106" s="2">
        <v>0.76900000000000002</v>
      </c>
      <c r="E13106" s="2">
        <v>36</v>
      </c>
      <c r="F13106" s="2" t="s">
        <v>16</v>
      </c>
    </row>
    <row r="13107" spans="1:6" ht="25.5">
      <c r="A13107" s="2">
        <v>13104</v>
      </c>
      <c r="B13107" s="2" t="s">
        <v>13182</v>
      </c>
      <c r="C13107" s="2" t="str">
        <f>"20737904"</f>
        <v>20737904</v>
      </c>
      <c r="D13107" s="2">
        <v>0.245</v>
      </c>
      <c r="E13107" s="2">
        <v>5</v>
      </c>
      <c r="F13107" s="2" t="s">
        <v>46</v>
      </c>
    </row>
    <row r="13108" spans="1:6" ht="25.5">
      <c r="A13108" s="2">
        <v>13105</v>
      </c>
      <c r="B13108" s="2" t="s">
        <v>13183</v>
      </c>
      <c r="C13108" s="2" t="str">
        <f>"14778246"</f>
        <v>14778246</v>
      </c>
      <c r="D13108" s="2">
        <v>0.42199999999999999</v>
      </c>
      <c r="E13108" s="2">
        <v>14</v>
      </c>
      <c r="F13108" s="2" t="s">
        <v>16</v>
      </c>
    </row>
    <row r="13109" spans="1:6" ht="25.5">
      <c r="A13109" s="2">
        <v>13106</v>
      </c>
      <c r="B13109" s="2" t="s">
        <v>13184</v>
      </c>
      <c r="C13109" s="2" t="str">
        <f>"09437444"</f>
        <v>09437444</v>
      </c>
      <c r="D13109" s="2">
        <v>0.28899999999999998</v>
      </c>
      <c r="E13109" s="2">
        <v>15</v>
      </c>
      <c r="F13109" s="2" t="s">
        <v>12</v>
      </c>
    </row>
    <row r="13110" spans="1:6" ht="25.5">
      <c r="A13110" s="2">
        <v>13107</v>
      </c>
      <c r="B13110" s="2" t="s">
        <v>13185</v>
      </c>
      <c r="C13110" s="2" t="str">
        <f>"00232513"</f>
        <v>00232513</v>
      </c>
      <c r="D13110" s="2">
        <v>0.192</v>
      </c>
      <c r="E13110" s="2">
        <v>20</v>
      </c>
      <c r="F13110" s="2" t="s">
        <v>131</v>
      </c>
    </row>
    <row r="13111" spans="1:6" ht="25.5">
      <c r="A13111" s="2">
        <v>13108</v>
      </c>
      <c r="B13111" s="2" t="s">
        <v>13186</v>
      </c>
      <c r="C13111" s="2" t="str">
        <f>"03862186"</f>
        <v>03862186</v>
      </c>
      <c r="D13111" s="2">
        <v>0.154</v>
      </c>
      <c r="E13111" s="2">
        <v>13</v>
      </c>
      <c r="F13111" s="2" t="s">
        <v>131</v>
      </c>
    </row>
    <row r="13112" spans="1:6" ht="25.5">
      <c r="A13112" s="2">
        <v>13109</v>
      </c>
      <c r="B13112" s="2" t="s">
        <v>13187</v>
      </c>
      <c r="C13112" s="2" t="str">
        <f>"18815472"</f>
        <v>18815472</v>
      </c>
      <c r="D13112" s="2">
        <v>0.313</v>
      </c>
      <c r="E13112" s="2">
        <v>4</v>
      </c>
      <c r="F13112" s="2" t="s">
        <v>131</v>
      </c>
    </row>
    <row r="13113" spans="1:6" ht="25.5">
      <c r="A13113" s="2">
        <v>13110</v>
      </c>
      <c r="B13113" s="2" t="s">
        <v>13188</v>
      </c>
      <c r="C13113" s="2" t="str">
        <f>"00756458"</f>
        <v>00756458</v>
      </c>
      <c r="D13113" s="2">
        <v>0.20100000000000001</v>
      </c>
      <c r="E13113" s="2">
        <v>16</v>
      </c>
      <c r="F13113" s="2" t="s">
        <v>410</v>
      </c>
    </row>
    <row r="13114" spans="1:6" ht="25.5">
      <c r="A13114" s="2">
        <v>13111</v>
      </c>
      <c r="B13114" s="2" t="s">
        <v>13189</v>
      </c>
      <c r="C13114" s="2" t="str">
        <f>"03009149"</f>
        <v>03009149</v>
      </c>
      <c r="D13114" s="2">
        <v>0.10199999999999999</v>
      </c>
      <c r="E13114" s="2">
        <v>6</v>
      </c>
      <c r="F13114" s="2" t="s">
        <v>131</v>
      </c>
    </row>
    <row r="13115" spans="1:6" ht="25.5">
      <c r="A13115" s="2">
        <v>13112</v>
      </c>
      <c r="B13115" s="2" t="s">
        <v>13190</v>
      </c>
      <c r="C13115" s="2" t="str">
        <f>"00232653"</f>
        <v>00232653</v>
      </c>
      <c r="D13115" s="2">
        <v>0.40100000000000002</v>
      </c>
      <c r="E13115" s="2">
        <v>19</v>
      </c>
      <c r="F13115" s="2" t="s">
        <v>12</v>
      </c>
    </row>
    <row r="13116" spans="1:6" ht="25.5">
      <c r="A13116" s="2">
        <v>13113</v>
      </c>
      <c r="B13116" s="2" t="s">
        <v>13191</v>
      </c>
      <c r="C13116" s="2" t="str">
        <f>"16169689"</f>
        <v>16169689</v>
      </c>
      <c r="D13116" s="2">
        <v>0.1</v>
      </c>
      <c r="E13116" s="2">
        <v>0</v>
      </c>
      <c r="F13116" s="2" t="s">
        <v>12</v>
      </c>
    </row>
    <row r="13117" spans="1:6" ht="25.5">
      <c r="A13117" s="2">
        <v>13114</v>
      </c>
      <c r="B13117" s="2" t="s">
        <v>13192</v>
      </c>
      <c r="C13117" s="2" t="str">
        <f>"13354205"</f>
        <v>13354205</v>
      </c>
      <c r="D13117" s="2">
        <v>0.19500000000000001</v>
      </c>
      <c r="E13117" s="2">
        <v>4</v>
      </c>
      <c r="F13117" s="2" t="s">
        <v>241</v>
      </c>
    </row>
    <row r="13118" spans="1:6" ht="25.5">
      <c r="A13118" s="2">
        <v>13115</v>
      </c>
      <c r="B13118" s="2" t="s">
        <v>13193</v>
      </c>
      <c r="C13118" s="2" t="str">
        <f>"02884534"</f>
        <v>02884534</v>
      </c>
      <c r="D13118" s="2">
        <v>0.32800000000000001</v>
      </c>
      <c r="E13118" s="2">
        <v>6</v>
      </c>
      <c r="F13118" s="2" t="s">
        <v>131</v>
      </c>
    </row>
    <row r="13119" spans="1:6" ht="25.5">
      <c r="A13119" s="2">
        <v>13116</v>
      </c>
      <c r="B13119" s="2" t="s">
        <v>13194</v>
      </c>
      <c r="C13119" s="2" t="str">
        <f>"02581825"</f>
        <v>02581825</v>
      </c>
      <c r="D13119" s="2">
        <v>0.25900000000000001</v>
      </c>
      <c r="E13119" s="2">
        <v>7</v>
      </c>
      <c r="F13119" s="2" t="s">
        <v>46</v>
      </c>
    </row>
    <row r="13120" spans="1:6" ht="25.5">
      <c r="A13120" s="2">
        <v>13117</v>
      </c>
      <c r="B13120" s="2" t="s">
        <v>13195</v>
      </c>
      <c r="C13120" s="2" t="str">
        <f>"10008152"</f>
        <v>10008152</v>
      </c>
      <c r="D13120" s="2">
        <v>0.28599999999999998</v>
      </c>
      <c r="E13120" s="2">
        <v>20</v>
      </c>
      <c r="F13120" s="2" t="s">
        <v>46</v>
      </c>
    </row>
    <row r="13121" spans="1:6" ht="25.5">
      <c r="A13121" s="2">
        <v>13118</v>
      </c>
      <c r="B13121" s="2" t="s">
        <v>13196</v>
      </c>
      <c r="C13121" s="2" t="str">
        <f>"10010920"</f>
        <v>10010920</v>
      </c>
      <c r="D13121" s="2">
        <v>0.29099999999999998</v>
      </c>
      <c r="E13121" s="2">
        <v>24</v>
      </c>
      <c r="F13121" s="2" t="s">
        <v>46</v>
      </c>
    </row>
    <row r="13122" spans="1:6" ht="25.5">
      <c r="A13122" s="2">
        <v>13119</v>
      </c>
      <c r="B13122" s="2" t="s">
        <v>13197</v>
      </c>
      <c r="C13122" s="2" t="str">
        <f>"00233609"</f>
        <v>00233609</v>
      </c>
      <c r="D13122" s="2">
        <v>0.10100000000000001</v>
      </c>
      <c r="E13122" s="2">
        <v>3</v>
      </c>
      <c r="F13122" s="2" t="s">
        <v>16</v>
      </c>
    </row>
    <row r="13123" spans="1:6" ht="25.5">
      <c r="A13123" s="2">
        <v>13120</v>
      </c>
      <c r="B13123" s="2" t="s">
        <v>13198</v>
      </c>
      <c r="C13123" s="2" t="str">
        <f>"07205953"</f>
        <v>07205953</v>
      </c>
      <c r="D13123" s="2">
        <v>0.1</v>
      </c>
      <c r="E13123" s="2">
        <v>4</v>
      </c>
      <c r="F13123" s="2" t="s">
        <v>12</v>
      </c>
    </row>
    <row r="13124" spans="1:6" ht="25.5">
      <c r="A13124" s="2">
        <v>13121</v>
      </c>
      <c r="B13124" s="2" t="s">
        <v>13199</v>
      </c>
      <c r="C13124" s="2" t="str">
        <f>"12306142"</f>
        <v>12306142</v>
      </c>
      <c r="D13124" s="2">
        <v>0.1</v>
      </c>
      <c r="E13124" s="2">
        <v>0</v>
      </c>
      <c r="F13124" s="2" t="s">
        <v>169</v>
      </c>
    </row>
    <row r="13125" spans="1:6" ht="25.5">
      <c r="A13125" s="2">
        <v>13122</v>
      </c>
      <c r="B13125" s="2" t="s">
        <v>13200</v>
      </c>
      <c r="C13125" s="2" t="str">
        <f>"16087046"</f>
        <v>16087046</v>
      </c>
      <c r="D13125" s="2">
        <v>0.123</v>
      </c>
      <c r="E13125" s="2">
        <v>2</v>
      </c>
      <c r="F13125" s="2" t="s">
        <v>299</v>
      </c>
    </row>
    <row r="13126" spans="1:6" ht="25.5">
      <c r="A13126" s="2">
        <v>13123</v>
      </c>
      <c r="B13126" s="2" t="s">
        <v>13201</v>
      </c>
      <c r="C13126" s="2" t="str">
        <f>"1226119X"</f>
        <v>1226119X</v>
      </c>
      <c r="D13126" s="2">
        <v>0.42599999999999999</v>
      </c>
      <c r="E13126" s="2">
        <v>14</v>
      </c>
      <c r="F13126" s="2" t="s">
        <v>274</v>
      </c>
    </row>
    <row r="13127" spans="1:6" ht="25.5">
      <c r="A13127" s="2">
        <v>13124</v>
      </c>
      <c r="B13127" s="2" t="s">
        <v>13202</v>
      </c>
      <c r="C13127" s="2" t="str">
        <f>"00233900"</f>
        <v>00233900</v>
      </c>
      <c r="D13127" s="2">
        <v>0.113</v>
      </c>
      <c r="E13127" s="2">
        <v>3</v>
      </c>
      <c r="F13127" s="2" t="s">
        <v>274</v>
      </c>
    </row>
    <row r="13128" spans="1:6" ht="25.5">
      <c r="A13128" s="2">
        <v>13125</v>
      </c>
      <c r="B13128" s="2" t="s">
        <v>13203</v>
      </c>
      <c r="C13128" s="2" t="str">
        <f>"17385555"</f>
        <v>17385555</v>
      </c>
      <c r="D13128" s="2">
        <v>0.39700000000000002</v>
      </c>
      <c r="E13128" s="2">
        <v>9</v>
      </c>
      <c r="F13128" s="2" t="s">
        <v>274</v>
      </c>
    </row>
    <row r="13129" spans="1:6" ht="25.5">
      <c r="A13129" s="2">
        <v>13126</v>
      </c>
      <c r="B13129" s="2" t="s">
        <v>13204</v>
      </c>
      <c r="C13129" s="2" t="str">
        <f>"12258563"</f>
        <v>12258563</v>
      </c>
      <c r="D13129" s="2">
        <v>0.16</v>
      </c>
      <c r="E13129" s="2">
        <v>6</v>
      </c>
      <c r="F13129" s="2" t="s">
        <v>274</v>
      </c>
    </row>
    <row r="13130" spans="1:6" ht="25.5">
      <c r="A13130" s="2">
        <v>13127</v>
      </c>
      <c r="B13130" s="2" t="s">
        <v>13205</v>
      </c>
      <c r="C13130" s="2" t="str">
        <f>"12254886"</f>
        <v>12254886</v>
      </c>
      <c r="D13130" s="2">
        <v>0</v>
      </c>
      <c r="E13130" s="2">
        <v>1</v>
      </c>
      <c r="F13130" s="2" t="s">
        <v>274</v>
      </c>
    </row>
    <row r="13131" spans="1:6" ht="25.5">
      <c r="A13131" s="2">
        <v>13128</v>
      </c>
      <c r="B13131" s="2" t="s">
        <v>13206</v>
      </c>
      <c r="C13131" s="2" t="str">
        <f>"20057563"</f>
        <v>20057563</v>
      </c>
      <c r="D13131" s="2">
        <v>0.25700000000000001</v>
      </c>
      <c r="E13131" s="2">
        <v>6</v>
      </c>
      <c r="F13131" s="2" t="s">
        <v>274</v>
      </c>
    </row>
    <row r="13132" spans="1:6" ht="25.5">
      <c r="A13132" s="2">
        <v>13129</v>
      </c>
      <c r="B13132" s="2" t="s">
        <v>13207</v>
      </c>
      <c r="C13132" s="2" t="str">
        <f>"20933797"</f>
        <v>20933797</v>
      </c>
      <c r="D13132" s="2">
        <v>0.10100000000000001</v>
      </c>
      <c r="E13132" s="2">
        <v>1</v>
      </c>
      <c r="F13132" s="2" t="s">
        <v>274</v>
      </c>
    </row>
    <row r="13133" spans="1:6" ht="25.5">
      <c r="A13133" s="2">
        <v>13130</v>
      </c>
      <c r="B13133" s="2" t="s">
        <v>13208</v>
      </c>
      <c r="C13133" s="2" t="str">
        <f>"02561115"</f>
        <v>02561115</v>
      </c>
      <c r="D13133" s="2">
        <v>0.41099999999999998</v>
      </c>
      <c r="E13133" s="2">
        <v>30</v>
      </c>
      <c r="F13133" s="2" t="s">
        <v>6</v>
      </c>
    </row>
    <row r="13134" spans="1:6" ht="25.5">
      <c r="A13134" s="2">
        <v>13131</v>
      </c>
      <c r="B13134" s="2" t="s">
        <v>13209</v>
      </c>
      <c r="C13134" s="2" t="str">
        <f>"10163271"</f>
        <v>10163271</v>
      </c>
      <c r="D13134" s="2">
        <v>0.37</v>
      </c>
      <c r="E13134" s="2">
        <v>4</v>
      </c>
      <c r="F13134" s="2" t="s">
        <v>274</v>
      </c>
    </row>
    <row r="13135" spans="1:6" ht="25.5">
      <c r="A13135" s="2">
        <v>13132</v>
      </c>
      <c r="B13135" s="2" t="s">
        <v>13210</v>
      </c>
      <c r="C13135" s="2" t="str">
        <f>"04944739"</f>
        <v>04944739</v>
      </c>
      <c r="D13135" s="2">
        <v>0.17100000000000001</v>
      </c>
      <c r="E13135" s="2">
        <v>8</v>
      </c>
      <c r="F13135" s="2" t="s">
        <v>274</v>
      </c>
    </row>
    <row r="13136" spans="1:6" ht="25.5">
      <c r="A13136" s="2">
        <v>13133</v>
      </c>
      <c r="B13136" s="2" t="s">
        <v>13211</v>
      </c>
      <c r="C13136" s="2" t="str">
        <f>"20926715"</f>
        <v>20926715</v>
      </c>
      <c r="D13136" s="2">
        <v>0.155</v>
      </c>
      <c r="E13136" s="2">
        <v>3</v>
      </c>
      <c r="F13136" s="2" t="s">
        <v>274</v>
      </c>
    </row>
    <row r="13137" spans="1:6" ht="25.5">
      <c r="A13137" s="2">
        <v>13134</v>
      </c>
      <c r="B13137" s="2" t="s">
        <v>13212</v>
      </c>
      <c r="C13137" s="2" t="str">
        <f>"03676293"</f>
        <v>03676293</v>
      </c>
      <c r="D13137" s="2">
        <v>0.26400000000000001</v>
      </c>
      <c r="E13137" s="2">
        <v>10</v>
      </c>
      <c r="F13137" s="2" t="s">
        <v>274</v>
      </c>
    </row>
    <row r="13138" spans="1:6" ht="25.5">
      <c r="A13138" s="2">
        <v>13135</v>
      </c>
      <c r="B13138" s="2" t="s">
        <v>13213</v>
      </c>
      <c r="C13138" s="2" t="str">
        <f>"15989992"</f>
        <v>15989992</v>
      </c>
      <c r="D13138" s="2">
        <v>0.17399999999999999</v>
      </c>
      <c r="E13138" s="2">
        <v>14</v>
      </c>
      <c r="F13138" s="2" t="s">
        <v>274</v>
      </c>
    </row>
    <row r="13139" spans="1:6" ht="25.5">
      <c r="A13139" s="2">
        <v>13136</v>
      </c>
      <c r="B13139" s="2" t="s">
        <v>13214</v>
      </c>
      <c r="C13139" s="2" t="str">
        <f>"20929129"</f>
        <v>20929129</v>
      </c>
      <c r="D13139" s="2">
        <v>0.23599999999999999</v>
      </c>
      <c r="E13139" s="2">
        <v>3</v>
      </c>
      <c r="F13139" s="2" t="s">
        <v>274</v>
      </c>
    </row>
    <row r="13140" spans="1:6" ht="25.5">
      <c r="A13140" s="2">
        <v>13137</v>
      </c>
      <c r="B13140" s="2" t="s">
        <v>13215</v>
      </c>
      <c r="C13140" s="2" t="str">
        <f>"12268763"</f>
        <v>12268763</v>
      </c>
      <c r="D13140" s="2">
        <v>0.21099999999999999</v>
      </c>
      <c r="E13140" s="2">
        <v>4</v>
      </c>
      <c r="F13140" s="2" t="s">
        <v>274</v>
      </c>
    </row>
    <row r="13141" spans="1:6" ht="25.5">
      <c r="A13141" s="2">
        <v>13138</v>
      </c>
      <c r="B13141" s="2" t="s">
        <v>13216</v>
      </c>
      <c r="C13141" s="2" t="str">
        <f>"20056648"</f>
        <v>20056648</v>
      </c>
      <c r="D13141" s="2">
        <v>0.46400000000000002</v>
      </c>
      <c r="E13141" s="2">
        <v>19</v>
      </c>
      <c r="F13141" s="2" t="s">
        <v>274</v>
      </c>
    </row>
    <row r="13142" spans="1:6" ht="25.5">
      <c r="A13142" s="2">
        <v>13139</v>
      </c>
      <c r="B13142" s="2" t="s">
        <v>13217</v>
      </c>
      <c r="C13142" s="2" t="str">
        <f>"12250562"</f>
        <v>12250562</v>
      </c>
      <c r="D13142" s="2">
        <v>0.15</v>
      </c>
      <c r="E13142" s="2">
        <v>6</v>
      </c>
      <c r="F13142" s="2" t="s">
        <v>274</v>
      </c>
    </row>
    <row r="13143" spans="1:6" ht="25.5">
      <c r="A13143" s="2">
        <v>13140</v>
      </c>
      <c r="B13143" s="2" t="s">
        <v>13218</v>
      </c>
      <c r="C13143" s="2" t="str">
        <f>"12264709"</f>
        <v>12264709</v>
      </c>
      <c r="D13143" s="2">
        <v>0.187</v>
      </c>
      <c r="E13143" s="2">
        <v>5</v>
      </c>
      <c r="F13143" s="2" t="s">
        <v>274</v>
      </c>
    </row>
    <row r="13144" spans="1:6" ht="25.5">
      <c r="A13144" s="2">
        <v>13141</v>
      </c>
      <c r="B13144" s="2" t="s">
        <v>13219</v>
      </c>
      <c r="C13144" s="2" t="str">
        <f>"04402413"</f>
        <v>04402413</v>
      </c>
      <c r="D13144" s="2">
        <v>0.16300000000000001</v>
      </c>
      <c r="E13144" s="2">
        <v>4</v>
      </c>
      <c r="F13144" s="2" t="s">
        <v>274</v>
      </c>
    </row>
    <row r="13145" spans="1:6" ht="25.5">
      <c r="A13145" s="2">
        <v>13142</v>
      </c>
      <c r="B13145" s="2" t="s">
        <v>13220</v>
      </c>
      <c r="C13145" s="2" t="str">
        <f>"1598642X"</f>
        <v>1598642X</v>
      </c>
      <c r="D13145" s="2">
        <v>0.22500000000000001</v>
      </c>
      <c r="E13145" s="2">
        <v>12</v>
      </c>
      <c r="F13145" s="2" t="s">
        <v>274</v>
      </c>
    </row>
    <row r="13146" spans="1:6" ht="25.5">
      <c r="A13146" s="2">
        <v>13143</v>
      </c>
      <c r="B13146" s="2" t="s">
        <v>13221</v>
      </c>
      <c r="C13146" s="2" t="str">
        <f>"10118942"</f>
        <v>10118942</v>
      </c>
      <c r="D13146" s="2">
        <v>0.42099999999999999</v>
      </c>
      <c r="E13146" s="2">
        <v>16</v>
      </c>
      <c r="F13146" s="2" t="s">
        <v>274</v>
      </c>
    </row>
    <row r="13147" spans="1:6" ht="25.5">
      <c r="A13147" s="2">
        <v>13144</v>
      </c>
      <c r="B13147" s="2" t="s">
        <v>13222</v>
      </c>
      <c r="C13147" s="2" t="str">
        <f>"2005372X"</f>
        <v>2005372X</v>
      </c>
      <c r="D13147" s="2">
        <v>0.53800000000000003</v>
      </c>
      <c r="E13147" s="2">
        <v>6</v>
      </c>
      <c r="F13147" s="2" t="s">
        <v>274</v>
      </c>
    </row>
    <row r="13148" spans="1:6" ht="25.5">
      <c r="A13148" s="2">
        <v>13145</v>
      </c>
      <c r="B13148" s="2" t="s">
        <v>13223</v>
      </c>
      <c r="C13148" s="2" t="str">
        <f>"20930569"</f>
        <v>20930569</v>
      </c>
      <c r="D13148" s="2">
        <v>0.188</v>
      </c>
      <c r="E13148" s="2">
        <v>3</v>
      </c>
      <c r="F13148" s="2" t="s">
        <v>274</v>
      </c>
    </row>
    <row r="13149" spans="1:6" ht="25.5">
      <c r="A13149" s="2">
        <v>13146</v>
      </c>
      <c r="B13149" s="2" t="s">
        <v>13224</v>
      </c>
      <c r="C13149" s="2" t="str">
        <f>"17380006"</f>
        <v>17380006</v>
      </c>
      <c r="D13149" s="2">
        <v>0.52100000000000002</v>
      </c>
      <c r="E13149" s="2">
        <v>21</v>
      </c>
      <c r="F13149" s="2" t="s">
        <v>274</v>
      </c>
    </row>
    <row r="13150" spans="1:6" ht="25.5">
      <c r="A13150" s="2">
        <v>13147</v>
      </c>
      <c r="B13150" s="2" t="s">
        <v>13225</v>
      </c>
      <c r="C13150" s="2" t="str">
        <f>"17381843"</f>
        <v>17381843</v>
      </c>
      <c r="D13150" s="2">
        <v>0.13400000000000001</v>
      </c>
      <c r="E13150" s="2">
        <v>4</v>
      </c>
      <c r="F13150" s="2" t="s">
        <v>274</v>
      </c>
    </row>
    <row r="13151" spans="1:6" ht="25.5">
      <c r="A13151" s="2">
        <v>13148</v>
      </c>
      <c r="B13151" s="2" t="s">
        <v>13226</v>
      </c>
      <c r="C13151" s="2" t="str">
        <f>"12263923"</f>
        <v>12263923</v>
      </c>
      <c r="D13151" s="2">
        <v>0.153</v>
      </c>
      <c r="E13151" s="2">
        <v>2</v>
      </c>
      <c r="F13151" s="2" t="s">
        <v>274</v>
      </c>
    </row>
    <row r="13152" spans="1:6" ht="25.5">
      <c r="A13152" s="2">
        <v>13149</v>
      </c>
      <c r="B13152" s="2" t="s">
        <v>13227</v>
      </c>
      <c r="C13152" s="2" t="str">
        <f>"02533073"</f>
        <v>02533073</v>
      </c>
      <c r="D13152" s="2">
        <v>0.22800000000000001</v>
      </c>
      <c r="E13152" s="2">
        <v>11</v>
      </c>
      <c r="F13152" s="2" t="s">
        <v>274</v>
      </c>
    </row>
    <row r="13153" spans="1:6" ht="25.5">
      <c r="A13153" s="2">
        <v>13150</v>
      </c>
      <c r="B13153" s="2" t="s">
        <v>13228</v>
      </c>
      <c r="C13153" s="2" t="str">
        <f>"12264512"</f>
        <v>12264512</v>
      </c>
      <c r="D13153" s="2">
        <v>0.36899999999999999</v>
      </c>
      <c r="E13153" s="2">
        <v>10</v>
      </c>
      <c r="F13153" s="2" t="s">
        <v>274</v>
      </c>
    </row>
    <row r="13154" spans="1:6" ht="25.5">
      <c r="A13154" s="2">
        <v>13151</v>
      </c>
      <c r="B13154" s="2" t="s">
        <v>13229</v>
      </c>
      <c r="C13154" s="2" t="str">
        <f>"12296929"</f>
        <v>12296929</v>
      </c>
      <c r="D13154" s="2">
        <v>0.624</v>
      </c>
      <c r="E13154" s="2">
        <v>28</v>
      </c>
      <c r="F13154" s="2" t="s">
        <v>274</v>
      </c>
    </row>
    <row r="13155" spans="1:6" ht="25.5">
      <c r="A13155" s="2">
        <v>13152</v>
      </c>
      <c r="B13155" s="2" t="s">
        <v>13230</v>
      </c>
      <c r="C13155" s="2" t="str">
        <f>"2233601X"</f>
        <v>2233601X</v>
      </c>
      <c r="D13155" s="2">
        <v>0.128</v>
      </c>
      <c r="E13155" s="2">
        <v>2</v>
      </c>
      <c r="F13155" s="2" t="s">
        <v>274</v>
      </c>
    </row>
    <row r="13156" spans="1:6" ht="25.5">
      <c r="A13156" s="2">
        <v>13153</v>
      </c>
      <c r="B13156" s="2" t="s">
        <v>13231</v>
      </c>
      <c r="C13156" s="2" t="str">
        <f>"04944747"</f>
        <v>04944747</v>
      </c>
      <c r="D13156" s="2">
        <v>0.318</v>
      </c>
      <c r="E13156" s="2">
        <v>9</v>
      </c>
      <c r="F13156" s="2" t="s">
        <v>274</v>
      </c>
    </row>
    <row r="13157" spans="1:6" ht="25.5">
      <c r="A13157" s="2">
        <v>13154</v>
      </c>
      <c r="B13157" s="2" t="s">
        <v>13232</v>
      </c>
      <c r="C13157" s="2" t="str">
        <f>"12250198"</f>
        <v>12250198</v>
      </c>
      <c r="D13157" s="2">
        <v>0.10299999999999999</v>
      </c>
      <c r="E13157" s="2">
        <v>1</v>
      </c>
      <c r="F13157" s="2" t="s">
        <v>274</v>
      </c>
    </row>
    <row r="13158" spans="1:6" ht="25.5">
      <c r="A13158" s="2">
        <v>13155</v>
      </c>
      <c r="B13158" s="2" t="s">
        <v>13233</v>
      </c>
      <c r="C13158" s="2" t="str">
        <f>"00233919"</f>
        <v>00233919</v>
      </c>
      <c r="D13158" s="2">
        <v>0.33600000000000002</v>
      </c>
      <c r="E13158" s="2">
        <v>4</v>
      </c>
      <c r="F13158" s="2" t="s">
        <v>274</v>
      </c>
    </row>
    <row r="13159" spans="1:6" ht="25.5">
      <c r="A13159" s="2">
        <v>13156</v>
      </c>
      <c r="B13159" s="2" t="s">
        <v>13234</v>
      </c>
      <c r="C13159" s="2" t="str">
        <f>"01332546"</f>
        <v>01332546</v>
      </c>
      <c r="D13159" s="2">
        <v>0.13800000000000001</v>
      </c>
      <c r="E13159" s="2">
        <v>4</v>
      </c>
      <c r="F13159" s="2" t="s">
        <v>12</v>
      </c>
    </row>
    <row r="13160" spans="1:6" ht="25.5">
      <c r="A13160" s="2">
        <v>13157</v>
      </c>
      <c r="B13160" s="2" t="s">
        <v>13235</v>
      </c>
      <c r="C13160" s="2" t="str">
        <f>"03932095"</f>
        <v>03932095</v>
      </c>
      <c r="D13160" s="2">
        <v>0.10199999999999999</v>
      </c>
      <c r="E13160" s="2">
        <v>1</v>
      </c>
      <c r="F13160" s="2" t="s">
        <v>190</v>
      </c>
    </row>
    <row r="13161" spans="1:6" ht="25.5">
      <c r="A13161" s="2">
        <v>13158</v>
      </c>
      <c r="B13161" s="2" t="s">
        <v>13236</v>
      </c>
      <c r="C13161" s="2" t="str">
        <f>"14304031"</f>
        <v>14304031</v>
      </c>
      <c r="D13161" s="2">
        <v>0.111</v>
      </c>
      <c r="E13161" s="2">
        <v>4</v>
      </c>
      <c r="F13161" s="2" t="s">
        <v>12</v>
      </c>
    </row>
    <row r="13162" spans="1:6" ht="25.5">
      <c r="A13162" s="2">
        <v>13159</v>
      </c>
      <c r="B13162" s="2" t="s">
        <v>13237</v>
      </c>
      <c r="C13162" s="2" t="str">
        <f>"1177083X"</f>
        <v>1177083X</v>
      </c>
      <c r="D13162" s="2">
        <v>0.16800000000000001</v>
      </c>
      <c r="E13162" s="2">
        <v>2</v>
      </c>
      <c r="F13162" s="2" t="s">
        <v>503</v>
      </c>
    </row>
    <row r="13163" spans="1:6" ht="25.5">
      <c r="A13163" s="2">
        <v>13160</v>
      </c>
      <c r="B13163" s="2" t="s">
        <v>13238</v>
      </c>
      <c r="C13163" s="2" t="str">
        <f>"0023432X"</f>
        <v>0023432X</v>
      </c>
      <c r="D13163" s="2">
        <v>0.34</v>
      </c>
      <c r="E13163" s="2">
        <v>13</v>
      </c>
      <c r="F13163" s="2" t="s">
        <v>241</v>
      </c>
    </row>
    <row r="13164" spans="1:6" ht="25.5">
      <c r="A13164" s="2">
        <v>13161</v>
      </c>
      <c r="B13164" s="2" t="s">
        <v>13239</v>
      </c>
      <c r="C13164" s="2" t="str">
        <f>"14509628"</f>
        <v>14509628</v>
      </c>
      <c r="D13164" s="2">
        <v>0.21299999999999999</v>
      </c>
      <c r="E13164" s="2">
        <v>2</v>
      </c>
      <c r="F13164" s="2" t="s">
        <v>212</v>
      </c>
    </row>
    <row r="13165" spans="1:6" ht="25.5">
      <c r="A13165" s="2">
        <v>13162</v>
      </c>
      <c r="B13165" s="2" t="s">
        <v>13240</v>
      </c>
      <c r="C13165" s="2" t="str">
        <f>"15778843"</f>
        <v>15778843</v>
      </c>
      <c r="D13165" s="2">
        <v>0.105</v>
      </c>
      <c r="E13165" s="2">
        <v>1</v>
      </c>
      <c r="F13165" s="2" t="s">
        <v>351</v>
      </c>
    </row>
    <row r="13166" spans="1:6" ht="25.5">
      <c r="A13166" s="2">
        <v>13163</v>
      </c>
      <c r="B13166" s="2" t="s">
        <v>13241</v>
      </c>
      <c r="C13166" s="2" t="str">
        <f>"07203373"</f>
        <v>07203373</v>
      </c>
      <c r="D13166" s="2">
        <v>0.1</v>
      </c>
      <c r="E13166" s="2">
        <v>4</v>
      </c>
      <c r="F13166" s="2" t="s">
        <v>12</v>
      </c>
    </row>
    <row r="13167" spans="1:6" ht="25.5">
      <c r="A13167" s="2">
        <v>13164</v>
      </c>
      <c r="B13167" s="2" t="s">
        <v>13242</v>
      </c>
      <c r="C13167" s="2" t="str">
        <f>"01737597"</f>
        <v>01737597</v>
      </c>
      <c r="D13167" s="2">
        <v>0.16</v>
      </c>
      <c r="E13167" s="2">
        <v>9</v>
      </c>
      <c r="F13167" s="2" t="s">
        <v>12</v>
      </c>
    </row>
    <row r="13168" spans="1:6" ht="25.5">
      <c r="A13168" s="2">
        <v>13165</v>
      </c>
      <c r="B13168" s="2" t="s">
        <v>13243</v>
      </c>
      <c r="C13168" s="2" t="str">
        <f>"02530465"</f>
        <v>02530465</v>
      </c>
      <c r="D13168" s="2">
        <v>0.1</v>
      </c>
      <c r="E13168" s="2">
        <v>2</v>
      </c>
      <c r="F13168" s="2" t="s">
        <v>31</v>
      </c>
    </row>
    <row r="13169" spans="1:6" ht="25.5">
      <c r="A13169" s="2">
        <v>13166</v>
      </c>
      <c r="B13169" s="2" t="s">
        <v>13244</v>
      </c>
      <c r="C13169" s="2" t="str">
        <f>"00234699"</f>
        <v>00234699</v>
      </c>
      <c r="D13169" s="2">
        <v>0.188</v>
      </c>
      <c r="E13169" s="2">
        <v>6</v>
      </c>
      <c r="F13169" s="2" t="s">
        <v>12</v>
      </c>
    </row>
    <row r="13170" spans="1:6" ht="25.5">
      <c r="A13170" s="2">
        <v>13167</v>
      </c>
      <c r="B13170" s="2" t="s">
        <v>13245</v>
      </c>
      <c r="C13170" s="2" t="str">
        <f>"03411966"</f>
        <v>03411966</v>
      </c>
      <c r="D13170" s="2">
        <v>0.185</v>
      </c>
      <c r="E13170" s="2">
        <v>2</v>
      </c>
      <c r="F13170" s="2" t="s">
        <v>190</v>
      </c>
    </row>
    <row r="13171" spans="1:6" ht="25.5">
      <c r="A13171" s="2">
        <v>13168</v>
      </c>
      <c r="B13171" s="2" t="s">
        <v>13246</v>
      </c>
      <c r="C13171" s="2" t="str">
        <f>"0168275X"</f>
        <v>0168275X</v>
      </c>
      <c r="D13171" s="2">
        <v>0.10100000000000001</v>
      </c>
      <c r="E13171" s="2">
        <v>0</v>
      </c>
      <c r="F13171" s="2" t="s">
        <v>75</v>
      </c>
    </row>
    <row r="13172" spans="1:6" ht="25.5">
      <c r="A13172" s="2">
        <v>13169</v>
      </c>
      <c r="B13172" s="2" t="s">
        <v>13247</v>
      </c>
      <c r="C13172" s="2" t="str">
        <f>"19815336"</f>
        <v>19815336</v>
      </c>
      <c r="D13172" s="2">
        <v>0.1</v>
      </c>
      <c r="E13172" s="2">
        <v>1</v>
      </c>
      <c r="F13172" s="2" t="s">
        <v>159</v>
      </c>
    </row>
    <row r="13173" spans="1:6" ht="25.5">
      <c r="A13173" s="2">
        <v>13170</v>
      </c>
      <c r="B13173" s="2" t="s">
        <v>13248</v>
      </c>
      <c r="C13173" s="2" t="str">
        <f>"10198288"</f>
        <v>10198288</v>
      </c>
      <c r="D13173" s="2">
        <v>0.104</v>
      </c>
      <c r="E13173" s="2">
        <v>0</v>
      </c>
      <c r="F13173" s="2" t="s">
        <v>288</v>
      </c>
    </row>
    <row r="13174" spans="1:6" ht="25.5">
      <c r="A13174" s="2">
        <v>13171</v>
      </c>
      <c r="B13174" s="2" t="s">
        <v>13249</v>
      </c>
      <c r="C13174" s="2" t="str">
        <f>"15385000"</f>
        <v>15385000</v>
      </c>
      <c r="D13174" s="2">
        <v>0.254</v>
      </c>
      <c r="E13174" s="2">
        <v>8</v>
      </c>
      <c r="F13174" s="2" t="s">
        <v>6</v>
      </c>
    </row>
    <row r="13175" spans="1:6" ht="25.5">
      <c r="A13175" s="2">
        <v>13172</v>
      </c>
      <c r="B13175" s="2" t="s">
        <v>13250</v>
      </c>
      <c r="C13175" s="2" t="str">
        <f>"1656152X"</f>
        <v>1656152X</v>
      </c>
      <c r="D13175" s="2">
        <v>0.11</v>
      </c>
      <c r="E13175" s="2">
        <v>2</v>
      </c>
      <c r="F13175" s="2" t="s">
        <v>304</v>
      </c>
    </row>
    <row r="13176" spans="1:6" ht="25.5">
      <c r="A13176" s="2">
        <v>13173</v>
      </c>
      <c r="B13176" s="2" t="s">
        <v>13251</v>
      </c>
      <c r="C13176" s="2" t="str">
        <f>"03407403"</f>
        <v>03407403</v>
      </c>
      <c r="D13176" s="2">
        <v>0.1</v>
      </c>
      <c r="E13176" s="2">
        <v>1</v>
      </c>
      <c r="F13176" s="2" t="s">
        <v>12</v>
      </c>
    </row>
    <row r="13177" spans="1:6" ht="25.5">
      <c r="A13177" s="2">
        <v>13174</v>
      </c>
      <c r="B13177" s="2" t="s">
        <v>13252</v>
      </c>
      <c r="C13177" s="2" t="str">
        <f>"15685241"</f>
        <v>15685241</v>
      </c>
      <c r="D13177" s="2">
        <v>0.10299999999999999</v>
      </c>
      <c r="E13177" s="2">
        <v>3</v>
      </c>
      <c r="F13177" s="2" t="s">
        <v>75</v>
      </c>
    </row>
    <row r="13178" spans="1:6" ht="25.5">
      <c r="A13178" s="2">
        <v>13175</v>
      </c>
      <c r="B13178" s="2" t="s">
        <v>13253</v>
      </c>
      <c r="C13178" s="2" t="str">
        <f>"19763808"</f>
        <v>19763808</v>
      </c>
      <c r="D13178" s="2">
        <v>0.23</v>
      </c>
      <c r="E13178" s="2">
        <v>6</v>
      </c>
      <c r="F13178" s="2" t="s">
        <v>274</v>
      </c>
    </row>
    <row r="13179" spans="1:6" ht="25.5">
      <c r="A13179" s="2">
        <v>13176</v>
      </c>
      <c r="B13179" s="2" t="s">
        <v>13254</v>
      </c>
      <c r="C13179" s="2" t="str">
        <f>"19767277"</f>
        <v>19767277</v>
      </c>
      <c r="D13179" s="2">
        <v>0.33700000000000002</v>
      </c>
      <c r="E13179" s="2">
        <v>7</v>
      </c>
      <c r="F13179" s="2" t="s">
        <v>274</v>
      </c>
    </row>
    <row r="13180" spans="1:6" ht="25.5">
      <c r="A13180" s="2">
        <v>13177</v>
      </c>
      <c r="B13180" s="2" t="s">
        <v>13255</v>
      </c>
      <c r="C13180" s="2" t="str">
        <f>"10016872"</f>
        <v>10016872</v>
      </c>
      <c r="D13180" s="2">
        <v>0.17199999999999999</v>
      </c>
      <c r="E13180" s="2">
        <v>11</v>
      </c>
      <c r="F13180" s="2" t="s">
        <v>46</v>
      </c>
    </row>
    <row r="13181" spans="1:6" ht="25.5">
      <c r="A13181" s="2">
        <v>13178</v>
      </c>
      <c r="B13181" s="2" t="s">
        <v>13256</v>
      </c>
      <c r="C13181" s="2" t="str">
        <f>"04545648"</f>
        <v>04545648</v>
      </c>
      <c r="D13181" s="2">
        <v>0.214</v>
      </c>
      <c r="E13181" s="2">
        <v>14</v>
      </c>
      <c r="F13181" s="2" t="s">
        <v>46</v>
      </c>
    </row>
    <row r="13182" spans="1:6" ht="25.5">
      <c r="A13182" s="2">
        <v>13179</v>
      </c>
      <c r="B13182" s="2" t="s">
        <v>13257</v>
      </c>
      <c r="C13182" s="2" t="str">
        <f>"13007475"</f>
        <v>13007475</v>
      </c>
      <c r="D13182" s="2">
        <v>0.14199999999999999</v>
      </c>
      <c r="E13182" s="2">
        <v>7</v>
      </c>
      <c r="F13182" s="2" t="s">
        <v>345</v>
      </c>
    </row>
    <row r="13183" spans="1:6" ht="25.5">
      <c r="A13183" s="2">
        <v>13180</v>
      </c>
      <c r="B13183" s="2" t="s">
        <v>13258</v>
      </c>
      <c r="C13183" s="2" t="str">
        <f>"0253231X"</f>
        <v>0253231X</v>
      </c>
      <c r="D13183" s="2">
        <v>0.2</v>
      </c>
      <c r="E13183" s="2">
        <v>12</v>
      </c>
      <c r="F13183" s="2" t="s">
        <v>46</v>
      </c>
    </row>
    <row r="13184" spans="1:6" ht="25.5">
      <c r="A13184" s="2">
        <v>13181</v>
      </c>
      <c r="B13184" s="2" t="s">
        <v>13259</v>
      </c>
      <c r="C13184" s="2" t="str">
        <f>"09419179"</f>
        <v>09419179</v>
      </c>
      <c r="D13184" s="2">
        <v>0.1</v>
      </c>
      <c r="E13184" s="2">
        <v>0</v>
      </c>
      <c r="F13184" s="2" t="s">
        <v>12</v>
      </c>
    </row>
    <row r="13185" spans="1:6" ht="25.5">
      <c r="A13185" s="2">
        <v>13182</v>
      </c>
      <c r="B13185" s="2" t="s">
        <v>13260</v>
      </c>
      <c r="C13185" s="2" t="str">
        <f>"14062860"</f>
        <v>14062860</v>
      </c>
      <c r="D13185" s="2">
        <v>0.10100000000000001</v>
      </c>
      <c r="E13185" s="2">
        <v>1</v>
      </c>
      <c r="F13185" s="2" t="s">
        <v>265</v>
      </c>
    </row>
    <row r="13186" spans="1:6" ht="25.5">
      <c r="A13186" s="2">
        <v>13183</v>
      </c>
      <c r="B13186" s="2" t="s">
        <v>13261</v>
      </c>
      <c r="C13186" s="2" t="str">
        <f>"13030485"</f>
        <v>13030485</v>
      </c>
      <c r="D13186" s="2">
        <v>0.17299999999999999</v>
      </c>
      <c r="E13186" s="2">
        <v>5</v>
      </c>
      <c r="F13186" s="2" t="s">
        <v>345</v>
      </c>
    </row>
    <row r="13187" spans="1:6" ht="25.5">
      <c r="A13187" s="2">
        <v>13184</v>
      </c>
      <c r="B13187" s="2" t="s">
        <v>13262</v>
      </c>
      <c r="C13187" s="2" t="str">
        <f>"00235679"</f>
        <v>00235679</v>
      </c>
      <c r="D13187" s="2">
        <v>0.246</v>
      </c>
      <c r="E13187" s="2">
        <v>15</v>
      </c>
      <c r="F13187" s="2" t="s">
        <v>131</v>
      </c>
    </row>
    <row r="13188" spans="1:6" ht="25.5">
      <c r="A13188" s="2">
        <v>13185</v>
      </c>
      <c r="B13188" s="2" t="s">
        <v>13263</v>
      </c>
      <c r="C13188" s="2" t="str">
        <f>"10248684"</f>
        <v>10248684</v>
      </c>
      <c r="D13188" s="2">
        <v>0.10299999999999999</v>
      </c>
      <c r="E13188" s="2">
        <v>9</v>
      </c>
      <c r="F13188" s="2" t="s">
        <v>12874</v>
      </c>
    </row>
    <row r="13189" spans="1:6" ht="25.5">
      <c r="A13189" s="2">
        <v>13186</v>
      </c>
      <c r="B13189" s="2" t="s">
        <v>13264</v>
      </c>
      <c r="C13189" s="2" t="str">
        <f>"16078047"</f>
        <v>16078047</v>
      </c>
      <c r="D13189" s="2">
        <v>0.10199999999999999</v>
      </c>
      <c r="E13189" s="2">
        <v>4</v>
      </c>
      <c r="F13189" s="2" t="s">
        <v>12874</v>
      </c>
    </row>
    <row r="13190" spans="1:6" ht="25.5">
      <c r="A13190" s="2">
        <v>13187</v>
      </c>
      <c r="B13190" s="2" t="s">
        <v>13265</v>
      </c>
      <c r="C13190" s="2" t="str">
        <f>"0023589X"</f>
        <v>0023589X</v>
      </c>
      <c r="D13190" s="2">
        <v>0.10100000000000001</v>
      </c>
      <c r="E13190" s="2">
        <v>1</v>
      </c>
      <c r="F13190" s="2" t="s">
        <v>169</v>
      </c>
    </row>
    <row r="13191" spans="1:6" ht="25.5">
      <c r="A13191" s="2">
        <v>13188</v>
      </c>
      <c r="B13191" s="2" t="s">
        <v>13266</v>
      </c>
      <c r="C13191" s="2" t="str">
        <f>"0368492X"</f>
        <v>0368492X</v>
      </c>
      <c r="D13191" s="2">
        <v>0.28599999999999998</v>
      </c>
      <c r="E13191" s="2">
        <v>20</v>
      </c>
      <c r="F13191" s="2" t="s">
        <v>16</v>
      </c>
    </row>
    <row r="13192" spans="1:6" ht="25.5">
      <c r="A13192" s="2">
        <v>13189</v>
      </c>
      <c r="B13192" s="2" t="s">
        <v>13267</v>
      </c>
      <c r="C13192" s="2" t="str">
        <f>"00235954"</f>
        <v>00235954</v>
      </c>
      <c r="D13192" s="2">
        <v>0.48699999999999999</v>
      </c>
      <c r="E13192" s="2">
        <v>21</v>
      </c>
      <c r="F13192" s="2" t="s">
        <v>208</v>
      </c>
    </row>
    <row r="13193" spans="1:6" ht="25.5">
      <c r="A13193" s="2">
        <v>13190</v>
      </c>
      <c r="B13193" s="2" t="s">
        <v>13268</v>
      </c>
      <c r="C13193" s="2" t="str">
        <f>"14676435"</f>
        <v>14676435</v>
      </c>
      <c r="D13193" s="2">
        <v>0.748</v>
      </c>
      <c r="E13193" s="2">
        <v>31</v>
      </c>
      <c r="F13193" s="2" t="s">
        <v>16</v>
      </c>
    </row>
    <row r="13194" spans="1:6" ht="25.5">
      <c r="A13194" s="2">
        <v>13191</v>
      </c>
      <c r="B13194" s="2" t="s">
        <v>13269</v>
      </c>
      <c r="C13194" s="2" t="str">
        <f>"13426907"</f>
        <v>13426907</v>
      </c>
      <c r="D13194" s="2">
        <v>0.115</v>
      </c>
      <c r="E13194" s="2">
        <v>9</v>
      </c>
      <c r="F13194" s="2" t="s">
        <v>131</v>
      </c>
    </row>
    <row r="13195" spans="1:6" ht="25.5">
      <c r="A13195" s="2">
        <v>13192</v>
      </c>
      <c r="B13195" s="2" t="s">
        <v>13270</v>
      </c>
      <c r="C13195" s="2" t="str">
        <f>"12256951"</f>
        <v>12256951</v>
      </c>
      <c r="D13195" s="2">
        <v>0.33200000000000002</v>
      </c>
      <c r="E13195" s="2">
        <v>7</v>
      </c>
      <c r="F13195" s="2" t="s">
        <v>274</v>
      </c>
    </row>
    <row r="13196" spans="1:6" ht="25.5">
      <c r="A13196" s="2">
        <v>13193</v>
      </c>
      <c r="B13196" s="2" t="s">
        <v>13271</v>
      </c>
      <c r="C13196" s="2" t="str">
        <f>"13406116"</f>
        <v>13406116</v>
      </c>
      <c r="D13196" s="2">
        <v>0.53900000000000003</v>
      </c>
      <c r="E13196" s="2">
        <v>6</v>
      </c>
      <c r="F13196" s="2" t="s">
        <v>131</v>
      </c>
    </row>
    <row r="13197" spans="1:6" ht="25.5">
      <c r="A13197" s="2">
        <v>13194</v>
      </c>
      <c r="B13197" s="2" t="s">
        <v>13272</v>
      </c>
      <c r="C13197" s="2" t="str">
        <f>"00937355"</f>
        <v>00937355</v>
      </c>
      <c r="D13197" s="2">
        <v>0.20499999999999999</v>
      </c>
      <c r="E13197" s="2">
        <v>18</v>
      </c>
      <c r="F13197" s="2" t="s">
        <v>16</v>
      </c>
    </row>
    <row r="13198" spans="1:6" ht="25.5">
      <c r="A13198" s="2">
        <v>13195</v>
      </c>
      <c r="B13198" s="2" t="s">
        <v>13273</v>
      </c>
      <c r="C13198" s="2" t="str">
        <f>"14730197"</f>
        <v>14730197</v>
      </c>
      <c r="D13198" s="2">
        <v>2.0939999999999999</v>
      </c>
      <c r="E13198" s="2">
        <v>98</v>
      </c>
      <c r="F13198" s="2" t="s">
        <v>16</v>
      </c>
    </row>
    <row r="13199" spans="1:6" ht="25.5">
      <c r="A13199" s="2">
        <v>13196</v>
      </c>
      <c r="B13199" s="2" t="s">
        <v>13274</v>
      </c>
      <c r="C13199" s="2" t="str">
        <f>"14390477"</f>
        <v>14390477</v>
      </c>
      <c r="D13199" s="2">
        <v>0.14099999999999999</v>
      </c>
      <c r="E13199" s="2">
        <v>11</v>
      </c>
      <c r="F13199" s="2" t="s">
        <v>12</v>
      </c>
    </row>
    <row r="13200" spans="1:6" ht="25.5">
      <c r="A13200" s="2">
        <v>13197</v>
      </c>
      <c r="B13200" s="2" t="s">
        <v>13275</v>
      </c>
      <c r="C13200" s="2" t="str">
        <f>"17581117"</f>
        <v>17581117</v>
      </c>
      <c r="D13200" s="2">
        <v>0.45200000000000001</v>
      </c>
      <c r="E13200" s="2">
        <v>36</v>
      </c>
      <c r="F13200" s="2" t="s">
        <v>16</v>
      </c>
    </row>
    <row r="13201" spans="1:6" ht="25.5">
      <c r="A13201" s="2">
        <v>13198</v>
      </c>
      <c r="B13201" s="2" t="s">
        <v>13276</v>
      </c>
      <c r="C13201" s="2" t="str">
        <f>"00236810"</f>
        <v>00236810</v>
      </c>
      <c r="D13201" s="2">
        <v>0.10100000000000001</v>
      </c>
      <c r="E13201" s="2">
        <v>0</v>
      </c>
      <c r="F13201" s="2" t="s">
        <v>6</v>
      </c>
    </row>
    <row r="13202" spans="1:6" ht="25.5">
      <c r="A13202" s="2">
        <v>13199</v>
      </c>
      <c r="B13202" s="2" t="s">
        <v>13277</v>
      </c>
      <c r="C13202" s="2" t="str">
        <f>"15236528"</f>
        <v>15236528</v>
      </c>
      <c r="D13202" s="2">
        <v>0.19700000000000001</v>
      </c>
      <c r="E13202" s="2">
        <v>16</v>
      </c>
      <c r="F13202" s="2" t="s">
        <v>6</v>
      </c>
    </row>
    <row r="13203" spans="1:6" ht="25.5">
      <c r="A13203" s="2">
        <v>13200</v>
      </c>
      <c r="B13203" s="2" t="s">
        <v>13278</v>
      </c>
      <c r="C13203" s="2" t="str">
        <f>"15300307"</f>
        <v>15300307</v>
      </c>
      <c r="D13203" s="2">
        <v>1.448</v>
      </c>
      <c r="E13203" s="2">
        <v>109</v>
      </c>
      <c r="F13203" s="2" t="s">
        <v>16</v>
      </c>
    </row>
    <row r="13204" spans="1:6" ht="25.5">
      <c r="A13204" s="2">
        <v>13201</v>
      </c>
      <c r="B13204" s="2" t="s">
        <v>13279</v>
      </c>
      <c r="C13204" s="2" t="str">
        <f>"00075027"</f>
        <v>00075027</v>
      </c>
      <c r="D13204" s="2">
        <v>0.156</v>
      </c>
      <c r="E13204" s="2">
        <v>13</v>
      </c>
      <c r="F13204" s="2" t="s">
        <v>6</v>
      </c>
    </row>
    <row r="13205" spans="1:6" ht="25.5">
      <c r="A13205" s="2">
        <v>13202</v>
      </c>
      <c r="B13205" s="2" t="s">
        <v>13280</v>
      </c>
      <c r="C13205" s="2" t="str">
        <f>"14699702"</f>
        <v>14699702</v>
      </c>
      <c r="D13205" s="2">
        <v>0.19</v>
      </c>
      <c r="E13205" s="2">
        <v>8</v>
      </c>
      <c r="F13205" s="2" t="s">
        <v>6</v>
      </c>
    </row>
    <row r="13206" spans="1:6" ht="25.5">
      <c r="A13206" s="2">
        <v>13203</v>
      </c>
      <c r="B13206" s="2" t="s">
        <v>13281</v>
      </c>
      <c r="C13206" s="2" t="str">
        <f>"0160449X"</f>
        <v>0160449X</v>
      </c>
      <c r="D13206" s="2">
        <v>0.14699999999999999</v>
      </c>
      <c r="E13206" s="2">
        <v>12</v>
      </c>
      <c r="F13206" s="2" t="s">
        <v>6</v>
      </c>
    </row>
    <row r="13207" spans="1:6" ht="25.5">
      <c r="A13207" s="2">
        <v>13204</v>
      </c>
      <c r="B13207" s="2" t="s">
        <v>13282</v>
      </c>
      <c r="C13207" s="2" t="str">
        <f>"14679914"</f>
        <v>14679914</v>
      </c>
      <c r="D13207" s="2">
        <v>0.29499999999999998</v>
      </c>
      <c r="E13207" s="2">
        <v>14</v>
      </c>
      <c r="F13207" s="2" t="s">
        <v>16</v>
      </c>
    </row>
    <row r="13208" spans="1:6" ht="25.5">
      <c r="A13208" s="2">
        <v>13205</v>
      </c>
      <c r="B13208" s="2" t="s">
        <v>13282</v>
      </c>
      <c r="C13208" s="2" t="str">
        <f>"07003862"</f>
        <v>07003862</v>
      </c>
      <c r="D13208" s="2">
        <v>0.10100000000000001</v>
      </c>
      <c r="E13208" s="2">
        <v>11</v>
      </c>
      <c r="F13208" s="2" t="s">
        <v>64</v>
      </c>
    </row>
    <row r="13209" spans="1:6" ht="25.5">
      <c r="A13209" s="2">
        <v>13206</v>
      </c>
      <c r="B13209" s="2" t="s">
        <v>13283</v>
      </c>
      <c r="C13209" s="2" t="str">
        <f>"07061706"</f>
        <v>07061706</v>
      </c>
      <c r="D13209" s="2">
        <v>0.13400000000000001</v>
      </c>
      <c r="E13209" s="2">
        <v>5</v>
      </c>
      <c r="F13209" s="2" t="s">
        <v>64</v>
      </c>
    </row>
    <row r="13210" spans="1:6" ht="25.5">
      <c r="A13210" s="2">
        <v>13207</v>
      </c>
      <c r="B13210" s="2" t="s">
        <v>13284</v>
      </c>
      <c r="C13210" s="2" t="str">
        <f>"09275371"</f>
        <v>09275371</v>
      </c>
      <c r="D13210" s="2">
        <v>1.6519999999999999</v>
      </c>
      <c r="E13210" s="2">
        <v>35</v>
      </c>
      <c r="F13210" s="2" t="s">
        <v>75</v>
      </c>
    </row>
    <row r="13211" spans="1:6" ht="25.5">
      <c r="A13211" s="2">
        <v>13208</v>
      </c>
      <c r="B13211" s="2" t="s">
        <v>13285</v>
      </c>
      <c r="C13211" s="2" t="str">
        <f>"00236942"</f>
        <v>00236942</v>
      </c>
      <c r="D13211" s="2">
        <v>0.151</v>
      </c>
      <c r="E13211" s="2">
        <v>4</v>
      </c>
      <c r="F13211" s="2" t="s">
        <v>127</v>
      </c>
    </row>
    <row r="13212" spans="1:6" ht="25.5">
      <c r="A13212" s="2">
        <v>13209</v>
      </c>
      <c r="B13212" s="2" t="s">
        <v>13286</v>
      </c>
      <c r="C13212" s="2" t="str">
        <f>"17458188"</f>
        <v>17458188</v>
      </c>
      <c r="D13212" s="2">
        <v>0.13200000000000001</v>
      </c>
      <c r="E13212" s="2">
        <v>3</v>
      </c>
      <c r="F13212" s="2" t="s">
        <v>16</v>
      </c>
    </row>
    <row r="13213" spans="1:6" ht="25.5">
      <c r="A13213" s="2">
        <v>13210</v>
      </c>
      <c r="B13213" s="2" t="s">
        <v>13287</v>
      </c>
      <c r="C13213" s="2" t="str">
        <f>"16704959"</f>
        <v>16704959</v>
      </c>
      <c r="D13213" s="2">
        <v>0.189</v>
      </c>
      <c r="E13213" s="2">
        <v>7</v>
      </c>
      <c r="F13213" s="2" t="s">
        <v>7181</v>
      </c>
    </row>
    <row r="13214" spans="1:6" ht="25.5">
      <c r="A13214" s="2">
        <v>13211</v>
      </c>
      <c r="B13214" s="2" t="s">
        <v>13288</v>
      </c>
      <c r="C13214" s="2" t="str">
        <f>"00237205"</f>
        <v>00237205</v>
      </c>
      <c r="D13214" s="2">
        <v>0.14599999999999999</v>
      </c>
      <c r="E13214" s="2">
        <v>16</v>
      </c>
      <c r="F13214" s="2" t="s">
        <v>151</v>
      </c>
    </row>
    <row r="13215" spans="1:6" ht="25.5">
      <c r="A13215" s="2">
        <v>13212</v>
      </c>
      <c r="B13215" s="2" t="s">
        <v>13289</v>
      </c>
      <c r="C13215" s="2" t="str">
        <f>"07438141"</f>
        <v>07438141</v>
      </c>
      <c r="D13215" s="2">
        <v>0.48399999999999999</v>
      </c>
      <c r="E13215" s="2">
        <v>12</v>
      </c>
      <c r="F13215" s="2" t="s">
        <v>16</v>
      </c>
    </row>
    <row r="13216" spans="1:6" ht="25.5">
      <c r="A13216" s="2">
        <v>13213</v>
      </c>
      <c r="B13216" s="2" t="s">
        <v>13290</v>
      </c>
      <c r="C13216" s="2" t="str">
        <f>"14401770"</f>
        <v>14401770</v>
      </c>
      <c r="D13216" s="2">
        <v>0.30399999999999999</v>
      </c>
      <c r="E13216" s="2">
        <v>22</v>
      </c>
      <c r="F13216" s="2" t="s">
        <v>16</v>
      </c>
    </row>
    <row r="13217" spans="1:6" ht="25.5">
      <c r="A13217" s="2">
        <v>13214</v>
      </c>
      <c r="B13217" s="2" t="s">
        <v>13291</v>
      </c>
      <c r="C13217" s="2" t="str">
        <f>"0075966X"</f>
        <v>0075966X</v>
      </c>
      <c r="D13217" s="2">
        <v>0.10299999999999999</v>
      </c>
      <c r="E13217" s="2">
        <v>3</v>
      </c>
      <c r="F13217" s="2" t="s">
        <v>66</v>
      </c>
    </row>
    <row r="13218" spans="1:6">
      <c r="A13218" s="2">
        <v>13215</v>
      </c>
      <c r="B13218" s="2" t="s">
        <v>13292</v>
      </c>
      <c r="C13218" s="2" t="str">
        <f>"0"</f>
        <v>0</v>
      </c>
      <c r="D13218" s="2">
        <v>0</v>
      </c>
      <c r="E13218" s="2">
        <v>0</v>
      </c>
      <c r="F13218" s="2" t="s">
        <v>6</v>
      </c>
    </row>
    <row r="13219" spans="1:6" ht="25.5">
      <c r="A13219" s="2">
        <v>13216</v>
      </c>
      <c r="B13219" s="2" t="s">
        <v>13293</v>
      </c>
      <c r="C13219" s="2" t="str">
        <f>"05031540"</f>
        <v>05031540</v>
      </c>
      <c r="D13219" s="2">
        <v>0.14699999999999999</v>
      </c>
      <c r="E13219" s="2">
        <v>9</v>
      </c>
      <c r="F13219" s="2" t="s">
        <v>131</v>
      </c>
    </row>
    <row r="13220" spans="1:6" ht="25.5">
      <c r="A13220" s="2">
        <v>13217</v>
      </c>
      <c r="B13220" s="2" t="s">
        <v>13294</v>
      </c>
      <c r="C13220" s="2" t="str">
        <f>"14733099"</f>
        <v>14733099</v>
      </c>
      <c r="D13220" s="2">
        <v>7.3120000000000003</v>
      </c>
      <c r="E13220" s="2">
        <v>117</v>
      </c>
      <c r="F13220" s="2" t="s">
        <v>16</v>
      </c>
    </row>
    <row r="13221" spans="1:6" ht="25.5">
      <c r="A13221" s="2">
        <v>13218</v>
      </c>
      <c r="B13221" s="2" t="s">
        <v>13295</v>
      </c>
      <c r="C13221" s="2" t="str">
        <f>"14744422"</f>
        <v>14744422</v>
      </c>
      <c r="D13221" s="2">
        <v>8.7260000000000009</v>
      </c>
      <c r="E13221" s="2">
        <v>140</v>
      </c>
      <c r="F13221" s="2" t="s">
        <v>16</v>
      </c>
    </row>
    <row r="13222" spans="1:6" ht="25.5">
      <c r="A13222" s="2">
        <v>13219</v>
      </c>
      <c r="B13222" s="2" t="s">
        <v>13296</v>
      </c>
      <c r="C13222" s="2" t="str">
        <f>"14745488"</f>
        <v>14745488</v>
      </c>
      <c r="D13222" s="2">
        <v>9.9280000000000008</v>
      </c>
      <c r="E13222" s="2">
        <v>135</v>
      </c>
      <c r="F13222" s="2" t="s">
        <v>16</v>
      </c>
    </row>
    <row r="13223" spans="1:6" ht="25.5">
      <c r="A13223" s="2">
        <v>13220</v>
      </c>
      <c r="B13223" s="2" t="s">
        <v>13297</v>
      </c>
      <c r="C13223" s="2" t="str">
        <f>"22132600"</f>
        <v>22132600</v>
      </c>
      <c r="D13223" s="2">
        <v>0</v>
      </c>
      <c r="E13223" s="2">
        <v>0</v>
      </c>
      <c r="F13223" s="2" t="s">
        <v>16</v>
      </c>
    </row>
    <row r="13224" spans="1:6" ht="25.5">
      <c r="A13224" s="2">
        <v>13221</v>
      </c>
      <c r="B13224" s="2" t="s">
        <v>13298</v>
      </c>
      <c r="C13224" s="2" t="str">
        <f>"1474547X"</f>
        <v>1474547X</v>
      </c>
      <c r="D13224" s="2">
        <v>7.0739999999999998</v>
      </c>
      <c r="E13224" s="2">
        <v>477</v>
      </c>
      <c r="F13224" s="2" t="s">
        <v>16</v>
      </c>
    </row>
    <row r="13225" spans="1:6" ht="25.5">
      <c r="A13225" s="2">
        <v>13222</v>
      </c>
      <c r="B13225" s="2" t="s">
        <v>13299</v>
      </c>
      <c r="C13225" s="2" t="str">
        <f>"04586859"</f>
        <v>04586859</v>
      </c>
      <c r="D13225" s="2">
        <v>0.376</v>
      </c>
      <c r="E13225" s="2">
        <v>13</v>
      </c>
      <c r="F13225" s="2" t="s">
        <v>12</v>
      </c>
    </row>
    <row r="13226" spans="1:6" ht="25.5">
      <c r="A13226" s="2">
        <v>13223</v>
      </c>
      <c r="B13226" s="2" t="s">
        <v>13300</v>
      </c>
      <c r="C13226" s="2" t="str">
        <f>"1099145X"</f>
        <v>1099145X</v>
      </c>
      <c r="D13226" s="2">
        <v>0.69299999999999995</v>
      </c>
      <c r="E13226" s="2">
        <v>33</v>
      </c>
      <c r="F13226" s="2" t="s">
        <v>16</v>
      </c>
    </row>
    <row r="13227" spans="1:6" ht="25.5">
      <c r="A13227" s="2">
        <v>13224</v>
      </c>
      <c r="B13227" s="2" t="s">
        <v>13301</v>
      </c>
      <c r="C13227" s="2" t="str">
        <f>"15438325"</f>
        <v>15438325</v>
      </c>
      <c r="D13227" s="2">
        <v>1.032</v>
      </c>
      <c r="E13227" s="2">
        <v>49</v>
      </c>
      <c r="F13227" s="2" t="s">
        <v>6</v>
      </c>
    </row>
    <row r="13228" spans="1:6" ht="25.5">
      <c r="A13228" s="2">
        <v>13225</v>
      </c>
      <c r="B13228" s="2" t="s">
        <v>13302</v>
      </c>
      <c r="C13228" s="2" t="str">
        <f>"00237930"</f>
        <v>00237930</v>
      </c>
      <c r="D13228" s="2">
        <v>0.1</v>
      </c>
      <c r="E13228" s="2">
        <v>2</v>
      </c>
      <c r="F13228" s="2" t="s">
        <v>503</v>
      </c>
    </row>
    <row r="13229" spans="1:6" ht="25.5">
      <c r="A13229" s="2">
        <v>13226</v>
      </c>
      <c r="B13229" s="2" t="s">
        <v>13303</v>
      </c>
      <c r="C13229" s="2" t="str">
        <f>"1860188X"</f>
        <v>1860188X</v>
      </c>
      <c r="D13229" s="2">
        <v>0.58399999999999996</v>
      </c>
      <c r="E13229" s="2">
        <v>9</v>
      </c>
      <c r="F13229" s="2" t="s">
        <v>131</v>
      </c>
    </row>
    <row r="13230" spans="1:6" ht="25.5">
      <c r="A13230" s="2">
        <v>13227</v>
      </c>
      <c r="B13230" s="2" t="s">
        <v>13304</v>
      </c>
      <c r="C13230" s="2" t="str">
        <f>"01692046"</f>
        <v>01692046</v>
      </c>
      <c r="D13230" s="2">
        <v>1.014</v>
      </c>
      <c r="E13230" s="2">
        <v>67</v>
      </c>
      <c r="F13230" s="2" t="s">
        <v>75</v>
      </c>
    </row>
    <row r="13231" spans="1:6" ht="25.5">
      <c r="A13231" s="2">
        <v>13228</v>
      </c>
      <c r="B13231" s="2" t="s">
        <v>13305</v>
      </c>
      <c r="C13231" s="2" t="str">
        <f>"00238031"</f>
        <v>00238031</v>
      </c>
      <c r="D13231" s="2">
        <v>0.10100000000000001</v>
      </c>
      <c r="E13231" s="2">
        <v>3</v>
      </c>
      <c r="F13231" s="2" t="s">
        <v>6</v>
      </c>
    </row>
    <row r="13232" spans="1:6" ht="25.5">
      <c r="A13232" s="2">
        <v>13229</v>
      </c>
      <c r="B13232" s="2" t="s">
        <v>13306</v>
      </c>
      <c r="C13232" s="2" t="str">
        <f>"15729761"</f>
        <v>15729761</v>
      </c>
      <c r="D13232" s="2">
        <v>1.536</v>
      </c>
      <c r="E13232" s="2">
        <v>72</v>
      </c>
      <c r="F13232" s="2" t="s">
        <v>75</v>
      </c>
    </row>
    <row r="13233" spans="1:6" ht="25.5">
      <c r="A13233" s="2">
        <v>13230</v>
      </c>
      <c r="B13233" s="2" t="s">
        <v>13307</v>
      </c>
      <c r="C13233" s="2" t="str">
        <f>"01433768"</f>
        <v>01433768</v>
      </c>
      <c r="D13233" s="2">
        <v>0.111</v>
      </c>
      <c r="E13233" s="2">
        <v>3</v>
      </c>
      <c r="F13233" s="2" t="s">
        <v>16</v>
      </c>
    </row>
    <row r="13234" spans="1:6" ht="25.5">
      <c r="A13234" s="2">
        <v>13231</v>
      </c>
      <c r="B13234" s="2" t="s">
        <v>13308</v>
      </c>
      <c r="C13234" s="2" t="str">
        <f>"15532704"</f>
        <v>15532704</v>
      </c>
      <c r="D13234" s="2">
        <v>0.15</v>
      </c>
      <c r="E13234" s="2">
        <v>4</v>
      </c>
      <c r="F13234" s="2" t="s">
        <v>6</v>
      </c>
    </row>
    <row r="13235" spans="1:6" ht="25.5">
      <c r="A13235" s="2">
        <v>13232</v>
      </c>
      <c r="B13235" s="2" t="s">
        <v>13309</v>
      </c>
      <c r="C13235" s="2" t="str">
        <f>"18651542"</f>
        <v>18651542</v>
      </c>
      <c r="D13235" s="2">
        <v>0.126</v>
      </c>
      <c r="E13235" s="2">
        <v>1</v>
      </c>
      <c r="F13235" s="2" t="s">
        <v>12</v>
      </c>
    </row>
    <row r="13236" spans="1:6" ht="25.5">
      <c r="A13236" s="2">
        <v>13233</v>
      </c>
      <c r="B13236" s="2" t="s">
        <v>13310</v>
      </c>
      <c r="C13236" s="2" t="str">
        <f>"14699710"</f>
        <v>14699710</v>
      </c>
      <c r="D13236" s="2">
        <v>0.33700000000000002</v>
      </c>
      <c r="E13236" s="2">
        <v>20</v>
      </c>
      <c r="F13236" s="2" t="s">
        <v>16</v>
      </c>
    </row>
    <row r="13237" spans="1:6" ht="25.5">
      <c r="A13237" s="2">
        <v>13234</v>
      </c>
      <c r="B13237" s="2" t="s">
        <v>13311</v>
      </c>
      <c r="C13237" s="2" t="str">
        <f>"14929600"</f>
        <v>14929600</v>
      </c>
      <c r="D13237" s="2">
        <v>0.1</v>
      </c>
      <c r="E13237" s="2">
        <v>1</v>
      </c>
      <c r="F13237" s="2" t="s">
        <v>16</v>
      </c>
    </row>
    <row r="13238" spans="1:6" ht="25.5">
      <c r="A13238" s="2">
        <v>13235</v>
      </c>
      <c r="B13238" s="2" t="s">
        <v>13312</v>
      </c>
      <c r="C13238" s="2" t="str">
        <f>"01696300"</f>
        <v>01696300</v>
      </c>
      <c r="D13238" s="2">
        <v>0.19500000000000001</v>
      </c>
      <c r="E13238" s="2">
        <v>4</v>
      </c>
      <c r="F13238" s="2" t="s">
        <v>75</v>
      </c>
    </row>
    <row r="13239" spans="1:6" ht="25.5">
      <c r="A13239" s="2">
        <v>13236</v>
      </c>
      <c r="B13239" s="2" t="s">
        <v>13313</v>
      </c>
      <c r="C13239" s="2" t="str">
        <f>"16125118"</f>
        <v>16125118</v>
      </c>
      <c r="D13239" s="2">
        <v>1.159</v>
      </c>
      <c r="E13239" s="2">
        <v>22</v>
      </c>
      <c r="F13239" s="2" t="s">
        <v>12</v>
      </c>
    </row>
    <row r="13240" spans="1:6" ht="25.5">
      <c r="A13240" s="2">
        <v>13237</v>
      </c>
      <c r="B13240" s="2" t="s">
        <v>13314</v>
      </c>
      <c r="C13240" s="2" t="str">
        <f>"02648377"</f>
        <v>02648377</v>
      </c>
      <c r="D13240" s="2">
        <v>1.232</v>
      </c>
      <c r="E13240" s="2">
        <v>41</v>
      </c>
      <c r="F13240" s="2" t="s">
        <v>16</v>
      </c>
    </row>
    <row r="13241" spans="1:6" ht="25.5">
      <c r="A13241" s="2">
        <v>13238</v>
      </c>
      <c r="B13241" s="2" t="s">
        <v>13315</v>
      </c>
      <c r="C13241" s="2" t="str">
        <f>"01814095"</f>
        <v>01814095</v>
      </c>
      <c r="D13241" s="2">
        <v>0.153</v>
      </c>
      <c r="E13241" s="2">
        <v>6</v>
      </c>
      <c r="F13241" s="2" t="s">
        <v>66</v>
      </c>
    </row>
    <row r="13242" spans="1:6" ht="25.5">
      <c r="A13242" s="2">
        <v>13239</v>
      </c>
      <c r="B13242" s="2" t="s">
        <v>13316</v>
      </c>
      <c r="C13242" s="2" t="str">
        <f>"0458726X"</f>
        <v>0458726X</v>
      </c>
      <c r="D13242" s="2">
        <v>0.108</v>
      </c>
      <c r="E13242" s="2">
        <v>6</v>
      </c>
      <c r="F13242" s="2" t="s">
        <v>66</v>
      </c>
    </row>
    <row r="13243" spans="1:6" ht="25.5">
      <c r="A13243" s="2">
        <v>13240</v>
      </c>
      <c r="B13243" s="2" t="s">
        <v>13317</v>
      </c>
      <c r="C13243" s="2" t="str">
        <f>"14352451"</f>
        <v>14352451</v>
      </c>
      <c r="D13243" s="2">
        <v>0.68500000000000005</v>
      </c>
      <c r="E13243" s="2">
        <v>50</v>
      </c>
      <c r="F13243" s="2" t="s">
        <v>12</v>
      </c>
    </row>
    <row r="13244" spans="1:6" ht="25.5">
      <c r="A13244" s="2">
        <v>13241</v>
      </c>
      <c r="B13244" s="2" t="s">
        <v>13318</v>
      </c>
      <c r="C13244" s="2" t="str">
        <f>"15205827"</f>
        <v>15205827</v>
      </c>
      <c r="D13244" s="2">
        <v>1.8720000000000001</v>
      </c>
      <c r="E13244" s="2">
        <v>205</v>
      </c>
      <c r="F13244" s="2" t="s">
        <v>6</v>
      </c>
    </row>
    <row r="13245" spans="1:6" ht="25.5">
      <c r="A13245" s="2">
        <v>13242</v>
      </c>
      <c r="B13245" s="2" t="s">
        <v>13319</v>
      </c>
      <c r="C13245" s="2" t="str">
        <f>"15350665"</f>
        <v>15350665</v>
      </c>
      <c r="D13245" s="2">
        <v>1.47</v>
      </c>
      <c r="E13245" s="2">
        <v>36</v>
      </c>
      <c r="F13245" s="2" t="s">
        <v>6</v>
      </c>
    </row>
    <row r="13246" spans="1:6" ht="25.5">
      <c r="A13246" s="2">
        <v>13243</v>
      </c>
      <c r="B13246" s="2" t="s">
        <v>13320</v>
      </c>
      <c r="C13246" s="2" t="str">
        <f>"15327817"</f>
        <v>15327817</v>
      </c>
      <c r="D13246" s="2">
        <v>0.40300000000000002</v>
      </c>
      <c r="E13246" s="2">
        <v>8</v>
      </c>
      <c r="F13246" s="2" t="s">
        <v>16</v>
      </c>
    </row>
    <row r="13247" spans="1:6" ht="25.5">
      <c r="A13247" s="2">
        <v>13244</v>
      </c>
      <c r="B13247" s="2" t="s">
        <v>13321</v>
      </c>
      <c r="C13247" s="2" t="str">
        <f>"14640732"</f>
        <v>14640732</v>
      </c>
      <c r="D13247" s="2">
        <v>1.0069999999999999</v>
      </c>
      <c r="E13247" s="2">
        <v>45</v>
      </c>
      <c r="F13247" s="2" t="s">
        <v>16</v>
      </c>
    </row>
    <row r="13248" spans="1:6" ht="25.5">
      <c r="A13248" s="2">
        <v>13245</v>
      </c>
      <c r="B13248" s="2" t="s">
        <v>13322</v>
      </c>
      <c r="C13248" s="2" t="str">
        <f>"02715309"</f>
        <v>02715309</v>
      </c>
      <c r="D13248" s="2">
        <v>0.42499999999999999</v>
      </c>
      <c r="E13248" s="2">
        <v>19</v>
      </c>
      <c r="F13248" s="2" t="s">
        <v>16</v>
      </c>
    </row>
    <row r="13249" spans="1:6" ht="25.5">
      <c r="A13249" s="2">
        <v>13246</v>
      </c>
      <c r="B13249" s="2" t="s">
        <v>13323</v>
      </c>
      <c r="C13249" s="2" t="str">
        <f>"18757294"</f>
        <v>18757294</v>
      </c>
      <c r="D13249" s="2">
        <v>0.10199999999999999</v>
      </c>
      <c r="E13249" s="2">
        <v>0</v>
      </c>
      <c r="F13249" s="2" t="s">
        <v>75</v>
      </c>
    </row>
    <row r="13250" spans="1:6" ht="25.5">
      <c r="A13250" s="2">
        <v>13247</v>
      </c>
      <c r="B13250" s="2" t="s">
        <v>13324</v>
      </c>
      <c r="C13250" s="2" t="str">
        <f>"09500782"</f>
        <v>09500782</v>
      </c>
      <c r="D13250" s="2">
        <v>0.754</v>
      </c>
      <c r="E13250" s="2">
        <v>11</v>
      </c>
      <c r="F13250" s="2" t="s">
        <v>16</v>
      </c>
    </row>
    <row r="13251" spans="1:6" ht="25.5">
      <c r="A13251" s="2">
        <v>13248</v>
      </c>
      <c r="B13251" s="2" t="s">
        <v>13325</v>
      </c>
      <c r="C13251" s="2" t="str">
        <f>"14708477"</f>
        <v>14708477</v>
      </c>
      <c r="D13251" s="2">
        <v>0.19700000000000001</v>
      </c>
      <c r="E13251" s="2">
        <v>6</v>
      </c>
      <c r="F13251" s="2" t="s">
        <v>16</v>
      </c>
    </row>
    <row r="13252" spans="1:6" ht="25.5">
      <c r="A13252" s="2">
        <v>13249</v>
      </c>
      <c r="B13252" s="2" t="s">
        <v>13326</v>
      </c>
      <c r="C13252" s="2" t="str">
        <f>"1606822X"</f>
        <v>1606822X</v>
      </c>
      <c r="D13252" s="2">
        <v>0.32400000000000001</v>
      </c>
      <c r="E13252" s="2">
        <v>4</v>
      </c>
      <c r="F13252" s="2" t="s">
        <v>165</v>
      </c>
    </row>
    <row r="13253" spans="1:6" ht="25.5">
      <c r="A13253" s="2">
        <v>13250</v>
      </c>
      <c r="B13253" s="2" t="s">
        <v>13327</v>
      </c>
      <c r="C13253" s="2" t="str">
        <f>"14617293"</f>
        <v>14617293</v>
      </c>
      <c r="D13253" s="2">
        <v>0.498</v>
      </c>
      <c r="E13253" s="2">
        <v>11</v>
      </c>
      <c r="F13253" s="2" t="s">
        <v>16</v>
      </c>
    </row>
    <row r="13254" spans="1:6" ht="25.5">
      <c r="A13254" s="2">
        <v>13251</v>
      </c>
      <c r="B13254" s="2" t="s">
        <v>13328</v>
      </c>
      <c r="C13254" s="2" t="str">
        <f>"00238309"</f>
        <v>00238309</v>
      </c>
      <c r="D13254" s="2">
        <v>0.69799999999999995</v>
      </c>
      <c r="E13254" s="2">
        <v>27</v>
      </c>
      <c r="F13254" s="2" t="s">
        <v>6</v>
      </c>
    </row>
    <row r="13255" spans="1:6" ht="25.5">
      <c r="A13255" s="2">
        <v>13252</v>
      </c>
      <c r="B13255" s="2" t="s">
        <v>13329</v>
      </c>
      <c r="C13255" s="2" t="str">
        <f>"15434303"</f>
        <v>15434303</v>
      </c>
      <c r="D13255" s="2">
        <v>0.45</v>
      </c>
      <c r="E13255" s="2">
        <v>6</v>
      </c>
      <c r="F13255" s="2" t="s">
        <v>16</v>
      </c>
    </row>
    <row r="13256" spans="1:6" ht="25.5">
      <c r="A13256" s="2">
        <v>13253</v>
      </c>
      <c r="B13256" s="2" t="s">
        <v>13330</v>
      </c>
      <c r="C13256" s="2" t="str">
        <f>"09658416"</f>
        <v>09658416</v>
      </c>
      <c r="D13256" s="2">
        <v>0.55200000000000005</v>
      </c>
      <c r="E13256" s="2">
        <v>5</v>
      </c>
      <c r="F13256" s="2" t="s">
        <v>16</v>
      </c>
    </row>
    <row r="13257" spans="1:6" ht="25.5">
      <c r="A13257" s="2">
        <v>13254</v>
      </c>
      <c r="B13257" s="2" t="s">
        <v>13331</v>
      </c>
      <c r="C13257" s="2" t="str">
        <f>"07908318"</f>
        <v>07908318</v>
      </c>
      <c r="D13257" s="2">
        <v>0.30299999999999999</v>
      </c>
      <c r="E13257" s="2">
        <v>9</v>
      </c>
      <c r="F13257" s="2" t="s">
        <v>16</v>
      </c>
    </row>
    <row r="13258" spans="1:6" ht="25.5">
      <c r="A13258" s="2">
        <v>13255</v>
      </c>
      <c r="B13258" s="2" t="s">
        <v>13332</v>
      </c>
      <c r="C13258" s="2" t="str">
        <f>"14698013"</f>
        <v>14698013</v>
      </c>
      <c r="D13258" s="2">
        <v>0.90400000000000003</v>
      </c>
      <c r="E13258" s="2">
        <v>31</v>
      </c>
      <c r="F13258" s="2" t="s">
        <v>16</v>
      </c>
    </row>
    <row r="13259" spans="1:6" ht="25.5">
      <c r="A13259" s="2">
        <v>13256</v>
      </c>
      <c r="B13259" s="2" t="s">
        <v>13333</v>
      </c>
      <c r="C13259" s="2" t="str">
        <f>"14679922"</f>
        <v>14679922</v>
      </c>
      <c r="D13259" s="2">
        <v>1.1299999999999999</v>
      </c>
      <c r="E13259" s="2">
        <v>40</v>
      </c>
      <c r="F13259" s="2" t="s">
        <v>16</v>
      </c>
    </row>
    <row r="13260" spans="1:6" ht="25.5">
      <c r="A13260" s="2">
        <v>13257</v>
      </c>
      <c r="B13260" s="2" t="s">
        <v>13334</v>
      </c>
      <c r="C13260" s="2" t="str">
        <f>"15475441"</f>
        <v>15475441</v>
      </c>
      <c r="D13260" s="2">
        <v>0.90200000000000002</v>
      </c>
      <c r="E13260" s="2">
        <v>4</v>
      </c>
      <c r="F13260" s="2" t="s">
        <v>16</v>
      </c>
    </row>
    <row r="13261" spans="1:6" ht="25.5">
      <c r="A13261" s="2">
        <v>13258</v>
      </c>
      <c r="B13261" s="2" t="s">
        <v>13335</v>
      </c>
      <c r="C13261" s="2" t="str">
        <f>"10943501"</f>
        <v>10943501</v>
      </c>
      <c r="D13261" s="2">
        <v>0.98799999999999999</v>
      </c>
      <c r="E13261" s="2">
        <v>29</v>
      </c>
      <c r="F13261" s="2" t="s">
        <v>6</v>
      </c>
    </row>
    <row r="13262" spans="1:6" ht="25.5">
      <c r="A13262" s="2">
        <v>13259</v>
      </c>
      <c r="B13262" s="2" t="s">
        <v>13336</v>
      </c>
      <c r="C13262" s="2" t="str">
        <f>"09571736"</f>
        <v>09571736</v>
      </c>
      <c r="D13262" s="2">
        <v>0.36799999999999999</v>
      </c>
      <c r="E13262" s="2">
        <v>7</v>
      </c>
      <c r="F13262" s="2" t="s">
        <v>16</v>
      </c>
    </row>
    <row r="13263" spans="1:6" ht="25.5">
      <c r="A13263" s="2">
        <v>13260</v>
      </c>
      <c r="B13263" s="2" t="s">
        <v>13337</v>
      </c>
      <c r="C13263" s="2" t="str">
        <f>"10228195"</f>
        <v>10228195</v>
      </c>
      <c r="D13263" s="2">
        <v>0.36</v>
      </c>
      <c r="E13263" s="2">
        <v>4</v>
      </c>
      <c r="F13263" s="2" t="s">
        <v>16</v>
      </c>
    </row>
    <row r="13264" spans="1:6" ht="25.5">
      <c r="A13264" s="2">
        <v>13261</v>
      </c>
      <c r="B13264" s="2" t="s">
        <v>13338</v>
      </c>
      <c r="C13264" s="2" t="str">
        <f>"15684555"</f>
        <v>15684555</v>
      </c>
      <c r="D13264" s="2">
        <v>0.75800000000000001</v>
      </c>
      <c r="E13264" s="2">
        <v>10</v>
      </c>
      <c r="F13264" s="2" t="s">
        <v>75</v>
      </c>
    </row>
    <row r="13265" spans="1:6" ht="25.5">
      <c r="A13265" s="2">
        <v>13262</v>
      </c>
      <c r="B13265" s="2" t="s">
        <v>13339</v>
      </c>
      <c r="C13265" s="2" t="str">
        <f>"02722690"</f>
        <v>02722690</v>
      </c>
      <c r="D13265" s="2">
        <v>0.40799999999999997</v>
      </c>
      <c r="E13265" s="2">
        <v>3</v>
      </c>
      <c r="F13265" s="2" t="s">
        <v>75</v>
      </c>
    </row>
    <row r="13266" spans="1:6" ht="25.5">
      <c r="A13266" s="2">
        <v>13263</v>
      </c>
      <c r="B13266" s="2" t="s">
        <v>13340</v>
      </c>
      <c r="C13266" s="2" t="str">
        <f>"1574020X"</f>
        <v>1574020X</v>
      </c>
      <c r="D13266" s="2">
        <v>0.87</v>
      </c>
      <c r="E13266" s="2">
        <v>21</v>
      </c>
      <c r="F13266" s="2" t="s">
        <v>75</v>
      </c>
    </row>
    <row r="13267" spans="1:6" ht="25.5">
      <c r="A13267" s="2">
        <v>13264</v>
      </c>
      <c r="B13267" s="2" t="s">
        <v>13341</v>
      </c>
      <c r="C13267" s="2" t="str">
        <f>"03880001"</f>
        <v>03880001</v>
      </c>
      <c r="D13267" s="2">
        <v>0.33</v>
      </c>
      <c r="E13267" s="2">
        <v>17</v>
      </c>
      <c r="F13267" s="2" t="s">
        <v>16</v>
      </c>
    </row>
    <row r="13268" spans="1:6" ht="25.5">
      <c r="A13268" s="2">
        <v>13265</v>
      </c>
      <c r="B13268" s="2" t="s">
        <v>13342</v>
      </c>
      <c r="C13268" s="2" t="str">
        <f>"15699897"</f>
        <v>15699897</v>
      </c>
      <c r="D13268" s="2">
        <v>0.21</v>
      </c>
      <c r="E13268" s="2">
        <v>3</v>
      </c>
      <c r="F13268" s="2" t="s">
        <v>75</v>
      </c>
    </row>
    <row r="13269" spans="1:6" ht="25.5">
      <c r="A13269" s="2">
        <v>13266</v>
      </c>
      <c r="B13269" s="2" t="s">
        <v>13343</v>
      </c>
      <c r="C13269" s="2" t="str">
        <f>"01611461"</f>
        <v>01611461</v>
      </c>
      <c r="D13269" s="2">
        <v>0.66100000000000003</v>
      </c>
      <c r="E13269" s="2">
        <v>33</v>
      </c>
      <c r="F13269" s="2" t="s">
        <v>6</v>
      </c>
    </row>
    <row r="13270" spans="1:6" ht="25.5">
      <c r="A13270" s="2">
        <v>13267</v>
      </c>
      <c r="B13270" s="2" t="s">
        <v>13344</v>
      </c>
      <c r="C13270" s="2" t="str">
        <f>"02614448"</f>
        <v>02614448</v>
      </c>
      <c r="D13270" s="2">
        <v>0.72099999999999997</v>
      </c>
      <c r="E13270" s="2">
        <v>7</v>
      </c>
      <c r="F13270" s="2" t="s">
        <v>16</v>
      </c>
    </row>
    <row r="13271" spans="1:6" ht="25.5">
      <c r="A13271" s="2">
        <v>13268</v>
      </c>
      <c r="B13271" s="2" t="s">
        <v>13345</v>
      </c>
      <c r="C13271" s="2" t="str">
        <f>"14770954"</f>
        <v>14770954</v>
      </c>
      <c r="D13271" s="2">
        <v>0.55900000000000005</v>
      </c>
      <c r="E13271" s="2">
        <v>17</v>
      </c>
      <c r="F13271" s="2" t="s">
        <v>16</v>
      </c>
    </row>
    <row r="13272" spans="1:6" ht="25.5">
      <c r="A13272" s="2">
        <v>13269</v>
      </c>
      <c r="B13272" s="2" t="s">
        <v>13346</v>
      </c>
      <c r="C13272" s="2" t="str">
        <f>"02655322"</f>
        <v>02655322</v>
      </c>
      <c r="D13272" s="2">
        <v>0.94199999999999995</v>
      </c>
      <c r="E13272" s="2">
        <v>20</v>
      </c>
      <c r="F13272" s="2" t="s">
        <v>16</v>
      </c>
    </row>
    <row r="13273" spans="1:6" ht="25.5">
      <c r="A13273" s="2">
        <v>13270</v>
      </c>
      <c r="B13273" s="2" t="s">
        <v>13347</v>
      </c>
      <c r="C13273" s="2" t="str">
        <f>"09543945"</f>
        <v>09543945</v>
      </c>
      <c r="D13273" s="2">
        <v>1.502</v>
      </c>
      <c r="E13273" s="2">
        <v>13</v>
      </c>
      <c r="F13273" s="2" t="s">
        <v>16</v>
      </c>
    </row>
    <row r="13274" spans="1:6" ht="25.5">
      <c r="A13274" s="2">
        <v>13271</v>
      </c>
      <c r="B13274" s="2" t="s">
        <v>13348</v>
      </c>
      <c r="C13274" s="2" t="str">
        <f>"00238368"</f>
        <v>00238368</v>
      </c>
      <c r="D13274" s="2">
        <v>0.19700000000000001</v>
      </c>
      <c r="E13274" s="2">
        <v>6</v>
      </c>
      <c r="F13274" s="2" t="s">
        <v>66</v>
      </c>
    </row>
    <row r="13275" spans="1:6" ht="25.5">
      <c r="A13275" s="2">
        <v>13272</v>
      </c>
      <c r="B13275" s="2" t="s">
        <v>13349</v>
      </c>
      <c r="C13275" s="2" t="str">
        <f>"00662399"</f>
        <v>00662399</v>
      </c>
      <c r="D13275" s="2">
        <v>0.193</v>
      </c>
      <c r="E13275" s="2">
        <v>6</v>
      </c>
      <c r="F13275" s="2" t="s">
        <v>66</v>
      </c>
    </row>
    <row r="13276" spans="1:6" ht="25.5">
      <c r="A13276" s="2">
        <v>13273</v>
      </c>
      <c r="B13276" s="2" t="s">
        <v>13350</v>
      </c>
      <c r="C13276" s="2" t="str">
        <f>"12474819"</f>
        <v>12474819</v>
      </c>
      <c r="D13276" s="2">
        <v>0.15</v>
      </c>
      <c r="E13276" s="2">
        <v>4</v>
      </c>
      <c r="F13276" s="2" t="s">
        <v>66</v>
      </c>
    </row>
    <row r="13277" spans="1:6" ht="25.5">
      <c r="A13277" s="2">
        <v>13274</v>
      </c>
      <c r="B13277" s="2" t="s">
        <v>13351</v>
      </c>
      <c r="C13277" s="2" t="str">
        <f>"11244593"</f>
        <v>11244593</v>
      </c>
      <c r="D13277" s="2">
        <v>0.13100000000000001</v>
      </c>
      <c r="E13277" s="2">
        <v>2</v>
      </c>
      <c r="F13277" s="2" t="s">
        <v>190</v>
      </c>
    </row>
    <row r="13278" spans="1:6" ht="25.5">
      <c r="A13278" s="2">
        <v>13275</v>
      </c>
      <c r="B13278" s="2" t="s">
        <v>13352</v>
      </c>
      <c r="C13278" s="2" t="str">
        <f>"18634672"</f>
        <v>18634672</v>
      </c>
      <c r="D13278" s="2">
        <v>0.254</v>
      </c>
      <c r="E13278" s="2">
        <v>4</v>
      </c>
      <c r="F13278" s="2" t="s">
        <v>12</v>
      </c>
    </row>
    <row r="13279" spans="1:6" ht="25.5">
      <c r="A13279" s="2">
        <v>13276</v>
      </c>
      <c r="B13279" s="2" t="s">
        <v>13353</v>
      </c>
      <c r="C13279" s="2" t="str">
        <f>"14388685"</f>
        <v>14388685</v>
      </c>
      <c r="D13279" s="2">
        <v>0.25900000000000001</v>
      </c>
      <c r="E13279" s="2">
        <v>25</v>
      </c>
      <c r="F13279" s="2" t="s">
        <v>12</v>
      </c>
    </row>
    <row r="13280" spans="1:6" ht="25.5">
      <c r="A13280" s="2">
        <v>13277</v>
      </c>
      <c r="B13280" s="2" t="s">
        <v>13354</v>
      </c>
      <c r="C13280" s="2" t="str">
        <f>"0023852X"</f>
        <v>0023852X</v>
      </c>
      <c r="D13280" s="2">
        <v>0.755</v>
      </c>
      <c r="E13280" s="2">
        <v>93</v>
      </c>
      <c r="F13280" s="2" t="s">
        <v>6</v>
      </c>
    </row>
    <row r="13281" spans="1:6" ht="25.5">
      <c r="A13281" s="2">
        <v>13278</v>
      </c>
      <c r="B13281" s="2" t="s">
        <v>13355</v>
      </c>
      <c r="C13281" s="2" t="str">
        <f>"1469803X"</f>
        <v>1469803X</v>
      </c>
      <c r="D13281" s="2">
        <v>0.85499999999999998</v>
      </c>
      <c r="E13281" s="2">
        <v>37</v>
      </c>
      <c r="F13281" s="2" t="s">
        <v>16</v>
      </c>
    </row>
    <row r="13282" spans="1:6" ht="25.5">
      <c r="A13282" s="2">
        <v>13279</v>
      </c>
      <c r="B13282" s="2" t="s">
        <v>13356</v>
      </c>
      <c r="C13282" s="2" t="str">
        <f>"18638899"</f>
        <v>18638899</v>
      </c>
      <c r="D13282" s="2">
        <v>4.4530000000000003</v>
      </c>
      <c r="E13282" s="2">
        <v>34</v>
      </c>
      <c r="F13282" s="2" t="s">
        <v>12</v>
      </c>
    </row>
    <row r="13283" spans="1:6" ht="25.5">
      <c r="A13283" s="2">
        <v>13280</v>
      </c>
      <c r="B13283" s="2" t="s">
        <v>13357</v>
      </c>
      <c r="C13283" s="2" t="str">
        <f>"1054660X"</f>
        <v>1054660X</v>
      </c>
      <c r="D13283" s="2">
        <v>0.752</v>
      </c>
      <c r="E13283" s="2">
        <v>34</v>
      </c>
      <c r="F13283" s="2" t="s">
        <v>129</v>
      </c>
    </row>
    <row r="13284" spans="1:6" ht="25.5">
      <c r="A13284" s="2">
        <v>13281</v>
      </c>
      <c r="B13284" s="2" t="s">
        <v>13358</v>
      </c>
      <c r="C13284" s="2" t="str">
        <f>"1612202X"</f>
        <v>1612202X</v>
      </c>
      <c r="D13284" s="2">
        <v>2.1720000000000002</v>
      </c>
      <c r="E13284" s="2">
        <v>44</v>
      </c>
      <c r="F13284" s="2" t="s">
        <v>12</v>
      </c>
    </row>
    <row r="13285" spans="1:6" ht="25.5">
      <c r="A13285" s="2">
        <v>13282</v>
      </c>
      <c r="B13285" s="2" t="s">
        <v>13359</v>
      </c>
      <c r="C13285" s="2" t="str">
        <f>"1029029X"</f>
        <v>1029029X</v>
      </c>
      <c r="D13285" s="2">
        <v>0.18099999999999999</v>
      </c>
      <c r="E13285" s="2">
        <v>11</v>
      </c>
      <c r="F13285" s="2" t="s">
        <v>6</v>
      </c>
    </row>
    <row r="13286" spans="1:6" ht="25.5">
      <c r="A13286" s="2">
        <v>13283</v>
      </c>
      <c r="B13286" s="2" t="s">
        <v>13360</v>
      </c>
      <c r="C13286" s="2" t="str">
        <f>"1435604X"</f>
        <v>1435604X</v>
      </c>
      <c r="D13286" s="2">
        <v>0.73199999999999998</v>
      </c>
      <c r="E13286" s="2">
        <v>35</v>
      </c>
      <c r="F13286" s="2" t="s">
        <v>16</v>
      </c>
    </row>
    <row r="13287" spans="1:6" ht="25.5">
      <c r="A13287" s="2">
        <v>13284</v>
      </c>
      <c r="B13287" s="2" t="s">
        <v>13361</v>
      </c>
      <c r="C13287" s="2" t="str">
        <f>"10969101"</f>
        <v>10969101</v>
      </c>
      <c r="D13287" s="2">
        <v>0.95299999999999996</v>
      </c>
      <c r="E13287" s="2">
        <v>70</v>
      </c>
      <c r="F13287" s="2" t="s">
        <v>6</v>
      </c>
    </row>
    <row r="13288" spans="1:6" ht="25.5">
      <c r="A13288" s="2">
        <v>13285</v>
      </c>
      <c r="B13288" s="2" t="s">
        <v>13362</v>
      </c>
      <c r="C13288" s="2" t="str">
        <f>"08985901"</f>
        <v>08985901</v>
      </c>
      <c r="D13288" s="2">
        <v>0.13800000000000001</v>
      </c>
      <c r="E13288" s="2">
        <v>1</v>
      </c>
      <c r="F13288" s="2" t="s">
        <v>6</v>
      </c>
    </row>
    <row r="13289" spans="1:6" ht="25.5">
      <c r="A13289" s="2">
        <v>13286</v>
      </c>
      <c r="B13289" s="2" t="s">
        <v>13363</v>
      </c>
      <c r="C13289" s="2" t="str">
        <f>"10863257"</f>
        <v>10863257</v>
      </c>
      <c r="D13289" s="2">
        <v>0.124</v>
      </c>
      <c r="E13289" s="2">
        <v>4</v>
      </c>
      <c r="F13289" s="2" t="s">
        <v>6</v>
      </c>
    </row>
    <row r="13290" spans="1:6" ht="25.5">
      <c r="A13290" s="2">
        <v>13287</v>
      </c>
      <c r="B13290" s="2" t="s">
        <v>13364</v>
      </c>
      <c r="C13290" s="2" t="str">
        <f>"14640678"</f>
        <v>14640678</v>
      </c>
      <c r="D13290" s="2">
        <v>0.47299999999999998</v>
      </c>
      <c r="E13290" s="2">
        <v>27</v>
      </c>
      <c r="F13290" s="2" t="s">
        <v>16</v>
      </c>
    </row>
    <row r="13291" spans="1:6" ht="25.5">
      <c r="A13291" s="2">
        <v>13288</v>
      </c>
      <c r="B13291" s="2" t="s">
        <v>13365</v>
      </c>
      <c r="C13291" s="2" t="str">
        <f>"17442230"</f>
        <v>17442230</v>
      </c>
      <c r="D13291" s="2">
        <v>0.153</v>
      </c>
      <c r="E13291" s="2">
        <v>2</v>
      </c>
      <c r="F13291" s="2" t="s">
        <v>16</v>
      </c>
    </row>
    <row r="13292" spans="1:6" ht="25.5">
      <c r="A13292" s="2">
        <v>13289</v>
      </c>
      <c r="B13292" s="2" t="s">
        <v>13366</v>
      </c>
      <c r="C13292" s="2" t="str">
        <f>"03270793"</f>
        <v>03270793</v>
      </c>
      <c r="D13292" s="2">
        <v>0.15</v>
      </c>
      <c r="E13292" s="2">
        <v>12</v>
      </c>
      <c r="F13292" s="2" t="s">
        <v>192</v>
      </c>
    </row>
    <row r="13293" spans="1:6" ht="25.5">
      <c r="A13293" s="2">
        <v>13290</v>
      </c>
      <c r="B13293" s="2" t="s">
        <v>13367</v>
      </c>
      <c r="C13293" s="2" t="str">
        <f>"15286932"</f>
        <v>15286932</v>
      </c>
      <c r="D13293" s="2">
        <v>0.15</v>
      </c>
      <c r="E13293" s="2">
        <v>4</v>
      </c>
      <c r="F13293" s="2" t="s">
        <v>16</v>
      </c>
    </row>
    <row r="13294" spans="1:6" ht="25.5">
      <c r="A13294" s="2">
        <v>13291</v>
      </c>
      <c r="B13294" s="2" t="s">
        <v>13368</v>
      </c>
      <c r="C13294" s="2" t="str">
        <f>"08885613"</f>
        <v>08885613</v>
      </c>
      <c r="D13294" s="2">
        <v>0.10199999999999999</v>
      </c>
      <c r="E13294" s="2">
        <v>2</v>
      </c>
      <c r="F13294" s="2" t="s">
        <v>6</v>
      </c>
    </row>
    <row r="13295" spans="1:6" ht="25.5">
      <c r="A13295" s="2">
        <v>13292</v>
      </c>
      <c r="B13295" s="2" t="s">
        <v>13369</v>
      </c>
      <c r="C13295" s="2" t="str">
        <f>"0718560X"</f>
        <v>0718560X</v>
      </c>
      <c r="D13295" s="2">
        <v>0.26900000000000002</v>
      </c>
      <c r="E13295" s="2">
        <v>12</v>
      </c>
      <c r="F13295" s="2" t="s">
        <v>182</v>
      </c>
    </row>
    <row r="13296" spans="1:6" ht="25.5">
      <c r="A13296" s="2">
        <v>13293</v>
      </c>
      <c r="B13296" s="2" t="s">
        <v>13370</v>
      </c>
      <c r="C13296" s="2" t="str">
        <f>"07190433"</f>
        <v>07190433</v>
      </c>
      <c r="D13296" s="2">
        <v>0.10100000000000001</v>
      </c>
      <c r="E13296" s="2">
        <v>5</v>
      </c>
      <c r="F13296" s="2" t="s">
        <v>182</v>
      </c>
    </row>
    <row r="13297" spans="1:6" ht="25.5">
      <c r="A13297" s="2">
        <v>13294</v>
      </c>
      <c r="B13297" s="2" t="s">
        <v>13371</v>
      </c>
      <c r="C13297" s="2" t="str">
        <f>"18514979"</f>
        <v>18514979</v>
      </c>
      <c r="D13297" s="2">
        <v>0</v>
      </c>
      <c r="E13297" s="2">
        <v>0</v>
      </c>
      <c r="F13297" s="2" t="s">
        <v>192</v>
      </c>
    </row>
    <row r="13298" spans="1:6" ht="25.5">
      <c r="A13298" s="2">
        <v>13295</v>
      </c>
      <c r="B13298" s="2" t="s">
        <v>13372</v>
      </c>
      <c r="C13298" s="2" t="str">
        <f>"16797825"</f>
        <v>16797825</v>
      </c>
      <c r="D13298" s="2">
        <v>0.52700000000000002</v>
      </c>
      <c r="E13298" s="2">
        <v>6</v>
      </c>
      <c r="F13298" s="2" t="s">
        <v>159</v>
      </c>
    </row>
    <row r="13299" spans="1:6" ht="25.5">
      <c r="A13299" s="2">
        <v>13296</v>
      </c>
      <c r="B13299" s="2" t="s">
        <v>13373</v>
      </c>
      <c r="C13299" s="2" t="str">
        <f>"0094582X"</f>
        <v>0094582X</v>
      </c>
      <c r="D13299" s="2">
        <v>0.48199999999999998</v>
      </c>
      <c r="E13299" s="2">
        <v>16</v>
      </c>
      <c r="F13299" s="2" t="s">
        <v>16</v>
      </c>
    </row>
    <row r="13300" spans="1:6" ht="25.5">
      <c r="A13300" s="2">
        <v>13297</v>
      </c>
      <c r="B13300" s="2" t="s">
        <v>13374</v>
      </c>
      <c r="C13300" s="2" t="str">
        <f>"15482456"</f>
        <v>15482456</v>
      </c>
      <c r="D13300" s="2">
        <v>0.33500000000000002</v>
      </c>
      <c r="E13300" s="2">
        <v>16</v>
      </c>
      <c r="F13300" s="2" t="s">
        <v>16</v>
      </c>
    </row>
    <row r="13301" spans="1:6" ht="25.5">
      <c r="A13301" s="2">
        <v>13298</v>
      </c>
      <c r="B13301" s="2" t="s">
        <v>13375</v>
      </c>
      <c r="C13301" s="2" t="str">
        <f>"15424278"</f>
        <v>15424278</v>
      </c>
      <c r="D13301" s="2">
        <v>0.42799999999999999</v>
      </c>
      <c r="E13301" s="2">
        <v>22</v>
      </c>
      <c r="F13301" s="2" t="s">
        <v>6</v>
      </c>
    </row>
    <row r="13302" spans="1:6" ht="25.5">
      <c r="A13302" s="2">
        <v>13299</v>
      </c>
      <c r="B13302" s="2" t="s">
        <v>13376</v>
      </c>
      <c r="C13302" s="2" t="str">
        <f>"00238813"</f>
        <v>00238813</v>
      </c>
      <c r="D13302" s="2">
        <v>0.1</v>
      </c>
      <c r="E13302" s="2">
        <v>2</v>
      </c>
      <c r="F13302" s="2" t="s">
        <v>6</v>
      </c>
    </row>
    <row r="13303" spans="1:6" ht="25.5">
      <c r="A13303" s="2">
        <v>13300</v>
      </c>
      <c r="B13303" s="2" t="s">
        <v>13377</v>
      </c>
      <c r="C13303" s="2" t="str">
        <f>"14763435"</f>
        <v>14763435</v>
      </c>
      <c r="D13303" s="2">
        <v>0.22900000000000001</v>
      </c>
      <c r="E13303" s="2">
        <v>4</v>
      </c>
      <c r="F13303" s="2" t="s">
        <v>16</v>
      </c>
    </row>
    <row r="13304" spans="1:6" ht="25.5">
      <c r="A13304" s="2">
        <v>13301</v>
      </c>
      <c r="B13304" s="2" t="s">
        <v>13378</v>
      </c>
      <c r="C13304" s="2" t="str">
        <f>"00238856"</f>
        <v>00238856</v>
      </c>
      <c r="D13304" s="2">
        <v>0.13400000000000001</v>
      </c>
      <c r="E13304" s="2">
        <v>3</v>
      </c>
      <c r="F13304" s="2" t="s">
        <v>161</v>
      </c>
    </row>
    <row r="13305" spans="1:6" ht="25.5">
      <c r="A13305" s="2">
        <v>13302</v>
      </c>
      <c r="B13305" s="2" t="s">
        <v>13379</v>
      </c>
      <c r="C13305" s="2" t="str">
        <f>"00414131"</f>
        <v>00414131</v>
      </c>
      <c r="D13305" s="2">
        <v>0.16</v>
      </c>
      <c r="E13305" s="2">
        <v>9</v>
      </c>
      <c r="F13305" s="2" t="s">
        <v>13380</v>
      </c>
    </row>
    <row r="13306" spans="1:6" ht="25.5">
      <c r="A13306" s="2">
        <v>13303</v>
      </c>
      <c r="B13306" s="2" t="s">
        <v>13381</v>
      </c>
      <c r="C13306" s="2" t="str">
        <f>"08688257"</f>
        <v>08688257</v>
      </c>
      <c r="D13306" s="2">
        <v>0.161</v>
      </c>
      <c r="E13306" s="2">
        <v>3</v>
      </c>
      <c r="F13306" s="2" t="s">
        <v>2275</v>
      </c>
    </row>
    <row r="13307" spans="1:6" ht="25.5">
      <c r="A13307" s="2">
        <v>13304</v>
      </c>
      <c r="B13307" s="2" t="s">
        <v>13382</v>
      </c>
      <c r="C13307" s="2" t="str">
        <f>"00239054"</f>
        <v>00239054</v>
      </c>
      <c r="D13307" s="2">
        <v>0.1</v>
      </c>
      <c r="E13307" s="2">
        <v>3</v>
      </c>
      <c r="F13307" s="2" t="s">
        <v>64</v>
      </c>
    </row>
    <row r="13308" spans="1:6" ht="25.5">
      <c r="A13308" s="2">
        <v>13305</v>
      </c>
      <c r="B13308" s="2" t="s">
        <v>13383</v>
      </c>
      <c r="C13308" s="2" t="str">
        <f>"00239186"</f>
        <v>00239186</v>
      </c>
      <c r="D13308" s="2">
        <v>0.23100000000000001</v>
      </c>
      <c r="E13308" s="2">
        <v>12</v>
      </c>
      <c r="F13308" s="2" t="s">
        <v>6</v>
      </c>
    </row>
    <row r="13309" spans="1:6" ht="25.5">
      <c r="A13309" s="2">
        <v>13306</v>
      </c>
      <c r="B13309" s="2" t="s">
        <v>13384</v>
      </c>
      <c r="C13309" s="2" t="str">
        <f>"09578536"</f>
        <v>09578536</v>
      </c>
      <c r="D13309" s="2">
        <v>0.247</v>
      </c>
      <c r="E13309" s="2">
        <v>6</v>
      </c>
      <c r="F13309" s="2" t="s">
        <v>75</v>
      </c>
    </row>
    <row r="13310" spans="1:6" ht="25.5">
      <c r="A13310" s="2">
        <v>13307</v>
      </c>
      <c r="B13310" s="2" t="s">
        <v>13385</v>
      </c>
      <c r="C13310" s="2" t="str">
        <f>"19433867"</f>
        <v>19433867</v>
      </c>
      <c r="D13310" s="2">
        <v>0</v>
      </c>
      <c r="E13310" s="2">
        <v>0</v>
      </c>
      <c r="F13310" s="2" t="s">
        <v>12</v>
      </c>
    </row>
    <row r="13311" spans="1:6" ht="25.5">
      <c r="A13311" s="2">
        <v>13308</v>
      </c>
      <c r="B13311" s="2" t="s">
        <v>13386</v>
      </c>
      <c r="C13311" s="2" t="str">
        <f>"19382545"</f>
        <v>19382545</v>
      </c>
      <c r="D13311" s="2">
        <v>0.28599999999999998</v>
      </c>
      <c r="E13311" s="2">
        <v>3</v>
      </c>
      <c r="F13311" s="2" t="s">
        <v>6</v>
      </c>
    </row>
    <row r="13312" spans="1:6" ht="25.5">
      <c r="A13312" s="2">
        <v>13309</v>
      </c>
      <c r="B13312" s="2" t="s">
        <v>13387</v>
      </c>
      <c r="C13312" s="2" t="str">
        <f>"07382480"</f>
        <v>07382480</v>
      </c>
      <c r="D13312" s="2">
        <v>0.27700000000000002</v>
      </c>
      <c r="E13312" s="2">
        <v>10</v>
      </c>
      <c r="F13312" s="2" t="s">
        <v>6</v>
      </c>
    </row>
    <row r="13313" spans="1:6" ht="25.5">
      <c r="A13313" s="2">
        <v>13310</v>
      </c>
      <c r="B13313" s="2" t="s">
        <v>13388</v>
      </c>
      <c r="C13313" s="2" t="str">
        <f>"1573661X"</f>
        <v>1573661X</v>
      </c>
      <c r="D13313" s="2">
        <v>1.1739999999999999</v>
      </c>
      <c r="E13313" s="2">
        <v>54</v>
      </c>
      <c r="F13313" s="2" t="s">
        <v>6</v>
      </c>
    </row>
    <row r="13314" spans="1:6" ht="25.5">
      <c r="A13314" s="2">
        <v>13311</v>
      </c>
      <c r="B13314" s="2" t="s">
        <v>13389</v>
      </c>
      <c r="C13314" s="2" t="str">
        <f>"1535685X"</f>
        <v>1535685X</v>
      </c>
      <c r="D13314" s="2">
        <v>0.111</v>
      </c>
      <c r="E13314" s="2">
        <v>1</v>
      </c>
      <c r="F13314" s="2" t="s">
        <v>6</v>
      </c>
    </row>
    <row r="13315" spans="1:6" ht="25.5">
      <c r="A13315" s="2">
        <v>13312</v>
      </c>
      <c r="B13315" s="2" t="s">
        <v>13390</v>
      </c>
      <c r="C13315" s="2" t="str">
        <f>"15730522"</f>
        <v>15730522</v>
      </c>
      <c r="D13315" s="2">
        <v>0.26</v>
      </c>
      <c r="E13315" s="2">
        <v>11</v>
      </c>
      <c r="F13315" s="2" t="s">
        <v>75</v>
      </c>
    </row>
    <row r="13316" spans="1:6" ht="25.5">
      <c r="A13316" s="2">
        <v>13313</v>
      </c>
      <c r="B13316" s="2" t="s">
        <v>13391</v>
      </c>
      <c r="C13316" s="2" t="str">
        <f>"14679930"</f>
        <v>14679930</v>
      </c>
      <c r="D13316" s="2">
        <v>0.746</v>
      </c>
      <c r="E13316" s="2">
        <v>13</v>
      </c>
      <c r="F13316" s="2" t="s">
        <v>16</v>
      </c>
    </row>
    <row r="13317" spans="1:6" ht="25.5">
      <c r="A13317" s="2">
        <v>13314</v>
      </c>
      <c r="B13317" s="2" t="s">
        <v>13392</v>
      </c>
      <c r="C13317" s="2" t="str">
        <f>"15718034"</f>
        <v>15718034</v>
      </c>
      <c r="D13317" s="2">
        <v>0.19400000000000001</v>
      </c>
      <c r="E13317" s="2">
        <v>4</v>
      </c>
      <c r="F13317" s="2" t="s">
        <v>75</v>
      </c>
    </row>
    <row r="13318" spans="1:6" ht="25.5">
      <c r="A13318" s="2">
        <v>13315</v>
      </c>
      <c r="B13318" s="2" t="s">
        <v>13393</v>
      </c>
      <c r="C13318" s="2" t="str">
        <f>"1545696X"</f>
        <v>1545696X</v>
      </c>
      <c r="D13318" s="2">
        <v>0.41299999999999998</v>
      </c>
      <c r="E13318" s="2">
        <v>20</v>
      </c>
      <c r="F13318" s="2" t="s">
        <v>16</v>
      </c>
    </row>
    <row r="13319" spans="1:6" ht="25.5">
      <c r="A13319" s="2">
        <v>13316</v>
      </c>
      <c r="B13319" s="2" t="s">
        <v>13394</v>
      </c>
      <c r="C13319" s="2" t="str">
        <f>"15405893"</f>
        <v>15405893</v>
      </c>
      <c r="D13319" s="2">
        <v>1.2190000000000001</v>
      </c>
      <c r="E13319" s="2">
        <v>34</v>
      </c>
      <c r="F13319" s="2" t="s">
        <v>16</v>
      </c>
    </row>
    <row r="13320" spans="1:6" ht="25.5">
      <c r="A13320" s="2">
        <v>13317</v>
      </c>
      <c r="B13320" s="2" t="s">
        <v>13395</v>
      </c>
      <c r="C13320" s="2" t="str">
        <f>"17438721"</f>
        <v>17438721</v>
      </c>
      <c r="D13320" s="2">
        <v>0.13500000000000001</v>
      </c>
      <c r="E13320" s="2">
        <v>3</v>
      </c>
      <c r="F13320" s="2" t="s">
        <v>16</v>
      </c>
    </row>
    <row r="13321" spans="1:6" ht="25.5">
      <c r="A13321" s="2">
        <v>13318</v>
      </c>
      <c r="B13321" s="2" t="s">
        <v>13396</v>
      </c>
      <c r="C13321" s="2" t="str">
        <f>"00239283"</f>
        <v>00239283</v>
      </c>
      <c r="D13321" s="2">
        <v>0.28699999999999998</v>
      </c>
      <c r="E13321" s="2">
        <v>7</v>
      </c>
      <c r="F13321" s="2" t="s">
        <v>6</v>
      </c>
    </row>
    <row r="13322" spans="1:6" ht="25.5">
      <c r="A13322" s="2">
        <v>13319</v>
      </c>
      <c r="B13322" s="2" t="s">
        <v>13397</v>
      </c>
      <c r="C13322" s="2" t="str">
        <f>"1470840X"</f>
        <v>1470840X</v>
      </c>
      <c r="D13322" s="2">
        <v>0.105</v>
      </c>
      <c r="E13322" s="2">
        <v>1</v>
      </c>
      <c r="F13322" s="2" t="s">
        <v>16</v>
      </c>
    </row>
    <row r="13323" spans="1:6" ht="25.5">
      <c r="A13323" s="2">
        <v>13320</v>
      </c>
      <c r="B13323" s="2" t="s">
        <v>13398</v>
      </c>
      <c r="C13323" s="2" t="str">
        <f>"03069400"</f>
        <v>03069400</v>
      </c>
      <c r="D13323" s="2">
        <v>0.113</v>
      </c>
      <c r="E13323" s="2">
        <v>2</v>
      </c>
      <c r="F13323" s="2" t="s">
        <v>16</v>
      </c>
    </row>
    <row r="13324" spans="1:6" ht="25.5">
      <c r="A13324" s="2">
        <v>13321</v>
      </c>
      <c r="B13324" s="2" t="s">
        <v>13399</v>
      </c>
      <c r="C13324" s="2" t="str">
        <f>"02109778"</f>
        <v>02109778</v>
      </c>
      <c r="D13324" s="2">
        <v>0.27600000000000002</v>
      </c>
      <c r="E13324" s="2">
        <v>7</v>
      </c>
      <c r="F13324" s="2" t="s">
        <v>351</v>
      </c>
    </row>
    <row r="13325" spans="1:6" ht="25.5">
      <c r="A13325" s="2">
        <v>13322</v>
      </c>
      <c r="B13325" s="2" t="s">
        <v>13400</v>
      </c>
      <c r="C13325" s="2" t="str">
        <f>"14716577"</f>
        <v>14716577</v>
      </c>
      <c r="D13325" s="2">
        <v>0.13900000000000001</v>
      </c>
      <c r="E13325" s="2">
        <v>19</v>
      </c>
      <c r="F13325" s="2" t="s">
        <v>6</v>
      </c>
    </row>
    <row r="13326" spans="1:6" ht="25.5">
      <c r="A13326" s="2">
        <v>13323</v>
      </c>
      <c r="B13326" s="2" t="s">
        <v>13401</v>
      </c>
      <c r="C13326" s="2" t="str">
        <f>"15275949"</f>
        <v>15275949</v>
      </c>
      <c r="D13326" s="2">
        <v>0.16500000000000001</v>
      </c>
      <c r="E13326" s="2">
        <v>29</v>
      </c>
      <c r="F13326" s="2" t="s">
        <v>6</v>
      </c>
    </row>
    <row r="13327" spans="1:6" ht="25.5">
      <c r="A13327" s="2">
        <v>13324</v>
      </c>
      <c r="B13327" s="2" t="s">
        <v>13402</v>
      </c>
      <c r="C13327" s="2" t="str">
        <f>"00924458"</f>
        <v>00924458</v>
      </c>
      <c r="D13327" s="2">
        <v>0.10100000000000001</v>
      </c>
      <c r="E13327" s="2">
        <v>2</v>
      </c>
      <c r="F13327" s="2" t="s">
        <v>6</v>
      </c>
    </row>
    <row r="13328" spans="1:6" ht="25.5">
      <c r="A13328" s="2">
        <v>13325</v>
      </c>
      <c r="B13328" s="2" t="s">
        <v>13403</v>
      </c>
      <c r="C13328" s="2" t="str">
        <f>"15530671"</f>
        <v>15530671</v>
      </c>
      <c r="D13328" s="2">
        <v>0.157</v>
      </c>
      <c r="E13328" s="2">
        <v>6</v>
      </c>
      <c r="F13328" s="2" t="s">
        <v>6</v>
      </c>
    </row>
    <row r="13329" spans="1:6" ht="25.5">
      <c r="A13329" s="2">
        <v>13326</v>
      </c>
      <c r="B13329" s="2" t="s">
        <v>13404</v>
      </c>
      <c r="C13329" s="2" t="str">
        <f>"17427169"</f>
        <v>17427169</v>
      </c>
      <c r="D13329" s="2">
        <v>0.47299999999999998</v>
      </c>
      <c r="E13329" s="2">
        <v>11</v>
      </c>
      <c r="F13329" s="2" t="s">
        <v>16</v>
      </c>
    </row>
    <row r="13330" spans="1:6" ht="25.5">
      <c r="A13330" s="2">
        <v>13327</v>
      </c>
      <c r="B13330" s="2" t="s">
        <v>13405</v>
      </c>
      <c r="C13330" s="2" t="str">
        <f>"15326748"</f>
        <v>15326748</v>
      </c>
      <c r="D13330" s="2">
        <v>0.156</v>
      </c>
      <c r="E13330" s="2">
        <v>6</v>
      </c>
      <c r="F13330" s="2" t="s">
        <v>6</v>
      </c>
    </row>
    <row r="13331" spans="1:6" ht="25.5">
      <c r="A13331" s="2">
        <v>13328</v>
      </c>
      <c r="B13331" s="2" t="s">
        <v>13406</v>
      </c>
      <c r="C13331" s="2" t="str">
        <f>"01437739"</f>
        <v>01437739</v>
      </c>
      <c r="D13331" s="2">
        <v>0.39200000000000002</v>
      </c>
      <c r="E13331" s="2">
        <v>16</v>
      </c>
      <c r="F13331" s="2" t="s">
        <v>16</v>
      </c>
    </row>
    <row r="13332" spans="1:6" ht="25.5">
      <c r="A13332" s="2">
        <v>13329</v>
      </c>
      <c r="B13332" s="2" t="s">
        <v>13407</v>
      </c>
      <c r="C13332" s="2" t="str">
        <f>"15700763"</f>
        <v>15700763</v>
      </c>
      <c r="D13332" s="2">
        <v>0.63200000000000001</v>
      </c>
      <c r="E13332" s="2">
        <v>3</v>
      </c>
      <c r="F13332" s="2" t="s">
        <v>75</v>
      </c>
    </row>
    <row r="13333" spans="1:6" ht="25.5">
      <c r="A13333" s="2">
        <v>13330</v>
      </c>
      <c r="B13333" s="2" t="s">
        <v>13408</v>
      </c>
      <c r="C13333" s="2" t="str">
        <f>"17511887"</f>
        <v>17511887</v>
      </c>
      <c r="D13333" s="2">
        <v>0.313</v>
      </c>
      <c r="E13333" s="2">
        <v>8</v>
      </c>
      <c r="F13333" s="2" t="s">
        <v>16</v>
      </c>
    </row>
    <row r="13334" spans="1:6" ht="25.5">
      <c r="A13334" s="2">
        <v>13331</v>
      </c>
      <c r="B13334" s="2" t="s">
        <v>13409</v>
      </c>
      <c r="C13334" s="2" t="str">
        <f>"10489843"</f>
        <v>10489843</v>
      </c>
      <c r="D13334" s="2">
        <v>2.1549999999999998</v>
      </c>
      <c r="E13334" s="2">
        <v>66</v>
      </c>
      <c r="F13334" s="2" t="s">
        <v>6</v>
      </c>
    </row>
    <row r="13335" spans="1:6" ht="25.5">
      <c r="A13335" s="2">
        <v>13332</v>
      </c>
      <c r="B13335" s="2" t="s">
        <v>13410</v>
      </c>
      <c r="C13335" s="2" t="str">
        <f>"1070485X"</f>
        <v>1070485X</v>
      </c>
      <c r="D13335" s="2">
        <v>0.72699999999999998</v>
      </c>
      <c r="E13335" s="2">
        <v>33</v>
      </c>
      <c r="F13335" s="2" t="s">
        <v>6</v>
      </c>
    </row>
    <row r="13336" spans="1:6" ht="25.5">
      <c r="A13336" s="2">
        <v>13333</v>
      </c>
      <c r="B13336" s="2" t="s">
        <v>13411</v>
      </c>
      <c r="C13336" s="2" t="str">
        <f>"09531513"</f>
        <v>09531513</v>
      </c>
      <c r="D13336" s="2">
        <v>0.876</v>
      </c>
      <c r="E13336" s="2">
        <v>17</v>
      </c>
      <c r="F13336" s="2" t="s">
        <v>16</v>
      </c>
    </row>
    <row r="13337" spans="1:6" ht="25.5">
      <c r="A13337" s="2">
        <v>13334</v>
      </c>
      <c r="B13337" s="2" t="s">
        <v>13412</v>
      </c>
      <c r="C13337" s="2" t="str">
        <f>"15434508"</f>
        <v>15434508</v>
      </c>
      <c r="D13337" s="2">
        <v>0.98299999999999998</v>
      </c>
      <c r="E13337" s="2">
        <v>36</v>
      </c>
      <c r="F13337" s="2" t="s">
        <v>6</v>
      </c>
    </row>
    <row r="13338" spans="1:6" ht="25.5">
      <c r="A13338" s="2">
        <v>13335</v>
      </c>
      <c r="B13338" s="2" t="s">
        <v>13413</v>
      </c>
      <c r="C13338" s="2" t="str">
        <f>"10416080"</f>
        <v>10416080</v>
      </c>
      <c r="D13338" s="2">
        <v>1.002</v>
      </c>
      <c r="E13338" s="2">
        <v>32</v>
      </c>
      <c r="F13338" s="2" t="s">
        <v>75</v>
      </c>
    </row>
    <row r="13339" spans="1:6" ht="25.5">
      <c r="A13339" s="2">
        <v>13336</v>
      </c>
      <c r="B13339" s="2" t="s">
        <v>13414</v>
      </c>
      <c r="C13339" s="2" t="str">
        <f>"09594752"</f>
        <v>09594752</v>
      </c>
      <c r="D13339" s="2">
        <v>2.9750000000000001</v>
      </c>
      <c r="E13339" s="2">
        <v>49</v>
      </c>
      <c r="F13339" s="2" t="s">
        <v>75</v>
      </c>
    </row>
    <row r="13340" spans="1:6" ht="25.5">
      <c r="A13340" s="2">
        <v>13337</v>
      </c>
      <c r="B13340" s="2" t="s">
        <v>13415</v>
      </c>
      <c r="C13340" s="2" t="str">
        <f>"15495485"</f>
        <v>15495485</v>
      </c>
      <c r="D13340" s="2">
        <v>2.6440000000000001</v>
      </c>
      <c r="E13340" s="2">
        <v>82</v>
      </c>
      <c r="F13340" s="2" t="s">
        <v>6</v>
      </c>
    </row>
    <row r="13341" spans="1:6" ht="25.5">
      <c r="A13341" s="2">
        <v>13338</v>
      </c>
      <c r="B13341" s="2" t="s">
        <v>13416</v>
      </c>
      <c r="C13341" s="2" t="str">
        <f>"10959122"</f>
        <v>10959122</v>
      </c>
      <c r="D13341" s="2">
        <v>0.35199999999999998</v>
      </c>
      <c r="E13341" s="2">
        <v>28</v>
      </c>
      <c r="F13341" s="2" t="s">
        <v>6</v>
      </c>
    </row>
    <row r="13342" spans="1:6" ht="25.5">
      <c r="A13342" s="2">
        <v>13339</v>
      </c>
      <c r="B13342" s="2" t="s">
        <v>13417</v>
      </c>
      <c r="C13342" s="2" t="str">
        <f>"09388982"</f>
        <v>09388982</v>
      </c>
      <c r="D13342" s="2">
        <v>0</v>
      </c>
      <c r="E13342" s="2">
        <v>0</v>
      </c>
      <c r="F13342" s="2" t="s">
        <v>6</v>
      </c>
    </row>
    <row r="13343" spans="1:6" ht="25.5">
      <c r="A13343" s="2">
        <v>13340</v>
      </c>
      <c r="B13343" s="2" t="s">
        <v>13418</v>
      </c>
      <c r="C13343" s="2" t="str">
        <f>"07319487"</f>
        <v>07319487</v>
      </c>
      <c r="D13343" s="2">
        <v>0.27</v>
      </c>
      <c r="E13343" s="2">
        <v>25</v>
      </c>
      <c r="F13343" s="2" t="s">
        <v>6</v>
      </c>
    </row>
    <row r="13344" spans="1:6" ht="25.5">
      <c r="A13344" s="2">
        <v>13341</v>
      </c>
      <c r="B13344" s="2" t="s">
        <v>13419</v>
      </c>
      <c r="C13344" s="2" t="str">
        <f>"15731855"</f>
        <v>15731855</v>
      </c>
      <c r="D13344" s="2">
        <v>0.52700000000000002</v>
      </c>
      <c r="E13344" s="2">
        <v>15</v>
      </c>
      <c r="F13344" s="2" t="s">
        <v>75</v>
      </c>
    </row>
    <row r="13345" spans="1:6" ht="25.5">
      <c r="A13345" s="2">
        <v>13342</v>
      </c>
      <c r="B13345" s="2" t="s">
        <v>13420</v>
      </c>
      <c r="C13345" s="2" t="str">
        <f>"17439884"</f>
        <v>17439884</v>
      </c>
      <c r="D13345" s="2">
        <v>1.4490000000000001</v>
      </c>
      <c r="E13345" s="2">
        <v>18</v>
      </c>
      <c r="F13345" s="2" t="s">
        <v>16</v>
      </c>
    </row>
    <row r="13346" spans="1:6" ht="25.5">
      <c r="A13346" s="2">
        <v>13343</v>
      </c>
      <c r="B13346" s="2" t="s">
        <v>13421</v>
      </c>
      <c r="C13346" s="2" t="str">
        <f>"09696474"</f>
        <v>09696474</v>
      </c>
      <c r="D13346" s="2">
        <v>0.49399999999999999</v>
      </c>
      <c r="E13346" s="2">
        <v>18</v>
      </c>
      <c r="F13346" s="2" t="s">
        <v>16</v>
      </c>
    </row>
    <row r="13347" spans="1:6" ht="25.5">
      <c r="A13347" s="2">
        <v>13344</v>
      </c>
      <c r="B13347" s="2" t="s">
        <v>13422</v>
      </c>
      <c r="C13347" s="2" t="str">
        <f>"00239909"</f>
        <v>00239909</v>
      </c>
      <c r="D13347" s="2">
        <v>0.104</v>
      </c>
      <c r="E13347" s="2">
        <v>0</v>
      </c>
      <c r="F13347" s="2" t="s">
        <v>12</v>
      </c>
    </row>
    <row r="13348" spans="1:6" ht="25.5">
      <c r="A13348" s="2">
        <v>13345</v>
      </c>
      <c r="B13348" s="2" t="s">
        <v>13423</v>
      </c>
      <c r="C13348" s="2" t="str">
        <f>"18600816"</f>
        <v>18600816</v>
      </c>
      <c r="D13348" s="2">
        <v>0.16300000000000001</v>
      </c>
      <c r="E13348" s="2">
        <v>6</v>
      </c>
      <c r="F13348" s="2" t="s">
        <v>12</v>
      </c>
    </row>
    <row r="13349" spans="1:6" ht="25.5">
      <c r="A13349" s="2">
        <v>13346</v>
      </c>
      <c r="B13349" s="2" t="s">
        <v>13424</v>
      </c>
      <c r="C13349" s="2" t="str">
        <f>"18651348"</f>
        <v>18651348</v>
      </c>
      <c r="D13349" s="2">
        <v>0.25</v>
      </c>
      <c r="E13349" s="2">
        <v>10</v>
      </c>
      <c r="F13349" s="2" t="s">
        <v>12</v>
      </c>
    </row>
    <row r="13350" spans="1:6" ht="25.5">
      <c r="A13350" s="2">
        <v>13347</v>
      </c>
      <c r="B13350" s="2" t="s">
        <v>13425</v>
      </c>
      <c r="C13350" s="2" t="str">
        <f>"14397358"</f>
        <v>14397358</v>
      </c>
      <c r="D13350" s="2">
        <v>0.21299999999999999</v>
      </c>
      <c r="E13350" s="2">
        <v>5</v>
      </c>
      <c r="F13350" s="2" t="s">
        <v>12</v>
      </c>
    </row>
    <row r="13351" spans="1:6" ht="25.5">
      <c r="A13351" s="2">
        <v>13348</v>
      </c>
      <c r="B13351" s="2" t="s">
        <v>13426</v>
      </c>
      <c r="C13351" s="2" t="str">
        <f>"03029743"</f>
        <v>03029743</v>
      </c>
      <c r="D13351" s="2">
        <v>0.33200000000000002</v>
      </c>
      <c r="E13351" s="2">
        <v>100</v>
      </c>
      <c r="F13351" s="2" t="s">
        <v>12</v>
      </c>
    </row>
    <row r="13352" spans="1:6" ht="25.5">
      <c r="A13352" s="2">
        <v>13349</v>
      </c>
      <c r="B13352" s="2" t="s">
        <v>13427</v>
      </c>
      <c r="C13352" s="2" t="str">
        <f>"01708643"</f>
        <v>01708643</v>
      </c>
      <c r="D13352" s="2">
        <v>0.45300000000000001</v>
      </c>
      <c r="E13352" s="2">
        <v>17</v>
      </c>
      <c r="F13352" s="2" t="s">
        <v>12</v>
      </c>
    </row>
    <row r="13353" spans="1:6" ht="25.5">
      <c r="A13353" s="2">
        <v>13350</v>
      </c>
      <c r="B13353" s="2" t="s">
        <v>13428</v>
      </c>
      <c r="C13353" s="2" t="str">
        <f>"16132580"</f>
        <v>16132580</v>
      </c>
      <c r="D13353" s="2">
        <v>0.155</v>
      </c>
      <c r="E13353" s="2">
        <v>5</v>
      </c>
      <c r="F13353" s="2" t="s">
        <v>12</v>
      </c>
    </row>
    <row r="13354" spans="1:6" ht="25.5">
      <c r="A13354" s="2">
        <v>13351</v>
      </c>
      <c r="B13354" s="2" t="s">
        <v>13429</v>
      </c>
      <c r="C13354" s="2" t="str">
        <f>"00758442"</f>
        <v>00758442</v>
      </c>
      <c r="D13354" s="2">
        <v>0.18099999999999999</v>
      </c>
      <c r="E13354" s="2">
        <v>7</v>
      </c>
      <c r="F13354" s="2" t="s">
        <v>12</v>
      </c>
    </row>
    <row r="13355" spans="1:6" ht="25.5">
      <c r="A13355" s="2">
        <v>13352</v>
      </c>
      <c r="B13355" s="2" t="s">
        <v>13430</v>
      </c>
      <c r="C13355" s="2" t="str">
        <f>"18761100"</f>
        <v>18761100</v>
      </c>
      <c r="D13355" s="2">
        <v>0.114</v>
      </c>
      <c r="E13355" s="2">
        <v>7</v>
      </c>
      <c r="F13355" s="2" t="s">
        <v>12</v>
      </c>
    </row>
    <row r="13356" spans="1:6" ht="25.5">
      <c r="A13356" s="2">
        <v>13353</v>
      </c>
      <c r="B13356" s="2" t="s">
        <v>13431</v>
      </c>
      <c r="C13356" s="2" t="str">
        <f>"00758434"</f>
        <v>00758434</v>
      </c>
      <c r="D13356" s="2">
        <v>0.61499999999999999</v>
      </c>
      <c r="E13356" s="2">
        <v>15</v>
      </c>
      <c r="F13356" s="2" t="s">
        <v>12</v>
      </c>
    </row>
    <row r="13357" spans="1:6" ht="25.5">
      <c r="A13357" s="2">
        <v>13354</v>
      </c>
      <c r="B13357" s="2" t="s">
        <v>13432</v>
      </c>
      <c r="C13357" s="2" t="str">
        <f>"00758450"</f>
        <v>00758450</v>
      </c>
      <c r="D13357" s="2">
        <v>0.33400000000000002</v>
      </c>
      <c r="E13357" s="2">
        <v>23</v>
      </c>
      <c r="F13357" s="2" t="s">
        <v>12</v>
      </c>
    </row>
    <row r="13358" spans="1:6" ht="25.5">
      <c r="A13358" s="2">
        <v>13355</v>
      </c>
      <c r="B13358" s="2" t="s">
        <v>13433</v>
      </c>
      <c r="C13358" s="2" t="str">
        <f>"18678211"</f>
        <v>18678211</v>
      </c>
      <c r="D13358" s="2">
        <v>0</v>
      </c>
      <c r="E13358" s="2">
        <v>2</v>
      </c>
      <c r="F13358" s="2" t="s">
        <v>12</v>
      </c>
    </row>
    <row r="13359" spans="1:6" ht="25.5">
      <c r="A13359" s="2">
        <v>13356</v>
      </c>
      <c r="B13359" s="2" t="s">
        <v>13434</v>
      </c>
      <c r="C13359" s="2" t="str">
        <f>"07484321"</f>
        <v>07484321</v>
      </c>
      <c r="D13359" s="2">
        <v>0.111</v>
      </c>
      <c r="E13359" s="2">
        <v>3</v>
      </c>
      <c r="F13359" s="2" t="s">
        <v>6</v>
      </c>
    </row>
    <row r="13360" spans="1:6" ht="25.5">
      <c r="A13360" s="2">
        <v>13357</v>
      </c>
      <c r="B13360" s="2" t="s">
        <v>13435</v>
      </c>
      <c r="C13360" s="2" t="str">
        <f>"13553259"</f>
        <v>13553259</v>
      </c>
      <c r="D13360" s="2">
        <v>0.88800000000000001</v>
      </c>
      <c r="E13360" s="2">
        <v>27</v>
      </c>
      <c r="F13360" s="2" t="s">
        <v>6</v>
      </c>
    </row>
    <row r="13361" spans="1:6" ht="25.5">
      <c r="A13361" s="2">
        <v>13358</v>
      </c>
      <c r="B13361" s="2" t="s">
        <v>13436</v>
      </c>
      <c r="C13361" s="2" t="str">
        <f>"15718190"</f>
        <v>15718190</v>
      </c>
      <c r="D13361" s="2">
        <v>0.10199999999999999</v>
      </c>
      <c r="E13361" s="2">
        <v>4</v>
      </c>
      <c r="F13361" s="2" t="s">
        <v>75</v>
      </c>
    </row>
    <row r="13362" spans="1:6" ht="25.5">
      <c r="A13362" s="2">
        <v>13359</v>
      </c>
      <c r="B13362" s="2" t="s">
        <v>13437</v>
      </c>
      <c r="C13362" s="2" t="str">
        <f>"13446223"</f>
        <v>13446223</v>
      </c>
      <c r="D13362" s="2">
        <v>0.52800000000000002</v>
      </c>
      <c r="E13362" s="2">
        <v>23</v>
      </c>
      <c r="F13362" s="2" t="s">
        <v>75</v>
      </c>
    </row>
    <row r="13363" spans="1:6" ht="25.5">
      <c r="A13363" s="2">
        <v>13360</v>
      </c>
      <c r="B13363" s="2" t="s">
        <v>13438</v>
      </c>
      <c r="C13363" s="2" t="str">
        <f>"0270319X"</f>
        <v>0270319X</v>
      </c>
      <c r="D13363" s="2">
        <v>0.156</v>
      </c>
      <c r="E13363" s="2">
        <v>3</v>
      </c>
      <c r="F13363" s="2" t="s">
        <v>16</v>
      </c>
    </row>
    <row r="13364" spans="1:6" ht="25.5">
      <c r="A13364" s="2">
        <v>13361</v>
      </c>
      <c r="B13364" s="2" t="s">
        <v>13439</v>
      </c>
      <c r="C13364" s="2" t="str">
        <f>"1748121X"</f>
        <v>1748121X</v>
      </c>
      <c r="D13364" s="2">
        <v>0.10199999999999999</v>
      </c>
      <c r="E13364" s="2">
        <v>2</v>
      </c>
      <c r="F13364" s="2" t="s">
        <v>6</v>
      </c>
    </row>
    <row r="13365" spans="1:6" ht="25.5">
      <c r="A13365" s="2">
        <v>13362</v>
      </c>
      <c r="B13365" s="2" t="s">
        <v>13440</v>
      </c>
      <c r="C13365" s="2" t="str">
        <f>"14698048"</f>
        <v>14698048</v>
      </c>
      <c r="D13365" s="2">
        <v>0.247</v>
      </c>
      <c r="E13365" s="2">
        <v>1</v>
      </c>
      <c r="F13365" s="2" t="s">
        <v>16</v>
      </c>
    </row>
    <row r="13366" spans="1:6" ht="25.5">
      <c r="A13366" s="2">
        <v>13363</v>
      </c>
      <c r="B13366" s="2" t="s">
        <v>13441</v>
      </c>
      <c r="C13366" s="2" t="str">
        <f>"08664811"</f>
        <v>08664811</v>
      </c>
      <c r="D13366" s="2">
        <v>0.11799999999999999</v>
      </c>
      <c r="E13366" s="2">
        <v>6</v>
      </c>
      <c r="F13366" s="2" t="s">
        <v>135</v>
      </c>
    </row>
    <row r="13367" spans="1:6" ht="25.5">
      <c r="A13367" s="2">
        <v>13364</v>
      </c>
      <c r="B13367" s="2" t="s">
        <v>13442</v>
      </c>
      <c r="C13367" s="2" t="str">
        <f>"03629805"</f>
        <v>03629805</v>
      </c>
      <c r="D13367" s="2">
        <v>2.0049999999999999</v>
      </c>
      <c r="E13367" s="2">
        <v>24</v>
      </c>
      <c r="F13367" s="2" t="s">
        <v>6</v>
      </c>
    </row>
    <row r="13368" spans="1:6" ht="25.5">
      <c r="A13368" s="2">
        <v>13365</v>
      </c>
      <c r="B13368" s="2" t="s">
        <v>13443</v>
      </c>
      <c r="C13368" s="2" t="str">
        <f>"17521467"</f>
        <v>17521467</v>
      </c>
      <c r="D13368" s="2">
        <v>0</v>
      </c>
      <c r="E13368" s="2">
        <v>2</v>
      </c>
      <c r="F13368" s="2" t="s">
        <v>16</v>
      </c>
    </row>
    <row r="13369" spans="1:6" ht="25.5">
      <c r="A13369" s="2">
        <v>13366</v>
      </c>
      <c r="B13369" s="2" t="s">
        <v>13444</v>
      </c>
      <c r="C13369" s="2" t="str">
        <f>"02505371"</f>
        <v>02505371</v>
      </c>
      <c r="D13369" s="2">
        <v>0.182</v>
      </c>
      <c r="E13369" s="2">
        <v>3</v>
      </c>
      <c r="F13369" s="2" t="s">
        <v>488</v>
      </c>
    </row>
    <row r="13370" spans="1:6">
      <c r="A13370" s="2">
        <v>13367</v>
      </c>
      <c r="B13370" s="2" t="s">
        <v>13445</v>
      </c>
      <c r="C13370" s="2" t="str">
        <f>"0"</f>
        <v>0</v>
      </c>
      <c r="D13370" s="2">
        <v>0</v>
      </c>
      <c r="E13370" s="2">
        <v>0</v>
      </c>
      <c r="F13370" s="2" t="s">
        <v>6</v>
      </c>
    </row>
    <row r="13371" spans="1:6" ht="25.5">
      <c r="A13371" s="2">
        <v>13368</v>
      </c>
      <c r="B13371" s="2" t="s">
        <v>13446</v>
      </c>
      <c r="C13371" s="2" t="str">
        <f>"14789698"</f>
        <v>14789698</v>
      </c>
      <c r="D13371" s="2">
        <v>0.55800000000000005</v>
      </c>
      <c r="E13371" s="2">
        <v>4</v>
      </c>
      <c r="F13371" s="2" t="s">
        <v>16</v>
      </c>
    </row>
    <row r="13372" spans="1:6" ht="25.5">
      <c r="A13372" s="2">
        <v>13369</v>
      </c>
      <c r="B13372" s="2" t="s">
        <v>13447</v>
      </c>
      <c r="C13372" s="2" t="str">
        <f>"15210588"</f>
        <v>15210588</v>
      </c>
      <c r="D13372" s="2">
        <v>0.77800000000000002</v>
      </c>
      <c r="E13372" s="2">
        <v>34</v>
      </c>
      <c r="F13372" s="2" t="s">
        <v>16</v>
      </c>
    </row>
    <row r="13373" spans="1:6" ht="25.5">
      <c r="A13373" s="2">
        <v>13370</v>
      </c>
      <c r="B13373" s="2" t="s">
        <v>13448</v>
      </c>
      <c r="C13373" s="2" t="str">
        <f>"14664496"</f>
        <v>14664496</v>
      </c>
      <c r="D13373" s="2">
        <v>0.626</v>
      </c>
      <c r="E13373" s="2">
        <v>27</v>
      </c>
      <c r="F13373" s="2" t="s">
        <v>6</v>
      </c>
    </row>
    <row r="13374" spans="1:6" ht="25.5">
      <c r="A13374" s="2">
        <v>13371</v>
      </c>
      <c r="B13374" s="2" t="s">
        <v>13449</v>
      </c>
      <c r="C13374" s="2" t="str">
        <f>"17610583"</f>
        <v>17610583</v>
      </c>
      <c r="D13374" s="2">
        <v>0.10299999999999999</v>
      </c>
      <c r="E13374" s="2">
        <v>1</v>
      </c>
      <c r="F13374" s="2" t="s">
        <v>66</v>
      </c>
    </row>
    <row r="13375" spans="1:6" ht="25.5">
      <c r="A13375" s="2">
        <v>13372</v>
      </c>
      <c r="B13375" s="2" t="s">
        <v>13450</v>
      </c>
      <c r="C13375" s="2" t="str">
        <f>"04574214"</f>
        <v>04574214</v>
      </c>
      <c r="D13375" s="2">
        <v>0.153</v>
      </c>
      <c r="E13375" s="2">
        <v>4</v>
      </c>
      <c r="F13375" s="2" t="s">
        <v>241</v>
      </c>
    </row>
    <row r="13376" spans="1:6" ht="25.5">
      <c r="A13376" s="2">
        <v>13373</v>
      </c>
      <c r="B13376" s="2" t="s">
        <v>13451</v>
      </c>
      <c r="C13376" s="2" t="str">
        <f>"19930836"</f>
        <v>19930836</v>
      </c>
      <c r="D13376" s="2">
        <v>0.112</v>
      </c>
      <c r="E13376" s="2">
        <v>3</v>
      </c>
      <c r="F13376" s="2" t="s">
        <v>13452</v>
      </c>
    </row>
    <row r="13377" spans="1:6" ht="25.5">
      <c r="A13377" s="2">
        <v>13374</v>
      </c>
      <c r="B13377" s="2" t="s">
        <v>13453</v>
      </c>
      <c r="C13377" s="2" t="str">
        <f>"00137006"</f>
        <v>00137006</v>
      </c>
      <c r="D13377" s="2">
        <v>0.26300000000000001</v>
      </c>
      <c r="E13377" s="2">
        <v>30</v>
      </c>
      <c r="F13377" s="2" t="s">
        <v>66</v>
      </c>
    </row>
    <row r="13378" spans="1:6" ht="25.5">
      <c r="A13378" s="2">
        <v>13375</v>
      </c>
      <c r="B13378" s="2" t="s">
        <v>13454</v>
      </c>
      <c r="C13378" s="2" t="str">
        <f>"00758744"</f>
        <v>00758744</v>
      </c>
      <c r="D13378" s="2">
        <v>0.10100000000000001</v>
      </c>
      <c r="E13378" s="2">
        <v>3</v>
      </c>
      <c r="F13378" s="2" t="s">
        <v>16</v>
      </c>
    </row>
    <row r="13379" spans="1:6" ht="25.5">
      <c r="A13379" s="2">
        <v>13376</v>
      </c>
      <c r="B13379" s="2" t="s">
        <v>13455</v>
      </c>
      <c r="C13379" s="2" t="str">
        <f>"0024094X"</f>
        <v>0024094X</v>
      </c>
      <c r="D13379" s="2">
        <v>0.20599999999999999</v>
      </c>
      <c r="E13379" s="2">
        <v>10</v>
      </c>
      <c r="F13379" s="2" t="s">
        <v>6</v>
      </c>
    </row>
    <row r="13380" spans="1:6" ht="25.5">
      <c r="A13380" s="2">
        <v>13377</v>
      </c>
      <c r="B13380" s="2" t="s">
        <v>13456</v>
      </c>
      <c r="C13380" s="2" t="str">
        <f>"15831078"</f>
        <v>15831078</v>
      </c>
      <c r="D13380" s="2">
        <v>0.157</v>
      </c>
      <c r="E13380" s="2">
        <v>4</v>
      </c>
      <c r="F13380" s="2" t="s">
        <v>19</v>
      </c>
    </row>
    <row r="13381" spans="1:6" ht="25.5">
      <c r="A13381" s="2">
        <v>13378</v>
      </c>
      <c r="B13381" s="2" t="s">
        <v>13457</v>
      </c>
      <c r="C13381" s="2" t="str">
        <f>"09611215"</f>
        <v>09611215</v>
      </c>
      <c r="D13381" s="2">
        <v>0.13500000000000001</v>
      </c>
      <c r="E13381" s="2">
        <v>4</v>
      </c>
      <c r="F13381" s="2" t="s">
        <v>6</v>
      </c>
    </row>
    <row r="13382" spans="1:6" ht="25.5">
      <c r="A13382" s="2">
        <v>13379</v>
      </c>
      <c r="B13382" s="2" t="s">
        <v>13458</v>
      </c>
      <c r="C13382" s="2" t="str">
        <f>"03057518"</f>
        <v>03057518</v>
      </c>
      <c r="D13382" s="2">
        <v>0.51800000000000002</v>
      </c>
      <c r="E13382" s="2">
        <v>28</v>
      </c>
      <c r="F13382" s="2" t="s">
        <v>16</v>
      </c>
    </row>
    <row r="13383" spans="1:6" ht="25.5">
      <c r="A13383" s="2">
        <v>13380</v>
      </c>
      <c r="B13383" s="2" t="s">
        <v>13459</v>
      </c>
      <c r="C13383" s="2" t="str">
        <f>"02489430"</f>
        <v>02489430</v>
      </c>
      <c r="D13383" s="2">
        <v>0.10299999999999999</v>
      </c>
      <c r="E13383" s="2">
        <v>1</v>
      </c>
      <c r="F13383" s="2" t="s">
        <v>66</v>
      </c>
    </row>
    <row r="13384" spans="1:6" ht="25.5">
      <c r="A13384" s="2">
        <v>13381</v>
      </c>
      <c r="B13384" s="2" t="s">
        <v>13460</v>
      </c>
      <c r="C13384" s="2" t="str">
        <f>"15023931"</f>
        <v>15023931</v>
      </c>
      <c r="D13384" s="2">
        <v>0.97299999999999998</v>
      </c>
      <c r="E13384" s="2">
        <v>35</v>
      </c>
      <c r="F13384" s="2" t="s">
        <v>16</v>
      </c>
    </row>
    <row r="13385" spans="1:6" ht="25.5">
      <c r="A13385" s="2">
        <v>13382</v>
      </c>
      <c r="B13385" s="2" t="s">
        <v>13461</v>
      </c>
      <c r="C13385" s="2" t="str">
        <f>"00241334"</f>
        <v>00241334</v>
      </c>
      <c r="D13385" s="2">
        <v>0.124</v>
      </c>
      <c r="E13385" s="2">
        <v>2</v>
      </c>
      <c r="F13385" s="2" t="s">
        <v>190</v>
      </c>
    </row>
    <row r="13386" spans="1:6" ht="25.5">
      <c r="A13386" s="2">
        <v>13383</v>
      </c>
      <c r="B13386" s="2" t="s">
        <v>13462</v>
      </c>
      <c r="C13386" s="2" t="str">
        <f>"1472765X"</f>
        <v>1472765X</v>
      </c>
      <c r="D13386" s="2">
        <v>0.60699999999999998</v>
      </c>
      <c r="E13386" s="2">
        <v>63</v>
      </c>
      <c r="F13386" s="2" t="s">
        <v>16</v>
      </c>
    </row>
    <row r="13387" spans="1:6" ht="25.5">
      <c r="A13387" s="2">
        <v>13384</v>
      </c>
      <c r="B13387" s="2" t="s">
        <v>13463</v>
      </c>
      <c r="C13387" s="2" t="str">
        <f>"15701808"</f>
        <v>15701808</v>
      </c>
      <c r="D13387" s="2">
        <v>0.25600000000000001</v>
      </c>
      <c r="E13387" s="2">
        <v>15</v>
      </c>
      <c r="F13387" s="2" t="s">
        <v>75</v>
      </c>
    </row>
    <row r="13388" spans="1:6" ht="25.5">
      <c r="A13388" s="2">
        <v>13385</v>
      </c>
      <c r="B13388" s="2" t="s">
        <v>13464</v>
      </c>
      <c r="C13388" s="2" t="str">
        <f>"15730530"</f>
        <v>15730530</v>
      </c>
      <c r="D13388" s="2">
        <v>0.83099999999999996</v>
      </c>
      <c r="E13388" s="2">
        <v>35</v>
      </c>
      <c r="F13388" s="2" t="s">
        <v>75</v>
      </c>
    </row>
    <row r="13389" spans="1:6" ht="25.5">
      <c r="A13389" s="2">
        <v>13386</v>
      </c>
      <c r="B13389" s="2" t="s">
        <v>13465</v>
      </c>
      <c r="C13389" s="2" t="str">
        <f>"15701786"</f>
        <v>15701786</v>
      </c>
      <c r="D13389" s="2">
        <v>0.26500000000000001</v>
      </c>
      <c r="E13389" s="2">
        <v>19</v>
      </c>
      <c r="F13389" s="2" t="s">
        <v>75</v>
      </c>
    </row>
    <row r="13390" spans="1:6" ht="25.5">
      <c r="A13390" s="2">
        <v>13387</v>
      </c>
      <c r="B13390" s="2" t="s">
        <v>13466</v>
      </c>
      <c r="C13390" s="2" t="str">
        <f>"18644031"</f>
        <v>18644031</v>
      </c>
      <c r="D13390" s="2">
        <v>0.22700000000000001</v>
      </c>
      <c r="E13390" s="2">
        <v>5</v>
      </c>
      <c r="F13390" s="2" t="s">
        <v>12</v>
      </c>
    </row>
    <row r="13391" spans="1:6" ht="25.5">
      <c r="A13391" s="2">
        <v>13388</v>
      </c>
      <c r="B13391" s="2" t="s">
        <v>13467</v>
      </c>
      <c r="C13391" s="2" t="str">
        <f>"17784301"</f>
        <v>17784301</v>
      </c>
      <c r="D13391" s="2">
        <v>0.104</v>
      </c>
      <c r="E13391" s="2">
        <v>2</v>
      </c>
      <c r="F13391" s="2" t="s">
        <v>66</v>
      </c>
    </row>
    <row r="13392" spans="1:6" ht="25.5">
      <c r="A13392" s="2">
        <v>13389</v>
      </c>
      <c r="B13392" s="2" t="s">
        <v>13468</v>
      </c>
      <c r="C13392" s="2" t="str">
        <f>"00241415"</f>
        <v>00241415</v>
      </c>
      <c r="D13392" s="2">
        <v>0.1</v>
      </c>
      <c r="E13392" s="2">
        <v>1</v>
      </c>
      <c r="F13392" s="2" t="s">
        <v>161</v>
      </c>
    </row>
    <row r="13393" spans="1:6" ht="25.5">
      <c r="A13393" s="2">
        <v>13390</v>
      </c>
      <c r="B13393" s="2" t="s">
        <v>13469</v>
      </c>
      <c r="C13393" s="2" t="str">
        <f>"08876924"</f>
        <v>08876924</v>
      </c>
      <c r="D13393" s="2">
        <v>3.379</v>
      </c>
      <c r="E13393" s="2">
        <v>121</v>
      </c>
      <c r="F13393" s="2" t="s">
        <v>16</v>
      </c>
    </row>
    <row r="13394" spans="1:6" ht="25.5">
      <c r="A13394" s="2">
        <v>13391</v>
      </c>
      <c r="B13394" s="2" t="s">
        <v>13470</v>
      </c>
      <c r="C13394" s="2" t="str">
        <f>"01452126"</f>
        <v>01452126</v>
      </c>
      <c r="D13394" s="2">
        <v>0.70899999999999996</v>
      </c>
      <c r="E13394" s="2">
        <v>57</v>
      </c>
      <c r="F13394" s="2" t="s">
        <v>16</v>
      </c>
    </row>
    <row r="13395" spans="1:6" ht="25.5">
      <c r="A13395" s="2">
        <v>13392</v>
      </c>
      <c r="B13395" s="2" t="s">
        <v>13471</v>
      </c>
      <c r="C13395" s="2" t="str">
        <f>"22130489"</f>
        <v>22130489</v>
      </c>
      <c r="D13395" s="2">
        <v>0</v>
      </c>
      <c r="E13395" s="2">
        <v>0</v>
      </c>
      <c r="F13395" s="2" t="s">
        <v>16</v>
      </c>
    </row>
    <row r="13396" spans="1:6" ht="25.5">
      <c r="A13396" s="2">
        <v>13393</v>
      </c>
      <c r="B13396" s="2" t="s">
        <v>13472</v>
      </c>
      <c r="C13396" s="2" t="str">
        <f>"15502724"</f>
        <v>15502724</v>
      </c>
      <c r="D13396" s="2">
        <v>0.35499999999999998</v>
      </c>
      <c r="E13396" s="2">
        <v>8</v>
      </c>
      <c r="F13396" s="2" t="s">
        <v>6</v>
      </c>
    </row>
    <row r="13397" spans="1:6" ht="25.5">
      <c r="A13397" s="2">
        <v>13394</v>
      </c>
      <c r="B13397" s="2" t="s">
        <v>13473</v>
      </c>
      <c r="C13397" s="2" t="str">
        <f>"00758914"</f>
        <v>00758914</v>
      </c>
      <c r="D13397" s="2">
        <v>0.41399999999999998</v>
      </c>
      <c r="E13397" s="2">
        <v>7</v>
      </c>
      <c r="F13397" s="2" t="s">
        <v>16</v>
      </c>
    </row>
    <row r="13398" spans="1:6" ht="25.5">
      <c r="A13398" s="2">
        <v>13395</v>
      </c>
      <c r="B13398" s="2" t="s">
        <v>13474</v>
      </c>
      <c r="C13398" s="2" t="str">
        <f>"17501849"</f>
        <v>17501849</v>
      </c>
      <c r="D13398" s="2">
        <v>0.1</v>
      </c>
      <c r="E13398" s="2">
        <v>1</v>
      </c>
      <c r="F13398" s="2" t="s">
        <v>6</v>
      </c>
    </row>
    <row r="13399" spans="1:6" ht="25.5">
      <c r="A13399" s="2">
        <v>13396</v>
      </c>
      <c r="B13399" s="2" t="s">
        <v>13475</v>
      </c>
      <c r="C13399" s="2" t="str">
        <f>"16844904"</f>
        <v>16844904</v>
      </c>
      <c r="D13399" s="2">
        <v>0.21</v>
      </c>
      <c r="E13399" s="2">
        <v>7</v>
      </c>
      <c r="F13399" s="2" t="s">
        <v>410</v>
      </c>
    </row>
    <row r="13400" spans="1:6" ht="25.5">
      <c r="A13400" s="2">
        <v>13397</v>
      </c>
      <c r="B13400" s="2" t="s">
        <v>13476</v>
      </c>
      <c r="C13400" s="2" t="str">
        <f>"22108823"</f>
        <v>22108823</v>
      </c>
      <c r="D13400" s="2">
        <v>0</v>
      </c>
      <c r="E13400" s="2">
        <v>1</v>
      </c>
      <c r="F13400" s="2" t="s">
        <v>351</v>
      </c>
    </row>
    <row r="13401" spans="1:6" ht="25.5">
      <c r="A13401" s="2">
        <v>13398</v>
      </c>
      <c r="B13401" s="2" t="s">
        <v>13477</v>
      </c>
      <c r="C13401" s="2" t="str">
        <f>"15815374"</f>
        <v>15815374</v>
      </c>
      <c r="D13401" s="2">
        <v>0.21099999999999999</v>
      </c>
      <c r="E13401" s="2">
        <v>3</v>
      </c>
      <c r="F13401" s="2" t="s">
        <v>154</v>
      </c>
    </row>
    <row r="13402" spans="1:6" ht="25.5">
      <c r="A13402" s="2">
        <v>13399</v>
      </c>
      <c r="B13402" s="2" t="s">
        <v>13478</v>
      </c>
      <c r="C13402" s="2" t="str">
        <f>"18797873"</f>
        <v>18797873</v>
      </c>
      <c r="D13402" s="2">
        <v>0.13400000000000001</v>
      </c>
      <c r="E13402" s="2">
        <v>1</v>
      </c>
      <c r="F13402" s="2" t="s">
        <v>75</v>
      </c>
    </row>
    <row r="13403" spans="1:6" ht="25.5">
      <c r="A13403" s="2">
        <v>13400</v>
      </c>
      <c r="B13403" s="2" t="s">
        <v>13479</v>
      </c>
      <c r="C13403" s="2" t="str">
        <f>"10080562"</f>
        <v>10080562</v>
      </c>
      <c r="D13403" s="2">
        <v>0.219</v>
      </c>
      <c r="E13403" s="2">
        <v>7</v>
      </c>
      <c r="F13403" s="2" t="s">
        <v>46</v>
      </c>
    </row>
    <row r="13404" spans="1:6" ht="25.5">
      <c r="A13404" s="2">
        <v>13401</v>
      </c>
      <c r="B13404" s="2" t="s">
        <v>13480</v>
      </c>
      <c r="C13404" s="2" t="str">
        <f>"03040003"</f>
        <v>03040003</v>
      </c>
      <c r="D13404" s="2">
        <v>0.25600000000000001</v>
      </c>
      <c r="E13404" s="2">
        <v>3</v>
      </c>
      <c r="F13404" s="2" t="s">
        <v>75</v>
      </c>
    </row>
    <row r="13405" spans="1:6">
      <c r="A13405" s="2">
        <v>13402</v>
      </c>
      <c r="B13405" s="2" t="s">
        <v>13481</v>
      </c>
      <c r="C13405" s="2" t="str">
        <f>"0"</f>
        <v>0</v>
      </c>
      <c r="D13405" s="2">
        <v>0.1</v>
      </c>
      <c r="E13405" s="2">
        <v>2</v>
      </c>
      <c r="F13405" s="2" t="s">
        <v>6</v>
      </c>
    </row>
    <row r="13406" spans="1:6" ht="25.5">
      <c r="A13406" s="2">
        <v>13403</v>
      </c>
      <c r="B13406" s="2" t="s">
        <v>13482</v>
      </c>
      <c r="C13406" s="2" t="str">
        <f>"14355205"</f>
        <v>14355205</v>
      </c>
      <c r="D13406" s="2">
        <v>0.28799999999999998</v>
      </c>
      <c r="E13406" s="2">
        <v>5</v>
      </c>
      <c r="F13406" s="2" t="s">
        <v>75</v>
      </c>
    </row>
    <row r="13407" spans="1:6" ht="25.5">
      <c r="A13407" s="2">
        <v>13404</v>
      </c>
      <c r="B13407" s="2" t="s">
        <v>13483</v>
      </c>
      <c r="C13407" s="2" t="str">
        <f>"00242020"</f>
        <v>00242020</v>
      </c>
      <c r="D13407" s="2">
        <v>0.1</v>
      </c>
      <c r="E13407" s="2">
        <v>1</v>
      </c>
      <c r="F13407" s="2" t="s">
        <v>64</v>
      </c>
    </row>
    <row r="13408" spans="1:6" ht="25.5">
      <c r="A13408" s="2">
        <v>13405</v>
      </c>
      <c r="B13408" s="2" t="s">
        <v>13484</v>
      </c>
      <c r="C13408" s="2" t="str">
        <f>"19324855"</f>
        <v>19324855</v>
      </c>
      <c r="D13408" s="2">
        <v>0.114</v>
      </c>
      <c r="E13408" s="2">
        <v>4</v>
      </c>
      <c r="F13408" s="2" t="s">
        <v>6</v>
      </c>
    </row>
    <row r="13409" spans="1:6" ht="25.5">
      <c r="A13409" s="2">
        <v>13406</v>
      </c>
      <c r="B13409" s="2" t="s">
        <v>13485</v>
      </c>
      <c r="C13409" s="2" t="str">
        <f>"00242160"</f>
        <v>00242160</v>
      </c>
      <c r="D13409" s="2">
        <v>0.11700000000000001</v>
      </c>
      <c r="E13409" s="2">
        <v>5</v>
      </c>
      <c r="F13409" s="2" t="s">
        <v>16</v>
      </c>
    </row>
    <row r="13410" spans="1:6" ht="25.5">
      <c r="A13410" s="2">
        <v>13407</v>
      </c>
      <c r="B13410" s="2" t="s">
        <v>13486</v>
      </c>
      <c r="C13410" s="2" t="str">
        <f>"15409511"</f>
        <v>15409511</v>
      </c>
      <c r="D13410" s="2">
        <v>0.21</v>
      </c>
      <c r="E13410" s="2">
        <v>3</v>
      </c>
      <c r="F13410" s="2" t="s">
        <v>16</v>
      </c>
    </row>
    <row r="13411" spans="1:6" ht="25.5">
      <c r="A13411" s="2">
        <v>13408</v>
      </c>
      <c r="B13411" s="2" t="s">
        <v>13487</v>
      </c>
      <c r="C13411" s="2" t="str">
        <f>"03734447"</f>
        <v>03734447</v>
      </c>
      <c r="D13411" s="2">
        <v>0.10100000000000001</v>
      </c>
      <c r="E13411" s="2">
        <v>3</v>
      </c>
      <c r="F13411" s="2" t="s">
        <v>131</v>
      </c>
    </row>
    <row r="13412" spans="1:6" ht="25.5">
      <c r="A13412" s="2">
        <v>13409</v>
      </c>
      <c r="B13412" s="2" t="s">
        <v>13488</v>
      </c>
      <c r="C13412" s="2" t="str">
        <f>"07408188"</f>
        <v>07408188</v>
      </c>
      <c r="D13412" s="2">
        <v>1.754</v>
      </c>
      <c r="E13412" s="2">
        <v>29</v>
      </c>
      <c r="F13412" s="2" t="s">
        <v>75</v>
      </c>
    </row>
    <row r="13413" spans="1:6" ht="25.5">
      <c r="A13413" s="2">
        <v>13410</v>
      </c>
      <c r="B13413" s="2" t="s">
        <v>13489</v>
      </c>
      <c r="C13413" s="2" t="str">
        <f>"18731821"</f>
        <v>18731821</v>
      </c>
      <c r="D13413" s="2">
        <v>0.91700000000000004</v>
      </c>
      <c r="E13413" s="2">
        <v>14</v>
      </c>
      <c r="F13413" s="2" t="s">
        <v>75</v>
      </c>
    </row>
    <row r="13414" spans="1:6" ht="25.5">
      <c r="A13414" s="2">
        <v>13411</v>
      </c>
      <c r="B13414" s="2" t="s">
        <v>13490</v>
      </c>
      <c r="C13414" s="2" t="str">
        <f>"07378831"</f>
        <v>07378831</v>
      </c>
      <c r="D13414" s="2">
        <v>0.996</v>
      </c>
      <c r="E13414" s="2">
        <v>15</v>
      </c>
      <c r="F13414" s="2" t="s">
        <v>16</v>
      </c>
    </row>
    <row r="13415" spans="1:6" ht="25.5">
      <c r="A13415" s="2">
        <v>13412</v>
      </c>
      <c r="B13415" s="2" t="s">
        <v>13491</v>
      </c>
      <c r="C13415" s="2" t="str">
        <f>"07419058"</f>
        <v>07419058</v>
      </c>
      <c r="D13415" s="2">
        <v>0.437</v>
      </c>
      <c r="E13415" s="2">
        <v>7</v>
      </c>
      <c r="F13415" s="2" t="s">
        <v>16</v>
      </c>
    </row>
    <row r="13416" spans="1:6" ht="25.5">
      <c r="A13416" s="2">
        <v>13413</v>
      </c>
      <c r="B13416" s="2" t="s">
        <v>13492</v>
      </c>
      <c r="C13416" s="2" t="str">
        <f>"03630277"</f>
        <v>03630277</v>
      </c>
      <c r="D13416" s="2">
        <v>0.153</v>
      </c>
      <c r="E13416" s="2">
        <v>14</v>
      </c>
      <c r="F13416" s="2" t="s">
        <v>16</v>
      </c>
    </row>
    <row r="13417" spans="1:6" ht="25.5">
      <c r="A13417" s="2">
        <v>13414</v>
      </c>
      <c r="B13417" s="2" t="s">
        <v>13493</v>
      </c>
      <c r="C13417" s="2" t="str">
        <f>"19458851"</f>
        <v>19458851</v>
      </c>
      <c r="D13417" s="2">
        <v>0.22700000000000001</v>
      </c>
      <c r="E13417" s="2">
        <v>5</v>
      </c>
      <c r="F13417" s="2" t="s">
        <v>6</v>
      </c>
    </row>
    <row r="13418" spans="1:6" ht="25.5">
      <c r="A13418" s="2">
        <v>13415</v>
      </c>
      <c r="B13418" s="2" t="s">
        <v>13494</v>
      </c>
      <c r="C13418" s="2" t="str">
        <f>"01435124"</f>
        <v>01435124</v>
      </c>
      <c r="D13418" s="2">
        <v>0.64600000000000002</v>
      </c>
      <c r="E13418" s="2">
        <v>10</v>
      </c>
      <c r="F13418" s="2" t="s">
        <v>16</v>
      </c>
    </row>
    <row r="13419" spans="1:6" ht="25.5">
      <c r="A13419" s="2">
        <v>13416</v>
      </c>
      <c r="B13419" s="2" t="s">
        <v>13495</v>
      </c>
      <c r="C13419" s="2" t="str">
        <f>"15220222"</f>
        <v>15220222</v>
      </c>
      <c r="D13419" s="2">
        <v>0.29199999999999998</v>
      </c>
      <c r="E13419" s="2">
        <v>8</v>
      </c>
      <c r="F13419" s="2" t="s">
        <v>6</v>
      </c>
    </row>
    <row r="13420" spans="1:6" ht="25.5">
      <c r="A13420" s="2">
        <v>13417</v>
      </c>
      <c r="B13420" s="2" t="s">
        <v>13496</v>
      </c>
      <c r="C13420" s="2" t="str">
        <f>"1549652X"</f>
        <v>1549652X</v>
      </c>
      <c r="D13420" s="2">
        <v>0.96099999999999997</v>
      </c>
      <c r="E13420" s="2">
        <v>22</v>
      </c>
      <c r="F13420" s="2" t="s">
        <v>6</v>
      </c>
    </row>
    <row r="13421" spans="1:6" ht="25.5">
      <c r="A13421" s="2">
        <v>13418</v>
      </c>
      <c r="B13421" s="2" t="s">
        <v>13497</v>
      </c>
      <c r="C13421" s="2" t="str">
        <f>"00242527"</f>
        <v>00242527</v>
      </c>
      <c r="D13421" s="2">
        <v>0.73</v>
      </c>
      <c r="E13421" s="2">
        <v>14</v>
      </c>
      <c r="F13421" s="2" t="s">
        <v>6</v>
      </c>
    </row>
    <row r="13422" spans="1:6" ht="25.5">
      <c r="A13422" s="2">
        <v>13419</v>
      </c>
      <c r="B13422" s="2" t="s">
        <v>13498</v>
      </c>
      <c r="C13422" s="2" t="str">
        <f>"00242535"</f>
        <v>00242535</v>
      </c>
      <c r="D13422" s="2">
        <v>0.36899999999999999</v>
      </c>
      <c r="E13422" s="2">
        <v>10</v>
      </c>
      <c r="F13422" s="2" t="s">
        <v>16</v>
      </c>
    </row>
    <row r="13423" spans="1:6" ht="25.5">
      <c r="A13423" s="2">
        <v>13420</v>
      </c>
      <c r="B13423" s="2" t="s">
        <v>13499</v>
      </c>
      <c r="C13423" s="2" t="str">
        <f>"00242594"</f>
        <v>00242594</v>
      </c>
      <c r="D13423" s="2">
        <v>0.43</v>
      </c>
      <c r="E13423" s="2">
        <v>27</v>
      </c>
      <c r="F13423" s="2" t="s">
        <v>6</v>
      </c>
    </row>
    <row r="13424" spans="1:6" ht="25.5">
      <c r="A13424" s="2">
        <v>13421</v>
      </c>
      <c r="B13424" s="2" t="s">
        <v>13500</v>
      </c>
      <c r="C13424" s="2" t="str">
        <f>"10586768"</f>
        <v>10586768</v>
      </c>
      <c r="D13424" s="2">
        <v>0.14599999999999999</v>
      </c>
      <c r="E13424" s="2">
        <v>6</v>
      </c>
      <c r="F13424" s="2" t="s">
        <v>127</v>
      </c>
    </row>
    <row r="13425" spans="1:6" ht="25.5">
      <c r="A13425" s="2">
        <v>13422</v>
      </c>
      <c r="B13425" s="2" t="s">
        <v>13501</v>
      </c>
      <c r="C13425" s="2" t="str">
        <f>"00242667"</f>
        <v>00242667</v>
      </c>
      <c r="D13425" s="2">
        <v>0.40100000000000002</v>
      </c>
      <c r="E13425" s="2">
        <v>14</v>
      </c>
      <c r="F13425" s="2" t="s">
        <v>12</v>
      </c>
    </row>
    <row r="13426" spans="1:6" ht="25.5">
      <c r="A13426" s="2">
        <v>13423</v>
      </c>
      <c r="B13426" s="2" t="s">
        <v>13502</v>
      </c>
      <c r="C13426" s="2" t="str">
        <f>"03008142"</f>
        <v>03008142</v>
      </c>
      <c r="D13426" s="2">
        <v>0.10100000000000001</v>
      </c>
      <c r="E13426" s="2">
        <v>2</v>
      </c>
      <c r="F13426" s="2" t="s">
        <v>149</v>
      </c>
    </row>
    <row r="13427" spans="1:6" ht="25.5">
      <c r="A13427" s="2">
        <v>13424</v>
      </c>
      <c r="B13427" s="2" t="s">
        <v>13503</v>
      </c>
      <c r="C13427" s="2" t="str">
        <f>"19932820"</f>
        <v>19932820</v>
      </c>
      <c r="D13427" s="2">
        <v>0.159</v>
      </c>
      <c r="E13427" s="2">
        <v>5</v>
      </c>
      <c r="F13427" s="2" t="s">
        <v>151</v>
      </c>
    </row>
    <row r="13428" spans="1:6" ht="25.5">
      <c r="A13428" s="2">
        <v>13425</v>
      </c>
      <c r="B13428" s="2" t="s">
        <v>13504</v>
      </c>
      <c r="C13428" s="2" t="str">
        <f>"10961135"</f>
        <v>10961135</v>
      </c>
      <c r="D13428" s="2">
        <v>0.627</v>
      </c>
      <c r="E13428" s="2">
        <v>31</v>
      </c>
      <c r="F13428" s="2" t="s">
        <v>16</v>
      </c>
    </row>
    <row r="13429" spans="1:6" ht="25.5">
      <c r="A13429" s="2">
        <v>13426</v>
      </c>
      <c r="B13429" s="2" t="s">
        <v>13505</v>
      </c>
      <c r="C13429" s="2" t="str">
        <f>"16190548"</f>
        <v>16190548</v>
      </c>
      <c r="D13429" s="2">
        <v>0.10100000000000001</v>
      </c>
      <c r="E13429" s="2">
        <v>1</v>
      </c>
      <c r="F13429" s="2" t="s">
        <v>12</v>
      </c>
    </row>
    <row r="13430" spans="1:6" ht="25.5">
      <c r="A13430" s="2">
        <v>13427</v>
      </c>
      <c r="B13430" s="2" t="s">
        <v>13506</v>
      </c>
      <c r="C13430" s="2" t="str">
        <f>"10978135"</f>
        <v>10978135</v>
      </c>
      <c r="D13430" s="2">
        <v>0.13300000000000001</v>
      </c>
      <c r="E13430" s="2">
        <v>6</v>
      </c>
      <c r="F13430" s="2" t="s">
        <v>46</v>
      </c>
    </row>
    <row r="13431" spans="1:6" ht="25.5">
      <c r="A13431" s="2">
        <v>13428</v>
      </c>
      <c r="B13431" s="2" t="s">
        <v>13507</v>
      </c>
      <c r="C13431" s="2" t="str">
        <f>"00243205"</f>
        <v>00243205</v>
      </c>
      <c r="D13431" s="2">
        <v>0.76200000000000001</v>
      </c>
      <c r="E13431" s="2">
        <v>110</v>
      </c>
      <c r="F13431" s="2" t="s">
        <v>6</v>
      </c>
    </row>
    <row r="13432" spans="1:6" ht="25.5">
      <c r="A13432" s="2">
        <v>13429</v>
      </c>
      <c r="B13432" s="2" t="s">
        <v>13508</v>
      </c>
      <c r="C13432" s="2" t="str">
        <f>"15729249"</f>
        <v>15729249</v>
      </c>
      <c r="D13432" s="2">
        <v>0.999</v>
      </c>
      <c r="E13432" s="2">
        <v>25</v>
      </c>
      <c r="F13432" s="2" t="s">
        <v>75</v>
      </c>
    </row>
    <row r="13433" spans="1:6" ht="25.5">
      <c r="A13433" s="2">
        <v>13430</v>
      </c>
      <c r="B13433" s="2" t="s">
        <v>13509</v>
      </c>
      <c r="C13433" s="2" t="str">
        <f>"14484528"</f>
        <v>14484528</v>
      </c>
      <c r="D13433" s="2">
        <v>0.122</v>
      </c>
      <c r="E13433" s="2">
        <v>1</v>
      </c>
      <c r="F13433" s="2" t="s">
        <v>16</v>
      </c>
    </row>
    <row r="13434" spans="1:6" ht="25.5">
      <c r="A13434" s="2">
        <v>13431</v>
      </c>
      <c r="B13434" s="2" t="s">
        <v>13510</v>
      </c>
      <c r="C13434" s="2" t="str">
        <f>"02362945"</f>
        <v>02362945</v>
      </c>
      <c r="D13434" s="2">
        <v>0.15</v>
      </c>
      <c r="E13434" s="2">
        <v>3</v>
      </c>
      <c r="F13434" s="2" t="s">
        <v>129</v>
      </c>
    </row>
    <row r="13435" spans="1:6" ht="25.5">
      <c r="A13435" s="2">
        <v>13432</v>
      </c>
      <c r="B13435" s="2" t="s">
        <v>13511</v>
      </c>
      <c r="C13435" s="2" t="str">
        <f>"14771535"</f>
        <v>14771535</v>
      </c>
      <c r="D13435" s="2">
        <v>0.74099999999999999</v>
      </c>
      <c r="E13435" s="2">
        <v>22</v>
      </c>
      <c r="F13435" s="2" t="s">
        <v>16</v>
      </c>
    </row>
    <row r="13436" spans="1:6" ht="25.5">
      <c r="A13436" s="2">
        <v>13433</v>
      </c>
      <c r="B13436" s="2" t="s">
        <v>13512</v>
      </c>
      <c r="C13436" s="2" t="str">
        <f>"00243477"</f>
        <v>00243477</v>
      </c>
      <c r="D13436" s="2">
        <v>0.126</v>
      </c>
      <c r="E13436" s="2">
        <v>10</v>
      </c>
      <c r="F13436" s="2" t="s">
        <v>149</v>
      </c>
    </row>
    <row r="13437" spans="1:6" ht="25.5">
      <c r="A13437" s="2">
        <v>13434</v>
      </c>
      <c r="B13437" s="2" t="s">
        <v>13513</v>
      </c>
      <c r="C13437" s="2" t="str">
        <f>"10195297"</f>
        <v>10195297</v>
      </c>
      <c r="D13437" s="2">
        <v>0.10100000000000001</v>
      </c>
      <c r="E13437" s="2">
        <v>5</v>
      </c>
      <c r="F13437" s="2" t="s">
        <v>438</v>
      </c>
    </row>
    <row r="13438" spans="1:6" ht="25.5">
      <c r="A13438" s="2">
        <v>13435</v>
      </c>
      <c r="B13438" s="2" t="s">
        <v>13514</v>
      </c>
      <c r="C13438" s="2" t="str">
        <f>"00498653"</f>
        <v>00498653</v>
      </c>
      <c r="D13438" s="2">
        <v>0.109</v>
      </c>
      <c r="E13438" s="2">
        <v>1</v>
      </c>
      <c r="F13438" s="2" t="s">
        <v>12</v>
      </c>
    </row>
    <row r="13439" spans="1:6" ht="25.5">
      <c r="A13439" s="2">
        <v>13436</v>
      </c>
      <c r="B13439" s="2" t="s">
        <v>13515</v>
      </c>
      <c r="C13439" s="2" t="str">
        <f>"20290209"</f>
        <v>20290209</v>
      </c>
      <c r="D13439" s="2">
        <v>0.13700000000000001</v>
      </c>
      <c r="E13439" s="2">
        <v>3</v>
      </c>
      <c r="F13439" s="2" t="s">
        <v>16</v>
      </c>
    </row>
    <row r="13440" spans="1:6" ht="25.5">
      <c r="A13440" s="2">
        <v>13437</v>
      </c>
      <c r="B13440" s="2" t="s">
        <v>13516</v>
      </c>
      <c r="C13440" s="2" t="str">
        <f>"02138409"</f>
        <v>02138409</v>
      </c>
      <c r="D13440" s="2">
        <v>0.38300000000000001</v>
      </c>
      <c r="E13440" s="2">
        <v>11</v>
      </c>
      <c r="F13440" s="2" t="s">
        <v>351</v>
      </c>
    </row>
    <row r="13441" spans="1:6" ht="25.5">
      <c r="A13441" s="2">
        <v>13438</v>
      </c>
      <c r="B13441" s="2" t="s">
        <v>13517</v>
      </c>
      <c r="C13441" s="2" t="str">
        <f>"00759511"</f>
        <v>00759511</v>
      </c>
      <c r="D13441" s="2">
        <v>0.60599999999999998</v>
      </c>
      <c r="E13441" s="2">
        <v>22</v>
      </c>
      <c r="F13441" s="2" t="s">
        <v>12</v>
      </c>
    </row>
    <row r="13442" spans="1:6" ht="25.5">
      <c r="A13442" s="2">
        <v>13439</v>
      </c>
      <c r="B13442" s="2" t="s">
        <v>13518</v>
      </c>
      <c r="C13442" s="2" t="str">
        <f>"1439863X"</f>
        <v>1439863X</v>
      </c>
      <c r="D13442" s="2">
        <v>0.36699999999999999</v>
      </c>
      <c r="E13442" s="2">
        <v>17</v>
      </c>
      <c r="F13442" s="2" t="s">
        <v>131</v>
      </c>
    </row>
    <row r="13443" spans="1:6" ht="25.5">
      <c r="A13443" s="2">
        <v>13440</v>
      </c>
      <c r="B13443" s="2" t="s">
        <v>13519</v>
      </c>
      <c r="C13443" s="2" t="str">
        <f>"00243590"</f>
        <v>00243590</v>
      </c>
      <c r="D13443" s="2">
        <v>1.9970000000000001</v>
      </c>
      <c r="E13443" s="2">
        <v>125</v>
      </c>
      <c r="F13443" s="2" t="s">
        <v>6</v>
      </c>
    </row>
    <row r="13444" spans="1:6" ht="25.5">
      <c r="A13444" s="2">
        <v>13441</v>
      </c>
      <c r="B13444" s="2" t="s">
        <v>13520</v>
      </c>
      <c r="C13444" s="2" t="str">
        <f>"15396088"</f>
        <v>15396088</v>
      </c>
      <c r="D13444" s="2">
        <v>0.10100000000000001</v>
      </c>
      <c r="E13444" s="2">
        <v>2</v>
      </c>
      <c r="F13444" s="2" t="s">
        <v>6</v>
      </c>
    </row>
    <row r="13445" spans="1:6" ht="25.5">
      <c r="A13445" s="2">
        <v>13442</v>
      </c>
      <c r="B13445" s="2" t="s">
        <v>13521</v>
      </c>
      <c r="C13445" s="2" t="str">
        <f>"15415856"</f>
        <v>15415856</v>
      </c>
      <c r="D13445" s="2">
        <v>0.999</v>
      </c>
      <c r="E13445" s="2">
        <v>30</v>
      </c>
      <c r="F13445" s="2" t="s">
        <v>6</v>
      </c>
    </row>
    <row r="13446" spans="1:6" ht="25.5">
      <c r="A13446" s="2">
        <v>13443</v>
      </c>
      <c r="B13446" s="2" t="s">
        <v>13522</v>
      </c>
      <c r="C13446" s="2" t="str">
        <f>"00243620"</f>
        <v>00243620</v>
      </c>
      <c r="D13446" s="2">
        <v>0.249</v>
      </c>
      <c r="E13446" s="2">
        <v>8</v>
      </c>
      <c r="F13446" s="2" t="s">
        <v>75</v>
      </c>
    </row>
    <row r="13447" spans="1:6" ht="25.5">
      <c r="A13447" s="2">
        <v>13444</v>
      </c>
      <c r="B13447" s="2" t="s">
        <v>13523</v>
      </c>
      <c r="C13447" s="2" t="str">
        <f>"00243639"</f>
        <v>00243639</v>
      </c>
      <c r="D13447" s="2">
        <v>0</v>
      </c>
      <c r="E13447" s="2">
        <v>3</v>
      </c>
      <c r="F13447" s="2" t="s">
        <v>16</v>
      </c>
    </row>
    <row r="13448" spans="1:6" ht="25.5">
      <c r="A13448" s="2">
        <v>13445</v>
      </c>
      <c r="B13448" s="2" t="s">
        <v>13524</v>
      </c>
      <c r="C13448" s="2" t="str">
        <f>"10011781"</f>
        <v>10011781</v>
      </c>
      <c r="D13448" s="2">
        <v>0.11899999999999999</v>
      </c>
      <c r="E13448" s="2">
        <v>6</v>
      </c>
      <c r="F13448" s="2" t="s">
        <v>46</v>
      </c>
    </row>
    <row r="13449" spans="1:6" ht="25.5">
      <c r="A13449" s="2">
        <v>13446</v>
      </c>
      <c r="B13449" s="2" t="s">
        <v>13525</v>
      </c>
      <c r="C13449" s="2" t="str">
        <f>"01050761"</f>
        <v>01050761</v>
      </c>
      <c r="D13449" s="2">
        <v>0.22600000000000001</v>
      </c>
      <c r="E13449" s="2">
        <v>16</v>
      </c>
      <c r="F13449" s="2" t="s">
        <v>75</v>
      </c>
    </row>
    <row r="13450" spans="1:6" ht="25.5">
      <c r="A13450" s="2">
        <v>13447</v>
      </c>
      <c r="B13450" s="2" t="s">
        <v>13526</v>
      </c>
      <c r="C13450" s="2" t="str">
        <f>"00243795"</f>
        <v>00243795</v>
      </c>
      <c r="D13450" s="2">
        <v>0.86799999999999999</v>
      </c>
      <c r="E13450" s="2">
        <v>49</v>
      </c>
      <c r="F13450" s="2" t="s">
        <v>6</v>
      </c>
    </row>
    <row r="13451" spans="1:6" ht="25.5">
      <c r="A13451" s="2">
        <v>13448</v>
      </c>
      <c r="B13451" s="2" t="s">
        <v>13527</v>
      </c>
      <c r="C13451" s="2" t="str">
        <f>"03081087"</f>
        <v>03081087</v>
      </c>
      <c r="D13451" s="2">
        <v>0.61699999999999999</v>
      </c>
      <c r="E13451" s="2">
        <v>21</v>
      </c>
      <c r="F13451" s="2" t="s">
        <v>16</v>
      </c>
    </row>
    <row r="13452" spans="1:6" ht="25.5">
      <c r="A13452" s="2">
        <v>13449</v>
      </c>
      <c r="B13452" s="2" t="s">
        <v>13528</v>
      </c>
      <c r="C13452" s="2" t="str">
        <f>"00243841"</f>
        <v>00243841</v>
      </c>
      <c r="D13452" s="2">
        <v>0.752</v>
      </c>
      <c r="E13452" s="2">
        <v>23</v>
      </c>
      <c r="F13452" s="2" t="s">
        <v>75</v>
      </c>
    </row>
    <row r="13453" spans="1:6" ht="25.5">
      <c r="A13453" s="2">
        <v>13450</v>
      </c>
      <c r="B13453" s="2" t="s">
        <v>13529</v>
      </c>
      <c r="C13453" s="2" t="str">
        <f>"0024385X"</f>
        <v>0024385X</v>
      </c>
      <c r="D13453" s="2">
        <v>0.111</v>
      </c>
      <c r="E13453" s="2">
        <v>3</v>
      </c>
      <c r="F13453" s="2" t="s">
        <v>190</v>
      </c>
    </row>
    <row r="13454" spans="1:6" ht="25.5">
      <c r="A13454" s="2">
        <v>13451</v>
      </c>
      <c r="B13454" s="2" t="s">
        <v>13530</v>
      </c>
      <c r="C13454" s="2" t="str">
        <f>"00243868"</f>
        <v>00243868</v>
      </c>
      <c r="D13454" s="2">
        <v>0.10100000000000001</v>
      </c>
      <c r="E13454" s="2">
        <v>2</v>
      </c>
      <c r="F13454" s="2" t="s">
        <v>190</v>
      </c>
    </row>
    <row r="13455" spans="1:6" ht="25.5">
      <c r="A13455" s="2">
        <v>13452</v>
      </c>
      <c r="B13455" s="2" t="s">
        <v>13531</v>
      </c>
      <c r="C13455" s="2" t="str">
        <f>"00794740"</f>
        <v>00794740</v>
      </c>
      <c r="D13455" s="2">
        <v>0.10100000000000001</v>
      </c>
      <c r="E13455" s="2">
        <v>1</v>
      </c>
      <c r="F13455" s="2" t="s">
        <v>169</v>
      </c>
    </row>
    <row r="13456" spans="1:6" ht="25.5">
      <c r="A13456" s="2">
        <v>13453</v>
      </c>
      <c r="B13456" s="2" t="s">
        <v>13532</v>
      </c>
      <c r="C13456" s="2" t="str">
        <f>"00989053"</f>
        <v>00989053</v>
      </c>
      <c r="D13456" s="2">
        <v>0.45800000000000002</v>
      </c>
      <c r="E13456" s="2">
        <v>2</v>
      </c>
      <c r="F13456" s="2" t="s">
        <v>6</v>
      </c>
    </row>
    <row r="13457" spans="1:6" ht="25.5">
      <c r="A13457" s="2">
        <v>13454</v>
      </c>
      <c r="B13457" s="2" t="s">
        <v>13533</v>
      </c>
      <c r="C13457" s="2" t="str">
        <f>"08628432"</f>
        <v>08628432</v>
      </c>
      <c r="D13457" s="2">
        <v>0.10100000000000001</v>
      </c>
      <c r="E13457" s="2">
        <v>1</v>
      </c>
      <c r="F13457" s="2" t="s">
        <v>16</v>
      </c>
    </row>
    <row r="13458" spans="1:6" ht="25.5">
      <c r="A13458" s="2">
        <v>13455</v>
      </c>
      <c r="B13458" s="2" t="s">
        <v>13534</v>
      </c>
      <c r="C13458" s="2" t="str">
        <f>"08684731"</f>
        <v>08684731</v>
      </c>
      <c r="D13458" s="2">
        <v>0.112</v>
      </c>
      <c r="E13458" s="2">
        <v>2</v>
      </c>
      <c r="F13458" s="2" t="s">
        <v>265</v>
      </c>
    </row>
    <row r="13459" spans="1:6" ht="25.5">
      <c r="A13459" s="2">
        <v>13456</v>
      </c>
      <c r="B13459" s="2" t="s">
        <v>13535</v>
      </c>
      <c r="C13459" s="2" t="str">
        <f>"00243892"</f>
        <v>00243892</v>
      </c>
      <c r="D13459" s="2">
        <v>1.877</v>
      </c>
      <c r="E13459" s="2">
        <v>35</v>
      </c>
      <c r="F13459" s="2" t="s">
        <v>6</v>
      </c>
    </row>
    <row r="13460" spans="1:6" ht="25.5">
      <c r="A13460" s="2">
        <v>13457</v>
      </c>
      <c r="B13460" s="2" t="s">
        <v>13536</v>
      </c>
      <c r="C13460" s="2" t="str">
        <f>"14248689"</f>
        <v>14248689</v>
      </c>
      <c r="D13460" s="2">
        <v>0.1</v>
      </c>
      <c r="E13460" s="2">
        <v>0</v>
      </c>
      <c r="F13460" s="2" t="s">
        <v>16</v>
      </c>
    </row>
    <row r="13461" spans="1:6" ht="25.5">
      <c r="A13461" s="2">
        <v>13458</v>
      </c>
      <c r="B13461" s="2" t="s">
        <v>13537</v>
      </c>
      <c r="C13461" s="2" t="str">
        <f>"16133676"</f>
        <v>16133676</v>
      </c>
      <c r="D13461" s="2">
        <v>0.6</v>
      </c>
      <c r="E13461" s="2">
        <v>14</v>
      </c>
      <c r="F13461" s="2" t="s">
        <v>12</v>
      </c>
    </row>
    <row r="13462" spans="1:6" ht="25.5">
      <c r="A13462" s="2">
        <v>13459</v>
      </c>
      <c r="B13462" s="2" t="s">
        <v>13538</v>
      </c>
      <c r="C13462" s="2" t="str">
        <f>"1613396X"</f>
        <v>1613396X</v>
      </c>
      <c r="D13462" s="2">
        <v>0.53800000000000003</v>
      </c>
      <c r="E13462" s="2">
        <v>21</v>
      </c>
      <c r="F13462" s="2" t="s">
        <v>12</v>
      </c>
    </row>
    <row r="13463" spans="1:6" ht="25.5">
      <c r="A13463" s="2">
        <v>13460</v>
      </c>
      <c r="B13463" s="2" t="s">
        <v>13539</v>
      </c>
      <c r="C13463" s="2" t="str">
        <f>"08985898"</f>
        <v>08985898</v>
      </c>
      <c r="D13463" s="2">
        <v>0.76500000000000001</v>
      </c>
      <c r="E13463" s="2">
        <v>17</v>
      </c>
      <c r="F13463" s="2" t="s">
        <v>16</v>
      </c>
    </row>
    <row r="13464" spans="1:6" ht="25.5">
      <c r="A13464" s="2">
        <v>13461</v>
      </c>
      <c r="B13464" s="2" t="s">
        <v>13540</v>
      </c>
      <c r="C13464" s="2" t="str">
        <f>"1749818X"</f>
        <v>1749818X</v>
      </c>
      <c r="D13464" s="2">
        <v>0.55900000000000005</v>
      </c>
      <c r="E13464" s="2">
        <v>12</v>
      </c>
      <c r="F13464" s="2" t="s">
        <v>16</v>
      </c>
    </row>
    <row r="13465" spans="1:6" ht="25.5">
      <c r="A13465" s="2">
        <v>13462</v>
      </c>
      <c r="B13465" s="2" t="s">
        <v>13541</v>
      </c>
      <c r="C13465" s="2" t="str">
        <f>"01650157"</f>
        <v>01650157</v>
      </c>
      <c r="D13465" s="2">
        <v>0.66</v>
      </c>
      <c r="E13465" s="2">
        <v>24</v>
      </c>
      <c r="F13465" s="2" t="s">
        <v>75</v>
      </c>
    </row>
    <row r="13466" spans="1:6" ht="25.5">
      <c r="A13466" s="2">
        <v>13463</v>
      </c>
      <c r="B13466" s="2" t="s">
        <v>13542</v>
      </c>
      <c r="C13466" s="2" t="str">
        <f>"07313500"</f>
        <v>07313500</v>
      </c>
      <c r="D13466" s="2">
        <v>0.18099999999999999</v>
      </c>
      <c r="E13466" s="2">
        <v>2</v>
      </c>
      <c r="F13466" s="2" t="s">
        <v>127</v>
      </c>
    </row>
    <row r="13467" spans="1:6" ht="25.5">
      <c r="A13467" s="2">
        <v>13464</v>
      </c>
      <c r="B13467" s="2" t="s">
        <v>13543</v>
      </c>
      <c r="C13467" s="2" t="str">
        <f>"1613415X"</f>
        <v>1613415X</v>
      </c>
      <c r="D13467" s="2">
        <v>0.437</v>
      </c>
      <c r="E13467" s="2">
        <v>15</v>
      </c>
      <c r="F13467" s="2" t="s">
        <v>12</v>
      </c>
    </row>
    <row r="13468" spans="1:6" ht="25.5">
      <c r="A13468" s="2">
        <v>13465</v>
      </c>
      <c r="B13468" s="2" t="s">
        <v>13544</v>
      </c>
      <c r="C13468" s="2" t="str">
        <f>"03784169"</f>
        <v>03784169</v>
      </c>
      <c r="D13468" s="2">
        <v>0.13800000000000001</v>
      </c>
      <c r="E13468" s="2">
        <v>2</v>
      </c>
      <c r="F13468" s="2" t="s">
        <v>75</v>
      </c>
    </row>
    <row r="13469" spans="1:6" ht="25.5">
      <c r="A13469" s="2">
        <v>13466</v>
      </c>
      <c r="B13469" s="2" t="s">
        <v>13545</v>
      </c>
      <c r="C13469" s="2" t="str">
        <f>"02112574"</f>
        <v>02112574</v>
      </c>
      <c r="D13469" s="2">
        <v>0</v>
      </c>
      <c r="E13469" s="2">
        <v>0</v>
      </c>
      <c r="F13469" s="2" t="s">
        <v>351</v>
      </c>
    </row>
    <row r="13470" spans="1:6" ht="25.5">
      <c r="A13470" s="2">
        <v>13467</v>
      </c>
      <c r="B13470" s="2" t="s">
        <v>13546</v>
      </c>
      <c r="C13470" s="2" t="str">
        <f>"01472593"</f>
        <v>01472593</v>
      </c>
      <c r="D13470" s="2">
        <v>0.1</v>
      </c>
      <c r="E13470" s="2">
        <v>4</v>
      </c>
      <c r="F13470" s="2" t="s">
        <v>6</v>
      </c>
    </row>
    <row r="13471" spans="1:6" ht="25.5">
      <c r="A13471" s="2">
        <v>13468</v>
      </c>
      <c r="B13471" s="2" t="s">
        <v>13547</v>
      </c>
      <c r="C13471" s="2" t="str">
        <f>"11786353"</f>
        <v>11786353</v>
      </c>
      <c r="D13471" s="2">
        <v>0.106</v>
      </c>
      <c r="E13471" s="2">
        <v>4</v>
      </c>
      <c r="F13471" s="2" t="s">
        <v>503</v>
      </c>
    </row>
    <row r="13472" spans="1:6" ht="25.5">
      <c r="A13472" s="2">
        <v>13469</v>
      </c>
      <c r="B13472" s="2" t="s">
        <v>13548</v>
      </c>
      <c r="C13472" s="2" t="str">
        <f>"00244201"</f>
        <v>00244201</v>
      </c>
      <c r="D13472" s="2">
        <v>0.76600000000000001</v>
      </c>
      <c r="E13472" s="2">
        <v>84</v>
      </c>
      <c r="F13472" s="2" t="s">
        <v>12</v>
      </c>
    </row>
    <row r="13473" spans="1:6" ht="25.5">
      <c r="A13473" s="2">
        <v>13470</v>
      </c>
      <c r="B13473" s="2" t="s">
        <v>13549</v>
      </c>
      <c r="C13473" s="2" t="str">
        <f>"1476511X"</f>
        <v>1476511X</v>
      </c>
      <c r="D13473" s="2">
        <v>0.61</v>
      </c>
      <c r="E13473" s="2">
        <v>27</v>
      </c>
      <c r="F13473" s="2" t="s">
        <v>16</v>
      </c>
    </row>
    <row r="13474" spans="1:6" ht="25.5">
      <c r="A13474" s="2">
        <v>13471</v>
      </c>
      <c r="B13474" s="2" t="s">
        <v>13550</v>
      </c>
      <c r="C13474" s="2" t="str">
        <f>"18635377"</f>
        <v>18635377</v>
      </c>
      <c r="D13474" s="2">
        <v>0.28799999999999998</v>
      </c>
      <c r="E13474" s="2">
        <v>5</v>
      </c>
      <c r="F13474" s="2" t="s">
        <v>12</v>
      </c>
    </row>
    <row r="13475" spans="1:6" ht="25.5">
      <c r="A13475" s="2">
        <v>13472</v>
      </c>
      <c r="B13475" s="2" t="s">
        <v>13551</v>
      </c>
      <c r="C13475" s="2" t="str">
        <f>"13665855"</f>
        <v>13665855</v>
      </c>
      <c r="D13475" s="2">
        <v>0.71</v>
      </c>
      <c r="E13475" s="2">
        <v>53</v>
      </c>
      <c r="F13475" s="2" t="s">
        <v>16</v>
      </c>
    </row>
    <row r="13476" spans="1:6" ht="25.5">
      <c r="A13476" s="2">
        <v>13473</v>
      </c>
      <c r="B13476" s="2" t="s">
        <v>13552</v>
      </c>
      <c r="C13476" s="2" t="str">
        <f>"1358314X"</f>
        <v>1358314X</v>
      </c>
      <c r="D13476" s="2">
        <v>0.17499999999999999</v>
      </c>
      <c r="E13476" s="2">
        <v>2</v>
      </c>
      <c r="F13476" s="2" t="s">
        <v>16</v>
      </c>
    </row>
    <row r="13477" spans="1:6" ht="25.5">
      <c r="A13477" s="2">
        <v>13474</v>
      </c>
      <c r="B13477" s="2" t="s">
        <v>13553</v>
      </c>
      <c r="C13477" s="2" t="str">
        <f>"12103306"</f>
        <v>12103306</v>
      </c>
      <c r="D13477" s="2">
        <v>0.193</v>
      </c>
      <c r="E13477" s="2">
        <v>8</v>
      </c>
      <c r="F13477" s="2" t="s">
        <v>208</v>
      </c>
    </row>
    <row r="13478" spans="1:6" ht="25.5">
      <c r="A13478" s="2">
        <v>13475</v>
      </c>
      <c r="B13478" s="2" t="s">
        <v>13554</v>
      </c>
      <c r="C13478" s="2" t="str">
        <f>"00244457"</f>
        <v>00244457</v>
      </c>
      <c r="D13478" s="2">
        <v>0.1</v>
      </c>
      <c r="E13478" s="2">
        <v>2</v>
      </c>
      <c r="F13478" s="2" t="s">
        <v>208</v>
      </c>
    </row>
    <row r="13479" spans="1:6" ht="25.5">
      <c r="A13479" s="2">
        <v>13476</v>
      </c>
      <c r="B13479" s="2" t="s">
        <v>13555</v>
      </c>
      <c r="C13479" s="2" t="str">
        <f>"17414350"</f>
        <v>17414350</v>
      </c>
      <c r="D13479" s="2">
        <v>0.45500000000000002</v>
      </c>
      <c r="E13479" s="2">
        <v>10</v>
      </c>
      <c r="F13479" s="2" t="s">
        <v>16</v>
      </c>
    </row>
    <row r="13480" spans="1:6" ht="25.5">
      <c r="A13480" s="2">
        <v>13477</v>
      </c>
      <c r="B13480" s="2" t="s">
        <v>13556</v>
      </c>
      <c r="C13480" s="2" t="str">
        <f>"19388071"</f>
        <v>19388071</v>
      </c>
      <c r="D13480" s="2">
        <v>0.5</v>
      </c>
      <c r="E13480" s="2">
        <v>11</v>
      </c>
      <c r="F13480" s="2" t="s">
        <v>16</v>
      </c>
    </row>
    <row r="13481" spans="1:6" ht="25.5">
      <c r="A13481" s="2">
        <v>13478</v>
      </c>
      <c r="B13481" s="2" t="s">
        <v>13557</v>
      </c>
      <c r="C13481" s="2" t="str">
        <f>"02681145"</f>
        <v>02681145</v>
      </c>
      <c r="D13481" s="2">
        <v>0.253</v>
      </c>
      <c r="E13481" s="2">
        <v>11</v>
      </c>
      <c r="F13481" s="2" t="s">
        <v>16</v>
      </c>
    </row>
    <row r="13482" spans="1:6" ht="25.5">
      <c r="A13482" s="2">
        <v>13479</v>
      </c>
      <c r="B13482" s="2" t="s">
        <v>13558</v>
      </c>
      <c r="C13482" s="2" t="str">
        <f>"15239012"</f>
        <v>15239012</v>
      </c>
      <c r="D13482" s="2">
        <v>0.1</v>
      </c>
      <c r="E13482" s="2">
        <v>1</v>
      </c>
      <c r="F13482" s="2" t="s">
        <v>16</v>
      </c>
    </row>
    <row r="13483" spans="1:6" ht="25.5">
      <c r="A13483" s="2">
        <v>13480</v>
      </c>
      <c r="B13483" s="2" t="s">
        <v>13559</v>
      </c>
      <c r="C13483" s="2" t="str">
        <f>"00244589"</f>
        <v>00244589</v>
      </c>
      <c r="D13483" s="2">
        <v>0.10100000000000001</v>
      </c>
      <c r="E13483" s="2">
        <v>1</v>
      </c>
      <c r="F13483" s="2" t="s">
        <v>6</v>
      </c>
    </row>
    <row r="13484" spans="1:6" ht="25.5">
      <c r="A13484" s="2">
        <v>13481</v>
      </c>
      <c r="B13484" s="2" t="s">
        <v>13560</v>
      </c>
      <c r="C13484" s="2" t="str">
        <f>"07165811"</f>
        <v>07165811</v>
      </c>
      <c r="D13484" s="2">
        <v>0.111</v>
      </c>
      <c r="E13484" s="2">
        <v>2</v>
      </c>
      <c r="F13484" s="2" t="s">
        <v>182</v>
      </c>
    </row>
    <row r="13485" spans="1:6" ht="25.5">
      <c r="A13485" s="2">
        <v>13482</v>
      </c>
      <c r="B13485" s="2" t="s">
        <v>13561</v>
      </c>
      <c r="C13485" s="2" t="str">
        <f>"03061973"</f>
        <v>03061973</v>
      </c>
      <c r="D13485" s="2">
        <v>0.13600000000000001</v>
      </c>
      <c r="E13485" s="2">
        <v>3</v>
      </c>
      <c r="F13485" s="2" t="s">
        <v>16</v>
      </c>
    </row>
    <row r="13486" spans="1:6" ht="25.5">
      <c r="A13486" s="2">
        <v>13483</v>
      </c>
      <c r="B13486" s="2" t="s">
        <v>13562</v>
      </c>
      <c r="C13486" s="2" t="str">
        <f>"10806571"</f>
        <v>10806571</v>
      </c>
      <c r="D13486" s="2">
        <v>0.10100000000000001</v>
      </c>
      <c r="E13486" s="2">
        <v>8</v>
      </c>
      <c r="F13486" s="2" t="s">
        <v>6</v>
      </c>
    </row>
    <row r="13487" spans="1:6" ht="25.5">
      <c r="A13487" s="2">
        <v>13484</v>
      </c>
      <c r="B13487" s="2" t="s">
        <v>13563</v>
      </c>
      <c r="C13487" s="2" t="str">
        <f>"02691205"</f>
        <v>02691205</v>
      </c>
      <c r="D13487" s="2">
        <v>0.12</v>
      </c>
      <c r="E13487" s="2">
        <v>4</v>
      </c>
      <c r="F13487" s="2" t="s">
        <v>16</v>
      </c>
    </row>
    <row r="13488" spans="1:6" ht="25.5">
      <c r="A13488" s="2">
        <v>13485</v>
      </c>
      <c r="B13488" s="2" t="s">
        <v>13564</v>
      </c>
      <c r="C13488" s="2" t="str">
        <f>"00904260"</f>
        <v>00904260</v>
      </c>
      <c r="D13488" s="2">
        <v>0.1</v>
      </c>
      <c r="E13488" s="2">
        <v>3</v>
      </c>
      <c r="F13488" s="2" t="s">
        <v>6</v>
      </c>
    </row>
    <row r="13489" spans="1:6" ht="25.5">
      <c r="A13489" s="2">
        <v>13486</v>
      </c>
      <c r="B13489" s="2" t="s">
        <v>13565</v>
      </c>
      <c r="C13489" s="2" t="str">
        <f>"0024466X"</f>
        <v>0024466X</v>
      </c>
      <c r="D13489" s="2">
        <v>0.1</v>
      </c>
      <c r="E13489" s="2">
        <v>0</v>
      </c>
      <c r="F13489" s="2" t="s">
        <v>288</v>
      </c>
    </row>
    <row r="13490" spans="1:6" ht="25.5">
      <c r="A13490" s="2">
        <v>13487</v>
      </c>
      <c r="B13490" s="2" t="s">
        <v>13566</v>
      </c>
      <c r="C13490" s="2" t="str">
        <f>"16083229"</f>
        <v>16083229</v>
      </c>
      <c r="D13490" s="2">
        <v>0.126</v>
      </c>
      <c r="E13490" s="2">
        <v>7</v>
      </c>
      <c r="F13490" s="2" t="s">
        <v>129</v>
      </c>
    </row>
    <row r="13491" spans="1:6" ht="25.5">
      <c r="A13491" s="2">
        <v>13488</v>
      </c>
      <c r="B13491" s="2" t="s">
        <v>13567</v>
      </c>
      <c r="C13491" s="2" t="str">
        <f>"00244937"</f>
        <v>00244937</v>
      </c>
      <c r="D13491" s="2">
        <v>2.0369999999999999</v>
      </c>
      <c r="E13491" s="2">
        <v>82</v>
      </c>
      <c r="F13491" s="2" t="s">
        <v>75</v>
      </c>
    </row>
    <row r="13492" spans="1:6" ht="25.5">
      <c r="A13492" s="2">
        <v>13489</v>
      </c>
      <c r="B13492" s="2" t="s">
        <v>13568</v>
      </c>
      <c r="C13492" s="2" t="str">
        <f>"19474253"</f>
        <v>19474253</v>
      </c>
      <c r="D13492" s="2">
        <v>1.2849999999999999</v>
      </c>
      <c r="E13492" s="2">
        <v>9</v>
      </c>
      <c r="F13492" s="2" t="s">
        <v>6</v>
      </c>
    </row>
    <row r="13493" spans="1:6" ht="25.5">
      <c r="A13493" s="2">
        <v>13490</v>
      </c>
      <c r="B13493" s="2" t="s">
        <v>13569</v>
      </c>
      <c r="C13493" s="2" t="str">
        <f>"13925504"</f>
        <v>13925504</v>
      </c>
      <c r="D13493" s="2">
        <v>0</v>
      </c>
      <c r="E13493" s="2">
        <v>0</v>
      </c>
      <c r="F13493" s="2" t="s">
        <v>426</v>
      </c>
    </row>
    <row r="13494" spans="1:6" ht="25.5">
      <c r="A13494" s="2">
        <v>13491</v>
      </c>
      <c r="B13494" s="2" t="s">
        <v>13570</v>
      </c>
      <c r="C13494" s="2" t="str">
        <f>"16488504"</f>
        <v>16488504</v>
      </c>
      <c r="D13494" s="2">
        <v>0.23</v>
      </c>
      <c r="E13494" s="2">
        <v>6</v>
      </c>
      <c r="F13494" s="2" t="s">
        <v>426</v>
      </c>
    </row>
    <row r="13495" spans="1:6" ht="25.5">
      <c r="A13495" s="2">
        <v>13492</v>
      </c>
      <c r="B13495" s="2" t="s">
        <v>13571</v>
      </c>
      <c r="C13495" s="2" t="str">
        <f>"15738825"</f>
        <v>15738825</v>
      </c>
      <c r="D13495" s="2">
        <v>0.32800000000000001</v>
      </c>
      <c r="E13495" s="2">
        <v>12</v>
      </c>
      <c r="F13495" s="2" t="s">
        <v>12</v>
      </c>
    </row>
    <row r="13496" spans="1:6" ht="25.5">
      <c r="A13496" s="2">
        <v>13493</v>
      </c>
      <c r="B13496" s="2" t="s">
        <v>13572</v>
      </c>
      <c r="C13496" s="2" t="str">
        <f>"15455866"</f>
        <v>15455866</v>
      </c>
      <c r="D13496" s="2">
        <v>0.1</v>
      </c>
      <c r="E13496" s="2">
        <v>1</v>
      </c>
      <c r="F13496" s="2" t="s">
        <v>16</v>
      </c>
    </row>
    <row r="13497" spans="1:6" ht="25.5">
      <c r="A13497" s="2">
        <v>13494</v>
      </c>
      <c r="B13497" s="2" t="s">
        <v>13573</v>
      </c>
      <c r="C13497" s="2" t="str">
        <f>"00474800"</f>
        <v>00474800</v>
      </c>
      <c r="D13497" s="2">
        <v>0.1</v>
      </c>
      <c r="E13497" s="2">
        <v>2</v>
      </c>
      <c r="F13497" s="2" t="s">
        <v>66</v>
      </c>
    </row>
    <row r="13498" spans="1:6" ht="25.5">
      <c r="A13498" s="2">
        <v>13495</v>
      </c>
      <c r="B13498" s="2" t="s">
        <v>13574</v>
      </c>
      <c r="C13498" s="2" t="str">
        <f>"05639751"</f>
        <v>05639751</v>
      </c>
      <c r="D13498" s="2">
        <v>0.1</v>
      </c>
      <c r="E13498" s="2">
        <v>1</v>
      </c>
      <c r="F13498" s="2" t="s">
        <v>66</v>
      </c>
    </row>
    <row r="13499" spans="1:6" ht="25.5">
      <c r="A13499" s="2">
        <v>13496</v>
      </c>
      <c r="B13499" s="2" t="s">
        <v>13575</v>
      </c>
      <c r="C13499" s="2" t="str">
        <f>"15573001"</f>
        <v>15573001</v>
      </c>
      <c r="D13499" s="2">
        <v>0.1</v>
      </c>
      <c r="E13499" s="2">
        <v>1</v>
      </c>
      <c r="F13499" s="2" t="s">
        <v>16</v>
      </c>
    </row>
    <row r="13500" spans="1:6" ht="25.5">
      <c r="A13500" s="2">
        <v>13497</v>
      </c>
      <c r="B13500" s="2" t="s">
        <v>13576</v>
      </c>
      <c r="C13500" s="2" t="str">
        <f>"14783231"</f>
        <v>14783231</v>
      </c>
      <c r="D13500" s="2">
        <v>1.1299999999999999</v>
      </c>
      <c r="E13500" s="2">
        <v>60</v>
      </c>
      <c r="F13500" s="2" t="s">
        <v>16</v>
      </c>
    </row>
    <row r="13501" spans="1:6" ht="25.5">
      <c r="A13501" s="2">
        <v>13498</v>
      </c>
      <c r="B13501" s="2" t="s">
        <v>13577</v>
      </c>
      <c r="C13501" s="2" t="str">
        <f>"15728625"</f>
        <v>15728625</v>
      </c>
      <c r="D13501" s="2">
        <v>0.115</v>
      </c>
      <c r="E13501" s="2">
        <v>4</v>
      </c>
      <c r="F13501" s="2" t="s">
        <v>75</v>
      </c>
    </row>
    <row r="13502" spans="1:6" ht="25.5">
      <c r="A13502" s="2">
        <v>13499</v>
      </c>
      <c r="B13502" s="2" t="s">
        <v>13578</v>
      </c>
      <c r="C13502" s="2" t="str">
        <f>"15276473"</f>
        <v>15276473</v>
      </c>
      <c r="D13502" s="2">
        <v>1.4570000000000001</v>
      </c>
      <c r="E13502" s="2">
        <v>100</v>
      </c>
      <c r="F13502" s="2" t="s">
        <v>16</v>
      </c>
    </row>
    <row r="13503" spans="1:6" ht="25.5">
      <c r="A13503" s="2">
        <v>13500</v>
      </c>
      <c r="B13503" s="2" t="s">
        <v>13579</v>
      </c>
      <c r="C13503" s="2" t="str">
        <f>"01213784"</f>
        <v>01213784</v>
      </c>
      <c r="D13503" s="2">
        <v>0.26</v>
      </c>
      <c r="E13503" s="2">
        <v>14</v>
      </c>
      <c r="F13503" s="2" t="s">
        <v>184</v>
      </c>
    </row>
    <row r="13504" spans="1:6" ht="25.5">
      <c r="A13504" s="2">
        <v>13501</v>
      </c>
      <c r="B13504" s="2" t="s">
        <v>13580</v>
      </c>
      <c r="C13504" s="2" t="str">
        <f>"18711413"</f>
        <v>18711413</v>
      </c>
      <c r="D13504" s="2">
        <v>0.72799999999999998</v>
      </c>
      <c r="E13504" s="2">
        <v>63</v>
      </c>
      <c r="F13504" s="2" t="s">
        <v>75</v>
      </c>
    </row>
    <row r="13505" spans="1:6" ht="25.5">
      <c r="A13505" s="2">
        <v>13502</v>
      </c>
      <c r="B13505" s="2" t="s">
        <v>13581</v>
      </c>
      <c r="C13505" s="2" t="str">
        <f>"1813856X"</f>
        <v>1813856X</v>
      </c>
      <c r="D13505" s="2">
        <v>2.476</v>
      </c>
      <c r="E13505" s="2">
        <v>5</v>
      </c>
      <c r="F13505" s="2" t="s">
        <v>288</v>
      </c>
    </row>
    <row r="13506" spans="1:6" ht="25.5">
      <c r="A13506" s="2">
        <v>13503</v>
      </c>
      <c r="B13506" s="2" t="s">
        <v>13582</v>
      </c>
      <c r="C13506" s="2" t="str">
        <f>"18637329"</f>
        <v>18637329</v>
      </c>
      <c r="D13506" s="2">
        <v>0.70099999999999996</v>
      </c>
      <c r="E13506" s="2">
        <v>3</v>
      </c>
      <c r="F13506" s="2" t="s">
        <v>12</v>
      </c>
    </row>
    <row r="13507" spans="1:6" ht="25.5">
      <c r="A13507" s="2">
        <v>13504</v>
      </c>
      <c r="B13507" s="2" t="s">
        <v>13583</v>
      </c>
      <c r="C13507" s="2" t="str">
        <f>"14338351"</f>
        <v>14338351</v>
      </c>
      <c r="D13507" s="2">
        <v>1.9019999999999999</v>
      </c>
      <c r="E13507" s="2">
        <v>27</v>
      </c>
      <c r="F13507" s="2" t="s">
        <v>12</v>
      </c>
    </row>
    <row r="13508" spans="1:6" ht="25.5">
      <c r="A13508" s="2">
        <v>13505</v>
      </c>
      <c r="B13508" s="2" t="s">
        <v>13584</v>
      </c>
      <c r="C13508" s="2" t="str">
        <f>"04591879"</f>
        <v>04591879</v>
      </c>
      <c r="D13508" s="2">
        <v>0.36899999999999999</v>
      </c>
      <c r="E13508" s="2">
        <v>11</v>
      </c>
      <c r="F13508" s="2" t="s">
        <v>46</v>
      </c>
    </row>
    <row r="13509" spans="1:6" ht="25.5">
      <c r="A13509" s="2">
        <v>13506</v>
      </c>
      <c r="B13509" s="2" t="s">
        <v>13585</v>
      </c>
      <c r="C13509" s="2" t="str">
        <f>"10015493"</f>
        <v>10015493</v>
      </c>
      <c r="D13509" s="2">
        <v>0.108</v>
      </c>
      <c r="E13509" s="2">
        <v>6</v>
      </c>
      <c r="F13509" s="2" t="s">
        <v>46</v>
      </c>
    </row>
    <row r="13510" spans="1:6" ht="25.5">
      <c r="A13510" s="2">
        <v>13507</v>
      </c>
      <c r="B13510" s="2" t="s">
        <v>13586</v>
      </c>
      <c r="C13510" s="2" t="str">
        <f>"18465412"</f>
        <v>18465412</v>
      </c>
      <c r="D13510" s="2">
        <v>0.21299999999999999</v>
      </c>
      <c r="E13510" s="2">
        <v>3</v>
      </c>
      <c r="F13510" s="2" t="s">
        <v>149</v>
      </c>
    </row>
    <row r="13511" spans="1:6" ht="25.5">
      <c r="A13511" s="2">
        <v>13508</v>
      </c>
      <c r="B13511" s="2" t="s">
        <v>13587</v>
      </c>
      <c r="C13511" s="2" t="str">
        <f>"14611570"</f>
        <v>14611570</v>
      </c>
      <c r="D13511" s="2">
        <v>0.10299999999999999</v>
      </c>
      <c r="E13511" s="2">
        <v>1</v>
      </c>
      <c r="F13511" s="2" t="s">
        <v>16</v>
      </c>
    </row>
    <row r="13512" spans="1:6">
      <c r="A13512" s="2">
        <v>13509</v>
      </c>
      <c r="B13512" s="2" t="s">
        <v>13588</v>
      </c>
      <c r="C13512" s="2" t="str">
        <f>"0"</f>
        <v>0</v>
      </c>
      <c r="D13512" s="2">
        <v>0.35799999999999998</v>
      </c>
      <c r="E13512" s="2">
        <v>8</v>
      </c>
      <c r="F13512" s="2" t="s">
        <v>129</v>
      </c>
    </row>
    <row r="13513" spans="1:6" ht="25.5">
      <c r="A13513" s="2">
        <v>13510</v>
      </c>
      <c r="B13513" s="2" t="s">
        <v>13589</v>
      </c>
      <c r="C13513" s="2" t="str">
        <f>"11787112"</f>
        <v>11787112</v>
      </c>
      <c r="D13513" s="2">
        <v>0.13700000000000001</v>
      </c>
      <c r="E13513" s="2">
        <v>2</v>
      </c>
      <c r="F13513" s="2" t="s">
        <v>503</v>
      </c>
    </row>
    <row r="13514" spans="1:6" ht="25.5">
      <c r="A13514" s="2">
        <v>13511</v>
      </c>
      <c r="B13514" s="2" t="s">
        <v>13590</v>
      </c>
      <c r="C13514" s="2" t="str">
        <f>"14709325"</f>
        <v>14709325</v>
      </c>
      <c r="D13514" s="2">
        <v>0.315</v>
      </c>
      <c r="E13514" s="2">
        <v>13</v>
      </c>
      <c r="F13514" s="2" t="s">
        <v>16</v>
      </c>
    </row>
    <row r="13515" spans="1:6" ht="25.5">
      <c r="A13515" s="2">
        <v>13512</v>
      </c>
      <c r="B13515" s="2" t="s">
        <v>13591</v>
      </c>
      <c r="C13515" s="2" t="str">
        <f>"14696711"</f>
        <v>14696711</v>
      </c>
      <c r="D13515" s="2">
        <v>0.47499999999999998</v>
      </c>
      <c r="E13515" s="2">
        <v>27</v>
      </c>
      <c r="F13515" s="2" t="s">
        <v>16</v>
      </c>
    </row>
    <row r="13516" spans="1:6" ht="25.5">
      <c r="A13516" s="2">
        <v>13513</v>
      </c>
      <c r="B13516" s="2" t="s">
        <v>13592</v>
      </c>
      <c r="C13516" s="2" t="str">
        <f>"03003930"</f>
        <v>03003930</v>
      </c>
      <c r="D13516" s="2">
        <v>0.45200000000000001</v>
      </c>
      <c r="E13516" s="2">
        <v>18</v>
      </c>
      <c r="F13516" s="2" t="s">
        <v>16</v>
      </c>
    </row>
    <row r="13517" spans="1:6" ht="25.5">
      <c r="A13517" s="2">
        <v>13514</v>
      </c>
      <c r="B13517" s="2" t="s">
        <v>13593</v>
      </c>
      <c r="C13517" s="2" t="str">
        <f>"01432974"</f>
        <v>01432974</v>
      </c>
      <c r="D13517" s="2">
        <v>0.10299999999999999</v>
      </c>
      <c r="E13517" s="2">
        <v>6</v>
      </c>
      <c r="F13517" s="2" t="s">
        <v>16</v>
      </c>
    </row>
    <row r="13518" spans="1:6" ht="25.5">
      <c r="A13518" s="2">
        <v>13515</v>
      </c>
      <c r="B13518" s="2" t="s">
        <v>13594</v>
      </c>
      <c r="C13518" s="2" t="str">
        <f>"18605974"</f>
        <v>18605974</v>
      </c>
      <c r="D13518" s="2">
        <v>1.036</v>
      </c>
      <c r="E13518" s="2">
        <v>7</v>
      </c>
      <c r="F13518" s="2" t="s">
        <v>12</v>
      </c>
    </row>
    <row r="13519" spans="1:6" ht="25.5">
      <c r="A13519" s="2">
        <v>13516</v>
      </c>
      <c r="B13519" s="2" t="s">
        <v>13595</v>
      </c>
      <c r="C13519" s="2" t="str">
        <f>"14253305"</f>
        <v>14253305</v>
      </c>
      <c r="D13519" s="2">
        <v>0.21299999999999999</v>
      </c>
      <c r="E13519" s="2">
        <v>1</v>
      </c>
      <c r="F13519" s="2" t="s">
        <v>16</v>
      </c>
    </row>
    <row r="13520" spans="1:6" ht="25.5">
      <c r="A13520" s="2">
        <v>13517</v>
      </c>
      <c r="B13520" s="2" t="s">
        <v>13596</v>
      </c>
      <c r="C13520" s="2" t="str">
        <f>"16618300"</f>
        <v>16618300</v>
      </c>
      <c r="D13520" s="2">
        <v>1.2450000000000001</v>
      </c>
      <c r="E13520" s="2">
        <v>6</v>
      </c>
      <c r="F13520" s="2" t="s">
        <v>31</v>
      </c>
    </row>
    <row r="13521" spans="1:6" ht="25.5">
      <c r="A13521" s="2">
        <v>13518</v>
      </c>
      <c r="B13521" s="2" t="s">
        <v>13597</v>
      </c>
      <c r="C13521" s="2" t="str">
        <f>"13689894"</f>
        <v>13689894</v>
      </c>
      <c r="D13521" s="2">
        <v>0.93200000000000005</v>
      </c>
      <c r="E13521" s="2">
        <v>12</v>
      </c>
      <c r="F13521" s="2" t="s">
        <v>16</v>
      </c>
    </row>
    <row r="13522" spans="1:6" ht="25.5">
      <c r="A13522" s="2">
        <v>13519</v>
      </c>
      <c r="B13522" s="2" t="s">
        <v>13598</v>
      </c>
      <c r="C13522" s="2" t="str">
        <f>"00245836"</f>
        <v>00245836</v>
      </c>
      <c r="D13522" s="2">
        <v>0.215</v>
      </c>
      <c r="E13522" s="2">
        <v>6</v>
      </c>
      <c r="F13522" s="2" t="s">
        <v>161</v>
      </c>
    </row>
    <row r="13523" spans="1:6" ht="25.5">
      <c r="A13523" s="2">
        <v>13520</v>
      </c>
      <c r="B13523" s="2" t="s">
        <v>13599</v>
      </c>
      <c r="C13523" s="2" t="str">
        <f>"18607977"</f>
        <v>18607977</v>
      </c>
      <c r="D13523" s="2">
        <v>0.10299999999999999</v>
      </c>
      <c r="E13523" s="2">
        <v>1</v>
      </c>
      <c r="F13523" s="2" t="s">
        <v>12</v>
      </c>
    </row>
    <row r="13524" spans="1:6" ht="25.5">
      <c r="A13524" s="2">
        <v>13521</v>
      </c>
      <c r="B13524" s="2" t="s">
        <v>13600</v>
      </c>
      <c r="C13524" s="2" t="str">
        <f>"1865035X"</f>
        <v>1865035X</v>
      </c>
      <c r="D13524" s="2">
        <v>0</v>
      </c>
      <c r="E13524" s="2">
        <v>2</v>
      </c>
      <c r="F13524" s="2" t="s">
        <v>12</v>
      </c>
    </row>
    <row r="13525" spans="1:6" ht="25.5">
      <c r="A13525" s="2">
        <v>13522</v>
      </c>
      <c r="B13525" s="2" t="s">
        <v>13601</v>
      </c>
      <c r="C13525" s="2" t="str">
        <f>"16512022"</f>
        <v>16512022</v>
      </c>
      <c r="D13525" s="2">
        <v>0.32500000000000001</v>
      </c>
      <c r="E13525" s="2">
        <v>19</v>
      </c>
      <c r="F13525" s="2" t="s">
        <v>16</v>
      </c>
    </row>
    <row r="13526" spans="1:6" ht="25.5">
      <c r="A13526" s="2">
        <v>13523</v>
      </c>
      <c r="B13526" s="2" t="s">
        <v>13602</v>
      </c>
      <c r="C13526" s="2" t="str">
        <f>"19883242"</f>
        <v>19883242</v>
      </c>
      <c r="D13526" s="2">
        <v>0.1</v>
      </c>
      <c r="E13526" s="2">
        <v>3</v>
      </c>
      <c r="F13526" s="2" t="s">
        <v>75</v>
      </c>
    </row>
    <row r="13527" spans="1:6" ht="25.5">
      <c r="A13527" s="2">
        <v>13524</v>
      </c>
      <c r="B13527" s="2" t="s">
        <v>13603</v>
      </c>
      <c r="C13527" s="2" t="str">
        <f>"0944405X"</f>
        <v>0944405X</v>
      </c>
      <c r="D13527" s="2">
        <v>0.153</v>
      </c>
      <c r="E13527" s="2">
        <v>4</v>
      </c>
      <c r="F13527" s="2" t="s">
        <v>12</v>
      </c>
    </row>
    <row r="13528" spans="1:6" ht="25.5">
      <c r="A13528" s="2">
        <v>13525</v>
      </c>
      <c r="B13528" s="2" t="s">
        <v>13604</v>
      </c>
      <c r="C13528" s="2" t="str">
        <f>"10916687"</f>
        <v>10916687</v>
      </c>
      <c r="D13528" s="2">
        <v>0.11</v>
      </c>
      <c r="E13528" s="2">
        <v>3</v>
      </c>
      <c r="F13528" s="2" t="s">
        <v>6</v>
      </c>
    </row>
    <row r="13529" spans="1:6" ht="25.5">
      <c r="A13529" s="2">
        <v>13526</v>
      </c>
      <c r="B13529" s="2" t="s">
        <v>13605</v>
      </c>
      <c r="C13529" s="2" t="str">
        <f>"08687692"</f>
        <v>08687692</v>
      </c>
      <c r="D13529" s="2">
        <v>0.11</v>
      </c>
      <c r="E13529" s="2">
        <v>1</v>
      </c>
      <c r="F13529" s="2" t="s">
        <v>426</v>
      </c>
    </row>
    <row r="13530" spans="1:6" ht="25.5">
      <c r="A13530" s="2">
        <v>13527</v>
      </c>
      <c r="B13530" s="2" t="s">
        <v>13606</v>
      </c>
      <c r="C13530" s="2" t="str">
        <f>"07053436"</f>
        <v>07053436</v>
      </c>
      <c r="D13530" s="2">
        <v>0.111</v>
      </c>
      <c r="E13530" s="2">
        <v>11</v>
      </c>
      <c r="F13530" s="2" t="s">
        <v>64</v>
      </c>
    </row>
    <row r="13531" spans="1:6" ht="25.5">
      <c r="A13531" s="2">
        <v>13528</v>
      </c>
      <c r="B13531" s="2" t="s">
        <v>13607</v>
      </c>
      <c r="C13531" s="2" t="str">
        <f>"03058034"</f>
        <v>03058034</v>
      </c>
      <c r="D13531" s="2">
        <v>0.14099999999999999</v>
      </c>
      <c r="E13531" s="2">
        <v>5</v>
      </c>
      <c r="F13531" s="2" t="s">
        <v>16</v>
      </c>
    </row>
    <row r="13532" spans="1:6" ht="25.5">
      <c r="A13532" s="2">
        <v>13529</v>
      </c>
      <c r="B13532" s="2" t="s">
        <v>13608</v>
      </c>
      <c r="C13532" s="2" t="str">
        <f>"17571480"</f>
        <v>17571480</v>
      </c>
      <c r="D13532" s="2">
        <v>0.156</v>
      </c>
      <c r="E13532" s="2">
        <v>3</v>
      </c>
      <c r="F13532" s="2" t="s">
        <v>16</v>
      </c>
    </row>
    <row r="13533" spans="1:6" ht="25.5">
      <c r="A13533" s="2">
        <v>13530</v>
      </c>
      <c r="B13533" s="2" t="s">
        <v>13609</v>
      </c>
      <c r="C13533" s="2" t="str">
        <f>"14748460"</f>
        <v>14748460</v>
      </c>
      <c r="D13533" s="2">
        <v>0.33800000000000002</v>
      </c>
      <c r="E13533" s="2">
        <v>6</v>
      </c>
      <c r="F13533" s="2" t="s">
        <v>16</v>
      </c>
    </row>
    <row r="13534" spans="1:6" ht="25.5">
      <c r="A13534" s="2">
        <v>13531</v>
      </c>
      <c r="B13534" s="2" t="s">
        <v>13610</v>
      </c>
      <c r="C13534" s="2" t="str">
        <f>"00246301"</f>
        <v>00246301</v>
      </c>
      <c r="D13534" s="2">
        <v>1.798</v>
      </c>
      <c r="E13534" s="2">
        <v>45</v>
      </c>
      <c r="F13534" s="2" t="s">
        <v>16</v>
      </c>
    </row>
    <row r="13535" spans="1:6" ht="25.5">
      <c r="A13535" s="2">
        <v>13532</v>
      </c>
      <c r="B13535" s="2" t="s">
        <v>13611</v>
      </c>
      <c r="C13535" s="2" t="str">
        <f>"00786608"</f>
        <v>00786608</v>
      </c>
      <c r="D13535" s="2">
        <v>0.127</v>
      </c>
      <c r="E13535" s="2">
        <v>6</v>
      </c>
      <c r="F13535" s="2" t="s">
        <v>66</v>
      </c>
    </row>
    <row r="13536" spans="1:6" ht="25.5">
      <c r="A13536" s="2">
        <v>13533</v>
      </c>
      <c r="B13536" s="2" t="s">
        <v>13612</v>
      </c>
      <c r="C13536" s="2" t="str">
        <f>"11249064"</f>
        <v>11249064</v>
      </c>
      <c r="D13536" s="2">
        <v>0.1</v>
      </c>
      <c r="E13536" s="2">
        <v>1</v>
      </c>
      <c r="F13536" s="2" t="s">
        <v>190</v>
      </c>
    </row>
    <row r="13537" spans="1:6" ht="25.5">
      <c r="A13537" s="2">
        <v>13534</v>
      </c>
      <c r="B13537" s="2" t="s">
        <v>13613</v>
      </c>
      <c r="C13537" s="2" t="str">
        <f>"00246859"</f>
        <v>00246859</v>
      </c>
      <c r="D13537" s="2">
        <v>0.23599999999999999</v>
      </c>
      <c r="E13537" s="2">
        <v>5</v>
      </c>
      <c r="F13537" s="2" t="s">
        <v>6</v>
      </c>
    </row>
    <row r="13538" spans="1:6">
      <c r="A13538" s="2">
        <v>13535</v>
      </c>
      <c r="B13538" s="2" t="s">
        <v>13614</v>
      </c>
      <c r="C13538" s="2" t="str">
        <f>"0"</f>
        <v>0</v>
      </c>
      <c r="D13538" s="2">
        <v>0</v>
      </c>
      <c r="E13538" s="2">
        <v>0</v>
      </c>
      <c r="F13538" s="2" t="s">
        <v>6</v>
      </c>
    </row>
    <row r="13539" spans="1:6" ht="25.5">
      <c r="A13539" s="2">
        <v>13536</v>
      </c>
      <c r="B13539" s="2" t="s">
        <v>13615</v>
      </c>
      <c r="C13539" s="2" t="str">
        <f>"00246956"</f>
        <v>00246956</v>
      </c>
      <c r="D13539" s="2">
        <v>0.112</v>
      </c>
      <c r="E13539" s="2">
        <v>5</v>
      </c>
      <c r="F13539" s="2" t="s">
        <v>161</v>
      </c>
    </row>
    <row r="13540" spans="1:6" ht="25.5">
      <c r="A13540" s="2">
        <v>13537</v>
      </c>
      <c r="B13540" s="2" t="s">
        <v>13616</v>
      </c>
      <c r="C13540" s="2" t="str">
        <f>"13449656"</f>
        <v>13449656</v>
      </c>
      <c r="D13540" s="2">
        <v>0.152</v>
      </c>
      <c r="E13540" s="2">
        <v>5</v>
      </c>
      <c r="F13540" s="2" t="s">
        <v>131</v>
      </c>
    </row>
    <row r="13541" spans="1:6" ht="25.5">
      <c r="A13541" s="2">
        <v>13538</v>
      </c>
      <c r="B13541" s="2" t="s">
        <v>13617</v>
      </c>
      <c r="C13541" s="2" t="str">
        <f>"10906517"</f>
        <v>10906517</v>
      </c>
      <c r="D13541" s="2">
        <v>0.34599999999999997</v>
      </c>
      <c r="E13541" s="2">
        <v>23</v>
      </c>
      <c r="F13541" s="2" t="s">
        <v>6</v>
      </c>
    </row>
    <row r="13542" spans="1:6" ht="25.5">
      <c r="A13542" s="2">
        <v>13539</v>
      </c>
      <c r="B13542" s="2" t="s">
        <v>13618</v>
      </c>
      <c r="C13542" s="2" t="str">
        <f>"01026445"</f>
        <v>01026445</v>
      </c>
      <c r="D13542" s="2">
        <v>0.214</v>
      </c>
      <c r="E13542" s="2">
        <v>4</v>
      </c>
      <c r="F13542" s="2" t="s">
        <v>159</v>
      </c>
    </row>
    <row r="13543" spans="1:6" ht="25.5">
      <c r="A13543" s="2">
        <v>13540</v>
      </c>
      <c r="B13543" s="2" t="s">
        <v>13619</v>
      </c>
      <c r="C13543" s="2" t="str">
        <f>"09540075"</f>
        <v>09540075</v>
      </c>
      <c r="D13543" s="2">
        <v>0.51100000000000001</v>
      </c>
      <c r="E13543" s="2">
        <v>16</v>
      </c>
      <c r="F13543" s="2" t="s">
        <v>16</v>
      </c>
    </row>
    <row r="13544" spans="1:6" ht="25.5">
      <c r="A13544" s="2">
        <v>13541</v>
      </c>
      <c r="B13544" s="2" t="s">
        <v>13620</v>
      </c>
      <c r="C13544" s="2" t="str">
        <f>"15227243"</f>
        <v>15227243</v>
      </c>
      <c r="D13544" s="2">
        <v>0.35399999999999998</v>
      </c>
      <c r="E13544" s="2">
        <v>29</v>
      </c>
      <c r="F13544" s="2" t="s">
        <v>16</v>
      </c>
    </row>
    <row r="13545" spans="1:6" ht="25.5">
      <c r="A13545" s="2">
        <v>13542</v>
      </c>
      <c r="B13545" s="2" t="s">
        <v>13621</v>
      </c>
      <c r="C13545" s="2" t="str">
        <f>"03468976"</f>
        <v>03468976</v>
      </c>
      <c r="D13545" s="2">
        <v>0.109</v>
      </c>
      <c r="E13545" s="2">
        <v>0</v>
      </c>
      <c r="F13545" s="2" t="s">
        <v>151</v>
      </c>
    </row>
    <row r="13546" spans="1:6" ht="25.5">
      <c r="A13546" s="2">
        <v>13543</v>
      </c>
      <c r="B13546" s="2" t="s">
        <v>13622</v>
      </c>
      <c r="C13546" s="2" t="str">
        <f>"14321750"</f>
        <v>14321750</v>
      </c>
      <c r="D13546" s="2">
        <v>0.86699999999999999</v>
      </c>
      <c r="E13546" s="2">
        <v>34</v>
      </c>
      <c r="F13546" s="2" t="s">
        <v>6</v>
      </c>
    </row>
    <row r="13547" spans="1:6" ht="25.5">
      <c r="A13547" s="2">
        <v>13544</v>
      </c>
      <c r="B13547" s="2" t="s">
        <v>13623</v>
      </c>
      <c r="C13547" s="2" t="str">
        <f>"01695002"</f>
        <v>01695002</v>
      </c>
      <c r="D13547" s="2">
        <v>1.218</v>
      </c>
      <c r="E13547" s="2">
        <v>78</v>
      </c>
      <c r="F13547" s="2" t="s">
        <v>732</v>
      </c>
    </row>
    <row r="13548" spans="1:6" ht="25.5">
      <c r="A13548" s="2">
        <v>13545</v>
      </c>
      <c r="B13548" s="2" t="s">
        <v>13624</v>
      </c>
      <c r="C13548" s="2" t="str">
        <f>"11792728"</f>
        <v>11792728</v>
      </c>
      <c r="D13548" s="2">
        <v>0.113</v>
      </c>
      <c r="E13548" s="2">
        <v>1</v>
      </c>
      <c r="F13548" s="2" t="s">
        <v>503</v>
      </c>
    </row>
    <row r="13549" spans="1:6" ht="25.5">
      <c r="A13549" s="2">
        <v>13546</v>
      </c>
      <c r="B13549" s="2" t="s">
        <v>13625</v>
      </c>
      <c r="C13549" s="2" t="str">
        <f>"0974598X"</f>
        <v>0974598X</v>
      </c>
      <c r="D13549" s="2">
        <v>0.22700000000000001</v>
      </c>
      <c r="E13549" s="2">
        <v>5</v>
      </c>
      <c r="F13549" s="2" t="s">
        <v>488</v>
      </c>
    </row>
    <row r="13550" spans="1:6" ht="25.5">
      <c r="A13550" s="2">
        <v>13547</v>
      </c>
      <c r="B13550" s="2" t="s">
        <v>13626</v>
      </c>
      <c r="C13550" s="2" t="str">
        <f>"14770962"</f>
        <v>14770962</v>
      </c>
      <c r="D13550" s="2">
        <v>0.98499999999999999</v>
      </c>
      <c r="E13550" s="2">
        <v>68</v>
      </c>
      <c r="F13550" s="2" t="s">
        <v>16</v>
      </c>
    </row>
    <row r="13551" spans="1:6" ht="25.5">
      <c r="A13551" s="2">
        <v>13548</v>
      </c>
      <c r="B13551" s="2" t="s">
        <v>13627</v>
      </c>
      <c r="C13551" s="2" t="str">
        <f>"02115891"</f>
        <v>02115891</v>
      </c>
      <c r="D13551" s="2">
        <v>0.10100000000000001</v>
      </c>
      <c r="E13551" s="2">
        <v>2</v>
      </c>
      <c r="F13551" s="2" t="s">
        <v>351</v>
      </c>
    </row>
    <row r="13552" spans="1:6" ht="25.5">
      <c r="A13552" s="2">
        <v>13549</v>
      </c>
      <c r="B13552" s="2" t="s">
        <v>13628</v>
      </c>
      <c r="C13552" s="2" t="str">
        <f>"00761508"</f>
        <v>00761508</v>
      </c>
      <c r="D13552" s="2">
        <v>0.10100000000000001</v>
      </c>
      <c r="E13552" s="2">
        <v>0</v>
      </c>
      <c r="F13552" s="2" t="s">
        <v>306</v>
      </c>
    </row>
    <row r="13553" spans="1:6" ht="25.5">
      <c r="A13553" s="2">
        <v>13550</v>
      </c>
      <c r="B13553" s="2" t="s">
        <v>13629</v>
      </c>
      <c r="C13553" s="2" t="str">
        <f>"15489957"</f>
        <v>15489957</v>
      </c>
      <c r="D13553" s="2">
        <v>0.1</v>
      </c>
      <c r="E13553" s="2">
        <v>1</v>
      </c>
      <c r="F13553" s="2" t="s">
        <v>6</v>
      </c>
    </row>
    <row r="13554" spans="1:6" ht="25.5">
      <c r="A13554" s="2">
        <v>13551</v>
      </c>
      <c r="B13554" s="2" t="s">
        <v>13630</v>
      </c>
      <c r="C13554" s="2" t="str">
        <f>"09333347"</f>
        <v>09333347</v>
      </c>
      <c r="D13554" s="2">
        <v>0.113</v>
      </c>
      <c r="E13554" s="2">
        <v>3</v>
      </c>
      <c r="F13554" s="2" t="s">
        <v>12</v>
      </c>
    </row>
    <row r="13555" spans="1:6" ht="25.5">
      <c r="A13555" s="2">
        <v>13552</v>
      </c>
      <c r="B13555" s="2" t="s">
        <v>13631</v>
      </c>
      <c r="C13555" s="2" t="str">
        <f>"10961127"</f>
        <v>10961127</v>
      </c>
      <c r="D13555" s="2">
        <v>1.38</v>
      </c>
      <c r="E13555" s="2">
        <v>56</v>
      </c>
      <c r="F13555" s="2" t="s">
        <v>6</v>
      </c>
    </row>
    <row r="13556" spans="1:6" ht="25.5">
      <c r="A13556" s="2">
        <v>13553</v>
      </c>
      <c r="B13556" s="2" t="s">
        <v>13632</v>
      </c>
      <c r="C13556" s="2" t="str">
        <f>"15396851"</f>
        <v>15396851</v>
      </c>
      <c r="D13556" s="2">
        <v>0.96</v>
      </c>
      <c r="E13556" s="2">
        <v>25</v>
      </c>
      <c r="F13556" s="2" t="s">
        <v>6</v>
      </c>
    </row>
    <row r="13557" spans="1:6" ht="25.5">
      <c r="A13557" s="2">
        <v>13554</v>
      </c>
      <c r="B13557" s="2" t="s">
        <v>13633</v>
      </c>
      <c r="C13557" s="2" t="str">
        <f>"14335255"</f>
        <v>14335255</v>
      </c>
      <c r="D13557" s="2">
        <v>0.24</v>
      </c>
      <c r="E13557" s="2">
        <v>6</v>
      </c>
      <c r="F13557" s="2" t="s">
        <v>12</v>
      </c>
    </row>
    <row r="13558" spans="1:6" ht="25.5">
      <c r="A13558" s="2">
        <v>13555</v>
      </c>
      <c r="B13558" s="2" t="s">
        <v>13634</v>
      </c>
      <c r="C13558" s="2" t="str">
        <f>"00247766"</f>
        <v>00247766</v>
      </c>
      <c r="D13558" s="2">
        <v>0.78300000000000003</v>
      </c>
      <c r="E13558" s="2">
        <v>28</v>
      </c>
      <c r="F13558" s="2" t="s">
        <v>6</v>
      </c>
    </row>
    <row r="13559" spans="1:6" ht="25.5">
      <c r="A13559" s="2">
        <v>13556</v>
      </c>
      <c r="B13559" s="2" t="s">
        <v>13635</v>
      </c>
      <c r="C13559" s="2" t="str">
        <f>"19420870"</f>
        <v>19420870</v>
      </c>
      <c r="D13559" s="2">
        <v>1.129</v>
      </c>
      <c r="E13559" s="2">
        <v>18</v>
      </c>
      <c r="F13559" s="2" t="s">
        <v>6</v>
      </c>
    </row>
    <row r="13560" spans="1:6" ht="25.5">
      <c r="A13560" s="2">
        <v>13557</v>
      </c>
      <c r="B13560" s="2" t="s">
        <v>13636</v>
      </c>
      <c r="C13560" s="2" t="str">
        <f>"03500136"</f>
        <v>03500136</v>
      </c>
      <c r="D13560" s="2">
        <v>0.27500000000000002</v>
      </c>
      <c r="E13560" s="2">
        <v>6</v>
      </c>
      <c r="F13560" s="2" t="s">
        <v>2268</v>
      </c>
    </row>
    <row r="13561" spans="1:6" ht="25.5">
      <c r="A13561" s="2">
        <v>13558</v>
      </c>
      <c r="B13561" s="2" t="s">
        <v>13637</v>
      </c>
      <c r="C13561" s="2" t="str">
        <f>"18575773"</f>
        <v>18575773</v>
      </c>
      <c r="D13561" s="2">
        <v>0.122</v>
      </c>
      <c r="E13561" s="2">
        <v>4</v>
      </c>
      <c r="F13561" s="2" t="s">
        <v>2268</v>
      </c>
    </row>
    <row r="13562" spans="1:6" ht="25.5">
      <c r="A13562" s="2">
        <v>13559</v>
      </c>
      <c r="B13562" s="2" t="s">
        <v>13638</v>
      </c>
      <c r="C13562" s="2" t="str">
        <f>"12300535"</f>
        <v>12300535</v>
      </c>
      <c r="D13562" s="2">
        <v>0.13</v>
      </c>
      <c r="E13562" s="2">
        <v>7</v>
      </c>
      <c r="F13562" s="2" t="s">
        <v>169</v>
      </c>
    </row>
    <row r="13563" spans="1:6" ht="25.5">
      <c r="A13563" s="2">
        <v>13560</v>
      </c>
      <c r="B13563" s="2" t="s">
        <v>13639</v>
      </c>
      <c r="C13563" s="2" t="str">
        <f>"15730565"</f>
        <v>15730565</v>
      </c>
      <c r="D13563" s="2">
        <v>2.7130000000000001</v>
      </c>
      <c r="E13563" s="2">
        <v>97</v>
      </c>
      <c r="F13563" s="2" t="s">
        <v>75</v>
      </c>
    </row>
    <row r="13564" spans="1:6" ht="25.5">
      <c r="A13564" s="2">
        <v>13561</v>
      </c>
      <c r="B13564" s="2" t="s">
        <v>13640</v>
      </c>
      <c r="C13564" s="2" t="str">
        <f>"15730573"</f>
        <v>15730573</v>
      </c>
      <c r="D13564" s="2">
        <v>0.22700000000000001</v>
      </c>
      <c r="E13564" s="2">
        <v>12</v>
      </c>
      <c r="F13564" s="2" t="s">
        <v>75</v>
      </c>
    </row>
    <row r="13565" spans="1:6" ht="25.5">
      <c r="A13565" s="2">
        <v>13562</v>
      </c>
      <c r="B13565" s="2" t="s">
        <v>13641</v>
      </c>
      <c r="C13565" s="2" t="str">
        <f>"14321769"</f>
        <v>14321769</v>
      </c>
      <c r="D13565" s="2">
        <v>0.67700000000000005</v>
      </c>
      <c r="E13565" s="2">
        <v>36</v>
      </c>
      <c r="F13565" s="2" t="s">
        <v>12</v>
      </c>
    </row>
    <row r="13566" spans="1:6" ht="25.5">
      <c r="A13566" s="2">
        <v>13563</v>
      </c>
      <c r="B13566" s="2" t="s">
        <v>13642</v>
      </c>
      <c r="C13566" s="2" t="str">
        <f>"15322483"</f>
        <v>15322483</v>
      </c>
      <c r="D13566" s="2">
        <v>0.70699999999999996</v>
      </c>
      <c r="E13566" s="2">
        <v>24</v>
      </c>
      <c r="F13566" s="2" t="s">
        <v>16</v>
      </c>
    </row>
    <row r="13567" spans="1:6" ht="25.5">
      <c r="A13567" s="2">
        <v>13564</v>
      </c>
      <c r="B13567" s="2" t="s">
        <v>13643</v>
      </c>
      <c r="C13567" s="2" t="str">
        <f>"14488345"</f>
        <v>14488345</v>
      </c>
      <c r="D13567" s="2">
        <v>0.111</v>
      </c>
      <c r="E13567" s="2">
        <v>2</v>
      </c>
      <c r="F13567" s="2" t="s">
        <v>127</v>
      </c>
    </row>
    <row r="13568" spans="1:6" ht="25.5">
      <c r="A13568" s="2">
        <v>13565</v>
      </c>
      <c r="B13568" s="2" t="s">
        <v>13644</v>
      </c>
      <c r="C13568" s="2" t="str">
        <f>"14698056"</f>
        <v>14698056</v>
      </c>
      <c r="D13568" s="2">
        <v>0.76800000000000002</v>
      </c>
      <c r="E13568" s="2">
        <v>26</v>
      </c>
      <c r="F13568" s="2" t="s">
        <v>16</v>
      </c>
    </row>
    <row r="13569" spans="1:6" ht="25.5">
      <c r="A13569" s="2">
        <v>13566</v>
      </c>
      <c r="B13569" s="2" t="s">
        <v>13645</v>
      </c>
      <c r="C13569" s="2" t="str">
        <f>"19989539"</f>
        <v>19989539</v>
      </c>
      <c r="D13569" s="2">
        <v>0.188</v>
      </c>
      <c r="E13569" s="2">
        <v>5</v>
      </c>
      <c r="F13569" s="2" t="s">
        <v>129</v>
      </c>
    </row>
    <row r="13570" spans="1:6" ht="25.5">
      <c r="A13570" s="2">
        <v>13567</v>
      </c>
      <c r="B13570" s="2" t="s">
        <v>13646</v>
      </c>
      <c r="C13570" s="2" t="str">
        <f>"16165195"</f>
        <v>16165195</v>
      </c>
      <c r="D13570" s="2">
        <v>1.337</v>
      </c>
      <c r="E13570" s="2">
        <v>52</v>
      </c>
      <c r="F13570" s="2" t="s">
        <v>12</v>
      </c>
    </row>
    <row r="13571" spans="1:6" ht="25.5">
      <c r="A13571" s="2">
        <v>13568</v>
      </c>
      <c r="B13571" s="2" t="s">
        <v>13647</v>
      </c>
      <c r="C13571" s="2" t="str">
        <f>"15213935"</f>
        <v>15213935</v>
      </c>
      <c r="D13571" s="2">
        <v>0.879</v>
      </c>
      <c r="E13571" s="2">
        <v>76</v>
      </c>
      <c r="F13571" s="2" t="s">
        <v>12</v>
      </c>
    </row>
    <row r="13572" spans="1:6" ht="25.5">
      <c r="A13572" s="2">
        <v>13569</v>
      </c>
      <c r="B13572" s="2" t="s">
        <v>13648</v>
      </c>
      <c r="C13572" s="2" t="str">
        <f>"14392054"</f>
        <v>14392054</v>
      </c>
      <c r="D13572" s="2">
        <v>0.84099999999999997</v>
      </c>
      <c r="E13572" s="2">
        <v>50</v>
      </c>
      <c r="F13572" s="2" t="s">
        <v>12</v>
      </c>
    </row>
    <row r="13573" spans="1:6" ht="25.5">
      <c r="A13573" s="2">
        <v>13570</v>
      </c>
      <c r="B13573" s="2" t="s">
        <v>13649</v>
      </c>
      <c r="C13573" s="2" t="str">
        <f>"15213927"</f>
        <v>15213927</v>
      </c>
      <c r="D13573" s="2">
        <v>1.786</v>
      </c>
      <c r="E13573" s="2">
        <v>96</v>
      </c>
      <c r="F13573" s="2" t="s">
        <v>12</v>
      </c>
    </row>
    <row r="13574" spans="1:6" ht="25.5">
      <c r="A13574" s="2">
        <v>13571</v>
      </c>
      <c r="B13574" s="2" t="s">
        <v>13650</v>
      </c>
      <c r="C13574" s="2" t="str">
        <f>"18628338"</f>
        <v>18628338</v>
      </c>
      <c r="D13574" s="2">
        <v>0.54</v>
      </c>
      <c r="E13574" s="2">
        <v>12</v>
      </c>
      <c r="F13574" s="2" t="s">
        <v>12</v>
      </c>
    </row>
    <row r="13575" spans="1:6" ht="25.5">
      <c r="A13575" s="2">
        <v>13572</v>
      </c>
      <c r="B13575" s="2" t="s">
        <v>13651</v>
      </c>
      <c r="C13575" s="2" t="str">
        <f>"15985032"</f>
        <v>15985032</v>
      </c>
      <c r="D13575" s="2">
        <v>0.51200000000000001</v>
      </c>
      <c r="E13575" s="2">
        <v>24</v>
      </c>
      <c r="F13575" s="2" t="s">
        <v>274</v>
      </c>
    </row>
    <row r="13576" spans="1:6" ht="25.5">
      <c r="A13576" s="2">
        <v>13573</v>
      </c>
      <c r="B13576" s="2" t="s">
        <v>13652</v>
      </c>
      <c r="C13576" s="2" t="str">
        <f>"15213900"</f>
        <v>15213900</v>
      </c>
      <c r="D13576" s="2">
        <v>0.252</v>
      </c>
      <c r="E13576" s="2">
        <v>41</v>
      </c>
      <c r="F13576" s="2" t="s">
        <v>12</v>
      </c>
    </row>
    <row r="13577" spans="1:6" ht="25.5">
      <c r="A13577" s="2">
        <v>13574</v>
      </c>
      <c r="B13577" s="2" t="s">
        <v>13653</v>
      </c>
      <c r="C13577" s="2" t="str">
        <f>"15213919"</f>
        <v>15213919</v>
      </c>
      <c r="D13577" s="2">
        <v>0.56499999999999995</v>
      </c>
      <c r="E13577" s="2">
        <v>38</v>
      </c>
      <c r="F13577" s="2" t="s">
        <v>12</v>
      </c>
    </row>
    <row r="13578" spans="1:6" ht="25.5">
      <c r="A13578" s="2">
        <v>13575</v>
      </c>
      <c r="B13578" s="2" t="s">
        <v>13654</v>
      </c>
      <c r="C13578" s="2" t="str">
        <f>"15205835"</f>
        <v>15205835</v>
      </c>
      <c r="D13578" s="2">
        <v>2.387</v>
      </c>
      <c r="E13578" s="2">
        <v>205</v>
      </c>
      <c r="F13578" s="2" t="s">
        <v>6</v>
      </c>
    </row>
    <row r="13579" spans="1:6" ht="25.5">
      <c r="A13579" s="2">
        <v>13576</v>
      </c>
      <c r="B13579" s="2" t="s">
        <v>13655</v>
      </c>
      <c r="C13579" s="2" t="str">
        <f>"00249416"</f>
        <v>00249416</v>
      </c>
      <c r="D13579" s="2">
        <v>0.127</v>
      </c>
      <c r="E13579" s="2">
        <v>3</v>
      </c>
      <c r="F13579" s="2" t="s">
        <v>345</v>
      </c>
    </row>
    <row r="13580" spans="1:6" ht="25.5">
      <c r="A13580" s="2">
        <v>13577</v>
      </c>
      <c r="B13580" s="2" t="s">
        <v>13656</v>
      </c>
      <c r="C13580" s="2" t="str">
        <f>"0718221X"</f>
        <v>0718221X</v>
      </c>
      <c r="D13580" s="2">
        <v>0.42799999999999999</v>
      </c>
      <c r="E13580" s="2">
        <v>9</v>
      </c>
      <c r="F13580" s="2" t="s">
        <v>182</v>
      </c>
    </row>
    <row r="13581" spans="1:6" ht="25.5">
      <c r="A13581" s="2">
        <v>13578</v>
      </c>
      <c r="B13581" s="2" t="s">
        <v>13657</v>
      </c>
      <c r="C13581" s="2" t="str">
        <f>"19057873"</f>
        <v>19057873</v>
      </c>
      <c r="D13581" s="2">
        <v>0.255</v>
      </c>
      <c r="E13581" s="2">
        <v>5</v>
      </c>
      <c r="F13581" s="2" t="s">
        <v>1966</v>
      </c>
    </row>
    <row r="13582" spans="1:6" ht="25.5">
      <c r="A13582" s="2">
        <v>13579</v>
      </c>
      <c r="B13582" s="2" t="s">
        <v>13658</v>
      </c>
      <c r="C13582" s="2" t="str">
        <f>"07182244"</f>
        <v>07182244</v>
      </c>
      <c r="D13582" s="2">
        <v>0.32100000000000001</v>
      </c>
      <c r="E13582" s="2">
        <v>5</v>
      </c>
      <c r="F13582" s="2" t="s">
        <v>182</v>
      </c>
    </row>
    <row r="13583" spans="1:6" ht="25.5">
      <c r="A13583" s="2">
        <v>13580</v>
      </c>
      <c r="B13583" s="2" t="s">
        <v>13659</v>
      </c>
      <c r="C13583" s="2" t="str">
        <f>"01619284"</f>
        <v>01619284</v>
      </c>
      <c r="D13583" s="2">
        <v>0.1</v>
      </c>
      <c r="E13583" s="2">
        <v>2</v>
      </c>
      <c r="F13583" s="2" t="s">
        <v>6</v>
      </c>
    </row>
    <row r="13584" spans="1:6" ht="25.5">
      <c r="A13584" s="2">
        <v>13581</v>
      </c>
      <c r="B13584" s="2" t="s">
        <v>13660</v>
      </c>
      <c r="C13584" s="2" t="str">
        <f>"00249831"</f>
        <v>00249831</v>
      </c>
      <c r="D13584" s="2">
        <v>0.65800000000000003</v>
      </c>
      <c r="E13584" s="2">
        <v>27</v>
      </c>
      <c r="F13584" s="2" t="s">
        <v>16</v>
      </c>
    </row>
    <row r="13585" spans="1:6" ht="25.5">
      <c r="A13585" s="2">
        <v>13582</v>
      </c>
      <c r="B13585" s="2" t="s">
        <v>13661</v>
      </c>
      <c r="C13585" s="2" t="str">
        <f>"17623162"</f>
        <v>17623162</v>
      </c>
      <c r="D13585" s="2">
        <v>0.10100000000000001</v>
      </c>
      <c r="E13585" s="2">
        <v>2</v>
      </c>
      <c r="F13585" s="2" t="s">
        <v>66</v>
      </c>
    </row>
    <row r="13586" spans="1:6" ht="25.5">
      <c r="A13586" s="2">
        <v>13583</v>
      </c>
      <c r="B13586" s="2" t="s">
        <v>13662</v>
      </c>
      <c r="C13586" s="2" t="str">
        <f>"20271182"</f>
        <v>20271182</v>
      </c>
      <c r="D13586" s="2">
        <v>0.10199999999999999</v>
      </c>
      <c r="E13586" s="2">
        <v>2</v>
      </c>
      <c r="F13586" s="2" t="s">
        <v>184</v>
      </c>
    </row>
    <row r="13587" spans="1:6" ht="25.5">
      <c r="A13587" s="2">
        <v>13584</v>
      </c>
      <c r="B13587" s="2" t="s">
        <v>13663</v>
      </c>
      <c r="C13587" s="2" t="str">
        <f>"09531424"</f>
        <v>09531424</v>
      </c>
      <c r="D13587" s="2">
        <v>0.42299999999999999</v>
      </c>
      <c r="E13587" s="2">
        <v>25</v>
      </c>
      <c r="F13587" s="2" t="s">
        <v>66</v>
      </c>
    </row>
    <row r="13588" spans="1:6" ht="25.5">
      <c r="A13588" s="2">
        <v>13585</v>
      </c>
      <c r="B13588" s="2" t="s">
        <v>13664</v>
      </c>
      <c r="C13588" s="2" t="str">
        <f>"0730725X"</f>
        <v>0730725X</v>
      </c>
      <c r="D13588" s="2">
        <v>0.91700000000000004</v>
      </c>
      <c r="E13588" s="2">
        <v>69</v>
      </c>
      <c r="F13588" s="2" t="s">
        <v>6</v>
      </c>
    </row>
    <row r="13589" spans="1:6" ht="25.5">
      <c r="A13589" s="2">
        <v>13586</v>
      </c>
      <c r="B13589" s="2" t="s">
        <v>13665</v>
      </c>
      <c r="C13589" s="2" t="str">
        <f>"10649689"</f>
        <v>10649689</v>
      </c>
      <c r="D13589" s="2">
        <v>0.85699999999999998</v>
      </c>
      <c r="E13589" s="2">
        <v>34</v>
      </c>
      <c r="F13589" s="2" t="s">
        <v>16</v>
      </c>
    </row>
    <row r="13590" spans="1:6" ht="25.5">
      <c r="A13590" s="2">
        <v>13587</v>
      </c>
      <c r="B13590" s="2" t="s">
        <v>13666</v>
      </c>
      <c r="C13590" s="2" t="str">
        <f>"1097458X"</f>
        <v>1097458X</v>
      </c>
      <c r="D13590" s="2">
        <v>0.63300000000000001</v>
      </c>
      <c r="E13590" s="2">
        <v>47</v>
      </c>
      <c r="F13590" s="2" t="s">
        <v>16</v>
      </c>
    </row>
    <row r="13591" spans="1:6" ht="25.5">
      <c r="A13591" s="2">
        <v>13588</v>
      </c>
      <c r="B13591" s="2" t="s">
        <v>13667</v>
      </c>
      <c r="C13591" s="2" t="str">
        <f>"13473182"</f>
        <v>13473182</v>
      </c>
      <c r="D13591" s="2">
        <v>0.33200000000000002</v>
      </c>
      <c r="E13591" s="2">
        <v>21</v>
      </c>
      <c r="F13591" s="2" t="s">
        <v>131</v>
      </c>
    </row>
    <row r="13592" spans="1:6" ht="25.5">
      <c r="A13592" s="2">
        <v>13589</v>
      </c>
      <c r="B13592" s="2" t="s">
        <v>13668</v>
      </c>
      <c r="C13592" s="2" t="str">
        <f>"15222594"</f>
        <v>15222594</v>
      </c>
      <c r="D13592" s="2">
        <v>1.8260000000000001</v>
      </c>
      <c r="E13592" s="2">
        <v>144</v>
      </c>
      <c r="F13592" s="2" t="s">
        <v>6</v>
      </c>
    </row>
    <row r="13593" spans="1:6" ht="25.5">
      <c r="A13593" s="2">
        <v>13590</v>
      </c>
      <c r="B13593" s="2" t="s">
        <v>13669</v>
      </c>
      <c r="C13593" s="2" t="str">
        <f>"20725981"</f>
        <v>20725981</v>
      </c>
      <c r="D13593" s="2">
        <v>0</v>
      </c>
      <c r="E13593" s="2">
        <v>1</v>
      </c>
      <c r="F13593" s="2" t="s">
        <v>129</v>
      </c>
    </row>
    <row r="13594" spans="1:6" ht="25.5">
      <c r="A13594" s="2">
        <v>13591</v>
      </c>
      <c r="B13594" s="2" t="s">
        <v>13670</v>
      </c>
      <c r="C13594" s="2" t="str">
        <f>"13528661"</f>
        <v>13528661</v>
      </c>
      <c r="D13594" s="2">
        <v>0.82099999999999995</v>
      </c>
      <c r="E13594" s="2">
        <v>36</v>
      </c>
      <c r="F13594" s="2" t="s">
        <v>12</v>
      </c>
    </row>
    <row r="13595" spans="1:6" ht="25.5">
      <c r="A13595" s="2">
        <v>13592</v>
      </c>
      <c r="B13595" s="2" t="s">
        <v>13671</v>
      </c>
      <c r="C13595" s="2" t="str">
        <f>"0024998X"</f>
        <v>0024998X</v>
      </c>
      <c r="D13595" s="2">
        <v>0.224</v>
      </c>
      <c r="E13595" s="2">
        <v>5</v>
      </c>
      <c r="F13595" s="2" t="s">
        <v>2275</v>
      </c>
    </row>
    <row r="13596" spans="1:6" ht="25.5">
      <c r="A13596" s="2">
        <v>13593</v>
      </c>
      <c r="B13596" s="2" t="s">
        <v>13672</v>
      </c>
      <c r="C13596" s="2" t="str">
        <f>"0025004X"</f>
        <v>0025004X</v>
      </c>
      <c r="D13596" s="2">
        <v>0.17599999999999999</v>
      </c>
      <c r="E13596" s="2">
        <v>7</v>
      </c>
      <c r="F13596" s="2" t="s">
        <v>135</v>
      </c>
    </row>
    <row r="13597" spans="1:6" ht="25.5">
      <c r="A13597" s="2">
        <v>13594</v>
      </c>
      <c r="B13597" s="2" t="s">
        <v>13673</v>
      </c>
      <c r="C13597" s="2" t="str">
        <f>"15881024"</f>
        <v>15881024</v>
      </c>
      <c r="D13597" s="2">
        <v>0.10100000000000001</v>
      </c>
      <c r="E13597" s="2">
        <v>1</v>
      </c>
      <c r="F13597" s="2" t="s">
        <v>135</v>
      </c>
    </row>
    <row r="13598" spans="1:6" ht="25.5">
      <c r="A13598" s="2">
        <v>13595</v>
      </c>
      <c r="B13598" s="2" t="s">
        <v>13674</v>
      </c>
      <c r="C13598" s="2" t="str">
        <f>"00250120"</f>
        <v>00250120</v>
      </c>
      <c r="D13598" s="2">
        <v>0.23400000000000001</v>
      </c>
      <c r="E13598" s="2">
        <v>5</v>
      </c>
      <c r="F13598" s="2" t="s">
        <v>135</v>
      </c>
    </row>
    <row r="13599" spans="1:6" ht="25.5">
      <c r="A13599" s="2">
        <v>13596</v>
      </c>
      <c r="B13599" s="2" t="s">
        <v>13675</v>
      </c>
      <c r="C13599" s="2" t="str">
        <f>"00250244"</f>
        <v>00250244</v>
      </c>
      <c r="D13599" s="2">
        <v>0.13500000000000001</v>
      </c>
      <c r="E13599" s="2">
        <v>8</v>
      </c>
      <c r="F13599" s="2" t="s">
        <v>135</v>
      </c>
    </row>
    <row r="13600" spans="1:6" ht="25.5">
      <c r="A13600" s="2">
        <v>13597</v>
      </c>
      <c r="B13600" s="2" t="s">
        <v>13676</v>
      </c>
      <c r="C13600" s="2" t="str">
        <f>"15882799"</f>
        <v>15882799</v>
      </c>
      <c r="D13600" s="2">
        <v>0.23300000000000001</v>
      </c>
      <c r="E13600" s="2">
        <v>3</v>
      </c>
      <c r="F13600" s="2" t="s">
        <v>135</v>
      </c>
    </row>
    <row r="13601" spans="1:6" ht="25.5">
      <c r="A13601" s="2">
        <v>13598</v>
      </c>
      <c r="B13601" s="2" t="s">
        <v>13677</v>
      </c>
      <c r="C13601" s="2" t="str">
        <f>"00250295"</f>
        <v>00250295</v>
      </c>
      <c r="D13601" s="2">
        <v>0.12</v>
      </c>
      <c r="E13601" s="2">
        <v>7</v>
      </c>
      <c r="F13601" s="2" t="s">
        <v>135</v>
      </c>
    </row>
    <row r="13602" spans="1:6" ht="25.5">
      <c r="A13602" s="2">
        <v>13599</v>
      </c>
      <c r="B13602" s="2" t="s">
        <v>13678</v>
      </c>
      <c r="C13602" s="2" t="str">
        <f>"00250538"</f>
        <v>00250538</v>
      </c>
      <c r="D13602" s="2">
        <v>0.1</v>
      </c>
      <c r="E13602" s="2">
        <v>2</v>
      </c>
      <c r="F13602" s="2" t="s">
        <v>190</v>
      </c>
    </row>
    <row r="13603" spans="1:6" ht="25.5">
      <c r="A13603" s="2">
        <v>13600</v>
      </c>
      <c r="B13603" s="2" t="s">
        <v>13679</v>
      </c>
      <c r="C13603" s="2" t="str">
        <f>"10241221"</f>
        <v>10241221</v>
      </c>
      <c r="D13603" s="2">
        <v>0.316</v>
      </c>
      <c r="E13603" s="2">
        <v>7</v>
      </c>
      <c r="F13603" s="2" t="s">
        <v>75</v>
      </c>
    </row>
    <row r="13604" spans="1:6" ht="25.5">
      <c r="A13604" s="2">
        <v>13601</v>
      </c>
      <c r="B13604" s="2" t="s">
        <v>13680</v>
      </c>
      <c r="C13604" s="2" t="str">
        <f>"07921241"</f>
        <v>07921241</v>
      </c>
      <c r="D13604" s="2">
        <v>0.15</v>
      </c>
      <c r="E13604" s="2">
        <v>20</v>
      </c>
      <c r="F13604" s="2" t="s">
        <v>2065</v>
      </c>
    </row>
    <row r="13605" spans="1:6" ht="25.5">
      <c r="A13605" s="2">
        <v>13602</v>
      </c>
      <c r="B13605" s="2" t="s">
        <v>13681</v>
      </c>
      <c r="C13605" s="2" t="str">
        <f>"03404404"</f>
        <v>03404404</v>
      </c>
      <c r="D13605" s="2">
        <v>0.10199999999999999</v>
      </c>
      <c r="E13605" s="2">
        <v>10</v>
      </c>
      <c r="F13605" s="2" t="s">
        <v>12</v>
      </c>
    </row>
    <row r="13606" spans="1:6" ht="25.5">
      <c r="A13606" s="2">
        <v>13603</v>
      </c>
      <c r="B13606" s="2" t="s">
        <v>13682</v>
      </c>
      <c r="C13606" s="2" t="str">
        <f>"00762997"</f>
        <v>00762997</v>
      </c>
      <c r="D13606" s="2">
        <v>0.47799999999999998</v>
      </c>
      <c r="E13606" s="2">
        <v>24</v>
      </c>
      <c r="F13606" s="2" t="s">
        <v>6</v>
      </c>
    </row>
    <row r="13607" spans="1:6" ht="25.5">
      <c r="A13607" s="2">
        <v>13604</v>
      </c>
      <c r="B13607" s="2" t="s">
        <v>13683</v>
      </c>
      <c r="C13607" s="2" t="str">
        <f>"14752875"</f>
        <v>14752875</v>
      </c>
      <c r="D13607" s="2">
        <v>1.514</v>
      </c>
      <c r="E13607" s="2">
        <v>48</v>
      </c>
      <c r="F13607" s="2" t="s">
        <v>16</v>
      </c>
    </row>
    <row r="13608" spans="1:6" ht="25.5">
      <c r="A13608" s="2">
        <v>13605</v>
      </c>
      <c r="B13608" s="2" t="s">
        <v>13684</v>
      </c>
      <c r="C13608" s="2" t="str">
        <f>"19957270"</f>
        <v>19957270</v>
      </c>
      <c r="D13608" s="2">
        <v>0.188</v>
      </c>
      <c r="E13608" s="2">
        <v>4</v>
      </c>
      <c r="F13608" s="2" t="s">
        <v>410</v>
      </c>
    </row>
    <row r="13609" spans="1:6" ht="25.5">
      <c r="A13609" s="2">
        <v>13606</v>
      </c>
      <c r="B13609" s="2" t="s">
        <v>13685</v>
      </c>
      <c r="C13609" s="2" t="str">
        <f>"01268643"</f>
        <v>01268643</v>
      </c>
      <c r="D13609" s="2">
        <v>0</v>
      </c>
      <c r="E13609" s="2">
        <v>0</v>
      </c>
      <c r="F13609" s="2" t="s">
        <v>37</v>
      </c>
    </row>
    <row r="13610" spans="1:6" ht="25.5">
      <c r="A13610" s="2">
        <v>13607</v>
      </c>
      <c r="B13610" s="2" t="s">
        <v>13686</v>
      </c>
      <c r="C13610" s="2" t="str">
        <f>"19853807"</f>
        <v>19853807</v>
      </c>
      <c r="D13610" s="2">
        <v>0.10199999999999999</v>
      </c>
      <c r="E13610" s="2">
        <v>0</v>
      </c>
      <c r="F13610" s="2" t="s">
        <v>37</v>
      </c>
    </row>
    <row r="13611" spans="1:6" ht="25.5">
      <c r="A13611" s="2">
        <v>13608</v>
      </c>
      <c r="B13611" s="2" t="s">
        <v>13687</v>
      </c>
      <c r="C13611" s="2" t="str">
        <f>"1985207X"</f>
        <v>1985207X</v>
      </c>
      <c r="D13611" s="2">
        <v>0.121</v>
      </c>
      <c r="E13611" s="2">
        <v>5</v>
      </c>
      <c r="F13611" s="2" t="s">
        <v>37</v>
      </c>
    </row>
    <row r="13612" spans="1:6" ht="25.5">
      <c r="A13612" s="2">
        <v>13609</v>
      </c>
      <c r="B13612" s="2" t="s">
        <v>13688</v>
      </c>
      <c r="C13612" s="2" t="str">
        <f>"03022935"</f>
        <v>03022935</v>
      </c>
      <c r="D13612" s="2">
        <v>0.19700000000000001</v>
      </c>
      <c r="E13612" s="2">
        <v>3</v>
      </c>
      <c r="F13612" s="2" t="s">
        <v>37</v>
      </c>
    </row>
    <row r="13613" spans="1:6" ht="25.5">
      <c r="A13613" s="2">
        <v>13610</v>
      </c>
      <c r="B13613" s="2" t="s">
        <v>13689</v>
      </c>
      <c r="C13613" s="2" t="str">
        <f>"01279084"</f>
        <v>01279084</v>
      </c>
      <c r="D13613" s="2">
        <v>0.161</v>
      </c>
      <c r="E13613" s="2">
        <v>8</v>
      </c>
      <c r="F13613" s="2" t="s">
        <v>37</v>
      </c>
    </row>
    <row r="13614" spans="1:6" ht="25.5">
      <c r="A13614" s="2">
        <v>13611</v>
      </c>
      <c r="B13614" s="2" t="s">
        <v>13690</v>
      </c>
      <c r="C13614" s="2" t="str">
        <f>"15112802"</f>
        <v>15112802</v>
      </c>
      <c r="D13614" s="2">
        <v>0.10100000000000001</v>
      </c>
      <c r="E13614" s="2">
        <v>1</v>
      </c>
      <c r="F13614" s="2" t="s">
        <v>37</v>
      </c>
    </row>
    <row r="13615" spans="1:6" ht="25.5">
      <c r="A13615" s="2">
        <v>13612</v>
      </c>
      <c r="B13615" s="2" t="s">
        <v>13691</v>
      </c>
      <c r="C13615" s="2" t="str">
        <f>"15114554"</f>
        <v>15114554</v>
      </c>
      <c r="D13615" s="2">
        <v>0.10100000000000001</v>
      </c>
      <c r="E13615" s="2">
        <v>3</v>
      </c>
      <c r="F13615" s="2" t="s">
        <v>37</v>
      </c>
    </row>
    <row r="13616" spans="1:6" ht="25.5">
      <c r="A13616" s="2">
        <v>13613</v>
      </c>
      <c r="B13616" s="2" t="s">
        <v>13692</v>
      </c>
      <c r="C13616" s="2" t="str">
        <f>"13946234"</f>
        <v>13946234</v>
      </c>
      <c r="D13616" s="2">
        <v>0.439</v>
      </c>
      <c r="E13616" s="2">
        <v>10</v>
      </c>
      <c r="F13616" s="2" t="s">
        <v>37</v>
      </c>
    </row>
    <row r="13617" spans="1:6" ht="25.5">
      <c r="A13617" s="2">
        <v>13614</v>
      </c>
      <c r="B13617" s="2" t="s">
        <v>13693</v>
      </c>
      <c r="C13617" s="2" t="str">
        <f>"18238343"</f>
        <v>18238343</v>
      </c>
      <c r="D13617" s="2">
        <v>0.157</v>
      </c>
      <c r="E13617" s="2">
        <v>4</v>
      </c>
      <c r="F13617" s="2" t="s">
        <v>37</v>
      </c>
    </row>
    <row r="13618" spans="1:6" ht="25.5">
      <c r="A13618" s="2">
        <v>13615</v>
      </c>
      <c r="B13618" s="2" t="s">
        <v>13694</v>
      </c>
      <c r="C13618" s="2" t="str">
        <f>"1394195X"</f>
        <v>1394195X</v>
      </c>
      <c r="D13618" s="2">
        <v>0.13300000000000001</v>
      </c>
      <c r="E13618" s="2">
        <v>7</v>
      </c>
      <c r="F13618" s="2" t="s">
        <v>37</v>
      </c>
    </row>
    <row r="13619" spans="1:6" ht="25.5">
      <c r="A13619" s="2">
        <v>13616</v>
      </c>
      <c r="B13619" s="2" t="s">
        <v>13695</v>
      </c>
      <c r="C13619" s="2" t="str">
        <f>"16758544"</f>
        <v>16758544</v>
      </c>
      <c r="D13619" s="2">
        <v>0.127</v>
      </c>
      <c r="E13619" s="2">
        <v>2</v>
      </c>
      <c r="F13619" s="2" t="s">
        <v>37</v>
      </c>
    </row>
    <row r="13620" spans="1:6" ht="25.5">
      <c r="A13620" s="2">
        <v>13617</v>
      </c>
      <c r="B13620" s="2" t="s">
        <v>13696</v>
      </c>
      <c r="C13620" s="2" t="str">
        <f>"18237010"</f>
        <v>18237010</v>
      </c>
      <c r="D13620" s="2">
        <v>0.1</v>
      </c>
      <c r="E13620" s="2">
        <v>2</v>
      </c>
      <c r="F13620" s="2" t="s">
        <v>37</v>
      </c>
    </row>
    <row r="13621" spans="1:6" ht="25.5">
      <c r="A13621" s="2">
        <v>13618</v>
      </c>
      <c r="B13621" s="2" t="s">
        <v>13697</v>
      </c>
      <c r="C13621" s="2" t="str">
        <f>"1394035X"</f>
        <v>1394035X</v>
      </c>
      <c r="D13621" s="2">
        <v>0.28699999999999998</v>
      </c>
      <c r="E13621" s="2">
        <v>7</v>
      </c>
      <c r="F13621" s="2" t="s">
        <v>37</v>
      </c>
    </row>
    <row r="13622" spans="1:6" ht="25.5">
      <c r="A13622" s="2">
        <v>13619</v>
      </c>
      <c r="B13622" s="2" t="s">
        <v>13698</v>
      </c>
      <c r="C13622" s="2" t="str">
        <f>"01268635"</f>
        <v>01268635</v>
      </c>
      <c r="D13622" s="2">
        <v>0.182</v>
      </c>
      <c r="E13622" s="2">
        <v>9</v>
      </c>
      <c r="F13622" s="2" t="s">
        <v>37</v>
      </c>
    </row>
    <row r="13623" spans="1:6" ht="25.5">
      <c r="A13623" s="2">
        <v>13620</v>
      </c>
      <c r="B13623" s="2" t="s">
        <v>13699</v>
      </c>
      <c r="C13623" s="2" t="str">
        <f>"13943065"</f>
        <v>13943065</v>
      </c>
      <c r="D13623" s="2">
        <v>0.114</v>
      </c>
      <c r="E13623" s="2">
        <v>4</v>
      </c>
      <c r="F13623" s="2" t="s">
        <v>37</v>
      </c>
    </row>
    <row r="13624" spans="1:6" ht="25.5">
      <c r="A13624" s="2">
        <v>13621</v>
      </c>
      <c r="B13624" s="2" t="s">
        <v>13700</v>
      </c>
      <c r="C13624" s="2" t="str">
        <f>"13947990"</f>
        <v>13947990</v>
      </c>
      <c r="D13624" s="2">
        <v>0.14000000000000001</v>
      </c>
      <c r="E13624" s="2">
        <v>2</v>
      </c>
      <c r="F13624" s="2" t="s">
        <v>37</v>
      </c>
    </row>
    <row r="13625" spans="1:6" ht="25.5">
      <c r="A13625" s="2">
        <v>13622</v>
      </c>
      <c r="B13625" s="2" t="s">
        <v>13701</v>
      </c>
      <c r="C13625" s="2" t="str">
        <f>"18133339"</f>
        <v>18133339</v>
      </c>
      <c r="D13625" s="2">
        <v>0.19700000000000001</v>
      </c>
      <c r="E13625" s="2">
        <v>2</v>
      </c>
      <c r="F13625" s="2" t="s">
        <v>11723</v>
      </c>
    </row>
    <row r="13626" spans="1:6" ht="25.5">
      <c r="A13626" s="2">
        <v>13623</v>
      </c>
      <c r="B13626" s="2" t="s">
        <v>13702</v>
      </c>
      <c r="C13626" s="2" t="str">
        <f>"00251461"</f>
        <v>00251461</v>
      </c>
      <c r="D13626" s="2">
        <v>0.307</v>
      </c>
      <c r="E13626" s="2">
        <v>23</v>
      </c>
      <c r="F13626" s="2" t="s">
        <v>12</v>
      </c>
    </row>
    <row r="13627" spans="1:6" ht="25.5">
      <c r="A13627" s="2">
        <v>13624</v>
      </c>
      <c r="B13627" s="2" t="s">
        <v>13703</v>
      </c>
      <c r="C13627" s="2" t="str">
        <f>"16165047"</f>
        <v>16165047</v>
      </c>
      <c r="D13627" s="2">
        <v>0.52100000000000002</v>
      </c>
      <c r="E13627" s="2">
        <v>22</v>
      </c>
      <c r="F13627" s="2" t="s">
        <v>12</v>
      </c>
    </row>
    <row r="13628" spans="1:6" ht="25.5">
      <c r="A13628" s="2">
        <v>13625</v>
      </c>
      <c r="B13628" s="2" t="s">
        <v>13704</v>
      </c>
      <c r="C13628" s="2" t="str">
        <f>"14321777"</f>
        <v>14321777</v>
      </c>
      <c r="D13628" s="2">
        <v>1.0169999999999999</v>
      </c>
      <c r="E13628" s="2">
        <v>76</v>
      </c>
      <c r="F13628" s="2" t="s">
        <v>6</v>
      </c>
    </row>
    <row r="13629" spans="1:6" ht="25.5">
      <c r="A13629" s="2">
        <v>13626</v>
      </c>
      <c r="B13629" s="2" t="s">
        <v>13705</v>
      </c>
      <c r="C13629" s="2" t="str">
        <f>"15451410"</f>
        <v>15451410</v>
      </c>
      <c r="D13629" s="2">
        <v>0.152</v>
      </c>
      <c r="E13629" s="2">
        <v>2</v>
      </c>
      <c r="F13629" s="2" t="s">
        <v>6</v>
      </c>
    </row>
    <row r="13630" spans="1:6" ht="25.5">
      <c r="A13630" s="2">
        <v>13627</v>
      </c>
      <c r="B13630" s="2" t="s">
        <v>13706</v>
      </c>
      <c r="C13630" s="2" t="str">
        <f>"13652907"</f>
        <v>13652907</v>
      </c>
      <c r="D13630" s="2">
        <v>1.2909999999999999</v>
      </c>
      <c r="E13630" s="2">
        <v>40</v>
      </c>
      <c r="F13630" s="2" t="s">
        <v>16</v>
      </c>
    </row>
    <row r="13631" spans="1:6" ht="25.5">
      <c r="A13631" s="2">
        <v>13628</v>
      </c>
      <c r="B13631" s="2" t="s">
        <v>13707</v>
      </c>
      <c r="C13631" s="2" t="str">
        <f>"13486160"</f>
        <v>13486160</v>
      </c>
      <c r="D13631" s="2">
        <v>0.29699999999999999</v>
      </c>
      <c r="E13631" s="2">
        <v>5</v>
      </c>
      <c r="F13631" s="2" t="s">
        <v>131</v>
      </c>
    </row>
    <row r="13632" spans="1:6" ht="25.5">
      <c r="A13632" s="2">
        <v>13629</v>
      </c>
      <c r="B13632" s="2" t="s">
        <v>13708</v>
      </c>
      <c r="C13632" s="2" t="str">
        <f>"01049313"</f>
        <v>01049313</v>
      </c>
      <c r="D13632" s="2">
        <v>0.215</v>
      </c>
      <c r="E13632" s="2">
        <v>4</v>
      </c>
      <c r="F13632" s="2" t="s">
        <v>159</v>
      </c>
    </row>
    <row r="13633" spans="1:6" ht="25.5">
      <c r="A13633" s="2">
        <v>13630</v>
      </c>
      <c r="B13633" s="2" t="s">
        <v>13709</v>
      </c>
      <c r="C13633" s="2" t="str">
        <f>"10623388"</f>
        <v>10623388</v>
      </c>
      <c r="D13633" s="2">
        <v>0.111</v>
      </c>
      <c r="E13633" s="2">
        <v>17</v>
      </c>
      <c r="F13633" s="2" t="s">
        <v>6</v>
      </c>
    </row>
    <row r="13634" spans="1:6" ht="25.5">
      <c r="A13634" s="2">
        <v>13631</v>
      </c>
      <c r="B13634" s="2" t="s">
        <v>13710</v>
      </c>
      <c r="C13634" s="2" t="str">
        <f>"18463363"</f>
        <v>18463363</v>
      </c>
      <c r="D13634" s="2">
        <v>0.13400000000000001</v>
      </c>
      <c r="E13634" s="2">
        <v>9</v>
      </c>
      <c r="F13634" s="2" t="s">
        <v>149</v>
      </c>
    </row>
    <row r="13635" spans="1:6" ht="25.5">
      <c r="A13635" s="2">
        <v>13632</v>
      </c>
      <c r="B13635" s="2" t="s">
        <v>13711</v>
      </c>
      <c r="C13635" s="2" t="str">
        <f>"10961224"</f>
        <v>10961224</v>
      </c>
      <c r="D13635" s="2">
        <v>1.1559999999999999</v>
      </c>
      <c r="E13635" s="2">
        <v>40</v>
      </c>
      <c r="F13635" s="2" t="s">
        <v>6</v>
      </c>
    </row>
    <row r="13636" spans="1:6" ht="25.5">
      <c r="A13636" s="2">
        <v>13633</v>
      </c>
      <c r="B13636" s="2" t="s">
        <v>13712</v>
      </c>
      <c r="C13636" s="2" t="str">
        <f>"17449359"</f>
        <v>17449359</v>
      </c>
      <c r="D13636" s="2">
        <v>0.24299999999999999</v>
      </c>
      <c r="E13636" s="2">
        <v>4</v>
      </c>
      <c r="F13636" s="2" t="s">
        <v>16</v>
      </c>
    </row>
    <row r="13637" spans="1:6" ht="25.5">
      <c r="A13637" s="2">
        <v>13634</v>
      </c>
      <c r="B13637" s="2" t="s">
        <v>13713</v>
      </c>
      <c r="C13637" s="2" t="str">
        <f>"17408784"</f>
        <v>17408784</v>
      </c>
      <c r="D13637" s="2">
        <v>1.8149999999999999</v>
      </c>
      <c r="E13637" s="2">
        <v>14</v>
      </c>
      <c r="F13637" s="2" t="s">
        <v>16</v>
      </c>
    </row>
    <row r="13638" spans="1:6" ht="25.5">
      <c r="A13638" s="2">
        <v>13635</v>
      </c>
      <c r="B13638" s="2" t="s">
        <v>13714</v>
      </c>
      <c r="C13638" s="2" t="str">
        <f>"08933189"</f>
        <v>08933189</v>
      </c>
      <c r="D13638" s="2">
        <v>0.79300000000000004</v>
      </c>
      <c r="E13638" s="2">
        <v>19</v>
      </c>
      <c r="F13638" s="2" t="s">
        <v>6</v>
      </c>
    </row>
    <row r="13639" spans="1:6" ht="25.5">
      <c r="A13639" s="2">
        <v>13636</v>
      </c>
      <c r="B13639" s="2" t="s">
        <v>13715</v>
      </c>
      <c r="C13639" s="2" t="str">
        <f>"00251747"</f>
        <v>00251747</v>
      </c>
      <c r="D13639" s="2">
        <v>0.82899999999999996</v>
      </c>
      <c r="E13639" s="2">
        <v>26</v>
      </c>
      <c r="F13639" s="2" t="s">
        <v>16</v>
      </c>
    </row>
    <row r="13640" spans="1:6" ht="25.5">
      <c r="A13640" s="2">
        <v>13637</v>
      </c>
      <c r="B13640" s="2" t="s">
        <v>13716</v>
      </c>
      <c r="C13640" s="2" t="str">
        <f>"08920206"</f>
        <v>08920206</v>
      </c>
      <c r="D13640" s="2">
        <v>0.38300000000000001</v>
      </c>
      <c r="E13640" s="2">
        <v>4</v>
      </c>
      <c r="F13640" s="2" t="s">
        <v>16</v>
      </c>
    </row>
    <row r="13641" spans="1:6" ht="25.5">
      <c r="A13641" s="2">
        <v>13638</v>
      </c>
      <c r="B13641" s="2" t="s">
        <v>13717</v>
      </c>
      <c r="C13641" s="2" t="str">
        <f>"18618901"</f>
        <v>18618901</v>
      </c>
      <c r="D13641" s="2">
        <v>0.80700000000000005</v>
      </c>
      <c r="E13641" s="2">
        <v>19</v>
      </c>
      <c r="F13641" s="2" t="s">
        <v>12</v>
      </c>
    </row>
    <row r="13642" spans="1:6" ht="25.5">
      <c r="A13642" s="2">
        <v>13639</v>
      </c>
      <c r="B13642" s="2" t="s">
        <v>13718</v>
      </c>
      <c r="C13642" s="2" t="str">
        <f>"13505076"</f>
        <v>13505076</v>
      </c>
      <c r="D13642" s="2">
        <v>1.0960000000000001</v>
      </c>
      <c r="E13642" s="2">
        <v>37</v>
      </c>
      <c r="F13642" s="2" t="s">
        <v>16</v>
      </c>
    </row>
    <row r="13643" spans="1:6" ht="25.5">
      <c r="A13643" s="2">
        <v>13640</v>
      </c>
      <c r="B13643" s="2" t="s">
        <v>13719</v>
      </c>
      <c r="C13643" s="2" t="str">
        <f>"14777835"</f>
        <v>14777835</v>
      </c>
      <c r="D13643" s="2">
        <v>0.189</v>
      </c>
      <c r="E13643" s="2">
        <v>12</v>
      </c>
      <c r="F13643" s="2" t="s">
        <v>16</v>
      </c>
    </row>
    <row r="13644" spans="1:6" ht="25.5">
      <c r="A13644" s="2">
        <v>13641</v>
      </c>
      <c r="B13644" s="2" t="s">
        <v>13720</v>
      </c>
      <c r="C13644" s="2" t="str">
        <f>"20408269"</f>
        <v>20408269</v>
      </c>
      <c r="D13644" s="2">
        <v>0.28799999999999998</v>
      </c>
      <c r="E13644" s="2">
        <v>10</v>
      </c>
      <c r="F13644" s="2" t="s">
        <v>16</v>
      </c>
    </row>
    <row r="13645" spans="1:6" ht="25.5">
      <c r="A13645" s="2">
        <v>13642</v>
      </c>
      <c r="B13645" s="2" t="s">
        <v>13721</v>
      </c>
      <c r="C13645" s="2" t="str">
        <f>"15265501"</f>
        <v>15265501</v>
      </c>
      <c r="D13645" s="2">
        <v>2.9020000000000001</v>
      </c>
      <c r="E13645" s="2">
        <v>134</v>
      </c>
      <c r="F13645" s="2" t="s">
        <v>6</v>
      </c>
    </row>
    <row r="13646" spans="1:6" ht="25.5">
      <c r="A13646" s="2">
        <v>13643</v>
      </c>
      <c r="B13646" s="2" t="s">
        <v>13722</v>
      </c>
      <c r="C13646" s="2" t="str">
        <f>"17461278"</f>
        <v>17461278</v>
      </c>
      <c r="D13646" s="2">
        <v>0.10100000000000001</v>
      </c>
      <c r="E13646" s="2">
        <v>2</v>
      </c>
      <c r="F13646" s="2" t="s">
        <v>16</v>
      </c>
    </row>
    <row r="13647" spans="1:6" ht="25.5">
      <c r="A13647" s="2">
        <v>13644</v>
      </c>
      <c r="B13647" s="2" t="s">
        <v>13723</v>
      </c>
      <c r="C13647" s="2" t="str">
        <f>"10991468"</f>
        <v>10991468</v>
      </c>
      <c r="D13647" s="2">
        <v>0.42699999999999999</v>
      </c>
      <c r="E13647" s="2">
        <v>20</v>
      </c>
      <c r="F13647" s="2" t="s">
        <v>16</v>
      </c>
    </row>
    <row r="13648" spans="1:6" ht="25.5">
      <c r="A13648" s="2">
        <v>13645</v>
      </c>
      <c r="B13648" s="2" t="s">
        <v>13724</v>
      </c>
      <c r="C13648" s="2" t="str">
        <f>"02686902"</f>
        <v>02686902</v>
      </c>
      <c r="D13648" s="2">
        <v>0.223</v>
      </c>
      <c r="E13648" s="2">
        <v>15</v>
      </c>
      <c r="F13648" s="2" t="s">
        <v>16</v>
      </c>
    </row>
    <row r="13649" spans="1:6" ht="25.5">
      <c r="A13649" s="2">
        <v>13646</v>
      </c>
      <c r="B13649" s="2" t="s">
        <v>13725</v>
      </c>
      <c r="C13649" s="2" t="str">
        <f>"13606719"</f>
        <v>13606719</v>
      </c>
      <c r="D13649" s="2">
        <v>0.14299999999999999</v>
      </c>
      <c r="E13649" s="2">
        <v>2</v>
      </c>
      <c r="F13649" s="2" t="s">
        <v>16</v>
      </c>
    </row>
    <row r="13650" spans="1:6" ht="25.5">
      <c r="A13650" s="2">
        <v>13647</v>
      </c>
      <c r="B13650" s="2" t="s">
        <v>13726</v>
      </c>
      <c r="C13650" s="2" t="str">
        <f>"09604529"</f>
        <v>09604529</v>
      </c>
      <c r="D13650" s="2">
        <v>0.52900000000000003</v>
      </c>
      <c r="E13650" s="2">
        <v>23</v>
      </c>
      <c r="F13650" s="2" t="s">
        <v>16</v>
      </c>
    </row>
    <row r="13651" spans="1:6" ht="25.5">
      <c r="A13651" s="2">
        <v>13648</v>
      </c>
      <c r="B13651" s="2" t="s">
        <v>13727</v>
      </c>
      <c r="C13651" s="2" t="str">
        <f>"14679957"</f>
        <v>14679957</v>
      </c>
      <c r="D13651" s="2">
        <v>0.35599999999999998</v>
      </c>
      <c r="E13651" s="2">
        <v>23</v>
      </c>
      <c r="F13651" s="2" t="s">
        <v>16</v>
      </c>
    </row>
    <row r="13652" spans="1:6" ht="25.5">
      <c r="A13652" s="2">
        <v>13649</v>
      </c>
      <c r="B13652" s="2" t="s">
        <v>13728</v>
      </c>
      <c r="C13652" s="2" t="str">
        <f>"01040898"</f>
        <v>01040898</v>
      </c>
      <c r="D13652" s="2">
        <v>0.1</v>
      </c>
      <c r="E13652" s="2">
        <v>3</v>
      </c>
      <c r="F13652" s="2" t="s">
        <v>159</v>
      </c>
    </row>
    <row r="13653" spans="1:6" ht="25.5">
      <c r="A13653" s="2">
        <v>13650</v>
      </c>
      <c r="B13653" s="2" t="s">
        <v>13729</v>
      </c>
      <c r="C13653" s="2" t="str">
        <f>"00251569"</f>
        <v>00251569</v>
      </c>
      <c r="D13653" s="2">
        <v>0.1</v>
      </c>
      <c r="E13653" s="2">
        <v>4</v>
      </c>
      <c r="F13653" s="2" t="s">
        <v>488</v>
      </c>
    </row>
    <row r="13654" spans="1:6" ht="25.5">
      <c r="A13654" s="2">
        <v>13651</v>
      </c>
      <c r="B13654" s="2" t="s">
        <v>13730</v>
      </c>
      <c r="C13654" s="2" t="str">
        <f>"00252344"</f>
        <v>00252344</v>
      </c>
      <c r="D13654" s="2">
        <v>0.311</v>
      </c>
      <c r="E13654" s="2">
        <v>9</v>
      </c>
      <c r="F13654" s="2" t="s">
        <v>6</v>
      </c>
    </row>
    <row r="13655" spans="1:6" ht="25.5">
      <c r="A13655" s="2">
        <v>13652</v>
      </c>
      <c r="B13655" s="2" t="s">
        <v>13731</v>
      </c>
      <c r="C13655" s="2" t="str">
        <f>"1356689X"</f>
        <v>1356689X</v>
      </c>
      <c r="D13655" s="2">
        <v>1.292</v>
      </c>
      <c r="E13655" s="2">
        <v>44</v>
      </c>
      <c r="F13655" s="2" t="s">
        <v>6</v>
      </c>
    </row>
    <row r="13656" spans="1:6" ht="25.5">
      <c r="A13656" s="2">
        <v>13653</v>
      </c>
      <c r="B13656" s="2" t="s">
        <v>13732</v>
      </c>
      <c r="C13656" s="2" t="str">
        <f>"14330466"</f>
        <v>14330466</v>
      </c>
      <c r="D13656" s="2">
        <v>0.17</v>
      </c>
      <c r="E13656" s="2">
        <v>10</v>
      </c>
      <c r="F13656" s="2" t="s">
        <v>12</v>
      </c>
    </row>
    <row r="13657" spans="1:6" ht="25.5">
      <c r="A13657" s="2">
        <v>13654</v>
      </c>
      <c r="B13657" s="2" t="s">
        <v>13733</v>
      </c>
      <c r="C13657" s="2" t="str">
        <f>"15265498"</f>
        <v>15265498</v>
      </c>
      <c r="D13657" s="2">
        <v>3.9950000000000001</v>
      </c>
      <c r="E13657" s="2">
        <v>40</v>
      </c>
      <c r="F13657" s="2" t="s">
        <v>6</v>
      </c>
    </row>
    <row r="13658" spans="1:6" ht="25.5">
      <c r="A13658" s="2">
        <v>13655</v>
      </c>
      <c r="B13658" s="2" t="s">
        <v>13734</v>
      </c>
      <c r="C13658" s="2" t="str">
        <f>"03610853"</f>
        <v>03610853</v>
      </c>
      <c r="D13658" s="2">
        <v>0.10100000000000001</v>
      </c>
      <c r="E13658" s="2">
        <v>9</v>
      </c>
      <c r="F13658" s="2" t="s">
        <v>6</v>
      </c>
    </row>
    <row r="13659" spans="1:6" ht="25.5">
      <c r="A13659" s="2">
        <v>13656</v>
      </c>
      <c r="B13659" s="2" t="s">
        <v>13735</v>
      </c>
      <c r="C13659" s="2" t="str">
        <f>"12132489"</f>
        <v>12132489</v>
      </c>
      <c r="D13659" s="2">
        <v>0.188</v>
      </c>
      <c r="E13659" s="2">
        <v>2</v>
      </c>
      <c r="F13659" s="2" t="s">
        <v>208</v>
      </c>
    </row>
    <row r="13660" spans="1:6" ht="25.5">
      <c r="A13660" s="2">
        <v>13657</v>
      </c>
      <c r="B13660" s="2" t="s">
        <v>13736</v>
      </c>
      <c r="C13660" s="2" t="str">
        <f>"14321785"</f>
        <v>14321785</v>
      </c>
      <c r="D13660" s="2">
        <v>0.88500000000000001</v>
      </c>
      <c r="E13660" s="2">
        <v>24</v>
      </c>
      <c r="F13660" s="2" t="s">
        <v>6</v>
      </c>
    </row>
    <row r="13661" spans="1:6" ht="25.5">
      <c r="A13661" s="2">
        <v>13658</v>
      </c>
      <c r="B13661" s="2" t="s">
        <v>13737</v>
      </c>
      <c r="C13661" s="2" t="str">
        <f>"09749853"</f>
        <v>09749853</v>
      </c>
      <c r="D13661" s="2">
        <v>0.255</v>
      </c>
      <c r="E13661" s="2">
        <v>4</v>
      </c>
      <c r="F13661" s="2" t="s">
        <v>488</v>
      </c>
    </row>
    <row r="13662" spans="1:6" ht="25.5">
      <c r="A13662" s="2">
        <v>13659</v>
      </c>
      <c r="B13662" s="2" t="s">
        <v>13738</v>
      </c>
      <c r="C13662" s="2" t="str">
        <f>"16518705"</f>
        <v>16518705</v>
      </c>
      <c r="D13662" s="2">
        <v>0.1</v>
      </c>
      <c r="E13662" s="2">
        <v>2</v>
      </c>
      <c r="F13662" s="2" t="s">
        <v>151</v>
      </c>
    </row>
    <row r="13663" spans="1:6" ht="25.5">
      <c r="A13663" s="2">
        <v>13660</v>
      </c>
      <c r="B13663" s="2" t="s">
        <v>13739</v>
      </c>
      <c r="C13663" s="2" t="str">
        <f>"19425120"</f>
        <v>19425120</v>
      </c>
      <c r="D13663" s="2">
        <v>0.86699999999999999</v>
      </c>
      <c r="E13663" s="2">
        <v>8</v>
      </c>
      <c r="F13663" s="2" t="s">
        <v>6</v>
      </c>
    </row>
    <row r="13664" spans="1:6" ht="25.5">
      <c r="A13664" s="2">
        <v>13661</v>
      </c>
      <c r="B13664" s="2" t="s">
        <v>13740</v>
      </c>
      <c r="C13664" s="2" t="str">
        <f>"10236244"</f>
        <v>10236244</v>
      </c>
      <c r="D13664" s="2">
        <v>0.41399999999999998</v>
      </c>
      <c r="E13664" s="2">
        <v>21</v>
      </c>
      <c r="F13664" s="2" t="s">
        <v>16</v>
      </c>
    </row>
    <row r="13665" spans="1:6" ht="25.5">
      <c r="A13665" s="2">
        <v>13662</v>
      </c>
      <c r="B13665" s="2" t="s">
        <v>13741</v>
      </c>
      <c r="C13665" s="2" t="str">
        <f>"13231650"</f>
        <v>13231650</v>
      </c>
      <c r="D13665" s="2">
        <v>0.84499999999999997</v>
      </c>
      <c r="E13665" s="2">
        <v>50</v>
      </c>
      <c r="F13665" s="2" t="s">
        <v>127</v>
      </c>
    </row>
    <row r="13666" spans="1:6" ht="25.5">
      <c r="A13666" s="2">
        <v>13663</v>
      </c>
      <c r="B13666" s="2" t="s">
        <v>13742</v>
      </c>
      <c r="C13666" s="2" t="str">
        <f>"18734073"</f>
        <v>18734073</v>
      </c>
      <c r="D13666" s="2">
        <v>1.395</v>
      </c>
      <c r="E13666" s="2">
        <v>54</v>
      </c>
      <c r="F13666" s="2" t="s">
        <v>75</v>
      </c>
    </row>
    <row r="13667" spans="1:6" ht="25.5">
      <c r="A13667" s="2">
        <v>13664</v>
      </c>
      <c r="B13667" s="2" t="s">
        <v>13743</v>
      </c>
      <c r="C13667" s="2" t="str">
        <f>"18671616"</f>
        <v>18671616</v>
      </c>
      <c r="D13667" s="2">
        <v>0.60699999999999998</v>
      </c>
      <c r="E13667" s="2">
        <v>16</v>
      </c>
      <c r="F13667" s="2" t="s">
        <v>6</v>
      </c>
    </row>
    <row r="13668" spans="1:6" ht="25.5">
      <c r="A13668" s="2">
        <v>13665</v>
      </c>
      <c r="B13668" s="2" t="s">
        <v>13744</v>
      </c>
      <c r="C13668" s="2" t="str">
        <f>"17552672"</f>
        <v>17552672</v>
      </c>
      <c r="D13668" s="2">
        <v>0.16300000000000001</v>
      </c>
      <c r="E13668" s="2">
        <v>3</v>
      </c>
      <c r="F13668" s="2" t="s">
        <v>16</v>
      </c>
    </row>
    <row r="13669" spans="1:6" ht="25.5">
      <c r="A13669" s="2">
        <v>13666</v>
      </c>
      <c r="B13669" s="2" t="s">
        <v>13745</v>
      </c>
      <c r="C13669" s="2" t="str">
        <f>"14321793"</f>
        <v>14321793</v>
      </c>
      <c r="D13669" s="2">
        <v>1.1120000000000001</v>
      </c>
      <c r="E13669" s="2">
        <v>73</v>
      </c>
      <c r="F13669" s="2" t="s">
        <v>12</v>
      </c>
    </row>
    <row r="13670" spans="1:6" ht="25.5">
      <c r="A13670" s="2">
        <v>13667</v>
      </c>
      <c r="B13670" s="2" t="s">
        <v>13746</v>
      </c>
      <c r="C13670" s="2" t="str">
        <f>"17451019"</f>
        <v>17451019</v>
      </c>
      <c r="D13670" s="2">
        <v>0.59</v>
      </c>
      <c r="E13670" s="2">
        <v>14</v>
      </c>
      <c r="F13670" s="2" t="s">
        <v>16</v>
      </c>
    </row>
    <row r="13671" spans="1:6" ht="25.5">
      <c r="A13671" s="2">
        <v>13668</v>
      </c>
      <c r="B13671" s="2" t="s">
        <v>13747</v>
      </c>
      <c r="C13671" s="2" t="str">
        <f>"14362228"</f>
        <v>14362228</v>
      </c>
      <c r="D13671" s="2">
        <v>0.745</v>
      </c>
      <c r="E13671" s="2">
        <v>47</v>
      </c>
      <c r="F13671" s="2" t="s">
        <v>6</v>
      </c>
    </row>
    <row r="13672" spans="1:6" ht="25.5">
      <c r="A13672" s="2">
        <v>13669</v>
      </c>
      <c r="B13672" s="2" t="s">
        <v>13748</v>
      </c>
      <c r="C13672" s="2" t="str">
        <f>"03044203"</f>
        <v>03044203</v>
      </c>
      <c r="D13672" s="2">
        <v>1.629</v>
      </c>
      <c r="E13672" s="2">
        <v>79</v>
      </c>
      <c r="F13672" s="2" t="s">
        <v>75</v>
      </c>
    </row>
    <row r="13673" spans="1:6" ht="25.5">
      <c r="A13673" s="2">
        <v>13670</v>
      </c>
      <c r="B13673" s="2" t="s">
        <v>13749</v>
      </c>
      <c r="C13673" s="2" t="str">
        <f>"16603397"</f>
        <v>16603397</v>
      </c>
      <c r="D13673" s="2">
        <v>0.76900000000000002</v>
      </c>
      <c r="E13673" s="2">
        <v>27</v>
      </c>
      <c r="F13673" s="2" t="s">
        <v>31</v>
      </c>
    </row>
    <row r="13674" spans="1:6" ht="25.5">
      <c r="A13674" s="2">
        <v>13671</v>
      </c>
      <c r="B13674" s="2" t="s">
        <v>13750</v>
      </c>
      <c r="C13674" s="2" t="str">
        <f>"14390485"</f>
        <v>14390485</v>
      </c>
      <c r="D13674" s="2">
        <v>0.78300000000000003</v>
      </c>
      <c r="E13674" s="2">
        <v>29</v>
      </c>
      <c r="F13674" s="2" t="s">
        <v>16</v>
      </c>
    </row>
    <row r="13675" spans="1:6" ht="25.5">
      <c r="A13675" s="2">
        <v>13672</v>
      </c>
      <c r="B13675" s="2" t="s">
        <v>13751</v>
      </c>
      <c r="C13675" s="2" t="str">
        <f>"16161599"</f>
        <v>16161599</v>
      </c>
      <c r="D13675" s="2">
        <v>1.3959999999999999</v>
      </c>
      <c r="E13675" s="2">
        <v>112</v>
      </c>
      <c r="F13675" s="2" t="s">
        <v>12</v>
      </c>
    </row>
    <row r="13676" spans="1:6" ht="25.5">
      <c r="A13676" s="2">
        <v>13673</v>
      </c>
      <c r="B13676" s="2" t="s">
        <v>13752</v>
      </c>
      <c r="C13676" s="2" t="str">
        <f>"01411136"</f>
        <v>01411136</v>
      </c>
      <c r="D13676" s="2">
        <v>0.80400000000000005</v>
      </c>
      <c r="E13676" s="2">
        <v>55</v>
      </c>
      <c r="F13676" s="2" t="s">
        <v>75</v>
      </c>
    </row>
    <row r="13677" spans="1:6" ht="25.5">
      <c r="A13677" s="2">
        <v>13674</v>
      </c>
      <c r="B13677" s="2" t="s">
        <v>13753</v>
      </c>
      <c r="C13677" s="2" t="str">
        <f>"00901830"</f>
        <v>00901830</v>
      </c>
      <c r="D13677" s="2">
        <v>0.23100000000000001</v>
      </c>
      <c r="E13677" s="2">
        <v>18</v>
      </c>
      <c r="F13677" s="2" t="s">
        <v>6</v>
      </c>
    </row>
    <row r="13678" spans="1:6" ht="25.5">
      <c r="A13678" s="2">
        <v>13675</v>
      </c>
      <c r="B13678" s="2" t="s">
        <v>13754</v>
      </c>
      <c r="C13678" s="2" t="str">
        <f>"18747787"</f>
        <v>18747787</v>
      </c>
      <c r="D13678" s="2">
        <v>0.436</v>
      </c>
      <c r="E13678" s="2">
        <v>9</v>
      </c>
      <c r="F13678" s="2" t="s">
        <v>75</v>
      </c>
    </row>
    <row r="13679" spans="1:6" ht="25.5">
      <c r="A13679" s="2">
        <v>13676</v>
      </c>
      <c r="B13679" s="2" t="s">
        <v>13755</v>
      </c>
      <c r="C13679" s="2" t="str">
        <f>"1521060X"</f>
        <v>1521060X</v>
      </c>
      <c r="D13679" s="2">
        <v>0.66200000000000003</v>
      </c>
      <c r="E13679" s="2">
        <v>23</v>
      </c>
      <c r="F13679" s="2" t="s">
        <v>16</v>
      </c>
    </row>
    <row r="13680" spans="1:6" ht="25.5">
      <c r="A13680" s="2">
        <v>13677</v>
      </c>
      <c r="B13680" s="2" t="s">
        <v>13756</v>
      </c>
      <c r="C13680" s="2" t="str">
        <f>"00253227"</f>
        <v>00253227</v>
      </c>
      <c r="D13680" s="2">
        <v>1.4179999999999999</v>
      </c>
      <c r="E13680" s="2">
        <v>76</v>
      </c>
      <c r="F13680" s="2" t="s">
        <v>75</v>
      </c>
    </row>
    <row r="13681" spans="1:6" ht="25.5">
      <c r="A13681" s="2">
        <v>13678</v>
      </c>
      <c r="B13681" s="2" t="s">
        <v>13757</v>
      </c>
      <c r="C13681" s="2" t="str">
        <f>"15730581"</f>
        <v>15730581</v>
      </c>
      <c r="D13681" s="2">
        <v>0.60899999999999999</v>
      </c>
      <c r="E13681" s="2">
        <v>31</v>
      </c>
      <c r="F13681" s="2" t="s">
        <v>75</v>
      </c>
    </row>
    <row r="13682" spans="1:6" ht="25.5">
      <c r="A13682" s="2">
        <v>13679</v>
      </c>
      <c r="B13682" s="2" t="s">
        <v>13758</v>
      </c>
      <c r="C13682" s="2" t="str">
        <f>"1064119X"</f>
        <v>1064119X</v>
      </c>
      <c r="D13682" s="2">
        <v>0.16200000000000001</v>
      </c>
      <c r="E13682" s="2">
        <v>13</v>
      </c>
      <c r="F13682" s="2" t="s">
        <v>16</v>
      </c>
    </row>
    <row r="13683" spans="1:6" ht="25.5">
      <c r="A13683" s="2">
        <v>13680</v>
      </c>
      <c r="B13683" s="2" t="s">
        <v>13759</v>
      </c>
      <c r="C13683" s="2" t="str">
        <f>"08240469"</f>
        <v>08240469</v>
      </c>
      <c r="D13683" s="2">
        <v>0.86399999999999999</v>
      </c>
      <c r="E13683" s="2">
        <v>47</v>
      </c>
      <c r="F13683" s="2" t="s">
        <v>16</v>
      </c>
    </row>
    <row r="13684" spans="1:6" ht="25.5">
      <c r="A13684" s="2">
        <v>13681</v>
      </c>
      <c r="B13684" s="2" t="s">
        <v>13760</v>
      </c>
      <c r="C13684" s="2" t="str">
        <f>"03778398"</f>
        <v>03778398</v>
      </c>
      <c r="D13684" s="2">
        <v>1.1399999999999999</v>
      </c>
      <c r="E13684" s="2">
        <v>55</v>
      </c>
      <c r="F13684" s="2" t="s">
        <v>75</v>
      </c>
    </row>
    <row r="13685" spans="1:6" ht="25.5">
      <c r="A13685" s="2">
        <v>13682</v>
      </c>
      <c r="B13685" s="2" t="s">
        <v>13761</v>
      </c>
      <c r="C13685" s="2" t="str">
        <f>"10183337"</f>
        <v>10183337</v>
      </c>
      <c r="D13685" s="2">
        <v>0.42899999999999999</v>
      </c>
      <c r="E13685" s="2">
        <v>17</v>
      </c>
      <c r="F13685" s="2" t="s">
        <v>64</v>
      </c>
    </row>
    <row r="13686" spans="1:6" ht="25.5">
      <c r="A13686" s="2">
        <v>13683</v>
      </c>
      <c r="B13686" s="2" t="s">
        <v>13762</v>
      </c>
      <c r="C13686" s="2" t="str">
        <f>"0308597X"</f>
        <v>0308597X</v>
      </c>
      <c r="D13686" s="2">
        <v>1.113</v>
      </c>
      <c r="E13686" s="2">
        <v>37</v>
      </c>
      <c r="F13686" s="2" t="s">
        <v>16</v>
      </c>
    </row>
    <row r="13687" spans="1:6" ht="25.5">
      <c r="A13687" s="2">
        <v>13684</v>
      </c>
      <c r="B13687" s="2" t="s">
        <v>13763</v>
      </c>
      <c r="C13687" s="2" t="str">
        <f>"0025326X"</f>
        <v>0025326X</v>
      </c>
      <c r="D13687" s="2">
        <v>1.054</v>
      </c>
      <c r="E13687" s="2">
        <v>82</v>
      </c>
      <c r="F13687" s="2" t="s">
        <v>6</v>
      </c>
    </row>
    <row r="13688" spans="1:6" ht="25.5">
      <c r="A13688" s="2">
        <v>13685</v>
      </c>
      <c r="B13688" s="2" t="s">
        <v>13764</v>
      </c>
      <c r="C13688" s="2" t="str">
        <f>"07381360"</f>
        <v>07381360</v>
      </c>
      <c r="D13688" s="2">
        <v>0.629</v>
      </c>
      <c r="E13688" s="2">
        <v>8</v>
      </c>
      <c r="F13688" s="2" t="s">
        <v>6</v>
      </c>
    </row>
    <row r="13689" spans="1:6" ht="25.5">
      <c r="A13689" s="2">
        <v>13686</v>
      </c>
      <c r="B13689" s="2" t="s">
        <v>13765</v>
      </c>
      <c r="C13689" s="2" t="str">
        <f>"00253359"</f>
        <v>00253359</v>
      </c>
      <c r="D13689" s="2">
        <v>0.113</v>
      </c>
      <c r="E13689" s="2">
        <v>4</v>
      </c>
      <c r="F13689" s="2" t="s">
        <v>16</v>
      </c>
    </row>
    <row r="13690" spans="1:6" ht="25.5">
      <c r="A13690" s="2">
        <v>13687</v>
      </c>
      <c r="B13690" s="2" t="s">
        <v>13766</v>
      </c>
      <c r="C13690" s="2" t="str">
        <f>"09518339"</f>
        <v>09518339</v>
      </c>
      <c r="D13690" s="2">
        <v>1.272</v>
      </c>
      <c r="E13690" s="2">
        <v>29</v>
      </c>
      <c r="F13690" s="2" t="s">
        <v>75</v>
      </c>
    </row>
    <row r="13691" spans="1:6" ht="25.5">
      <c r="A13691" s="2">
        <v>13688</v>
      </c>
      <c r="B13691" s="2" t="s">
        <v>13767</v>
      </c>
      <c r="C13691" s="2" t="str">
        <f>"00253324"</f>
        <v>00253324</v>
      </c>
      <c r="D13691" s="2">
        <v>0.29399999999999998</v>
      </c>
      <c r="E13691" s="2">
        <v>22</v>
      </c>
      <c r="F13691" s="2" t="s">
        <v>6</v>
      </c>
    </row>
    <row r="13692" spans="1:6" ht="25.5">
      <c r="A13692" s="2">
        <v>13689</v>
      </c>
      <c r="B13692" s="2" t="s">
        <v>13768</v>
      </c>
      <c r="C13692" s="2" t="str">
        <f>"14792931"</f>
        <v>14792931</v>
      </c>
      <c r="D13692" s="2">
        <v>0.72699999999999998</v>
      </c>
      <c r="E13692" s="2">
        <v>22</v>
      </c>
      <c r="F13692" s="2" t="s">
        <v>16</v>
      </c>
    </row>
    <row r="13693" spans="1:6" ht="25.5">
      <c r="A13693" s="2">
        <v>13690</v>
      </c>
      <c r="B13693" s="2" t="s">
        <v>13769</v>
      </c>
      <c r="C13693" s="2" t="str">
        <f>"03088839"</f>
        <v>03088839</v>
      </c>
      <c r="D13693" s="2">
        <v>0.61399999999999999</v>
      </c>
      <c r="E13693" s="2">
        <v>27</v>
      </c>
      <c r="F13693" s="2" t="s">
        <v>16</v>
      </c>
    </row>
    <row r="13694" spans="1:6" ht="25.5">
      <c r="A13694" s="2">
        <v>13691</v>
      </c>
      <c r="B13694" s="2" t="s">
        <v>13770</v>
      </c>
      <c r="C13694" s="2" t="str">
        <f>"18727859"</f>
        <v>18727859</v>
      </c>
      <c r="D13694" s="2">
        <v>0</v>
      </c>
      <c r="E13694" s="2">
        <v>2</v>
      </c>
      <c r="F13694" s="2" t="s">
        <v>12</v>
      </c>
    </row>
    <row r="13695" spans="1:6" ht="25.5">
      <c r="A13695" s="2">
        <v>13692</v>
      </c>
      <c r="B13695" s="2" t="s">
        <v>13771</v>
      </c>
      <c r="C13695" s="2" t="str">
        <f>"10941304"</f>
        <v>10941304</v>
      </c>
      <c r="D13695" s="2">
        <v>0.104</v>
      </c>
      <c r="E13695" s="2">
        <v>13</v>
      </c>
      <c r="F13695" s="2" t="s">
        <v>6</v>
      </c>
    </row>
    <row r="13696" spans="1:6" ht="25.5">
      <c r="A13696" s="2">
        <v>13693</v>
      </c>
      <c r="B13696" s="2" t="s">
        <v>13772</v>
      </c>
      <c r="C13696" s="2" t="str">
        <f>"02634503"</f>
        <v>02634503</v>
      </c>
      <c r="D13696" s="2">
        <v>0.33700000000000002</v>
      </c>
      <c r="E13696" s="2">
        <v>20</v>
      </c>
      <c r="F13696" s="2" t="s">
        <v>16</v>
      </c>
    </row>
    <row r="13697" spans="1:6" ht="25.5">
      <c r="A13697" s="2">
        <v>13694</v>
      </c>
      <c r="B13697" s="2" t="s">
        <v>13773</v>
      </c>
      <c r="C13697" s="2" t="str">
        <f>"1573059X"</f>
        <v>1573059X</v>
      </c>
      <c r="D13697" s="2">
        <v>0.64700000000000002</v>
      </c>
      <c r="E13697" s="2">
        <v>32</v>
      </c>
      <c r="F13697" s="2" t="s">
        <v>6</v>
      </c>
    </row>
    <row r="13698" spans="1:6" ht="25.5">
      <c r="A13698" s="2">
        <v>13695</v>
      </c>
      <c r="B13698" s="2" t="s">
        <v>13774</v>
      </c>
      <c r="C13698" s="2" t="str">
        <f>"10613846"</f>
        <v>10613846</v>
      </c>
      <c r="D13698" s="2">
        <v>0.114</v>
      </c>
      <c r="E13698" s="2">
        <v>14</v>
      </c>
      <c r="F13698" s="2" t="s">
        <v>6</v>
      </c>
    </row>
    <row r="13699" spans="1:6" ht="25.5">
      <c r="A13699" s="2">
        <v>13696</v>
      </c>
      <c r="B13699" s="2" t="s">
        <v>13775</v>
      </c>
      <c r="C13699" s="2" t="str">
        <f>"10408460"</f>
        <v>10408460</v>
      </c>
      <c r="D13699" s="2">
        <v>0.10100000000000001</v>
      </c>
      <c r="E13699" s="2">
        <v>12</v>
      </c>
      <c r="F13699" s="2" t="s">
        <v>6</v>
      </c>
    </row>
    <row r="13700" spans="1:6" ht="25.5">
      <c r="A13700" s="2">
        <v>13697</v>
      </c>
      <c r="B13700" s="2" t="s">
        <v>13776</v>
      </c>
      <c r="C13700" s="2" t="str">
        <f>"1526548X"</f>
        <v>1526548X</v>
      </c>
      <c r="D13700" s="2">
        <v>3.552</v>
      </c>
      <c r="E13700" s="2">
        <v>71</v>
      </c>
      <c r="F13700" s="2" t="s">
        <v>6</v>
      </c>
    </row>
    <row r="13701" spans="1:6" ht="25.5">
      <c r="A13701" s="2">
        <v>13698</v>
      </c>
      <c r="B13701" s="2" t="s">
        <v>13777</v>
      </c>
      <c r="C13701" s="2" t="str">
        <f>"1741301X"</f>
        <v>1741301X</v>
      </c>
      <c r="D13701" s="2">
        <v>0.57899999999999996</v>
      </c>
      <c r="E13701" s="2">
        <v>8</v>
      </c>
      <c r="F13701" s="2" t="s">
        <v>16</v>
      </c>
    </row>
    <row r="13702" spans="1:6" ht="25.5">
      <c r="A13702" s="2">
        <v>13699</v>
      </c>
      <c r="B13702" s="2" t="s">
        <v>13778</v>
      </c>
      <c r="C13702" s="2" t="str">
        <f>"10191941"</f>
        <v>10191941</v>
      </c>
      <c r="D13702" s="2">
        <v>0.115</v>
      </c>
      <c r="E13702" s="2">
        <v>6</v>
      </c>
      <c r="F13702" s="2" t="s">
        <v>345</v>
      </c>
    </row>
    <row r="13703" spans="1:6" ht="25.5">
      <c r="A13703" s="2">
        <v>13700</v>
      </c>
      <c r="B13703" s="2" t="s">
        <v>13779</v>
      </c>
      <c r="C13703" s="2" t="str">
        <f>"15409635"</f>
        <v>15409635</v>
      </c>
      <c r="D13703" s="2">
        <v>0.35499999999999998</v>
      </c>
      <c r="E13703" s="2">
        <v>20</v>
      </c>
      <c r="F13703" s="2" t="s">
        <v>16</v>
      </c>
    </row>
    <row r="13704" spans="1:6" ht="25.5">
      <c r="A13704" s="2">
        <v>13701</v>
      </c>
      <c r="B13704" s="2" t="s">
        <v>13780</v>
      </c>
      <c r="C13704" s="2" t="str">
        <f>"15382656"</f>
        <v>15382656</v>
      </c>
      <c r="D13704" s="2">
        <v>0.104</v>
      </c>
      <c r="E13704" s="2">
        <v>5</v>
      </c>
      <c r="F13704" s="2" t="s">
        <v>6</v>
      </c>
    </row>
    <row r="13705" spans="1:6">
      <c r="A13705" s="2">
        <v>13702</v>
      </c>
      <c r="B13705" s="2" t="s">
        <v>13781</v>
      </c>
      <c r="C13705" s="2" t="str">
        <f>"0"</f>
        <v>0</v>
      </c>
      <c r="D13705" s="2">
        <v>0</v>
      </c>
      <c r="E13705" s="2">
        <v>0</v>
      </c>
      <c r="F13705" s="2" t="s">
        <v>6</v>
      </c>
    </row>
    <row r="13706" spans="1:6" ht="25.5">
      <c r="A13706" s="2">
        <v>13703</v>
      </c>
      <c r="B13706" s="2" t="s">
        <v>13782</v>
      </c>
      <c r="C13706" s="2" t="str">
        <f>"00254878"</f>
        <v>00254878</v>
      </c>
      <c r="D13706" s="2">
        <v>0.10299999999999999</v>
      </c>
      <c r="E13706" s="2">
        <v>2</v>
      </c>
      <c r="F13706" s="2" t="s">
        <v>6</v>
      </c>
    </row>
    <row r="13707" spans="1:6" ht="25.5">
      <c r="A13707" s="2">
        <v>13704</v>
      </c>
      <c r="B13707" s="2" t="s">
        <v>13783</v>
      </c>
      <c r="C13707" s="2" t="str">
        <f>"15205436"</f>
        <v>15205436</v>
      </c>
      <c r="D13707" s="2">
        <v>0.67</v>
      </c>
      <c r="E13707" s="2">
        <v>8</v>
      </c>
      <c r="F13707" s="2" t="s">
        <v>16</v>
      </c>
    </row>
    <row r="13708" spans="1:6" ht="25.5">
      <c r="A13708" s="2">
        <v>13705</v>
      </c>
      <c r="B13708" s="2" t="s">
        <v>13784</v>
      </c>
      <c r="C13708" s="2" t="str">
        <f>"10161007"</f>
        <v>10161007</v>
      </c>
      <c r="D13708" s="2">
        <v>0.10299999999999999</v>
      </c>
      <c r="E13708" s="2">
        <v>2</v>
      </c>
      <c r="F13708" s="2" t="s">
        <v>165</v>
      </c>
    </row>
    <row r="13709" spans="1:6" ht="25.5">
      <c r="A13709" s="2">
        <v>13706</v>
      </c>
      <c r="B13709" s="2" t="s">
        <v>13785</v>
      </c>
      <c r="C13709" s="2" t="str">
        <f>"10982787"</f>
        <v>10982787</v>
      </c>
      <c r="D13709" s="2">
        <v>3.0779999999999998</v>
      </c>
      <c r="E13709" s="2">
        <v>85</v>
      </c>
      <c r="F13709" s="2" t="s">
        <v>6</v>
      </c>
    </row>
    <row r="13710" spans="1:6" ht="25.5">
      <c r="A13710" s="2">
        <v>13707</v>
      </c>
      <c r="B13710" s="2" t="s">
        <v>13786</v>
      </c>
      <c r="C13710" s="2" t="str">
        <f>"00255025"</f>
        <v>00255025</v>
      </c>
      <c r="D13710" s="2">
        <v>0.1</v>
      </c>
      <c r="E13710" s="2">
        <v>3</v>
      </c>
      <c r="F13710" s="2" t="s">
        <v>6</v>
      </c>
    </row>
    <row r="13711" spans="1:6" ht="25.5">
      <c r="A13711" s="2">
        <v>13708</v>
      </c>
      <c r="B13711" s="2" t="s">
        <v>13787</v>
      </c>
      <c r="C13711" s="2" t="str">
        <f>"03279383"</f>
        <v>03279383</v>
      </c>
      <c r="D13711" s="2">
        <v>0.26800000000000002</v>
      </c>
      <c r="E13711" s="2">
        <v>5</v>
      </c>
      <c r="F13711" s="2" t="s">
        <v>192</v>
      </c>
    </row>
    <row r="13712" spans="1:6" ht="25.5">
      <c r="A13712" s="2">
        <v>13709</v>
      </c>
      <c r="B13712" s="2" t="s">
        <v>13788</v>
      </c>
      <c r="C13712" s="2" t="str">
        <f>"09329714"</f>
        <v>09329714</v>
      </c>
      <c r="D13712" s="2">
        <v>0.10100000000000001</v>
      </c>
      <c r="E13712" s="2">
        <v>0</v>
      </c>
      <c r="F13712" s="2" t="s">
        <v>75</v>
      </c>
    </row>
    <row r="13713" spans="1:6" ht="25.5">
      <c r="A13713" s="2">
        <v>13710</v>
      </c>
      <c r="B13713" s="2" t="s">
        <v>13789</v>
      </c>
      <c r="C13713" s="2" t="str">
        <f>"03406253"</f>
        <v>03406253</v>
      </c>
      <c r="D13713" s="2">
        <v>0.442</v>
      </c>
      <c r="E13713" s="2">
        <v>35</v>
      </c>
      <c r="F13713" s="2" t="s">
        <v>212</v>
      </c>
    </row>
    <row r="13714" spans="1:6" ht="25.5">
      <c r="A13714" s="2">
        <v>13711</v>
      </c>
      <c r="B13714" s="2" t="s">
        <v>13790</v>
      </c>
      <c r="C13714" s="2" t="str">
        <f>"19727356"</f>
        <v>19727356</v>
      </c>
      <c r="D13714" s="2">
        <v>0.1</v>
      </c>
      <c r="E13714" s="2">
        <v>8</v>
      </c>
      <c r="F13714" s="2" t="s">
        <v>190</v>
      </c>
    </row>
    <row r="13715" spans="1:6" ht="25.5">
      <c r="A13715" s="2">
        <v>13712</v>
      </c>
      <c r="B13715" s="2" t="s">
        <v>13791</v>
      </c>
      <c r="C13715" s="2" t="str">
        <f>"00255165"</f>
        <v>00255165</v>
      </c>
      <c r="D13715" s="2">
        <v>0.24</v>
      </c>
      <c r="E13715" s="2">
        <v>7</v>
      </c>
      <c r="F13715" s="2" t="s">
        <v>212</v>
      </c>
    </row>
    <row r="13716" spans="1:6" ht="25.5">
      <c r="A13716" s="2">
        <v>13713</v>
      </c>
      <c r="B13716" s="2" t="s">
        <v>13792</v>
      </c>
      <c r="C13716" s="2" t="str">
        <f>"04652746"</f>
        <v>04652746</v>
      </c>
      <c r="D13716" s="2">
        <v>0.56999999999999995</v>
      </c>
      <c r="E13716" s="2">
        <v>12</v>
      </c>
      <c r="F13716" s="2" t="s">
        <v>351</v>
      </c>
    </row>
    <row r="13717" spans="1:6" ht="25.5">
      <c r="A13717" s="2">
        <v>13714</v>
      </c>
      <c r="B13717" s="2" t="s">
        <v>13793</v>
      </c>
      <c r="C13717" s="2" t="str">
        <f>"17241693"</f>
        <v>17241693</v>
      </c>
      <c r="D13717" s="2">
        <v>0.108</v>
      </c>
      <c r="E13717" s="2">
        <v>1</v>
      </c>
      <c r="F13717" s="2" t="s">
        <v>190</v>
      </c>
    </row>
    <row r="13718" spans="1:6" ht="25.5">
      <c r="A13718" s="2">
        <v>13715</v>
      </c>
      <c r="B13718" s="2" t="s">
        <v>13794</v>
      </c>
      <c r="C13718" s="2" t="str">
        <f>"15803414"</f>
        <v>15803414</v>
      </c>
      <c r="D13718" s="2">
        <v>0.27200000000000002</v>
      </c>
      <c r="E13718" s="2">
        <v>8</v>
      </c>
      <c r="F13718" s="2" t="s">
        <v>154</v>
      </c>
    </row>
    <row r="13719" spans="1:6" ht="25.5">
      <c r="A13719" s="2">
        <v>13716</v>
      </c>
      <c r="B13719" s="2" t="s">
        <v>13795</v>
      </c>
      <c r="C13719" s="2" t="str">
        <f>"00255300"</f>
        <v>00255300</v>
      </c>
      <c r="D13719" s="2">
        <v>0.17199999999999999</v>
      </c>
      <c r="E13719" s="2">
        <v>10</v>
      </c>
      <c r="F13719" s="2" t="s">
        <v>12</v>
      </c>
    </row>
    <row r="13720" spans="1:6" ht="25.5">
      <c r="A13720" s="2">
        <v>13717</v>
      </c>
      <c r="B13720" s="2" t="s">
        <v>13796</v>
      </c>
      <c r="C13720" s="2" t="str">
        <f>"17518342"</f>
        <v>17518342</v>
      </c>
      <c r="D13720" s="2">
        <v>0.14299999999999999</v>
      </c>
      <c r="E13720" s="2">
        <v>5</v>
      </c>
      <c r="F13720" s="2" t="s">
        <v>16</v>
      </c>
    </row>
    <row r="13721" spans="1:6" ht="25.5">
      <c r="A13721" s="2">
        <v>13718</v>
      </c>
      <c r="B13721" s="2" t="s">
        <v>13797</v>
      </c>
      <c r="C13721" s="2" t="str">
        <f>"15214176"</f>
        <v>15214176</v>
      </c>
      <c r="D13721" s="2">
        <v>0.61899999999999999</v>
      </c>
      <c r="E13721" s="2">
        <v>29</v>
      </c>
      <c r="F13721" s="2" t="s">
        <v>16</v>
      </c>
    </row>
    <row r="13722" spans="1:6" ht="25.5">
      <c r="A13722" s="2">
        <v>13719</v>
      </c>
      <c r="B13722" s="2" t="s">
        <v>13798</v>
      </c>
      <c r="C13722" s="2" t="str">
        <f>"18734197"</f>
        <v>18734197</v>
      </c>
      <c r="D13722" s="2">
        <v>1.8380000000000001</v>
      </c>
      <c r="E13722" s="2">
        <v>48</v>
      </c>
      <c r="F13722" s="2" t="s">
        <v>75</v>
      </c>
    </row>
    <row r="13723" spans="1:6" ht="25.5">
      <c r="A13723" s="2">
        <v>13720</v>
      </c>
      <c r="B13723" s="2" t="s">
        <v>13799</v>
      </c>
      <c r="C13723" s="2" t="str">
        <f>"15322475"</f>
        <v>15322475</v>
      </c>
      <c r="D13723" s="2">
        <v>0.69299999999999995</v>
      </c>
      <c r="E13723" s="2">
        <v>25</v>
      </c>
      <c r="F13723" s="2" t="s">
        <v>16</v>
      </c>
    </row>
    <row r="13724" spans="1:6" ht="25.5">
      <c r="A13724" s="2">
        <v>13721</v>
      </c>
      <c r="B13724" s="2" t="s">
        <v>13800</v>
      </c>
      <c r="C13724" s="2" t="str">
        <f>"13595997"</f>
        <v>13595997</v>
      </c>
      <c r="D13724" s="2">
        <v>1.159</v>
      </c>
      <c r="E13724" s="2">
        <v>36</v>
      </c>
      <c r="F13724" s="2" t="s">
        <v>75</v>
      </c>
    </row>
    <row r="13725" spans="1:6" ht="25.5">
      <c r="A13725" s="2">
        <v>13722</v>
      </c>
      <c r="B13725" s="2" t="s">
        <v>13801</v>
      </c>
      <c r="C13725" s="2" t="str">
        <f>"09603409"</f>
        <v>09603409</v>
      </c>
      <c r="D13725" s="2">
        <v>0.28000000000000003</v>
      </c>
      <c r="E13725" s="2">
        <v>23</v>
      </c>
      <c r="F13725" s="2" t="s">
        <v>16</v>
      </c>
    </row>
    <row r="13726" spans="1:6" ht="25.5">
      <c r="A13726" s="2">
        <v>13723</v>
      </c>
      <c r="B13726" s="2" t="s">
        <v>13802</v>
      </c>
      <c r="C13726" s="2" t="str">
        <f>"10445803"</f>
        <v>10445803</v>
      </c>
      <c r="D13726" s="2">
        <v>1.1479999999999999</v>
      </c>
      <c r="E13726" s="2">
        <v>43</v>
      </c>
      <c r="F13726" s="2" t="s">
        <v>6</v>
      </c>
    </row>
    <row r="13727" spans="1:6" ht="25.5">
      <c r="A13727" s="2">
        <v>13724</v>
      </c>
      <c r="B13727" s="2" t="s">
        <v>13803</v>
      </c>
      <c r="C13727" s="2" t="str">
        <f>"02540584"</f>
        <v>02540584</v>
      </c>
      <c r="D13727" s="2">
        <v>0.84099999999999997</v>
      </c>
      <c r="E13727" s="2">
        <v>78</v>
      </c>
      <c r="F13727" s="2" t="s">
        <v>75</v>
      </c>
    </row>
    <row r="13728" spans="1:6" ht="25.5">
      <c r="A13728" s="2">
        <v>13725</v>
      </c>
      <c r="B13728" s="2" t="s">
        <v>13804</v>
      </c>
      <c r="C13728" s="2" t="str">
        <f>"21585857"</f>
        <v>21585857</v>
      </c>
      <c r="D13728" s="2">
        <v>0.629</v>
      </c>
      <c r="E13728" s="2">
        <v>3</v>
      </c>
      <c r="F13728" s="2" t="s">
        <v>6</v>
      </c>
    </row>
    <row r="13729" spans="1:6" ht="25.5">
      <c r="A13729" s="2">
        <v>13726</v>
      </c>
      <c r="B13729" s="2" t="s">
        <v>13805</v>
      </c>
      <c r="C13729" s="2" t="str">
        <f>"0167577X"</f>
        <v>0167577X</v>
      </c>
      <c r="D13729" s="2">
        <v>0.84599999999999997</v>
      </c>
      <c r="E13729" s="2">
        <v>73</v>
      </c>
      <c r="F13729" s="2" t="s">
        <v>75</v>
      </c>
    </row>
    <row r="13730" spans="1:6" ht="25.5">
      <c r="A13730" s="2">
        <v>13727</v>
      </c>
      <c r="B13730" s="2" t="s">
        <v>13806</v>
      </c>
      <c r="C13730" s="2" t="str">
        <f>"16052730"</f>
        <v>16052730</v>
      </c>
      <c r="D13730" s="2">
        <v>0.20399999999999999</v>
      </c>
      <c r="E13730" s="2">
        <v>4</v>
      </c>
      <c r="F13730" s="2" t="s">
        <v>129</v>
      </c>
    </row>
    <row r="13731" spans="1:6" ht="25.5">
      <c r="A13731" s="2">
        <v>13728</v>
      </c>
      <c r="B13731" s="2" t="s">
        <v>13807</v>
      </c>
      <c r="C13731" s="2" t="str">
        <f>"15161439"</f>
        <v>15161439</v>
      </c>
      <c r="D13731" s="2">
        <v>0.29699999999999999</v>
      </c>
      <c r="E13731" s="2">
        <v>14</v>
      </c>
      <c r="F13731" s="2" t="s">
        <v>159</v>
      </c>
    </row>
    <row r="13732" spans="1:6" ht="25.5">
      <c r="A13732" s="2">
        <v>13729</v>
      </c>
      <c r="B13732" s="2" t="s">
        <v>13808</v>
      </c>
      <c r="C13732" s="2" t="str">
        <f>"00255408"</f>
        <v>00255408</v>
      </c>
      <c r="D13732" s="2">
        <v>0.76</v>
      </c>
      <c r="E13732" s="2">
        <v>63</v>
      </c>
      <c r="F13732" s="2" t="s">
        <v>16</v>
      </c>
    </row>
    <row r="13733" spans="1:6" ht="25.5">
      <c r="A13733" s="2">
        <v>13730</v>
      </c>
      <c r="B13733" s="2" t="s">
        <v>13809</v>
      </c>
      <c r="C13733" s="2" t="str">
        <f>"1433075X"</f>
        <v>1433075X</v>
      </c>
      <c r="D13733" s="2">
        <v>0.2</v>
      </c>
      <c r="E13733" s="2">
        <v>34</v>
      </c>
      <c r="F13733" s="2" t="s">
        <v>16</v>
      </c>
    </row>
    <row r="13734" spans="1:6" ht="25.5">
      <c r="A13734" s="2">
        <v>13731</v>
      </c>
      <c r="B13734" s="2" t="s">
        <v>13810</v>
      </c>
      <c r="C13734" s="2" t="str">
        <f>"02729172"</f>
        <v>02729172</v>
      </c>
      <c r="D13734" s="2">
        <v>0.125</v>
      </c>
      <c r="E13734" s="2">
        <v>35</v>
      </c>
      <c r="F13734" s="2" t="s">
        <v>6</v>
      </c>
    </row>
    <row r="13735" spans="1:6" ht="25.5">
      <c r="A13735" s="2">
        <v>13732</v>
      </c>
      <c r="B13735" s="2" t="s">
        <v>13811</v>
      </c>
      <c r="C13735" s="2" t="str">
        <f>"1573885X"</f>
        <v>1573885X</v>
      </c>
      <c r="D13735" s="2">
        <v>0.25</v>
      </c>
      <c r="E13735" s="2">
        <v>10</v>
      </c>
      <c r="F13735" s="2" t="s">
        <v>12</v>
      </c>
    </row>
    <row r="13736" spans="1:6" ht="25.5">
      <c r="A13736" s="2">
        <v>13733</v>
      </c>
      <c r="B13736" s="2" t="s">
        <v>13811</v>
      </c>
      <c r="C13736" s="2" t="str">
        <f>"01371339"</f>
        <v>01371339</v>
      </c>
      <c r="D13736" s="2">
        <v>0.19900000000000001</v>
      </c>
      <c r="E13736" s="2">
        <v>13</v>
      </c>
      <c r="F13736" s="2" t="s">
        <v>6</v>
      </c>
    </row>
    <row r="13737" spans="1:6" ht="25.5">
      <c r="A13737" s="2">
        <v>13734</v>
      </c>
      <c r="B13737" s="2" t="s">
        <v>13812</v>
      </c>
      <c r="C13737" s="2" t="str">
        <f>"09215107"</f>
        <v>09215107</v>
      </c>
      <c r="D13737" s="2">
        <v>0.71499999999999997</v>
      </c>
      <c r="E13737" s="2">
        <v>67</v>
      </c>
      <c r="F13737" s="2" t="s">
        <v>75</v>
      </c>
    </row>
    <row r="13738" spans="1:6" ht="25.5">
      <c r="A13738" s="2">
        <v>13735</v>
      </c>
      <c r="B13738" s="2" t="s">
        <v>13813</v>
      </c>
      <c r="C13738" s="2" t="str">
        <f>"09284931"</f>
        <v>09284931</v>
      </c>
      <c r="D13738" s="2">
        <v>0.76500000000000001</v>
      </c>
      <c r="E13738" s="2">
        <v>59</v>
      </c>
      <c r="F13738" s="2" t="s">
        <v>75</v>
      </c>
    </row>
    <row r="13739" spans="1:6" ht="25.5">
      <c r="A13739" s="2">
        <v>13736</v>
      </c>
      <c r="B13739" s="2" t="s">
        <v>13814</v>
      </c>
      <c r="C13739" s="2" t="str">
        <f>"0927796X"</f>
        <v>0927796X</v>
      </c>
      <c r="D13739" s="2">
        <v>7.609</v>
      </c>
      <c r="E13739" s="2">
        <v>81</v>
      </c>
      <c r="F13739" s="2" t="s">
        <v>75</v>
      </c>
    </row>
    <row r="13740" spans="1:6" ht="25.5">
      <c r="A13740" s="2">
        <v>13737</v>
      </c>
      <c r="B13740" s="2" t="s">
        <v>13815</v>
      </c>
      <c r="C13740" s="2" t="str">
        <f>"17432847"</f>
        <v>17432847</v>
      </c>
      <c r="D13740" s="2">
        <v>0.61799999999999999</v>
      </c>
      <c r="E13740" s="2">
        <v>50</v>
      </c>
      <c r="F13740" s="2" t="s">
        <v>16</v>
      </c>
    </row>
    <row r="13741" spans="1:6" ht="25.5">
      <c r="A13741" s="2">
        <v>13738</v>
      </c>
      <c r="B13741" s="2" t="s">
        <v>13816</v>
      </c>
      <c r="C13741" s="2" t="str">
        <f>"09215093"</f>
        <v>09215093</v>
      </c>
      <c r="D13741" s="2">
        <v>1.6080000000000001</v>
      </c>
      <c r="E13741" s="2">
        <v>121</v>
      </c>
      <c r="F13741" s="2" t="s">
        <v>75</v>
      </c>
    </row>
    <row r="13742" spans="1:6" ht="25.5">
      <c r="A13742" s="2">
        <v>13739</v>
      </c>
      <c r="B13742" s="2" t="s">
        <v>13817</v>
      </c>
      <c r="C13742" s="2" t="str">
        <f>"02555476"</f>
        <v>02555476</v>
      </c>
      <c r="D13742" s="2">
        <v>0.26100000000000001</v>
      </c>
      <c r="E13742" s="2">
        <v>50</v>
      </c>
      <c r="F13742" s="2" t="s">
        <v>12</v>
      </c>
    </row>
    <row r="13743" spans="1:6" ht="25.5">
      <c r="A13743" s="2">
        <v>13740</v>
      </c>
      <c r="B13743" s="2" t="s">
        <v>13818</v>
      </c>
      <c r="C13743" s="2" t="str">
        <f>"13698001"</f>
        <v>13698001</v>
      </c>
      <c r="D13743" s="2">
        <v>0.42</v>
      </c>
      <c r="E13743" s="2">
        <v>29</v>
      </c>
      <c r="F13743" s="2" t="s">
        <v>16</v>
      </c>
    </row>
    <row r="13744" spans="1:6" ht="25.5">
      <c r="A13744" s="2">
        <v>13741</v>
      </c>
      <c r="B13744" s="2" t="s">
        <v>13819</v>
      </c>
      <c r="C13744" s="2" t="str">
        <f>"10667857"</f>
        <v>10667857</v>
      </c>
      <c r="D13744" s="2">
        <v>0.29299999999999998</v>
      </c>
      <c r="E13744" s="2">
        <v>13</v>
      </c>
      <c r="F13744" s="2" t="s">
        <v>16</v>
      </c>
    </row>
    <row r="13745" spans="1:6" ht="25.5">
      <c r="A13745" s="2">
        <v>13742</v>
      </c>
      <c r="B13745" s="2" t="s">
        <v>13820</v>
      </c>
      <c r="C13745" s="2" t="str">
        <f>"13697021"</f>
        <v>13697021</v>
      </c>
      <c r="D13745" s="2">
        <v>2.2050000000000001</v>
      </c>
      <c r="E13745" s="2">
        <v>71</v>
      </c>
      <c r="F13745" s="2" t="s">
        <v>75</v>
      </c>
    </row>
    <row r="13746" spans="1:6" ht="25.5">
      <c r="A13746" s="2">
        <v>13743</v>
      </c>
      <c r="B13746" s="2" t="s">
        <v>13821</v>
      </c>
      <c r="C13746" s="2" t="str">
        <f>"13475320"</f>
        <v>13475320</v>
      </c>
      <c r="D13746" s="2">
        <v>0.51900000000000002</v>
      </c>
      <c r="E13746" s="2">
        <v>69</v>
      </c>
      <c r="F13746" s="2" t="s">
        <v>131</v>
      </c>
    </row>
    <row r="13747" spans="1:6" ht="25.5">
      <c r="A13747" s="2">
        <v>13744</v>
      </c>
      <c r="B13747" s="2" t="s">
        <v>13822</v>
      </c>
      <c r="C13747" s="2" t="str">
        <f>"15214052"</f>
        <v>15214052</v>
      </c>
      <c r="D13747" s="2">
        <v>0.40600000000000003</v>
      </c>
      <c r="E13747" s="2">
        <v>20</v>
      </c>
      <c r="F13747" s="2" t="s">
        <v>12</v>
      </c>
    </row>
    <row r="13748" spans="1:6" ht="25.5">
      <c r="A13748" s="2">
        <v>13745</v>
      </c>
      <c r="B13748" s="2" t="s">
        <v>13823</v>
      </c>
      <c r="C13748" s="2" t="str">
        <f>"00326895"</f>
        <v>00326895</v>
      </c>
      <c r="D13748" s="2">
        <v>0.14899999999999999</v>
      </c>
      <c r="E13748" s="2">
        <v>2</v>
      </c>
      <c r="F13748" s="2" t="s">
        <v>66</v>
      </c>
    </row>
    <row r="13749" spans="1:6" ht="25.5">
      <c r="A13749" s="2">
        <v>13746</v>
      </c>
      <c r="B13749" s="2" t="s">
        <v>13824</v>
      </c>
      <c r="C13749" s="2" t="str">
        <f>"15736628"</f>
        <v>15736628</v>
      </c>
      <c r="D13749" s="2">
        <v>0.80100000000000005</v>
      </c>
      <c r="E13749" s="2">
        <v>42</v>
      </c>
      <c r="F13749" s="2" t="s">
        <v>12</v>
      </c>
    </row>
    <row r="13750" spans="1:6" ht="25.5">
      <c r="A13750" s="2">
        <v>13747</v>
      </c>
      <c r="B13750" s="2" t="s">
        <v>13825</v>
      </c>
      <c r="C13750" s="2" t="str">
        <f>"17408709"</f>
        <v>17408709</v>
      </c>
      <c r="D13750" s="2">
        <v>0.69799999999999995</v>
      </c>
      <c r="E13750" s="2">
        <v>21</v>
      </c>
      <c r="F13750" s="2" t="s">
        <v>16</v>
      </c>
    </row>
    <row r="13751" spans="1:6" ht="25.5">
      <c r="A13751" s="2">
        <v>13748</v>
      </c>
      <c r="B13751" s="2" t="s">
        <v>13826</v>
      </c>
      <c r="C13751" s="2" t="str">
        <f>"00255289"</f>
        <v>00255289</v>
      </c>
      <c r="D13751" s="2">
        <v>0.23400000000000001</v>
      </c>
      <c r="E13751" s="2">
        <v>11</v>
      </c>
      <c r="F13751" s="2" t="s">
        <v>19</v>
      </c>
    </row>
    <row r="13752" spans="1:6" ht="25.5">
      <c r="A13752" s="2">
        <v>13749</v>
      </c>
      <c r="B13752" s="2" t="s">
        <v>13827</v>
      </c>
      <c r="C13752" s="2" t="str">
        <f>"12229016"</f>
        <v>12229016</v>
      </c>
      <c r="D13752" s="2">
        <v>0.123</v>
      </c>
      <c r="E13752" s="2">
        <v>2</v>
      </c>
      <c r="F13752" s="2" t="s">
        <v>19</v>
      </c>
    </row>
    <row r="13753" spans="1:6" ht="25.5">
      <c r="A13753" s="2">
        <v>13750</v>
      </c>
      <c r="B13753" s="2" t="s">
        <v>13828</v>
      </c>
      <c r="C13753" s="2" t="str">
        <f>"08627959"</f>
        <v>08627959</v>
      </c>
      <c r="D13753" s="2">
        <v>0.124</v>
      </c>
      <c r="E13753" s="2">
        <v>1</v>
      </c>
      <c r="F13753" s="2" t="s">
        <v>208</v>
      </c>
    </row>
    <row r="13754" spans="1:6" ht="25.5">
      <c r="A13754" s="2">
        <v>13751</v>
      </c>
      <c r="B13754" s="2" t="s">
        <v>13829</v>
      </c>
      <c r="C13754" s="2" t="str">
        <f>"1300686X"</f>
        <v>1300686X</v>
      </c>
      <c r="D13754" s="2">
        <v>0.249</v>
      </c>
      <c r="E13754" s="2">
        <v>11</v>
      </c>
      <c r="F13754" s="2" t="s">
        <v>345</v>
      </c>
    </row>
    <row r="13755" spans="1:6" ht="25.5">
      <c r="A13755" s="2">
        <v>13752</v>
      </c>
      <c r="B13755" s="2" t="s">
        <v>13830</v>
      </c>
      <c r="C13755" s="2" t="str">
        <f>"19467664"</f>
        <v>19467664</v>
      </c>
      <c r="D13755" s="2">
        <v>0.34200000000000003</v>
      </c>
      <c r="E13755" s="2">
        <v>4</v>
      </c>
      <c r="F13755" s="2" t="s">
        <v>6</v>
      </c>
    </row>
    <row r="13756" spans="1:6" ht="25.5">
      <c r="A13756" s="2">
        <v>13753</v>
      </c>
      <c r="B13756" s="2" t="s">
        <v>13831</v>
      </c>
      <c r="C13756" s="2" t="str">
        <f>"08957177"</f>
        <v>08957177</v>
      </c>
      <c r="D13756" s="2">
        <v>0.876</v>
      </c>
      <c r="E13756" s="2">
        <v>54</v>
      </c>
      <c r="F13756" s="2" t="s">
        <v>16</v>
      </c>
    </row>
    <row r="13757" spans="1:6" ht="25.5">
      <c r="A13757" s="2">
        <v>13754</v>
      </c>
      <c r="B13757" s="2" t="s">
        <v>13832</v>
      </c>
      <c r="C13757" s="2" t="str">
        <f>"13873954"</f>
        <v>13873954</v>
      </c>
      <c r="D13757" s="2">
        <v>0.34899999999999998</v>
      </c>
      <c r="E13757" s="2">
        <v>17</v>
      </c>
      <c r="F13757" s="2" t="s">
        <v>16</v>
      </c>
    </row>
    <row r="13758" spans="1:6" ht="25.5">
      <c r="A13758" s="2">
        <v>13755</v>
      </c>
      <c r="B13758" s="2" t="s">
        <v>13833</v>
      </c>
      <c r="C13758" s="2" t="str">
        <f>"00255564"</f>
        <v>00255564</v>
      </c>
      <c r="D13758" s="2">
        <v>0.61399999999999999</v>
      </c>
      <c r="E13758" s="2">
        <v>53</v>
      </c>
      <c r="F13758" s="2" t="s">
        <v>6</v>
      </c>
    </row>
    <row r="13759" spans="1:6" ht="25.5">
      <c r="A13759" s="2">
        <v>13756</v>
      </c>
      <c r="B13759" s="2" t="s">
        <v>13834</v>
      </c>
      <c r="C13759" s="2" t="str">
        <f>"15510018"</f>
        <v>15510018</v>
      </c>
      <c r="D13759" s="2">
        <v>0.64</v>
      </c>
      <c r="E13759" s="2">
        <v>16</v>
      </c>
      <c r="F13759" s="2" t="s">
        <v>6</v>
      </c>
    </row>
    <row r="13760" spans="1:6" ht="25.5">
      <c r="A13760" s="2">
        <v>13757</v>
      </c>
      <c r="B13760" s="2" t="s">
        <v>13835</v>
      </c>
      <c r="C13760" s="2" t="str">
        <f>"13310623"</f>
        <v>13310623</v>
      </c>
      <c r="D13760" s="2">
        <v>0.28299999999999997</v>
      </c>
      <c r="E13760" s="2">
        <v>5</v>
      </c>
      <c r="F13760" s="2" t="s">
        <v>149</v>
      </c>
    </row>
    <row r="13761" spans="1:6" ht="25.5">
      <c r="A13761" s="2">
        <v>13758</v>
      </c>
      <c r="B13761" s="2" t="s">
        <v>13836</v>
      </c>
      <c r="C13761" s="2" t="str">
        <f>"14679965"</f>
        <v>14679965</v>
      </c>
      <c r="D13761" s="2">
        <v>1.593</v>
      </c>
      <c r="E13761" s="2">
        <v>45</v>
      </c>
      <c r="F13761" s="2" t="s">
        <v>16</v>
      </c>
    </row>
    <row r="13762" spans="1:6" ht="25.5">
      <c r="A13762" s="2">
        <v>13759</v>
      </c>
      <c r="B13762" s="2" t="s">
        <v>13837</v>
      </c>
      <c r="C13762" s="2" t="str">
        <f>"18748961"</f>
        <v>18748961</v>
      </c>
      <c r="D13762" s="2">
        <v>0.91900000000000004</v>
      </c>
      <c r="E13762" s="2">
        <v>38</v>
      </c>
      <c r="F13762" s="2" t="s">
        <v>75</v>
      </c>
    </row>
    <row r="13763" spans="1:6" ht="25.5">
      <c r="A13763" s="2">
        <v>13760</v>
      </c>
      <c r="B13763" s="2" t="s">
        <v>13838</v>
      </c>
      <c r="C13763" s="2" t="str">
        <f>"13314343"</f>
        <v>13314343</v>
      </c>
      <c r="D13763" s="2">
        <v>0.48499999999999999</v>
      </c>
      <c r="E13763" s="2">
        <v>24</v>
      </c>
      <c r="F13763" s="2" t="s">
        <v>149</v>
      </c>
    </row>
    <row r="13764" spans="1:6" ht="25.5">
      <c r="A13764" s="2">
        <v>13761</v>
      </c>
      <c r="B13764" s="2" t="s">
        <v>13839</v>
      </c>
      <c r="C13764" s="2" t="str">
        <f>"03436993"</f>
        <v>03436993</v>
      </c>
      <c r="D13764" s="2">
        <v>0.192</v>
      </c>
      <c r="E13764" s="2">
        <v>16</v>
      </c>
      <c r="F13764" s="2" t="s">
        <v>6</v>
      </c>
    </row>
    <row r="13765" spans="1:6" ht="25.5">
      <c r="A13765" s="2">
        <v>13762</v>
      </c>
      <c r="B13765" s="2" t="s">
        <v>13840</v>
      </c>
      <c r="C13765" s="2" t="str">
        <f>"15213870"</f>
        <v>15213870</v>
      </c>
      <c r="D13765" s="2">
        <v>0.502</v>
      </c>
      <c r="E13765" s="2">
        <v>16</v>
      </c>
      <c r="F13765" s="2" t="s">
        <v>12</v>
      </c>
    </row>
    <row r="13766" spans="1:6" ht="25.5">
      <c r="A13766" s="2">
        <v>13763</v>
      </c>
      <c r="B13766" s="2" t="s">
        <v>13841</v>
      </c>
      <c r="C13766" s="2" t="str">
        <f>"14778599"</f>
        <v>14778599</v>
      </c>
      <c r="D13766" s="2">
        <v>0.65600000000000003</v>
      </c>
      <c r="E13766" s="2">
        <v>29</v>
      </c>
      <c r="F13766" s="2" t="s">
        <v>16</v>
      </c>
    </row>
    <row r="13767" spans="1:6" ht="25.5">
      <c r="A13767" s="2">
        <v>13764</v>
      </c>
      <c r="B13767" s="2" t="s">
        <v>13842</v>
      </c>
      <c r="C13767" s="2" t="str">
        <f>"10991476"</f>
        <v>10991476</v>
      </c>
      <c r="D13767" s="2">
        <v>0.78300000000000003</v>
      </c>
      <c r="E13767" s="2">
        <v>31</v>
      </c>
      <c r="F13767" s="2" t="s">
        <v>16</v>
      </c>
    </row>
    <row r="13768" spans="1:6" ht="25.5">
      <c r="A13768" s="2">
        <v>13765</v>
      </c>
      <c r="B13768" s="2" t="s">
        <v>13843</v>
      </c>
      <c r="C13768" s="2" t="str">
        <f>"14325217"</f>
        <v>14325217</v>
      </c>
      <c r="D13768" s="2">
        <v>0.51600000000000001</v>
      </c>
      <c r="E13768" s="2">
        <v>26</v>
      </c>
      <c r="F13768" s="2" t="s">
        <v>12</v>
      </c>
    </row>
    <row r="13769" spans="1:6" ht="25.5">
      <c r="A13769" s="2">
        <v>13766</v>
      </c>
      <c r="B13769" s="2" t="s">
        <v>13844</v>
      </c>
      <c r="C13769" s="2" t="str">
        <f>"19348045"</f>
        <v>19348045</v>
      </c>
      <c r="D13769" s="2">
        <v>0.80400000000000005</v>
      </c>
      <c r="E13769" s="2">
        <v>6</v>
      </c>
      <c r="F13769" s="2" t="s">
        <v>6</v>
      </c>
    </row>
    <row r="13770" spans="1:6" ht="25.5">
      <c r="A13770" s="2">
        <v>13767</v>
      </c>
      <c r="B13770" s="2" t="s">
        <v>13845</v>
      </c>
      <c r="C13770" s="2" t="str">
        <f>"16483510"</f>
        <v>16483510</v>
      </c>
      <c r="D13770" s="2">
        <v>0.432</v>
      </c>
      <c r="E13770" s="2">
        <v>12</v>
      </c>
      <c r="F13770" s="2" t="s">
        <v>426</v>
      </c>
    </row>
    <row r="13771" spans="1:6" ht="25.5">
      <c r="A13771" s="2">
        <v>13768</v>
      </c>
      <c r="B13771" s="2" t="s">
        <v>13846</v>
      </c>
      <c r="C13771" s="2" t="str">
        <f>"12903841"</f>
        <v>12903841</v>
      </c>
      <c r="D13771" s="2">
        <v>1.1259999999999999</v>
      </c>
      <c r="E13771" s="2">
        <v>37</v>
      </c>
      <c r="F13771" s="2" t="s">
        <v>66</v>
      </c>
    </row>
    <row r="13772" spans="1:6" ht="25.5">
      <c r="A13772" s="2">
        <v>13769</v>
      </c>
      <c r="B13772" s="2" t="s">
        <v>13847</v>
      </c>
      <c r="C13772" s="2" t="str">
        <f>"09735348"</f>
        <v>09735348</v>
      </c>
      <c r="D13772" s="2">
        <v>0.32800000000000001</v>
      </c>
      <c r="E13772" s="2">
        <v>11</v>
      </c>
      <c r="F13772" s="2" t="s">
        <v>66</v>
      </c>
    </row>
    <row r="13773" spans="1:6" ht="25.5">
      <c r="A13773" s="2">
        <v>13770</v>
      </c>
      <c r="B13773" s="2" t="s">
        <v>13848</v>
      </c>
      <c r="C13773" s="2" t="str">
        <f>"02182025"</f>
        <v>02182025</v>
      </c>
      <c r="D13773" s="2">
        <v>1.4450000000000001</v>
      </c>
      <c r="E13773" s="2">
        <v>40</v>
      </c>
      <c r="F13773" s="2" t="s">
        <v>543</v>
      </c>
    </row>
    <row r="13774" spans="1:6" ht="25.5">
      <c r="A13774" s="2">
        <v>13771</v>
      </c>
      <c r="B13774" s="2" t="s">
        <v>13849</v>
      </c>
      <c r="C13774" s="2" t="str">
        <f>"00014346"</f>
        <v>00014346</v>
      </c>
      <c r="D13774" s="2">
        <v>0.26400000000000001</v>
      </c>
      <c r="E13774" s="2">
        <v>13</v>
      </c>
      <c r="F13774" s="2" t="s">
        <v>129</v>
      </c>
    </row>
    <row r="13775" spans="1:6" ht="25.5">
      <c r="A13775" s="2">
        <v>13772</v>
      </c>
      <c r="B13775" s="2" t="s">
        <v>13850</v>
      </c>
      <c r="C13775" s="2" t="str">
        <f>"15729656"</f>
        <v>15729656</v>
      </c>
      <c r="D13775" s="2">
        <v>0.51900000000000002</v>
      </c>
      <c r="E13775" s="2">
        <v>12</v>
      </c>
      <c r="F13775" s="2" t="s">
        <v>75</v>
      </c>
    </row>
    <row r="13776" spans="1:6" ht="25.5">
      <c r="A13776" s="2">
        <v>13773</v>
      </c>
      <c r="B13776" s="2" t="s">
        <v>13851</v>
      </c>
      <c r="C13776" s="2" t="str">
        <f>"08898480"</f>
        <v>08898480</v>
      </c>
      <c r="D13776" s="2">
        <v>0.42399999999999999</v>
      </c>
      <c r="E13776" s="2">
        <v>12</v>
      </c>
      <c r="F13776" s="2" t="s">
        <v>16</v>
      </c>
    </row>
    <row r="13777" spans="1:6" ht="25.5">
      <c r="A13777" s="2">
        <v>13774</v>
      </c>
      <c r="B13777" s="2" t="s">
        <v>13852</v>
      </c>
      <c r="C13777" s="2" t="str">
        <f>"15635147"</f>
        <v>15635147</v>
      </c>
      <c r="D13777" s="2">
        <v>0.31900000000000001</v>
      </c>
      <c r="E13777" s="2">
        <v>26</v>
      </c>
      <c r="F13777" s="2" t="s">
        <v>6</v>
      </c>
    </row>
    <row r="13778" spans="1:6" ht="25.5">
      <c r="A13778" s="2">
        <v>13775</v>
      </c>
      <c r="B13778" s="2" t="s">
        <v>13853</v>
      </c>
      <c r="C13778" s="2" t="str">
        <f>"14698064"</f>
        <v>14698064</v>
      </c>
      <c r="D13778" s="2">
        <v>1.0489999999999999</v>
      </c>
      <c r="E13778" s="2">
        <v>23</v>
      </c>
      <c r="F13778" s="2" t="s">
        <v>16</v>
      </c>
    </row>
    <row r="13779" spans="1:6" ht="25.5">
      <c r="A13779" s="2">
        <v>13776</v>
      </c>
      <c r="B13779" s="2" t="s">
        <v>13854</v>
      </c>
      <c r="C13779" s="2" t="str">
        <f>"00255610"</f>
        <v>00255610</v>
      </c>
      <c r="D13779" s="2">
        <v>3.181</v>
      </c>
      <c r="E13779" s="2">
        <v>66</v>
      </c>
      <c r="F13779" s="2" t="s">
        <v>12</v>
      </c>
    </row>
    <row r="13780" spans="1:6" ht="25.5">
      <c r="A13780" s="2">
        <v>13777</v>
      </c>
      <c r="B13780" s="2" t="s">
        <v>13855</v>
      </c>
      <c r="C13780" s="2" t="str">
        <f>"18672957"</f>
        <v>18672957</v>
      </c>
      <c r="D13780" s="2">
        <v>2.653</v>
      </c>
      <c r="E13780" s="2">
        <v>7</v>
      </c>
      <c r="F13780" s="2" t="s">
        <v>12</v>
      </c>
    </row>
    <row r="13781" spans="1:6" ht="25.5">
      <c r="A13781" s="2">
        <v>13778</v>
      </c>
      <c r="B13781" s="2" t="s">
        <v>13856</v>
      </c>
      <c r="C13781" s="2" t="str">
        <f>"10732780"</f>
        <v>10732780</v>
      </c>
      <c r="D13781" s="2">
        <v>1.2889999999999999</v>
      </c>
      <c r="E13781" s="2">
        <v>34</v>
      </c>
      <c r="F13781" s="2" t="s">
        <v>6</v>
      </c>
    </row>
    <row r="13782" spans="1:6" ht="25.5">
      <c r="A13782" s="2">
        <v>13779</v>
      </c>
      <c r="B13782" s="2" t="s">
        <v>13857</v>
      </c>
      <c r="C13782" s="2" t="str">
        <f>"03123685"</f>
        <v>03123685</v>
      </c>
      <c r="D13782" s="2">
        <v>0.10299999999999999</v>
      </c>
      <c r="E13782" s="2">
        <v>0</v>
      </c>
      <c r="F13782" s="2" t="s">
        <v>16</v>
      </c>
    </row>
    <row r="13783" spans="1:6" ht="25.5">
      <c r="A13783" s="2">
        <v>13780</v>
      </c>
      <c r="B13783" s="2" t="s">
        <v>13858</v>
      </c>
      <c r="C13783" s="2" t="str">
        <f>"01654896"</f>
        <v>01654896</v>
      </c>
      <c r="D13783" s="2">
        <v>0.59099999999999997</v>
      </c>
      <c r="E13783" s="2">
        <v>21</v>
      </c>
      <c r="F13783" s="2" t="s">
        <v>75</v>
      </c>
    </row>
    <row r="13784" spans="1:6" ht="25.5">
      <c r="A13784" s="2">
        <v>13781</v>
      </c>
      <c r="B13784" s="2" t="s">
        <v>13859</v>
      </c>
      <c r="C13784" s="2" t="str">
        <f>"14698072"</f>
        <v>14698072</v>
      </c>
      <c r="D13784" s="2">
        <v>0.90200000000000002</v>
      </c>
      <c r="E13784" s="2">
        <v>16</v>
      </c>
      <c r="F13784" s="2" t="s">
        <v>16</v>
      </c>
    </row>
    <row r="13785" spans="1:6" ht="25.5">
      <c r="A13785" s="2">
        <v>13782</v>
      </c>
      <c r="B13785" s="2" t="s">
        <v>13860</v>
      </c>
      <c r="C13785" s="2" t="str">
        <f>"10986065"</f>
        <v>10986065</v>
      </c>
      <c r="D13785" s="2">
        <v>0.64700000000000002</v>
      </c>
      <c r="E13785" s="2">
        <v>5</v>
      </c>
      <c r="F13785" s="2" t="s">
        <v>16</v>
      </c>
    </row>
    <row r="13786" spans="1:6" ht="25.5">
      <c r="A13786" s="2">
        <v>13783</v>
      </c>
      <c r="B13786" s="2" t="s">
        <v>13861</v>
      </c>
      <c r="C13786" s="2" t="str">
        <f>"00255521"</f>
        <v>00255521</v>
      </c>
      <c r="D13786" s="2">
        <v>0.48299999999999998</v>
      </c>
      <c r="E13786" s="2">
        <v>15</v>
      </c>
      <c r="F13786" s="2" t="s">
        <v>163</v>
      </c>
    </row>
    <row r="13787" spans="1:6" ht="25.5">
      <c r="A13787" s="2">
        <v>13784</v>
      </c>
      <c r="B13787" s="2" t="s">
        <v>13862</v>
      </c>
      <c r="C13787" s="2" t="str">
        <f>"01399918"</f>
        <v>01399918</v>
      </c>
      <c r="D13787" s="2">
        <v>0.36399999999999999</v>
      </c>
      <c r="E13787" s="2">
        <v>9</v>
      </c>
      <c r="F13787" s="2" t="s">
        <v>16</v>
      </c>
    </row>
    <row r="13788" spans="1:6" ht="25.5">
      <c r="A13788" s="2">
        <v>13785</v>
      </c>
      <c r="B13788" s="2" t="s">
        <v>13863</v>
      </c>
      <c r="C13788" s="2" t="str">
        <f>"03784754"</f>
        <v>03784754</v>
      </c>
      <c r="D13788" s="2">
        <v>0.57599999999999996</v>
      </c>
      <c r="E13788" s="2">
        <v>39</v>
      </c>
      <c r="F13788" s="2" t="s">
        <v>75</v>
      </c>
    </row>
    <row r="13789" spans="1:6" ht="25.5">
      <c r="A13789" s="2">
        <v>13786</v>
      </c>
      <c r="B13789" s="2" t="s">
        <v>13864</v>
      </c>
      <c r="C13789" s="2" t="str">
        <f>"18629679"</f>
        <v>18629679</v>
      </c>
      <c r="D13789" s="2">
        <v>0.48699999999999999</v>
      </c>
      <c r="E13789" s="2">
        <v>5</v>
      </c>
      <c r="F13789" s="2" t="s">
        <v>12</v>
      </c>
    </row>
    <row r="13790" spans="1:6" ht="25.5">
      <c r="A13790" s="2">
        <v>13787</v>
      </c>
      <c r="B13790" s="2" t="s">
        <v>13865</v>
      </c>
      <c r="C13790" s="2" t="str">
        <f>"10812865"</f>
        <v>10812865</v>
      </c>
      <c r="D13790" s="2">
        <v>0.72699999999999998</v>
      </c>
      <c r="E13790" s="2">
        <v>20</v>
      </c>
      <c r="F13790" s="2" t="s">
        <v>6</v>
      </c>
    </row>
    <row r="13791" spans="1:6" ht="25.5">
      <c r="A13791" s="2">
        <v>13788</v>
      </c>
      <c r="B13791" s="2" t="s">
        <v>13866</v>
      </c>
      <c r="C13791" s="2" t="str">
        <f>"10332170"</f>
        <v>10332170</v>
      </c>
      <c r="D13791" s="2">
        <v>0.19400000000000001</v>
      </c>
      <c r="E13791" s="2">
        <v>5</v>
      </c>
      <c r="F13791" s="2" t="s">
        <v>75</v>
      </c>
    </row>
    <row r="13792" spans="1:6" ht="25.5">
      <c r="A13792" s="2">
        <v>13789</v>
      </c>
      <c r="B13792" s="2" t="s">
        <v>13867</v>
      </c>
      <c r="C13792" s="2" t="str">
        <f>"16618289"</f>
        <v>16618289</v>
      </c>
      <c r="D13792" s="2">
        <v>0.43099999999999999</v>
      </c>
      <c r="E13792" s="2">
        <v>8</v>
      </c>
      <c r="F13792" s="2" t="s">
        <v>31</v>
      </c>
    </row>
    <row r="13793" spans="1:6" ht="25.5">
      <c r="A13793" s="2">
        <v>13790</v>
      </c>
      <c r="B13793" s="2" t="s">
        <v>13868</v>
      </c>
      <c r="C13793" s="2" t="str">
        <f>"0025570X"</f>
        <v>0025570X</v>
      </c>
      <c r="D13793" s="2">
        <v>0.152</v>
      </c>
      <c r="E13793" s="2">
        <v>2</v>
      </c>
      <c r="F13793" s="2" t="s">
        <v>6</v>
      </c>
    </row>
    <row r="13794" spans="1:6" ht="25.5">
      <c r="A13794" s="2">
        <v>13791</v>
      </c>
      <c r="B13794" s="2" t="s">
        <v>13869</v>
      </c>
      <c r="C13794" s="2" t="str">
        <f>"10886842"</f>
        <v>10886842</v>
      </c>
      <c r="D13794" s="2">
        <v>1.496</v>
      </c>
      <c r="E13794" s="2">
        <v>52</v>
      </c>
      <c r="F13794" s="2" t="s">
        <v>6</v>
      </c>
    </row>
    <row r="13795" spans="1:6" ht="25.5">
      <c r="A13795" s="2">
        <v>13792</v>
      </c>
      <c r="B13795" s="2" t="s">
        <v>13870</v>
      </c>
      <c r="C13795" s="2" t="str">
        <f>"1435568X"</f>
        <v>1435568X</v>
      </c>
      <c r="D13795" s="2">
        <v>0.61699999999999999</v>
      </c>
      <c r="E13795" s="2">
        <v>25</v>
      </c>
      <c r="F13795" s="2" t="s">
        <v>16</v>
      </c>
    </row>
    <row r="13796" spans="1:6" ht="25.5">
      <c r="A13796" s="2">
        <v>13793</v>
      </c>
      <c r="B13796" s="2" t="s">
        <v>13871</v>
      </c>
      <c r="C13796" s="2" t="str">
        <f>"15265471"</f>
        <v>15265471</v>
      </c>
      <c r="D13796" s="2">
        <v>1.8460000000000001</v>
      </c>
      <c r="E13796" s="2">
        <v>45</v>
      </c>
      <c r="F13796" s="2" t="s">
        <v>6</v>
      </c>
    </row>
    <row r="13797" spans="1:6" ht="25.5">
      <c r="A13797" s="2">
        <v>13794</v>
      </c>
      <c r="B13797" s="2" t="s">
        <v>13872</v>
      </c>
      <c r="C13797" s="2" t="str">
        <f>"00255793"</f>
        <v>00255793</v>
      </c>
      <c r="D13797" s="2">
        <v>0.49</v>
      </c>
      <c r="E13797" s="2">
        <v>15</v>
      </c>
      <c r="F13797" s="2" t="s">
        <v>16</v>
      </c>
    </row>
    <row r="13798" spans="1:6" ht="25.5">
      <c r="A13798" s="2">
        <v>13795</v>
      </c>
      <c r="B13798" s="2" t="s">
        <v>13873</v>
      </c>
      <c r="C13798" s="2" t="str">
        <f>"14321807"</f>
        <v>14321807</v>
      </c>
      <c r="D13798" s="2">
        <v>2.2749999999999999</v>
      </c>
      <c r="E13798" s="2">
        <v>36</v>
      </c>
      <c r="F13798" s="2" t="s">
        <v>6</v>
      </c>
    </row>
    <row r="13799" spans="1:6" ht="25.5">
      <c r="A13799" s="2">
        <v>13796</v>
      </c>
      <c r="B13799" s="2" t="s">
        <v>13874</v>
      </c>
      <c r="C13799" s="2" t="str">
        <f>"15222616"</f>
        <v>15222616</v>
      </c>
      <c r="D13799" s="2">
        <v>0.83799999999999997</v>
      </c>
      <c r="E13799" s="2">
        <v>28</v>
      </c>
      <c r="F13799" s="2" t="s">
        <v>12</v>
      </c>
    </row>
    <row r="13800" spans="1:6" ht="25.5">
      <c r="A13800" s="2">
        <v>13797</v>
      </c>
      <c r="B13800" s="2" t="s">
        <v>13875</v>
      </c>
      <c r="C13800" s="2" t="str">
        <f>"14321815"</f>
        <v>14321815</v>
      </c>
      <c r="D13800" s="2">
        <v>0.156</v>
      </c>
      <c r="E13800" s="2">
        <v>3</v>
      </c>
      <c r="F13800" s="2" t="s">
        <v>12</v>
      </c>
    </row>
    <row r="13801" spans="1:6" ht="25.5">
      <c r="A13801" s="2">
        <v>13798</v>
      </c>
      <c r="B13801" s="2" t="s">
        <v>13876</v>
      </c>
      <c r="C13801" s="2" t="str">
        <f>"14328232"</f>
        <v>14328232</v>
      </c>
      <c r="D13801" s="2">
        <v>1.44</v>
      </c>
      <c r="E13801" s="2">
        <v>32</v>
      </c>
      <c r="F13801" s="2" t="s">
        <v>6</v>
      </c>
    </row>
    <row r="13802" spans="1:6" ht="25.5">
      <c r="A13802" s="2">
        <v>13799</v>
      </c>
      <c r="B13802" s="2" t="s">
        <v>13877</v>
      </c>
      <c r="C13802" s="2" t="str">
        <f>"0945053X"</f>
        <v>0945053X</v>
      </c>
      <c r="D13802" s="2">
        <v>1.2709999999999999</v>
      </c>
      <c r="E13802" s="2">
        <v>81</v>
      </c>
      <c r="F13802" s="2" t="s">
        <v>75</v>
      </c>
    </row>
    <row r="13803" spans="1:6" ht="25.5">
      <c r="A13803" s="2">
        <v>13800</v>
      </c>
      <c r="B13803" s="2" t="s">
        <v>13878</v>
      </c>
      <c r="C13803" s="2" t="str">
        <f>"15780740"</f>
        <v>15780740</v>
      </c>
      <c r="D13803" s="2">
        <v>0.1</v>
      </c>
      <c r="E13803" s="2">
        <v>2</v>
      </c>
      <c r="F13803" s="2" t="s">
        <v>351</v>
      </c>
    </row>
    <row r="13804" spans="1:6" ht="25.5">
      <c r="A13804" s="2">
        <v>13801</v>
      </c>
      <c r="B13804" s="2" t="s">
        <v>13879</v>
      </c>
      <c r="C13804" s="2" t="str">
        <f>"03785122"</f>
        <v>03785122</v>
      </c>
      <c r="D13804" s="2">
        <v>0.82599999999999996</v>
      </c>
      <c r="E13804" s="2">
        <v>63</v>
      </c>
      <c r="F13804" s="2" t="s">
        <v>732</v>
      </c>
    </row>
    <row r="13805" spans="1:6" ht="25.5">
      <c r="A13805" s="2">
        <v>13802</v>
      </c>
      <c r="B13805" s="2" t="s">
        <v>13880</v>
      </c>
      <c r="C13805" s="2" t="str">
        <f>"02529416"</f>
        <v>02529416</v>
      </c>
      <c r="D13805" s="2">
        <v>0.152</v>
      </c>
      <c r="E13805" s="2">
        <v>3</v>
      </c>
      <c r="F13805" s="2" t="s">
        <v>488</v>
      </c>
    </row>
    <row r="13806" spans="1:6" ht="25.5">
      <c r="A13806" s="2">
        <v>13803</v>
      </c>
      <c r="B13806" s="2" t="s">
        <v>13881</v>
      </c>
      <c r="C13806" s="2" t="str">
        <f>"00256153"</f>
        <v>00256153</v>
      </c>
      <c r="D13806" s="2">
        <v>0.316</v>
      </c>
      <c r="E13806" s="2">
        <v>20</v>
      </c>
      <c r="F13806" s="2" t="s">
        <v>190</v>
      </c>
    </row>
    <row r="13807" spans="1:6" ht="25.5">
      <c r="A13807" s="2">
        <v>13804</v>
      </c>
      <c r="B13807" s="2" t="s">
        <v>13882</v>
      </c>
      <c r="C13807" s="2" t="str">
        <f>"07416245"</f>
        <v>07416245</v>
      </c>
      <c r="D13807" s="2">
        <v>0.10100000000000001</v>
      </c>
      <c r="E13807" s="2">
        <v>2</v>
      </c>
      <c r="F13807" s="2" t="s">
        <v>6</v>
      </c>
    </row>
    <row r="13808" spans="1:6" ht="25.5">
      <c r="A13808" s="2">
        <v>13805</v>
      </c>
      <c r="B13808" s="2" t="s">
        <v>13883</v>
      </c>
      <c r="C13808" s="2" t="str">
        <f>"19425546"</f>
        <v>19425546</v>
      </c>
      <c r="D13808" s="2">
        <v>1.4530000000000001</v>
      </c>
      <c r="E13808" s="2">
        <v>106</v>
      </c>
      <c r="F13808" s="2" t="s">
        <v>16</v>
      </c>
    </row>
    <row r="13809" spans="1:6" ht="25.5">
      <c r="A13809" s="2">
        <v>13806</v>
      </c>
      <c r="B13809" s="2" t="s">
        <v>13884</v>
      </c>
      <c r="C13809" s="2" t="str">
        <f>"10910220"</f>
        <v>10910220</v>
      </c>
      <c r="D13809" s="2">
        <v>0.10299999999999999</v>
      </c>
      <c r="E13809" s="2">
        <v>1</v>
      </c>
      <c r="F13809" s="2" t="s">
        <v>6</v>
      </c>
    </row>
    <row r="13810" spans="1:6" ht="25.5">
      <c r="A13810" s="2">
        <v>13807</v>
      </c>
      <c r="B13810" s="2" t="s">
        <v>13885</v>
      </c>
      <c r="C13810" s="2" t="str">
        <f>"21612129"</f>
        <v>21612129</v>
      </c>
      <c r="D13810" s="2">
        <v>2.1179999999999999</v>
      </c>
      <c r="E13810" s="2">
        <v>17</v>
      </c>
      <c r="F13810" s="2" t="s">
        <v>6</v>
      </c>
    </row>
    <row r="13811" spans="1:6" ht="25.5">
      <c r="A13811" s="2">
        <v>13808</v>
      </c>
      <c r="B13811" s="2" t="s">
        <v>13886</v>
      </c>
      <c r="C13811" s="2" t="str">
        <f>"15565300"</f>
        <v>15565300</v>
      </c>
      <c r="D13811" s="2">
        <v>0.40200000000000002</v>
      </c>
      <c r="E13811" s="2">
        <v>18</v>
      </c>
      <c r="F13811" s="2" t="s">
        <v>6</v>
      </c>
    </row>
    <row r="13812" spans="1:6" ht="25.5">
      <c r="A13812" s="2">
        <v>13809</v>
      </c>
      <c r="B13812" s="2" t="s">
        <v>13887</v>
      </c>
      <c r="C13812" s="2" t="str">
        <f>"1201026X"</f>
        <v>1201026X</v>
      </c>
      <c r="D13812" s="2">
        <v>0.10199999999999999</v>
      </c>
      <c r="E13812" s="2">
        <v>10</v>
      </c>
      <c r="F13812" s="2" t="s">
        <v>64</v>
      </c>
    </row>
    <row r="13813" spans="1:6" ht="25.5">
      <c r="A13813" s="2">
        <v>13810</v>
      </c>
      <c r="B13813" s="2" t="s">
        <v>13888</v>
      </c>
      <c r="C13813" s="2" t="str">
        <f>"00475394"</f>
        <v>00475394</v>
      </c>
      <c r="D13813" s="2">
        <v>0.13700000000000001</v>
      </c>
      <c r="E13813" s="2">
        <v>11</v>
      </c>
      <c r="F13813" s="2" t="s">
        <v>6</v>
      </c>
    </row>
    <row r="13814" spans="1:6">
      <c r="A13814" s="2">
        <v>13811</v>
      </c>
      <c r="B13814" s="2" t="s">
        <v>13889</v>
      </c>
      <c r="C13814" s="2" t="str">
        <f>"0"</f>
        <v>0</v>
      </c>
      <c r="D13814" s="2">
        <v>0</v>
      </c>
      <c r="E13814" s="2">
        <v>0</v>
      </c>
      <c r="F13814" s="2" t="s">
        <v>6</v>
      </c>
    </row>
    <row r="13815" spans="1:6" ht="25.5">
      <c r="A13815" s="2">
        <v>13812</v>
      </c>
      <c r="B13815" s="2" t="s">
        <v>13890</v>
      </c>
      <c r="C13815" s="2" t="str">
        <f>"15390683"</f>
        <v>15390683</v>
      </c>
      <c r="D13815" s="2">
        <v>0.307</v>
      </c>
      <c r="E13815" s="2">
        <v>25</v>
      </c>
      <c r="F13815" s="2" t="s">
        <v>6</v>
      </c>
    </row>
    <row r="13816" spans="1:6" ht="25.5">
      <c r="A13816" s="2">
        <v>13813</v>
      </c>
      <c r="B13816" s="2" t="s">
        <v>13891</v>
      </c>
      <c r="C13816" s="2" t="str">
        <f>"19473613"</f>
        <v>19473613</v>
      </c>
      <c r="D13816" s="2">
        <v>0.1</v>
      </c>
      <c r="E13816" s="2">
        <v>1</v>
      </c>
      <c r="F13816" s="2" t="s">
        <v>6</v>
      </c>
    </row>
    <row r="13817" spans="1:6" ht="25.5">
      <c r="A13817" s="2">
        <v>13814</v>
      </c>
      <c r="B13817" s="2" t="s">
        <v>13892</v>
      </c>
      <c r="C13817" s="2" t="str">
        <f>"0815953X"</f>
        <v>0815953X</v>
      </c>
      <c r="D13817" s="2">
        <v>0.104</v>
      </c>
      <c r="E13817" s="2">
        <v>3</v>
      </c>
      <c r="F13817" s="2" t="s">
        <v>127</v>
      </c>
    </row>
    <row r="13818" spans="1:6" ht="25.5">
      <c r="A13818" s="2">
        <v>13815</v>
      </c>
      <c r="B13818" s="2" t="s">
        <v>13893</v>
      </c>
      <c r="C13818" s="2" t="str">
        <f>"00202940"</f>
        <v>00202940</v>
      </c>
      <c r="D13818" s="2">
        <v>0.151</v>
      </c>
      <c r="E13818" s="2">
        <v>14</v>
      </c>
      <c r="F13818" s="2" t="s">
        <v>6</v>
      </c>
    </row>
    <row r="13819" spans="1:6" ht="25.5">
      <c r="A13819" s="2">
        <v>13816</v>
      </c>
      <c r="B13819" s="2" t="s">
        <v>13894</v>
      </c>
      <c r="C13819" s="2" t="str">
        <f>"07481756"</f>
        <v>07481756</v>
      </c>
      <c r="D13819" s="2">
        <v>0.27900000000000003</v>
      </c>
      <c r="E13819" s="2">
        <v>27</v>
      </c>
      <c r="F13819" s="2" t="s">
        <v>6</v>
      </c>
    </row>
    <row r="13820" spans="1:6" ht="25.5">
      <c r="A13820" s="2">
        <v>13817</v>
      </c>
      <c r="B13820" s="2" t="s">
        <v>13895</v>
      </c>
      <c r="C13820" s="2" t="str">
        <f>"15327841"</f>
        <v>15327841</v>
      </c>
      <c r="D13820" s="2">
        <v>0.36499999999999999</v>
      </c>
      <c r="E13820" s="2">
        <v>19</v>
      </c>
      <c r="F13820" s="2" t="s">
        <v>16</v>
      </c>
    </row>
    <row r="13821" spans="1:6" ht="25.5">
      <c r="A13821" s="2">
        <v>13818</v>
      </c>
      <c r="B13821" s="2" t="s">
        <v>13896</v>
      </c>
      <c r="C13821" s="2" t="str">
        <f>"02632241"</f>
        <v>02632241</v>
      </c>
      <c r="D13821" s="2">
        <v>0.56299999999999994</v>
      </c>
      <c r="E13821" s="2">
        <v>32</v>
      </c>
      <c r="F13821" s="2" t="s">
        <v>75</v>
      </c>
    </row>
    <row r="13822" spans="1:6" ht="25.5">
      <c r="A13822" s="2">
        <v>13819</v>
      </c>
      <c r="B13822" s="2" t="s">
        <v>13897</v>
      </c>
      <c r="C13822" s="2" t="str">
        <f>"09570233"</f>
        <v>09570233</v>
      </c>
      <c r="D13822" s="2">
        <v>0.68899999999999995</v>
      </c>
      <c r="E13822" s="2">
        <v>78</v>
      </c>
      <c r="F13822" s="2" t="s">
        <v>16</v>
      </c>
    </row>
    <row r="13823" spans="1:6" ht="25.5">
      <c r="A13823" s="2">
        <v>13820</v>
      </c>
      <c r="B13823" s="2" t="s">
        <v>13898</v>
      </c>
      <c r="C13823" s="2" t="str">
        <f>"13358871"</f>
        <v>13358871</v>
      </c>
      <c r="D13823" s="2">
        <v>0.3</v>
      </c>
      <c r="E13823" s="2">
        <v>6</v>
      </c>
      <c r="F13823" s="2" t="s">
        <v>241</v>
      </c>
    </row>
    <row r="13824" spans="1:6" ht="25.5">
      <c r="A13824" s="2">
        <v>13821</v>
      </c>
      <c r="B13824" s="2" t="s">
        <v>13899</v>
      </c>
      <c r="C13824" s="2" t="str">
        <f>"15738906"</f>
        <v>15738906</v>
      </c>
      <c r="D13824" s="2">
        <v>0.189</v>
      </c>
      <c r="E13824" s="2">
        <v>7</v>
      </c>
      <c r="F13824" s="2" t="s">
        <v>12</v>
      </c>
    </row>
    <row r="13825" spans="1:6" ht="25.5">
      <c r="A13825" s="2">
        <v>13822</v>
      </c>
      <c r="B13825" s="2" t="s">
        <v>13900</v>
      </c>
      <c r="C13825" s="2" t="str">
        <f>"13683047"</f>
        <v>13683047</v>
      </c>
      <c r="D13825" s="2">
        <v>0.254</v>
      </c>
      <c r="E13825" s="2">
        <v>11</v>
      </c>
      <c r="F13825" s="2" t="s">
        <v>16</v>
      </c>
    </row>
    <row r="13826" spans="1:6" ht="25.5">
      <c r="A13826" s="2">
        <v>13823</v>
      </c>
      <c r="B13826" s="2" t="s">
        <v>13901</v>
      </c>
      <c r="C13826" s="2" t="str">
        <f>"03091740"</f>
        <v>03091740</v>
      </c>
      <c r="D13826" s="2">
        <v>1.4179999999999999</v>
      </c>
      <c r="E13826" s="2">
        <v>82</v>
      </c>
      <c r="F13826" s="2" t="s">
        <v>75</v>
      </c>
    </row>
    <row r="13827" spans="1:6" ht="25.5">
      <c r="A13827" s="2">
        <v>13824</v>
      </c>
      <c r="B13827" s="2" t="s">
        <v>13902</v>
      </c>
      <c r="C13827" s="2" t="str">
        <f>"17652960"</f>
        <v>17652960</v>
      </c>
      <c r="D13827" s="2">
        <v>0.14299999999999999</v>
      </c>
      <c r="E13827" s="2">
        <v>12</v>
      </c>
      <c r="F13827" s="2" t="s">
        <v>66</v>
      </c>
    </row>
    <row r="13828" spans="1:6" ht="25.5">
      <c r="A13828" s="2">
        <v>13825</v>
      </c>
      <c r="B13828" s="2" t="s">
        <v>13903</v>
      </c>
      <c r="C13828" s="2" t="str">
        <f>"15729648"</f>
        <v>15729648</v>
      </c>
      <c r="D13828" s="2">
        <v>0.79100000000000004</v>
      </c>
      <c r="E13828" s="2">
        <v>23</v>
      </c>
      <c r="F13828" s="2" t="s">
        <v>75</v>
      </c>
    </row>
    <row r="13829" spans="1:6" ht="25.5">
      <c r="A13829" s="2">
        <v>13826</v>
      </c>
      <c r="B13829" s="2" t="s">
        <v>13904</v>
      </c>
      <c r="C13829" s="2" t="str">
        <f>"10961216"</f>
        <v>10961216</v>
      </c>
      <c r="D13829" s="2">
        <v>1.5289999999999999</v>
      </c>
      <c r="E13829" s="2">
        <v>68</v>
      </c>
      <c r="F13829" s="2" t="s">
        <v>6</v>
      </c>
    </row>
    <row r="13830" spans="1:6" ht="25.5">
      <c r="A13830" s="2">
        <v>13827</v>
      </c>
      <c r="B13830" s="2" t="s">
        <v>13905</v>
      </c>
      <c r="C13830" s="2" t="str">
        <f>"14281511"</f>
        <v>14281511</v>
      </c>
      <c r="D13830" s="2">
        <v>0.10100000000000001</v>
      </c>
      <c r="E13830" s="2">
        <v>5</v>
      </c>
      <c r="F13830" s="2" t="s">
        <v>169</v>
      </c>
    </row>
    <row r="13831" spans="1:6" ht="25.5">
      <c r="A13831" s="2">
        <v>13828</v>
      </c>
      <c r="B13831" s="2" t="s">
        <v>13906</v>
      </c>
      <c r="C13831" s="2" t="str">
        <f>"15397742"</f>
        <v>15397742</v>
      </c>
      <c r="D13831" s="2">
        <v>0.41199999999999998</v>
      </c>
      <c r="E13831" s="2">
        <v>19</v>
      </c>
      <c r="F13831" s="2" t="s">
        <v>16</v>
      </c>
    </row>
    <row r="13832" spans="1:6" ht="25.5">
      <c r="A13832" s="2">
        <v>13829</v>
      </c>
      <c r="B13832" s="2" t="s">
        <v>13907</v>
      </c>
      <c r="C13832" s="2" t="str">
        <f>"15376532"</f>
        <v>15376532</v>
      </c>
      <c r="D13832" s="2">
        <v>0.58299999999999996</v>
      </c>
      <c r="E13832" s="2">
        <v>24</v>
      </c>
      <c r="F13832" s="2" t="s">
        <v>16</v>
      </c>
    </row>
    <row r="13833" spans="1:6" ht="25.5">
      <c r="A13833" s="2">
        <v>13830</v>
      </c>
      <c r="B13833" s="2" t="s">
        <v>13908</v>
      </c>
      <c r="C13833" s="2" t="str">
        <f>"15738922"</f>
        <v>15738922</v>
      </c>
      <c r="D13833" s="2">
        <v>0.3</v>
      </c>
      <c r="E13833" s="2">
        <v>13</v>
      </c>
      <c r="F13833" s="2" t="s">
        <v>6</v>
      </c>
    </row>
    <row r="13834" spans="1:6" ht="25.5">
      <c r="A13834" s="2">
        <v>13831</v>
      </c>
      <c r="B13834" s="2" t="s">
        <v>13909</v>
      </c>
      <c r="C13834" s="2" t="str">
        <f>"01676636"</f>
        <v>01676636</v>
      </c>
      <c r="D13834" s="2">
        <v>1.224</v>
      </c>
      <c r="E13834" s="2">
        <v>58</v>
      </c>
      <c r="F13834" s="2" t="s">
        <v>75</v>
      </c>
    </row>
    <row r="13835" spans="1:6" ht="25.5">
      <c r="A13835" s="2">
        <v>13832</v>
      </c>
      <c r="B13835" s="2" t="s">
        <v>13910</v>
      </c>
      <c r="C13835" s="2" t="str">
        <f>"00256544"</f>
        <v>00256544</v>
      </c>
      <c r="D13835" s="2">
        <v>0.151</v>
      </c>
      <c r="E13835" s="2">
        <v>4</v>
      </c>
      <c r="F13835" s="2" t="s">
        <v>6</v>
      </c>
    </row>
    <row r="13836" spans="1:6" ht="25.5">
      <c r="A13836" s="2">
        <v>13833</v>
      </c>
      <c r="B13836" s="2" t="s">
        <v>13911</v>
      </c>
      <c r="C13836" s="2" t="str">
        <f>"13852000"</f>
        <v>13852000</v>
      </c>
      <c r="D13836" s="2">
        <v>0.46600000000000003</v>
      </c>
      <c r="E13836" s="2">
        <v>26</v>
      </c>
      <c r="F13836" s="2" t="s">
        <v>75</v>
      </c>
    </row>
    <row r="13837" spans="1:6" ht="25.5">
      <c r="A13837" s="2">
        <v>13834</v>
      </c>
      <c r="B13837" s="2" t="s">
        <v>13912</v>
      </c>
      <c r="C13837" s="2" t="str">
        <f>"00936413"</f>
        <v>00936413</v>
      </c>
      <c r="D13837" s="2">
        <v>0.68799999999999994</v>
      </c>
      <c r="E13837" s="2">
        <v>33</v>
      </c>
      <c r="F13837" s="2" t="s">
        <v>16</v>
      </c>
    </row>
    <row r="13838" spans="1:6" ht="25.5">
      <c r="A13838" s="2">
        <v>13835</v>
      </c>
      <c r="B13838" s="2" t="s">
        <v>13913</v>
      </c>
      <c r="C13838" s="2" t="str">
        <f>"13921207"</f>
        <v>13921207</v>
      </c>
      <c r="D13838" s="2">
        <v>0.32300000000000001</v>
      </c>
      <c r="E13838" s="2">
        <v>10</v>
      </c>
      <c r="F13838" s="2" t="s">
        <v>426</v>
      </c>
    </row>
    <row r="13839" spans="1:6" ht="25.5">
      <c r="A13839" s="2">
        <v>13836</v>
      </c>
      <c r="B13839" s="2" t="s">
        <v>13914</v>
      </c>
      <c r="C13839" s="2" t="str">
        <f>"0094114X"</f>
        <v>0094114X</v>
      </c>
      <c r="D13839" s="2">
        <v>1.129</v>
      </c>
      <c r="E13839" s="2">
        <v>53</v>
      </c>
      <c r="F13839" s="2" t="s">
        <v>16</v>
      </c>
    </row>
    <row r="13840" spans="1:6" ht="25.5">
      <c r="A13840" s="2">
        <v>13837</v>
      </c>
      <c r="B13840" s="2" t="s">
        <v>13915</v>
      </c>
      <c r="C13840" s="2" t="str">
        <f>"00476374"</f>
        <v>00476374</v>
      </c>
      <c r="D13840" s="2">
        <v>1.31</v>
      </c>
      <c r="E13840" s="2">
        <v>74</v>
      </c>
      <c r="F13840" s="2" t="s">
        <v>732</v>
      </c>
    </row>
    <row r="13841" spans="1:6" ht="25.5">
      <c r="A13841" s="2">
        <v>13838</v>
      </c>
      <c r="B13841" s="2" t="s">
        <v>13916</v>
      </c>
      <c r="C13841" s="2" t="str">
        <f>"09254773"</f>
        <v>09254773</v>
      </c>
      <c r="D13841" s="2">
        <v>1.603</v>
      </c>
      <c r="E13841" s="2">
        <v>108</v>
      </c>
      <c r="F13841" s="2" t="s">
        <v>732</v>
      </c>
    </row>
    <row r="13842" spans="1:6" ht="25.5">
      <c r="A13842" s="2">
        <v>13839</v>
      </c>
      <c r="B13842" s="2" t="s">
        <v>13917</v>
      </c>
      <c r="C13842" s="2" t="str">
        <f>"09574158"</f>
        <v>09574158</v>
      </c>
      <c r="D13842" s="2">
        <v>0.91800000000000004</v>
      </c>
      <c r="E13842" s="2">
        <v>45</v>
      </c>
      <c r="F13842" s="2" t="s">
        <v>16</v>
      </c>
    </row>
    <row r="13843" spans="1:6" ht="25.5">
      <c r="A13843" s="2">
        <v>13840</v>
      </c>
      <c r="B13843" s="2" t="s">
        <v>13918</v>
      </c>
      <c r="C13843" s="2" t="str">
        <f>"11216921"</f>
        <v>11216921</v>
      </c>
      <c r="D13843" s="2">
        <v>0.11</v>
      </c>
      <c r="E13843" s="2">
        <v>2</v>
      </c>
      <c r="F13843" s="2" t="s">
        <v>190</v>
      </c>
    </row>
    <row r="13844" spans="1:6" ht="25.5">
      <c r="A13844" s="2">
        <v>13841</v>
      </c>
      <c r="B13844" s="2" t="s">
        <v>13919</v>
      </c>
      <c r="C13844" s="2" t="str">
        <f>"03466787"</f>
        <v>03466787</v>
      </c>
      <c r="D13844" s="2">
        <v>0.10100000000000001</v>
      </c>
      <c r="E13844" s="2">
        <v>1</v>
      </c>
      <c r="F13844" s="2" t="s">
        <v>151</v>
      </c>
    </row>
    <row r="13845" spans="1:6" ht="25.5">
      <c r="A13845" s="2">
        <v>13842</v>
      </c>
      <c r="B13845" s="2" t="s">
        <v>13920</v>
      </c>
      <c r="C13845" s="2" t="str">
        <f>"19572557"</f>
        <v>19572557</v>
      </c>
      <c r="D13845" s="2">
        <v>0.112</v>
      </c>
      <c r="E13845" s="2">
        <v>5</v>
      </c>
      <c r="F13845" s="2" t="s">
        <v>66</v>
      </c>
    </row>
    <row r="13846" spans="1:6" ht="25.5">
      <c r="A13846" s="2">
        <v>13843</v>
      </c>
      <c r="B13846" s="2" t="s">
        <v>13921</v>
      </c>
      <c r="C13846" s="2" t="str">
        <f>"17694493"</f>
        <v>17694493</v>
      </c>
      <c r="D13846" s="2">
        <v>0.111</v>
      </c>
      <c r="E13846" s="2">
        <v>2</v>
      </c>
      <c r="F13846" s="2" t="s">
        <v>66</v>
      </c>
    </row>
    <row r="13847" spans="1:6" ht="25.5">
      <c r="A13847" s="2">
        <v>13844</v>
      </c>
      <c r="B13847" s="2" t="s">
        <v>13922</v>
      </c>
      <c r="C13847" s="2" t="str">
        <f>"07592280"</f>
        <v>07592280</v>
      </c>
      <c r="D13847" s="2">
        <v>0.1</v>
      </c>
      <c r="E13847" s="2">
        <v>3</v>
      </c>
      <c r="F13847" s="2" t="s">
        <v>66</v>
      </c>
    </row>
    <row r="13848" spans="1:6" ht="25.5">
      <c r="A13848" s="2">
        <v>13845</v>
      </c>
      <c r="B13848" s="2" t="s">
        <v>13923</v>
      </c>
      <c r="C13848" s="2" t="str">
        <f>"12467391"</f>
        <v>12467391</v>
      </c>
      <c r="D13848" s="2">
        <v>0.11600000000000001</v>
      </c>
      <c r="E13848" s="2">
        <v>5</v>
      </c>
      <c r="F13848" s="2" t="s">
        <v>66</v>
      </c>
    </row>
    <row r="13849" spans="1:6" ht="25.5">
      <c r="A13849" s="2">
        <v>13846</v>
      </c>
      <c r="B13849" s="2" t="s">
        <v>13924</v>
      </c>
      <c r="C13849" s="2" t="str">
        <f>"18757170"</f>
        <v>18757170</v>
      </c>
      <c r="D13849" s="2">
        <v>0.109</v>
      </c>
      <c r="E13849" s="2">
        <v>2</v>
      </c>
      <c r="F13849" s="2" t="s">
        <v>66</v>
      </c>
    </row>
    <row r="13850" spans="1:6" ht="25.5">
      <c r="A13850" s="2">
        <v>13847</v>
      </c>
      <c r="B13850" s="2" t="s">
        <v>13925</v>
      </c>
      <c r="C13850" s="2" t="str">
        <f>"0399077X"</f>
        <v>0399077X</v>
      </c>
      <c r="D13850" s="2">
        <v>0.30499999999999999</v>
      </c>
      <c r="E13850" s="2">
        <v>19</v>
      </c>
      <c r="F13850" s="2" t="s">
        <v>66</v>
      </c>
    </row>
    <row r="13851" spans="1:6" ht="25.5">
      <c r="A13851" s="2">
        <v>13848</v>
      </c>
      <c r="B13851" s="2" t="s">
        <v>13926</v>
      </c>
      <c r="C13851" s="2" t="str">
        <f>"09281258"</f>
        <v>09281258</v>
      </c>
      <c r="D13851" s="2">
        <v>0.128</v>
      </c>
      <c r="E13851" s="2">
        <v>6</v>
      </c>
      <c r="F13851" s="2" t="s">
        <v>66</v>
      </c>
    </row>
    <row r="13852" spans="1:6" ht="25.5">
      <c r="A13852" s="2">
        <v>13849</v>
      </c>
      <c r="B13852" s="2" t="s">
        <v>13927</v>
      </c>
      <c r="C13852" s="2" t="str">
        <f>"16366522"</f>
        <v>16366522</v>
      </c>
      <c r="D13852" s="2">
        <v>0.19900000000000001</v>
      </c>
      <c r="E13852" s="2">
        <v>6</v>
      </c>
      <c r="F13852" s="2" t="s">
        <v>66</v>
      </c>
    </row>
    <row r="13853" spans="1:6" ht="25.5">
      <c r="A13853" s="2">
        <v>13850</v>
      </c>
      <c r="B13853" s="2" t="s">
        <v>13928</v>
      </c>
      <c r="C13853" s="2" t="str">
        <f>"07670974"</f>
        <v>07670974</v>
      </c>
      <c r="D13853" s="2">
        <v>0.18</v>
      </c>
      <c r="E13853" s="2">
        <v>17</v>
      </c>
      <c r="F13853" s="2" t="s">
        <v>66</v>
      </c>
    </row>
    <row r="13854" spans="1:6" ht="25.5">
      <c r="A13854" s="2">
        <v>13851</v>
      </c>
      <c r="B13854" s="2" t="s">
        <v>13929</v>
      </c>
      <c r="C13854" s="2" t="str">
        <f>"12646520"</f>
        <v>12646520</v>
      </c>
      <c r="D13854" s="2">
        <v>0.121</v>
      </c>
      <c r="E13854" s="2">
        <v>7</v>
      </c>
      <c r="F13854" s="2" t="s">
        <v>66</v>
      </c>
    </row>
    <row r="13855" spans="1:6" ht="25.5">
      <c r="A13855" s="2">
        <v>13852</v>
      </c>
      <c r="B13855" s="2" t="s">
        <v>13930</v>
      </c>
      <c r="C13855" s="2" t="str">
        <f>"1774640X"</f>
        <v>1774640X</v>
      </c>
      <c r="D13855" s="2">
        <v>0.10199999999999999</v>
      </c>
      <c r="E13855" s="2">
        <v>2</v>
      </c>
      <c r="F13855" s="2" t="s">
        <v>66</v>
      </c>
    </row>
    <row r="13856" spans="1:6" ht="25.5">
      <c r="A13856" s="2">
        <v>13853</v>
      </c>
      <c r="B13856" s="2" t="s">
        <v>13931</v>
      </c>
      <c r="C13856" s="2" t="str">
        <f>"12865494"</f>
        <v>12865494</v>
      </c>
      <c r="D13856" s="2">
        <v>0.124</v>
      </c>
      <c r="E13856" s="2">
        <v>6</v>
      </c>
      <c r="F13856" s="2" t="s">
        <v>66</v>
      </c>
    </row>
    <row r="13857" spans="1:6" ht="25.5">
      <c r="A13857" s="2">
        <v>13854</v>
      </c>
      <c r="B13857" s="2" t="s">
        <v>13932</v>
      </c>
      <c r="C13857" s="2" t="str">
        <f>"0025682X"</f>
        <v>0025682X</v>
      </c>
      <c r="D13857" s="2">
        <v>0.13400000000000001</v>
      </c>
      <c r="E13857" s="2">
        <v>22</v>
      </c>
      <c r="F13857" s="2" t="s">
        <v>161</v>
      </c>
    </row>
    <row r="13858" spans="1:6" ht="25.5">
      <c r="A13858" s="2">
        <v>13855</v>
      </c>
      <c r="B13858" s="2" t="s">
        <v>13933</v>
      </c>
      <c r="C13858" s="2" t="str">
        <f>"19672845"</f>
        <v>19672845</v>
      </c>
      <c r="D13858" s="2">
        <v>0.1</v>
      </c>
      <c r="E13858" s="2">
        <v>1</v>
      </c>
      <c r="F13858" s="2" t="s">
        <v>66</v>
      </c>
    </row>
    <row r="13859" spans="1:6" ht="25.5">
      <c r="A13859" s="2">
        <v>13856</v>
      </c>
      <c r="B13859" s="2" t="s">
        <v>13934</v>
      </c>
      <c r="C13859" s="2" t="str">
        <f>"01634437"</f>
        <v>01634437</v>
      </c>
      <c r="D13859" s="2">
        <v>1.1499999999999999</v>
      </c>
      <c r="E13859" s="2">
        <v>29</v>
      </c>
      <c r="F13859" s="2" t="s">
        <v>16</v>
      </c>
    </row>
    <row r="13860" spans="1:6" ht="25.5">
      <c r="A13860" s="2">
        <v>13857</v>
      </c>
      <c r="B13860" s="2" t="s">
        <v>13935</v>
      </c>
      <c r="C13860" s="2" t="str">
        <f>"13688804"</f>
        <v>13688804</v>
      </c>
      <c r="D13860" s="2">
        <v>0.14199999999999999</v>
      </c>
      <c r="E13860" s="2">
        <v>2</v>
      </c>
      <c r="F13860" s="2" t="s">
        <v>16</v>
      </c>
    </row>
    <row r="13861" spans="1:6" ht="25.5">
      <c r="A13861" s="2">
        <v>13858</v>
      </c>
      <c r="B13861" s="2" t="s">
        <v>13936</v>
      </c>
      <c r="C13861" s="2" t="str">
        <f>"1329878X"</f>
        <v>1329878X</v>
      </c>
      <c r="D13861" s="2">
        <v>0.25700000000000001</v>
      </c>
      <c r="E13861" s="2">
        <v>5</v>
      </c>
      <c r="F13861" s="2" t="s">
        <v>127</v>
      </c>
    </row>
    <row r="13862" spans="1:6" ht="25.5">
      <c r="A13862" s="2">
        <v>13859</v>
      </c>
      <c r="B13862" s="2" t="s">
        <v>13937</v>
      </c>
      <c r="C13862" s="2" t="str">
        <f>"1532785X"</f>
        <v>1532785X</v>
      </c>
      <c r="D13862" s="2">
        <v>1.2410000000000001</v>
      </c>
      <c r="E13862" s="2">
        <v>30</v>
      </c>
      <c r="F13862" s="2" t="s">
        <v>16</v>
      </c>
    </row>
    <row r="13863" spans="1:6" ht="25.5">
      <c r="A13863" s="2">
        <v>13860</v>
      </c>
      <c r="B13863" s="2" t="s">
        <v>13938</v>
      </c>
      <c r="C13863" s="2" t="str">
        <f>"14661861"</f>
        <v>14661861</v>
      </c>
      <c r="D13863" s="2">
        <v>0.92</v>
      </c>
      <c r="E13863" s="2">
        <v>38</v>
      </c>
      <c r="F13863" s="2" t="s">
        <v>6</v>
      </c>
    </row>
    <row r="13864" spans="1:6" ht="25.5">
      <c r="A13864" s="2">
        <v>13861</v>
      </c>
      <c r="B13864" s="2" t="s">
        <v>13939</v>
      </c>
      <c r="C13864" s="2" t="str">
        <f>"17506360"</f>
        <v>17506360</v>
      </c>
      <c r="D13864" s="2">
        <v>0.27</v>
      </c>
      <c r="E13864" s="2">
        <v>4</v>
      </c>
      <c r="F13864" s="2" t="s">
        <v>16</v>
      </c>
    </row>
    <row r="13865" spans="1:6" ht="25.5">
      <c r="A13865" s="2">
        <v>13862</v>
      </c>
      <c r="B13865" s="2" t="s">
        <v>13940</v>
      </c>
      <c r="C13865" s="2" t="str">
        <f>"03510093"</f>
        <v>03510093</v>
      </c>
      <c r="D13865" s="2">
        <v>0.10199999999999999</v>
      </c>
      <c r="E13865" s="2">
        <v>3</v>
      </c>
      <c r="F13865" s="2" t="s">
        <v>149</v>
      </c>
    </row>
    <row r="13866" spans="1:6" ht="25.5">
      <c r="A13866" s="2">
        <v>13863</v>
      </c>
      <c r="B13866" s="2" t="s">
        <v>13941</v>
      </c>
      <c r="C13866" s="2" t="str">
        <f>"19336586"</f>
        <v>19336586</v>
      </c>
      <c r="D13866" s="2">
        <v>0.157</v>
      </c>
      <c r="E13866" s="2">
        <v>5</v>
      </c>
      <c r="F13866" s="2" t="s">
        <v>6</v>
      </c>
    </row>
    <row r="13867" spans="1:6" ht="25.5">
      <c r="A13867" s="2">
        <v>13864</v>
      </c>
      <c r="B13867" s="2" t="s">
        <v>13942</v>
      </c>
      <c r="C13867" s="2" t="str">
        <f>"01400118"</f>
        <v>01400118</v>
      </c>
      <c r="D13867" s="2">
        <v>0.66400000000000003</v>
      </c>
      <c r="E13867" s="2">
        <v>56</v>
      </c>
      <c r="F13867" s="2" t="s">
        <v>12</v>
      </c>
    </row>
    <row r="13868" spans="1:6" ht="25.5">
      <c r="A13868" s="2">
        <v>13865</v>
      </c>
      <c r="B13868" s="2" t="s">
        <v>13943</v>
      </c>
      <c r="C13868" s="2" t="str">
        <f>"13652915"</f>
        <v>13652915</v>
      </c>
      <c r="D13868" s="2">
        <v>0.83499999999999996</v>
      </c>
      <c r="E13868" s="2">
        <v>51</v>
      </c>
      <c r="F13868" s="2" t="s">
        <v>16</v>
      </c>
    </row>
    <row r="13869" spans="1:6" ht="25.5">
      <c r="A13869" s="2">
        <v>13866</v>
      </c>
      <c r="B13869" s="2" t="s">
        <v>13944</v>
      </c>
      <c r="C13869" s="2" t="str">
        <f>"01459740"</f>
        <v>01459740</v>
      </c>
      <c r="D13869" s="2">
        <v>0.60599999999999998</v>
      </c>
      <c r="E13869" s="2">
        <v>18</v>
      </c>
      <c r="F13869" s="2" t="s">
        <v>16</v>
      </c>
    </row>
    <row r="13870" spans="1:6" ht="25.5">
      <c r="A13870" s="2">
        <v>13867</v>
      </c>
      <c r="B13870" s="2" t="s">
        <v>13945</v>
      </c>
      <c r="C13870" s="2" t="str">
        <f>"15481387"</f>
        <v>15481387</v>
      </c>
      <c r="D13870" s="2">
        <v>0.98799999999999999</v>
      </c>
      <c r="E13870" s="2">
        <v>29</v>
      </c>
      <c r="F13870" s="2" t="s">
        <v>6</v>
      </c>
    </row>
    <row r="13871" spans="1:6" ht="25.5">
      <c r="A13871" s="2">
        <v>13868</v>
      </c>
      <c r="B13871" s="2" t="s">
        <v>13946</v>
      </c>
      <c r="C13871" s="2" t="str">
        <f>"15371948"</f>
        <v>15371948</v>
      </c>
      <c r="D13871" s="2">
        <v>2.0329999999999999</v>
      </c>
      <c r="E13871" s="2">
        <v>118</v>
      </c>
      <c r="F13871" s="2" t="s">
        <v>6</v>
      </c>
    </row>
    <row r="13872" spans="1:6" ht="25.5">
      <c r="A13872" s="2">
        <v>13869</v>
      </c>
      <c r="B13872" s="2" t="s">
        <v>13947</v>
      </c>
      <c r="C13872" s="2" t="str">
        <f>"10775587"</f>
        <v>10775587</v>
      </c>
      <c r="D13872" s="2">
        <v>1.514</v>
      </c>
      <c r="E13872" s="2">
        <v>48</v>
      </c>
      <c r="F13872" s="2" t="s">
        <v>6</v>
      </c>
    </row>
    <row r="13873" spans="1:6" ht="25.5">
      <c r="A13873" s="2">
        <v>13870</v>
      </c>
      <c r="B13873" s="2" t="s">
        <v>13948</v>
      </c>
      <c r="C13873" s="2" t="str">
        <f>"20779135"</f>
        <v>20779135</v>
      </c>
      <c r="D13873" s="2">
        <v>0.1</v>
      </c>
      <c r="E13873" s="2">
        <v>1</v>
      </c>
      <c r="F13873" s="2" t="s">
        <v>43</v>
      </c>
    </row>
    <row r="13874" spans="1:6" ht="25.5">
      <c r="A13874" s="2">
        <v>13871</v>
      </c>
      <c r="B13874" s="2" t="s">
        <v>13949</v>
      </c>
      <c r="C13874" s="2" t="str">
        <f>"00257125"</f>
        <v>00257125</v>
      </c>
      <c r="D13874" s="2">
        <v>0.85399999999999998</v>
      </c>
      <c r="E13874" s="2">
        <v>54</v>
      </c>
      <c r="F13874" s="2" t="s">
        <v>16</v>
      </c>
    </row>
    <row r="13875" spans="1:6" ht="25.5">
      <c r="A13875" s="2">
        <v>13872</v>
      </c>
      <c r="B13875" s="2" t="s">
        <v>13950</v>
      </c>
      <c r="C13875" s="2" t="str">
        <f>"1552681X"</f>
        <v>1552681X</v>
      </c>
      <c r="D13875" s="2">
        <v>1.52</v>
      </c>
      <c r="E13875" s="2">
        <v>63</v>
      </c>
      <c r="F13875" s="2" t="s">
        <v>6</v>
      </c>
    </row>
    <row r="13876" spans="1:6" ht="25.5">
      <c r="A13876" s="2">
        <v>13873</v>
      </c>
      <c r="B13876" s="2" t="s">
        <v>13951</v>
      </c>
      <c r="C13876" s="2" t="str">
        <f>"11791470"</f>
        <v>11791470</v>
      </c>
      <c r="D13876" s="2">
        <v>0.14499999999999999</v>
      </c>
      <c r="E13876" s="2">
        <v>3</v>
      </c>
      <c r="F13876" s="2" t="s">
        <v>503</v>
      </c>
    </row>
    <row r="13877" spans="1:6" ht="25.5">
      <c r="A13877" s="2">
        <v>13874</v>
      </c>
      <c r="B13877" s="2" t="s">
        <v>13952</v>
      </c>
      <c r="C13877" s="2" t="str">
        <f>"09583947"</f>
        <v>09583947</v>
      </c>
      <c r="D13877" s="2">
        <v>0.499</v>
      </c>
      <c r="E13877" s="2">
        <v>25</v>
      </c>
      <c r="F13877" s="2" t="s">
        <v>6</v>
      </c>
    </row>
    <row r="13878" spans="1:6" ht="25.5">
      <c r="A13878" s="2">
        <v>13875</v>
      </c>
      <c r="B13878" s="2" t="s">
        <v>13953</v>
      </c>
      <c r="C13878" s="2" t="str">
        <f>"00257206"</f>
        <v>00257206</v>
      </c>
      <c r="D13878" s="2">
        <v>0.105</v>
      </c>
      <c r="E13878" s="2">
        <v>6</v>
      </c>
      <c r="F13878" s="2" t="s">
        <v>6</v>
      </c>
    </row>
    <row r="13879" spans="1:6" ht="25.5">
      <c r="A13879" s="2">
        <v>13876</v>
      </c>
      <c r="B13879" s="2" t="s">
        <v>13954</v>
      </c>
      <c r="C13879" s="2" t="str">
        <f>"13652923"</f>
        <v>13652923</v>
      </c>
      <c r="D13879" s="2">
        <v>2.0129999999999999</v>
      </c>
      <c r="E13879" s="2">
        <v>71</v>
      </c>
      <c r="F13879" s="2" t="s">
        <v>16</v>
      </c>
    </row>
    <row r="13880" spans="1:6" ht="25.5">
      <c r="A13880" s="2">
        <v>13877</v>
      </c>
      <c r="B13880" s="2" t="s">
        <v>13955</v>
      </c>
      <c r="C13880" s="2" t="str">
        <f>"10872981"</f>
        <v>10872981</v>
      </c>
      <c r="D13880" s="2">
        <v>0.88800000000000001</v>
      </c>
      <c r="E13880" s="2">
        <v>8</v>
      </c>
      <c r="F13880" s="2" t="s">
        <v>6</v>
      </c>
    </row>
    <row r="13881" spans="1:6" ht="25.5">
      <c r="A13881" s="2">
        <v>13878</v>
      </c>
      <c r="B13881" s="2" t="s">
        <v>13956</v>
      </c>
      <c r="C13881" s="2" t="str">
        <f>"13504533"</f>
        <v>13504533</v>
      </c>
      <c r="D13881" s="2">
        <v>0.72199999999999998</v>
      </c>
      <c r="E13881" s="2">
        <v>57</v>
      </c>
      <c r="F13881" s="2" t="s">
        <v>75</v>
      </c>
    </row>
    <row r="13882" spans="1:6" ht="25.5">
      <c r="A13882" s="2">
        <v>13879</v>
      </c>
      <c r="B13882" s="2" t="s">
        <v>13957</v>
      </c>
      <c r="C13882" s="2" t="str">
        <f>"1029385X"</f>
        <v>1029385X</v>
      </c>
      <c r="D13882" s="2">
        <v>0.1</v>
      </c>
      <c r="E13882" s="2">
        <v>2</v>
      </c>
      <c r="F13882" s="2" t="s">
        <v>43</v>
      </c>
    </row>
    <row r="13883" spans="1:6" ht="25.5">
      <c r="A13883" s="2">
        <v>13880</v>
      </c>
      <c r="B13883" s="2" t="s">
        <v>13958</v>
      </c>
      <c r="C13883" s="2" t="str">
        <f>"00257273"</f>
        <v>00257273</v>
      </c>
      <c r="D13883" s="2">
        <v>0.27300000000000002</v>
      </c>
      <c r="E13883" s="2">
        <v>13</v>
      </c>
      <c r="F13883" s="2" t="s">
        <v>16</v>
      </c>
    </row>
    <row r="13884" spans="1:6" ht="25.5">
      <c r="A13884" s="2">
        <v>13881</v>
      </c>
      <c r="B13884" s="2" t="s">
        <v>13959</v>
      </c>
      <c r="C13884" s="2" t="str">
        <f>"09505571"</f>
        <v>09505571</v>
      </c>
      <c r="D13884" s="2">
        <v>0.13500000000000001</v>
      </c>
      <c r="E13884" s="2">
        <v>3</v>
      </c>
      <c r="F13884" s="2" t="s">
        <v>16</v>
      </c>
    </row>
    <row r="13885" spans="1:6" ht="25.5">
      <c r="A13885" s="2">
        <v>13882</v>
      </c>
      <c r="B13885" s="2" t="s">
        <v>13960</v>
      </c>
      <c r="C13885" s="2" t="str">
        <f>"14734265"</f>
        <v>14734265</v>
      </c>
      <c r="D13885" s="2">
        <v>0.42199999999999999</v>
      </c>
      <c r="E13885" s="2">
        <v>14</v>
      </c>
      <c r="F13885" s="2" t="s">
        <v>16</v>
      </c>
    </row>
    <row r="13886" spans="1:6" ht="25.5">
      <c r="A13886" s="2">
        <v>13883</v>
      </c>
      <c r="B13886" s="2" t="s">
        <v>13961</v>
      </c>
      <c r="C13886" s="2" t="str">
        <f>"03069877"</f>
        <v>03069877</v>
      </c>
      <c r="D13886" s="2">
        <v>0.36199999999999999</v>
      </c>
      <c r="E13886" s="2">
        <v>49</v>
      </c>
      <c r="F13886" s="2" t="s">
        <v>6</v>
      </c>
    </row>
    <row r="13887" spans="1:6" ht="25.5">
      <c r="A13887" s="2">
        <v>13884</v>
      </c>
      <c r="B13887" s="2" t="s">
        <v>13962</v>
      </c>
      <c r="C13887" s="2" t="str">
        <f>"13618415"</f>
        <v>13618415</v>
      </c>
      <c r="D13887" s="2">
        <v>1.651</v>
      </c>
      <c r="E13887" s="2">
        <v>69</v>
      </c>
      <c r="F13887" s="2" t="s">
        <v>75</v>
      </c>
    </row>
    <row r="13888" spans="1:6" ht="25.5">
      <c r="A13888" s="2">
        <v>13885</v>
      </c>
      <c r="B13888" s="2" t="s">
        <v>13963</v>
      </c>
      <c r="C13888" s="2" t="str">
        <f>"03771237"</f>
        <v>03771237</v>
      </c>
      <c r="D13888" s="2">
        <v>0.13500000000000001</v>
      </c>
      <c r="E13888" s="2">
        <v>8</v>
      </c>
      <c r="F13888" s="2" t="s">
        <v>488</v>
      </c>
    </row>
    <row r="13889" spans="1:6" ht="25.5">
      <c r="A13889" s="2">
        <v>13886</v>
      </c>
      <c r="B13889" s="2" t="s">
        <v>13964</v>
      </c>
      <c r="C13889" s="2" t="str">
        <f>"13265377"</f>
        <v>13265377</v>
      </c>
      <c r="D13889" s="2">
        <v>0.76200000000000001</v>
      </c>
      <c r="E13889" s="2">
        <v>84</v>
      </c>
      <c r="F13889" s="2" t="s">
        <v>127</v>
      </c>
    </row>
    <row r="13890" spans="1:6" ht="25.5">
      <c r="A13890" s="2">
        <v>13887</v>
      </c>
      <c r="B13890" s="2" t="s">
        <v>13965</v>
      </c>
      <c r="C13890" s="2" t="str">
        <f>"03005283"</f>
        <v>03005283</v>
      </c>
      <c r="D13890" s="2">
        <v>0.187</v>
      </c>
      <c r="E13890" s="2">
        <v>16</v>
      </c>
      <c r="F13890" s="2" t="s">
        <v>37</v>
      </c>
    </row>
    <row r="13891" spans="1:6" ht="25.5">
      <c r="A13891" s="2">
        <v>13888</v>
      </c>
      <c r="B13891" s="2" t="s">
        <v>13966</v>
      </c>
      <c r="C13891" s="2" t="str">
        <f>"05401259"</f>
        <v>05401259</v>
      </c>
      <c r="D13891" s="2">
        <v>0.10100000000000001</v>
      </c>
      <c r="E13891" s="2">
        <v>1</v>
      </c>
      <c r="F13891" s="2" t="s">
        <v>131</v>
      </c>
    </row>
    <row r="13892" spans="1:6" ht="25.5">
      <c r="A13892" s="2">
        <v>13889</v>
      </c>
      <c r="B13892" s="2" t="s">
        <v>13967</v>
      </c>
      <c r="C13892" s="2" t="str">
        <f>"10161430"</f>
        <v>10161430</v>
      </c>
      <c r="D13892" s="2">
        <v>0</v>
      </c>
      <c r="E13892" s="2">
        <v>5</v>
      </c>
      <c r="F13892" s="2" t="s">
        <v>299</v>
      </c>
    </row>
    <row r="13893" spans="1:6" ht="25.5">
      <c r="A13893" s="2">
        <v>13890</v>
      </c>
      <c r="B13893" s="2" t="s">
        <v>13968</v>
      </c>
      <c r="C13893" s="2" t="str">
        <f>"16718852"</f>
        <v>16718852</v>
      </c>
      <c r="D13893" s="2">
        <v>0.10100000000000001</v>
      </c>
      <c r="E13893" s="2">
        <v>3</v>
      </c>
      <c r="F13893" s="2" t="s">
        <v>46</v>
      </c>
    </row>
    <row r="13894" spans="1:6" ht="25.5">
      <c r="A13894" s="2">
        <v>13891</v>
      </c>
      <c r="B13894" s="2" t="s">
        <v>13969</v>
      </c>
      <c r="C13894" s="2" t="str">
        <f>"05807247"</f>
        <v>05807247</v>
      </c>
      <c r="D13894" s="2">
        <v>0.105</v>
      </c>
      <c r="E13894" s="2">
        <v>8</v>
      </c>
      <c r="F13894" s="2" t="s">
        <v>6</v>
      </c>
    </row>
    <row r="13895" spans="1:6" ht="25.5">
      <c r="A13895" s="2">
        <v>13892</v>
      </c>
      <c r="B13895" s="2" t="s">
        <v>13970</v>
      </c>
      <c r="C13895" s="2" t="str">
        <f>"16151615"</f>
        <v>16151615</v>
      </c>
      <c r="D13895" s="2">
        <v>0.127</v>
      </c>
      <c r="E13895" s="2">
        <v>15</v>
      </c>
      <c r="F13895" s="2" t="s">
        <v>12</v>
      </c>
    </row>
    <row r="13896" spans="1:6" ht="25.5">
      <c r="A13896" s="2">
        <v>13893</v>
      </c>
      <c r="B13896" s="2" t="s">
        <v>13971</v>
      </c>
      <c r="C13896" s="2" t="str">
        <f>"09685332"</f>
        <v>09685332</v>
      </c>
      <c r="D13896" s="2">
        <v>0.376</v>
      </c>
      <c r="E13896" s="2">
        <v>6</v>
      </c>
      <c r="F13896" s="2" t="s">
        <v>16</v>
      </c>
    </row>
    <row r="13897" spans="1:6" ht="25.5">
      <c r="A13897" s="2">
        <v>13894</v>
      </c>
      <c r="B13897" s="2" t="s">
        <v>13972</v>
      </c>
      <c r="C13897" s="2" t="str">
        <f>"14643790"</f>
        <v>14643790</v>
      </c>
      <c r="D13897" s="2">
        <v>0.65600000000000003</v>
      </c>
      <c r="E13897" s="2">
        <v>12</v>
      </c>
      <c r="F13897" s="2" t="s">
        <v>16</v>
      </c>
    </row>
    <row r="13898" spans="1:6" ht="25.5">
      <c r="A13898" s="2">
        <v>13895</v>
      </c>
      <c r="B13898" s="2" t="s">
        <v>13973</v>
      </c>
      <c r="C13898" s="2" t="str">
        <f>"0025732X"</f>
        <v>0025732X</v>
      </c>
      <c r="D13898" s="2">
        <v>0.161</v>
      </c>
      <c r="E13898" s="2">
        <v>15</v>
      </c>
      <c r="F13898" s="2" t="s">
        <v>6</v>
      </c>
    </row>
    <row r="13899" spans="1:6" ht="25.5">
      <c r="A13899" s="2">
        <v>13896</v>
      </c>
      <c r="B13899" s="2" t="s">
        <v>13974</v>
      </c>
      <c r="C13899" s="2" t="str">
        <f>"14321831"</f>
        <v>14321831</v>
      </c>
      <c r="D13899" s="2">
        <v>1.333</v>
      </c>
      <c r="E13899" s="2">
        <v>39</v>
      </c>
      <c r="F13899" s="2" t="s">
        <v>12</v>
      </c>
    </row>
    <row r="13900" spans="1:6" ht="25.5">
      <c r="A13900" s="2">
        <v>13897</v>
      </c>
      <c r="B13900" s="2" t="s">
        <v>13975</v>
      </c>
      <c r="C13900" s="2" t="str">
        <f>"18601499"</f>
        <v>18601499</v>
      </c>
      <c r="D13900" s="2">
        <v>0.52</v>
      </c>
      <c r="E13900" s="2">
        <v>28</v>
      </c>
      <c r="F13900" s="2" t="s">
        <v>131</v>
      </c>
    </row>
    <row r="13901" spans="1:6" ht="25.5">
      <c r="A13901" s="2">
        <v>13898</v>
      </c>
      <c r="B13901" s="2" t="s">
        <v>13976</v>
      </c>
      <c r="C13901" s="2" t="str">
        <f>"14602709"</f>
        <v>14602709</v>
      </c>
      <c r="D13901" s="2">
        <v>0.82</v>
      </c>
      <c r="E13901" s="2">
        <v>56</v>
      </c>
      <c r="F13901" s="2" t="s">
        <v>16</v>
      </c>
    </row>
    <row r="13902" spans="1:6" ht="25.5">
      <c r="A13902" s="2">
        <v>13899</v>
      </c>
      <c r="B13902" s="2" t="s">
        <v>13977</v>
      </c>
      <c r="C13902" s="2" t="str">
        <f>"13570560"</f>
        <v>13570560</v>
      </c>
      <c r="D13902" s="2">
        <v>0.57699999999999996</v>
      </c>
      <c r="E13902" s="2">
        <v>34</v>
      </c>
      <c r="F13902" s="2" t="s">
        <v>6</v>
      </c>
    </row>
    <row r="13903" spans="1:6" ht="25.5">
      <c r="A13903" s="2">
        <v>13900</v>
      </c>
      <c r="B13903" s="2" t="s">
        <v>13978</v>
      </c>
      <c r="C13903" s="2" t="str">
        <f>"00942405"</f>
        <v>00942405</v>
      </c>
      <c r="D13903" s="2">
        <v>1.3089999999999999</v>
      </c>
      <c r="E13903" s="2">
        <v>113</v>
      </c>
      <c r="F13903" s="2" t="s">
        <v>6</v>
      </c>
    </row>
    <row r="13904" spans="1:6" ht="25.5">
      <c r="A13904" s="2">
        <v>13901</v>
      </c>
      <c r="B13904" s="2" t="s">
        <v>13979</v>
      </c>
      <c r="C13904" s="2" t="str">
        <f>"19854811"</f>
        <v>19854811</v>
      </c>
      <c r="D13904" s="2">
        <v>0.105</v>
      </c>
      <c r="E13904" s="2">
        <v>0</v>
      </c>
      <c r="F13904" s="2" t="s">
        <v>37</v>
      </c>
    </row>
    <row r="13905" spans="1:6" ht="25.5">
      <c r="A13905" s="2">
        <v>13902</v>
      </c>
      <c r="B13905" s="2" t="s">
        <v>13980</v>
      </c>
      <c r="C13905" s="2" t="str">
        <f>"14230151"</f>
        <v>14230151</v>
      </c>
      <c r="D13905" s="2">
        <v>0.34399999999999997</v>
      </c>
      <c r="E13905" s="2">
        <v>23</v>
      </c>
      <c r="F13905" s="2" t="s">
        <v>31</v>
      </c>
    </row>
    <row r="13906" spans="1:6" ht="25.5">
      <c r="A13906" s="2">
        <v>13903</v>
      </c>
      <c r="B13906" s="2" t="s">
        <v>13981</v>
      </c>
      <c r="C13906" s="2" t="str">
        <f>"08851158"</f>
        <v>08851158</v>
      </c>
      <c r="D13906" s="2">
        <v>0.14000000000000001</v>
      </c>
      <c r="E13906" s="2">
        <v>16</v>
      </c>
      <c r="F13906" s="2" t="s">
        <v>6</v>
      </c>
    </row>
    <row r="13907" spans="1:6" ht="25.5">
      <c r="A13907" s="2">
        <v>13904</v>
      </c>
      <c r="B13907" s="2" t="s">
        <v>13982</v>
      </c>
      <c r="C13907" s="2" t="str">
        <f>"15409597"</f>
        <v>15409597</v>
      </c>
      <c r="D13907" s="2">
        <v>0.503</v>
      </c>
      <c r="E13907" s="2">
        <v>10</v>
      </c>
      <c r="F13907" s="2" t="s">
        <v>16</v>
      </c>
    </row>
    <row r="13908" spans="1:6" ht="25.5">
      <c r="A13908" s="2">
        <v>13905</v>
      </c>
      <c r="B13908" s="2" t="s">
        <v>13983</v>
      </c>
      <c r="C13908" s="2" t="str">
        <f>"16433750"</f>
        <v>16433750</v>
      </c>
      <c r="D13908" s="2">
        <v>0.38600000000000001</v>
      </c>
      <c r="E13908" s="2">
        <v>55</v>
      </c>
      <c r="F13908" s="2" t="s">
        <v>6</v>
      </c>
    </row>
    <row r="13909" spans="1:6" ht="25.5">
      <c r="A13909" s="2">
        <v>13906</v>
      </c>
      <c r="B13909" s="2" t="s">
        <v>13984</v>
      </c>
      <c r="C13909" s="2" t="str">
        <f>"1466187X"</f>
        <v>1466187X</v>
      </c>
      <c r="D13909" s="2">
        <v>1.151</v>
      </c>
      <c r="E13909" s="2">
        <v>51</v>
      </c>
      <c r="F13909" s="2" t="s">
        <v>16</v>
      </c>
    </row>
    <row r="13910" spans="1:6" ht="25.5">
      <c r="A13910" s="2">
        <v>13907</v>
      </c>
      <c r="B13910" s="2" t="s">
        <v>13985</v>
      </c>
      <c r="C13910" s="2" t="str">
        <f>"20668643"</f>
        <v>20668643</v>
      </c>
      <c r="D13910" s="2">
        <v>0.32900000000000001</v>
      </c>
      <c r="E13910" s="2">
        <v>6</v>
      </c>
      <c r="F13910" s="2" t="s">
        <v>19</v>
      </c>
    </row>
    <row r="13911" spans="1:6" ht="25.5">
      <c r="A13911" s="2">
        <v>13908</v>
      </c>
      <c r="B13911" s="2" t="s">
        <v>13986</v>
      </c>
      <c r="C13911" s="2" t="str">
        <f>"00257664"</f>
        <v>00257664</v>
      </c>
      <c r="D13911" s="2">
        <v>0.10299999999999999</v>
      </c>
      <c r="E13911" s="2">
        <v>8</v>
      </c>
      <c r="F13911" s="2" t="s">
        <v>75</v>
      </c>
    </row>
    <row r="13912" spans="1:6" ht="25.5">
      <c r="A13912" s="2">
        <v>13909</v>
      </c>
      <c r="B13912" s="2" t="s">
        <v>13987</v>
      </c>
      <c r="C13912" s="2" t="str">
        <f>"15557960"</f>
        <v>15557960</v>
      </c>
      <c r="D13912" s="2">
        <v>0.313</v>
      </c>
      <c r="E13912" s="2">
        <v>4</v>
      </c>
      <c r="F13912" s="2" t="s">
        <v>6</v>
      </c>
    </row>
    <row r="13913" spans="1:6" ht="25.5">
      <c r="A13913" s="2">
        <v>13910</v>
      </c>
      <c r="B13913" s="2" t="s">
        <v>13988</v>
      </c>
      <c r="C13913" s="2" t="str">
        <f>"00766046"</f>
        <v>00766046</v>
      </c>
      <c r="D13913" s="2">
        <v>0.10199999999999999</v>
      </c>
      <c r="E13913" s="2">
        <v>6</v>
      </c>
      <c r="F13913" s="2" t="s">
        <v>159</v>
      </c>
    </row>
    <row r="13914" spans="1:6" ht="25.5">
      <c r="A13914" s="2">
        <v>13911</v>
      </c>
      <c r="B13914" s="2" t="s">
        <v>13988</v>
      </c>
      <c r="C13914" s="2" t="str">
        <f>"00257680"</f>
        <v>00257680</v>
      </c>
      <c r="D13914" s="2">
        <v>0.18099999999999999</v>
      </c>
      <c r="E13914" s="2">
        <v>22</v>
      </c>
      <c r="F13914" s="2" t="s">
        <v>192</v>
      </c>
    </row>
    <row r="13915" spans="1:6" ht="25.5">
      <c r="A13915" s="2">
        <v>13912</v>
      </c>
      <c r="B13915" s="2" t="s">
        <v>13988</v>
      </c>
      <c r="C13915" s="2" t="str">
        <f>"16489144"</f>
        <v>16489144</v>
      </c>
      <c r="D13915" s="2">
        <v>0.20899999999999999</v>
      </c>
      <c r="E13915" s="2">
        <v>18</v>
      </c>
      <c r="F13915" s="2" t="s">
        <v>426</v>
      </c>
    </row>
    <row r="13916" spans="1:6" ht="25.5">
      <c r="A13916" s="2">
        <v>13913</v>
      </c>
      <c r="B13916" s="2" t="s">
        <v>13989</v>
      </c>
      <c r="C13916" s="2" t="str">
        <f>"00257753"</f>
        <v>00257753</v>
      </c>
      <c r="D13916" s="2">
        <v>0.21099999999999999</v>
      </c>
      <c r="E13916" s="2">
        <v>48</v>
      </c>
      <c r="F13916" s="2" t="s">
        <v>351</v>
      </c>
    </row>
    <row r="13917" spans="1:6" ht="25.5">
      <c r="A13917" s="2">
        <v>13914</v>
      </c>
      <c r="B13917" s="2" t="s">
        <v>13990</v>
      </c>
      <c r="C13917" s="2" t="str">
        <f>"02105187"</f>
        <v>02105187</v>
      </c>
      <c r="D13917" s="2">
        <v>0.12</v>
      </c>
      <c r="E13917" s="2">
        <v>6</v>
      </c>
      <c r="F13917" s="2" t="s">
        <v>351</v>
      </c>
    </row>
    <row r="13918" spans="1:6" ht="25.5">
      <c r="A13918" s="2">
        <v>13915</v>
      </c>
      <c r="B13918" s="2" t="s">
        <v>13991</v>
      </c>
      <c r="C13918" s="2" t="str">
        <f>"00257818"</f>
        <v>00257818</v>
      </c>
      <c r="D13918" s="2">
        <v>0.22500000000000001</v>
      </c>
      <c r="E13918" s="2">
        <v>17</v>
      </c>
      <c r="F13918" s="2" t="s">
        <v>190</v>
      </c>
    </row>
    <row r="13919" spans="1:6" ht="25.5">
      <c r="A13919" s="2">
        <v>13916</v>
      </c>
      <c r="B13919" s="2" t="s">
        <v>13992</v>
      </c>
      <c r="C13919" s="2" t="str">
        <f>"00257826"</f>
        <v>00257826</v>
      </c>
      <c r="D13919" s="2">
        <v>0.13200000000000001</v>
      </c>
      <c r="E13919" s="2">
        <v>7</v>
      </c>
      <c r="F13919" s="2" t="s">
        <v>190</v>
      </c>
    </row>
    <row r="13920" spans="1:6" ht="25.5">
      <c r="A13920" s="2">
        <v>13917</v>
      </c>
      <c r="B13920" s="2" t="s">
        <v>13993</v>
      </c>
      <c r="C13920" s="2" t="str">
        <f>"03008169"</f>
        <v>03008169</v>
      </c>
      <c r="D13920" s="2">
        <v>0.109</v>
      </c>
      <c r="E13920" s="2">
        <v>1</v>
      </c>
      <c r="F13920" s="2" t="s">
        <v>351</v>
      </c>
    </row>
    <row r="13921" spans="1:6" ht="25.5">
      <c r="A13921" s="2">
        <v>13918</v>
      </c>
      <c r="B13921" s="2" t="s">
        <v>13994</v>
      </c>
      <c r="C13921" s="2" t="str">
        <f>"18476864"</f>
        <v>18476864</v>
      </c>
      <c r="D13921" s="2">
        <v>0.1</v>
      </c>
      <c r="E13921" s="2">
        <v>1</v>
      </c>
      <c r="F13921" s="2" t="s">
        <v>149</v>
      </c>
    </row>
    <row r="13922" spans="1:6" ht="25.5">
      <c r="A13922" s="2">
        <v>13919</v>
      </c>
      <c r="B13922" s="2" t="s">
        <v>13995</v>
      </c>
      <c r="C13922" s="2" t="str">
        <f>"15786749"</f>
        <v>15786749</v>
      </c>
      <c r="D13922" s="2">
        <v>0.23699999999999999</v>
      </c>
      <c r="E13922" s="2">
        <v>13</v>
      </c>
      <c r="F13922" s="2" t="s">
        <v>351</v>
      </c>
    </row>
    <row r="13923" spans="1:6" ht="25.5">
      <c r="A13923" s="2">
        <v>13920</v>
      </c>
      <c r="B13923" s="2" t="s">
        <v>13996</v>
      </c>
      <c r="C13923" s="2" t="str">
        <f>"01864866"</f>
        <v>01864866</v>
      </c>
      <c r="D13923" s="2">
        <v>0.13</v>
      </c>
      <c r="E13923" s="2">
        <v>4</v>
      </c>
      <c r="F13923" s="2" t="s">
        <v>200</v>
      </c>
    </row>
    <row r="13924" spans="1:6" ht="25.5">
      <c r="A13924" s="2">
        <v>13921</v>
      </c>
      <c r="B13924" s="2" t="s">
        <v>13997</v>
      </c>
      <c r="C13924" s="2" t="str">
        <f>"15734064"</f>
        <v>15734064</v>
      </c>
      <c r="D13924" s="2">
        <v>0.34399999999999997</v>
      </c>
      <c r="E13924" s="2">
        <v>24</v>
      </c>
      <c r="F13924" s="2" t="s">
        <v>75</v>
      </c>
    </row>
    <row r="13925" spans="1:6" ht="25.5">
      <c r="A13925" s="2">
        <v>13922</v>
      </c>
      <c r="B13925" s="2" t="s">
        <v>13998</v>
      </c>
      <c r="C13925" s="2" t="str">
        <f>"10542523"</f>
        <v>10542523</v>
      </c>
      <c r="D13925" s="2">
        <v>0.34300000000000003</v>
      </c>
      <c r="E13925" s="2">
        <v>21</v>
      </c>
      <c r="F13925" s="2" t="s">
        <v>6</v>
      </c>
    </row>
    <row r="13926" spans="1:6" ht="25.5">
      <c r="A13926" s="2">
        <v>13923</v>
      </c>
      <c r="B13926" s="2" t="s">
        <v>13999</v>
      </c>
      <c r="C13926" s="2" t="str">
        <f>"10981128"</f>
        <v>10981128</v>
      </c>
      <c r="D13926" s="2">
        <v>2.0649999999999999</v>
      </c>
      <c r="E13926" s="2">
        <v>86</v>
      </c>
      <c r="F13926" s="2" t="s">
        <v>6</v>
      </c>
    </row>
    <row r="13927" spans="1:6" ht="25.5">
      <c r="A13927" s="2">
        <v>13924</v>
      </c>
      <c r="B13927" s="2" t="s">
        <v>14000</v>
      </c>
      <c r="C13927" s="2" t="str">
        <f>"15763080"</f>
        <v>15763080</v>
      </c>
      <c r="D13927" s="2">
        <v>0</v>
      </c>
      <c r="E13927" s="2">
        <v>0</v>
      </c>
      <c r="F13927" s="2" t="s">
        <v>351</v>
      </c>
    </row>
    <row r="13928" spans="1:6" ht="25.5">
      <c r="A13928" s="2">
        <v>13925</v>
      </c>
      <c r="B13928" s="2" t="s">
        <v>14001</v>
      </c>
      <c r="C13928" s="2" t="str">
        <f>"03949001"</f>
        <v>03949001</v>
      </c>
      <c r="D13928" s="2">
        <v>0.10100000000000001</v>
      </c>
      <c r="E13928" s="2">
        <v>6</v>
      </c>
      <c r="F13928" s="2" t="s">
        <v>190</v>
      </c>
    </row>
    <row r="13929" spans="1:6" ht="25.5">
      <c r="A13929" s="2">
        <v>13926</v>
      </c>
      <c r="B13929" s="2" t="s">
        <v>14002</v>
      </c>
      <c r="C13929" s="2" t="str">
        <f>"16986946"</f>
        <v>16986946</v>
      </c>
      <c r="D13929" s="2">
        <v>0.432</v>
      </c>
      <c r="E13929" s="2">
        <v>24</v>
      </c>
      <c r="F13929" s="2" t="s">
        <v>351</v>
      </c>
    </row>
    <row r="13930" spans="1:6" ht="25.5">
      <c r="A13930" s="2">
        <v>13927</v>
      </c>
      <c r="B13930" s="2" t="s">
        <v>14003</v>
      </c>
      <c r="C13930" s="2" t="str">
        <f>"1134248X"</f>
        <v>1134248X</v>
      </c>
      <c r="D13930" s="2">
        <v>0.154</v>
      </c>
      <c r="E13930" s="2">
        <v>8</v>
      </c>
      <c r="F13930" s="2" t="s">
        <v>351</v>
      </c>
    </row>
    <row r="13931" spans="1:6" ht="25.5">
      <c r="A13931" s="2">
        <v>13928</v>
      </c>
      <c r="B13931" s="2" t="s">
        <v>14004</v>
      </c>
      <c r="C13931" s="2" t="str">
        <f>"11352841"</f>
        <v>11352841</v>
      </c>
      <c r="D13931" s="2">
        <v>0.114</v>
      </c>
      <c r="E13931" s="2">
        <v>2</v>
      </c>
      <c r="F13931" s="2" t="s">
        <v>351</v>
      </c>
    </row>
    <row r="13932" spans="1:6" ht="25.5">
      <c r="A13932" s="2">
        <v>13929</v>
      </c>
      <c r="B13932" s="2" t="s">
        <v>14005</v>
      </c>
      <c r="C13932" s="2" t="str">
        <f>"02128292"</f>
        <v>02128292</v>
      </c>
      <c r="D13932" s="2">
        <v>0.10100000000000001</v>
      </c>
      <c r="E13932" s="2">
        <v>3</v>
      </c>
      <c r="F13932" s="2" t="s">
        <v>351</v>
      </c>
    </row>
    <row r="13933" spans="1:6" ht="25.5">
      <c r="A13933" s="2">
        <v>13930</v>
      </c>
      <c r="B13933" s="2" t="s">
        <v>14006</v>
      </c>
      <c r="C13933" s="2" t="str">
        <f>"03045412"</f>
        <v>03045412</v>
      </c>
      <c r="D13933" s="2">
        <v>0.112</v>
      </c>
      <c r="E13933" s="2">
        <v>5</v>
      </c>
      <c r="F13933" s="2" t="s">
        <v>351</v>
      </c>
    </row>
    <row r="13934" spans="1:6" ht="25.5">
      <c r="A13934" s="2">
        <v>13931</v>
      </c>
      <c r="B13934" s="2" t="s">
        <v>14006</v>
      </c>
      <c r="C13934" s="2" t="str">
        <f>"13573039"</f>
        <v>13573039</v>
      </c>
      <c r="D13934" s="2">
        <v>0.185</v>
      </c>
      <c r="E13934" s="2">
        <v>19</v>
      </c>
      <c r="F13934" s="2" t="s">
        <v>75</v>
      </c>
    </row>
    <row r="13935" spans="1:6" ht="25.5">
      <c r="A13935" s="2">
        <v>13932</v>
      </c>
      <c r="B13935" s="2" t="s">
        <v>14007</v>
      </c>
      <c r="C13935" s="2" t="str">
        <f>"15365964"</f>
        <v>15365964</v>
      </c>
      <c r="D13935" s="2">
        <v>0.29399999999999998</v>
      </c>
      <c r="E13935" s="2">
        <v>95</v>
      </c>
      <c r="F13935" s="2" t="s">
        <v>6</v>
      </c>
    </row>
    <row r="13936" spans="1:6" ht="25.5">
      <c r="A13936" s="2">
        <v>13933</v>
      </c>
      <c r="B13936" s="2" t="s">
        <v>14008</v>
      </c>
      <c r="C13936" s="2" t="str">
        <f>"10865462"</f>
        <v>10865462</v>
      </c>
      <c r="D13936" s="2">
        <v>0.123</v>
      </c>
      <c r="E13936" s="2">
        <v>11</v>
      </c>
      <c r="F13936" s="2" t="s">
        <v>6</v>
      </c>
    </row>
    <row r="13937" spans="1:6" ht="25.5">
      <c r="A13937" s="2">
        <v>13934</v>
      </c>
      <c r="B13937" s="2" t="s">
        <v>14009</v>
      </c>
      <c r="C13937" s="2" t="str">
        <f>"07231393"</f>
        <v>07231393</v>
      </c>
      <c r="D13937" s="2">
        <v>0.115</v>
      </c>
      <c r="E13937" s="2">
        <v>14</v>
      </c>
      <c r="F13937" s="2" t="s">
        <v>2065</v>
      </c>
    </row>
    <row r="13938" spans="1:6" ht="25.5">
      <c r="A13938" s="2">
        <v>13935</v>
      </c>
      <c r="B13938" s="2" t="s">
        <v>14010</v>
      </c>
      <c r="C13938" s="2" t="str">
        <f>"01959131"</f>
        <v>01959131</v>
      </c>
      <c r="D13938" s="2">
        <v>1.851</v>
      </c>
      <c r="E13938" s="2">
        <v>137</v>
      </c>
      <c r="F13938" s="2" t="s">
        <v>6</v>
      </c>
    </row>
    <row r="13939" spans="1:6" ht="25.5">
      <c r="A13939" s="2">
        <v>13936</v>
      </c>
      <c r="B13939" s="2" t="s">
        <v>14011</v>
      </c>
      <c r="C13939" s="2" t="str">
        <f>"02545020"</f>
        <v>02545020</v>
      </c>
      <c r="D13939" s="2">
        <v>0.51600000000000001</v>
      </c>
      <c r="E13939" s="2">
        <v>17</v>
      </c>
      <c r="F13939" s="2" t="s">
        <v>31</v>
      </c>
    </row>
    <row r="13940" spans="1:6" ht="25.5">
      <c r="A13940" s="2">
        <v>13937</v>
      </c>
      <c r="B13940" s="2" t="s">
        <v>14012</v>
      </c>
      <c r="C13940" s="2" t="str">
        <f>"13623699"</f>
        <v>13623699</v>
      </c>
      <c r="D13940" s="2">
        <v>0.17</v>
      </c>
      <c r="E13940" s="2">
        <v>10</v>
      </c>
      <c r="F13940" s="2" t="s">
        <v>16</v>
      </c>
    </row>
    <row r="13941" spans="1:6" ht="25.5">
      <c r="A13941" s="2">
        <v>13938</v>
      </c>
      <c r="B13941" s="2" t="s">
        <v>14013</v>
      </c>
      <c r="C13941" s="2" t="str">
        <f>"15728633"</f>
        <v>15728633</v>
      </c>
      <c r="D13941" s="2">
        <v>0.315</v>
      </c>
      <c r="E13941" s="2">
        <v>20</v>
      </c>
      <c r="F13941" s="2" t="s">
        <v>75</v>
      </c>
    </row>
    <row r="13942" spans="1:6" ht="25.5">
      <c r="A13942" s="2">
        <v>13939</v>
      </c>
      <c r="B13942" s="2" t="s">
        <v>14014</v>
      </c>
      <c r="C13942" s="2" t="str">
        <f>"20421818"</f>
        <v>20421818</v>
      </c>
      <c r="D13942" s="2">
        <v>0.34899999999999998</v>
      </c>
      <c r="E13942" s="2">
        <v>21</v>
      </c>
      <c r="F13942" s="2" t="s">
        <v>16</v>
      </c>
    </row>
    <row r="13943" spans="1:6" ht="25.5">
      <c r="A13943" s="2">
        <v>13940</v>
      </c>
      <c r="B13943" s="2" t="s">
        <v>14015</v>
      </c>
      <c r="C13943" s="2" t="str">
        <f>"18764541"</f>
        <v>18764541</v>
      </c>
      <c r="D13943" s="2">
        <v>0.108</v>
      </c>
      <c r="E13943" s="2">
        <v>2</v>
      </c>
      <c r="F13943" s="2" t="s">
        <v>75</v>
      </c>
    </row>
    <row r="13944" spans="1:6" ht="25.5">
      <c r="A13944" s="2">
        <v>13941</v>
      </c>
      <c r="B13944" s="2" t="s">
        <v>14016</v>
      </c>
      <c r="C13944" s="2" t="str">
        <f>"1443430X"</f>
        <v>1443430X</v>
      </c>
      <c r="D13944" s="2">
        <v>0.191</v>
      </c>
      <c r="E13944" s="2">
        <v>5</v>
      </c>
      <c r="F13944" s="2" t="s">
        <v>127</v>
      </c>
    </row>
    <row r="13945" spans="1:6" ht="25.5">
      <c r="A13945" s="2">
        <v>13942</v>
      </c>
      <c r="B13945" s="2" t="s">
        <v>14017</v>
      </c>
      <c r="C13945" s="2" t="str">
        <f>"0350199X"</f>
        <v>0350199X</v>
      </c>
      <c r="D13945" s="2">
        <v>0.14099999999999999</v>
      </c>
      <c r="E13945" s="2">
        <v>10</v>
      </c>
      <c r="F13945" s="2" t="s">
        <v>271</v>
      </c>
    </row>
    <row r="13946" spans="1:6" ht="25.5">
      <c r="A13946" s="2">
        <v>13943</v>
      </c>
      <c r="B13946" s="2" t="s">
        <v>14018</v>
      </c>
      <c r="C13946" s="2" t="str">
        <f>"03501221"</f>
        <v>03501221</v>
      </c>
      <c r="D13946" s="2">
        <v>0.14599999999999999</v>
      </c>
      <c r="E13946" s="2">
        <v>1</v>
      </c>
      <c r="F13946" s="2" t="s">
        <v>212</v>
      </c>
    </row>
    <row r="13947" spans="1:6" ht="25.5">
      <c r="A13947" s="2">
        <v>13944</v>
      </c>
      <c r="B13947" s="2" t="s">
        <v>14019</v>
      </c>
      <c r="C13947" s="2" t="str">
        <f>"00258091"</f>
        <v>00258091</v>
      </c>
      <c r="D13947" s="2">
        <v>0.13100000000000001</v>
      </c>
      <c r="E13947" s="2">
        <v>3</v>
      </c>
      <c r="F13947" s="2" t="s">
        <v>212</v>
      </c>
    </row>
    <row r="13948" spans="1:6" ht="25.5">
      <c r="A13948" s="2">
        <v>13945</v>
      </c>
      <c r="B13948" s="2" t="s">
        <v>14020</v>
      </c>
      <c r="C13948" s="2" t="str">
        <f>"00258105"</f>
        <v>00258105</v>
      </c>
      <c r="D13948" s="2">
        <v>0.115</v>
      </c>
      <c r="E13948" s="2">
        <v>9</v>
      </c>
      <c r="F13948" s="2" t="s">
        <v>212</v>
      </c>
    </row>
    <row r="13949" spans="1:6" ht="25.5">
      <c r="A13949" s="2">
        <v>13946</v>
      </c>
      <c r="B13949" s="2" t="s">
        <v>14021</v>
      </c>
      <c r="C13949" s="2" t="str">
        <f>"15913090"</f>
        <v>15913090</v>
      </c>
      <c r="D13949" s="2">
        <v>0.121</v>
      </c>
      <c r="E13949" s="2">
        <v>5</v>
      </c>
      <c r="F13949" s="2" t="s">
        <v>190</v>
      </c>
    </row>
    <row r="13950" spans="1:6" ht="25.5">
      <c r="A13950" s="2">
        <v>13947</v>
      </c>
      <c r="B13950" s="2" t="s">
        <v>14022</v>
      </c>
      <c r="C13950" s="2" t="str">
        <f>"20421834"</f>
        <v>20421834</v>
      </c>
      <c r="D13950" s="2">
        <v>0.111</v>
      </c>
      <c r="E13950" s="2">
        <v>5</v>
      </c>
      <c r="F13950" s="2" t="s">
        <v>16</v>
      </c>
    </row>
    <row r="13951" spans="1:6" ht="25.5">
      <c r="A13951" s="2">
        <v>13948</v>
      </c>
      <c r="B13951" s="2" t="s">
        <v>14023</v>
      </c>
      <c r="C13951" s="2" t="str">
        <f>"0971720X"</f>
        <v>0971720X</v>
      </c>
      <c r="D13951" s="2">
        <v>0.14000000000000001</v>
      </c>
      <c r="E13951" s="2">
        <v>4</v>
      </c>
      <c r="F13951" s="2" t="s">
        <v>488</v>
      </c>
    </row>
    <row r="13952" spans="1:6" ht="25.5">
      <c r="A13952" s="2">
        <v>13949</v>
      </c>
      <c r="B13952" s="2" t="s">
        <v>14024</v>
      </c>
      <c r="C13952" s="2" t="str">
        <f>"1330013X"</f>
        <v>1330013X</v>
      </c>
      <c r="D13952" s="2">
        <v>0.14299999999999999</v>
      </c>
      <c r="E13952" s="2">
        <v>5</v>
      </c>
      <c r="F13952" s="2" t="s">
        <v>149</v>
      </c>
    </row>
    <row r="13953" spans="1:6" ht="25.5">
      <c r="A13953" s="2">
        <v>13950</v>
      </c>
      <c r="B13953" s="2" t="s">
        <v>14025</v>
      </c>
      <c r="C13953" s="2" t="str">
        <f>"1745817X"</f>
        <v>1745817X</v>
      </c>
      <c r="D13953" s="2">
        <v>0.14099999999999999</v>
      </c>
      <c r="E13953" s="2">
        <v>5</v>
      </c>
      <c r="F13953" s="2" t="s">
        <v>16</v>
      </c>
    </row>
    <row r="13954" spans="1:6" ht="25.5">
      <c r="A13954" s="2">
        <v>13951</v>
      </c>
      <c r="B13954" s="2" t="s">
        <v>14026</v>
      </c>
      <c r="C13954" s="2" t="str">
        <f>"13807854"</f>
        <v>13807854</v>
      </c>
      <c r="D13954" s="2">
        <v>0.113</v>
      </c>
      <c r="E13954" s="2">
        <v>5</v>
      </c>
      <c r="F13954" s="2" t="s">
        <v>75</v>
      </c>
    </row>
    <row r="13955" spans="1:6" ht="25.5">
      <c r="A13955" s="2">
        <v>13952</v>
      </c>
      <c r="B13955" s="2" t="s">
        <v>14027</v>
      </c>
      <c r="C13955" s="2" t="str">
        <f>"09719458"</f>
        <v>09719458</v>
      </c>
      <c r="D13955" s="2">
        <v>0.10100000000000001</v>
      </c>
      <c r="E13955" s="2">
        <v>4</v>
      </c>
      <c r="F13955" s="2" t="s">
        <v>6</v>
      </c>
    </row>
    <row r="13956" spans="1:6" ht="25.5">
      <c r="A13956" s="2">
        <v>13953</v>
      </c>
      <c r="B13956" s="2" t="s">
        <v>14028</v>
      </c>
      <c r="C13956" s="2" t="str">
        <f>"00766127"</f>
        <v>00766127</v>
      </c>
      <c r="D13956" s="2">
        <v>0.10199999999999999</v>
      </c>
      <c r="E13956" s="2">
        <v>2</v>
      </c>
      <c r="F13956" s="2" t="s">
        <v>6</v>
      </c>
    </row>
    <row r="13957" spans="1:6" ht="25.5">
      <c r="A13957" s="2">
        <v>13954</v>
      </c>
      <c r="B13957" s="2" t="s">
        <v>14029</v>
      </c>
      <c r="C13957" s="2" t="str">
        <f>"13306928"</f>
        <v>13306928</v>
      </c>
      <c r="D13957" s="2">
        <v>0.125</v>
      </c>
      <c r="E13957" s="2">
        <v>1</v>
      </c>
      <c r="F13957" s="2" t="s">
        <v>149</v>
      </c>
    </row>
    <row r="13958" spans="1:6" ht="25.5">
      <c r="A13958" s="2">
        <v>13955</v>
      </c>
      <c r="B13958" s="2" t="s">
        <v>14030</v>
      </c>
      <c r="C13958" s="2" t="str">
        <f>"11089628"</f>
        <v>11089628</v>
      </c>
      <c r="D13958" s="2">
        <v>0.23400000000000001</v>
      </c>
      <c r="E13958" s="2">
        <v>4</v>
      </c>
      <c r="F13958" s="2" t="s">
        <v>313</v>
      </c>
    </row>
    <row r="13959" spans="1:6" ht="25.5">
      <c r="A13959" s="2">
        <v>13956</v>
      </c>
      <c r="B13959" s="2" t="s">
        <v>14031</v>
      </c>
      <c r="C13959" s="2" t="str">
        <f>"1743940X"</f>
        <v>1743940X</v>
      </c>
      <c r="D13959" s="2">
        <v>0.105</v>
      </c>
      <c r="E13959" s="2">
        <v>2</v>
      </c>
      <c r="F13959" s="2" t="s">
        <v>16</v>
      </c>
    </row>
    <row r="13960" spans="1:6" ht="25.5">
      <c r="A13960" s="2">
        <v>13957</v>
      </c>
      <c r="B13960" s="2" t="s">
        <v>14032</v>
      </c>
      <c r="C13960" s="2" t="str">
        <f>"20353006"</f>
        <v>20353006</v>
      </c>
      <c r="D13960" s="2">
        <v>0.23499999999999999</v>
      </c>
      <c r="E13960" s="2">
        <v>3</v>
      </c>
      <c r="F13960" s="2" t="s">
        <v>190</v>
      </c>
    </row>
    <row r="13961" spans="1:6" ht="25.5">
      <c r="A13961" s="2">
        <v>13958</v>
      </c>
      <c r="B13961" s="2" t="s">
        <v>14033</v>
      </c>
      <c r="C13961" s="2" t="str">
        <f>"16605454"</f>
        <v>16605454</v>
      </c>
      <c r="D13961" s="2">
        <v>0.70199999999999996</v>
      </c>
      <c r="E13961" s="2">
        <v>9</v>
      </c>
      <c r="F13961" s="2" t="s">
        <v>31</v>
      </c>
    </row>
    <row r="13962" spans="1:6" ht="25.5">
      <c r="A13962" s="2">
        <v>13959</v>
      </c>
      <c r="B13962" s="2" t="s">
        <v>14034</v>
      </c>
      <c r="C13962" s="2" t="str">
        <f>"17439310"</f>
        <v>17439310</v>
      </c>
      <c r="D13962" s="2">
        <v>0.215</v>
      </c>
      <c r="E13962" s="2">
        <v>5</v>
      </c>
      <c r="F13962" s="2" t="s">
        <v>16</v>
      </c>
    </row>
    <row r="13963" spans="1:6" ht="25.5">
      <c r="A13963" s="2">
        <v>13960</v>
      </c>
      <c r="B13963" s="2" t="s">
        <v>14035</v>
      </c>
      <c r="C13963" s="2" t="str">
        <f>"19737998"</f>
        <v>19737998</v>
      </c>
      <c r="D13963" s="2">
        <v>0.16900000000000001</v>
      </c>
      <c r="E13963" s="2">
        <v>5</v>
      </c>
      <c r="F13963" s="2" t="s">
        <v>190</v>
      </c>
    </row>
    <row r="13964" spans="1:6" ht="25.5">
      <c r="A13964" s="2">
        <v>13961</v>
      </c>
      <c r="B13964" s="2" t="s">
        <v>14036</v>
      </c>
      <c r="C13964" s="2" t="str">
        <f>"11284293"</f>
        <v>11284293</v>
      </c>
      <c r="D13964" s="2">
        <v>0.10100000000000001</v>
      </c>
      <c r="E13964" s="2">
        <v>3</v>
      </c>
      <c r="F13964" s="2" t="s">
        <v>190</v>
      </c>
    </row>
    <row r="13965" spans="1:6" ht="25.5">
      <c r="A13965" s="2">
        <v>13962</v>
      </c>
      <c r="B13965" s="2" t="s">
        <v>14037</v>
      </c>
      <c r="C13965" s="2" t="str">
        <f>"17916763"</f>
        <v>17916763</v>
      </c>
      <c r="D13965" s="2">
        <v>0.53700000000000003</v>
      </c>
      <c r="E13965" s="2">
        <v>6</v>
      </c>
      <c r="F13965" s="2" t="s">
        <v>313</v>
      </c>
    </row>
    <row r="13966" spans="1:6" ht="25.5">
      <c r="A13966" s="2">
        <v>13963</v>
      </c>
      <c r="B13966" s="2" t="s">
        <v>14038</v>
      </c>
      <c r="C13966" s="2" t="str">
        <f>"15271935"</f>
        <v>15271935</v>
      </c>
      <c r="D13966" s="2">
        <v>0.14399999999999999</v>
      </c>
      <c r="E13966" s="2">
        <v>6</v>
      </c>
      <c r="F13966" s="2" t="s">
        <v>6</v>
      </c>
    </row>
    <row r="13967" spans="1:6" ht="25.5">
      <c r="A13967" s="2">
        <v>13964</v>
      </c>
      <c r="B13967" s="2" t="s">
        <v>14039</v>
      </c>
      <c r="C13967" s="2" t="str">
        <f>"1074164X"</f>
        <v>1074164X</v>
      </c>
      <c r="D13967" s="2">
        <v>0.10100000000000001</v>
      </c>
      <c r="E13967" s="2">
        <v>2</v>
      </c>
      <c r="F13967" s="2" t="s">
        <v>16</v>
      </c>
    </row>
    <row r="13968" spans="1:6" ht="25.5">
      <c r="A13968" s="2">
        <v>13965</v>
      </c>
      <c r="B13968" s="2" t="s">
        <v>14040</v>
      </c>
      <c r="C13968" s="2" t="str">
        <f>"17608538"</f>
        <v>17608538</v>
      </c>
      <c r="D13968" s="2">
        <v>0.126</v>
      </c>
      <c r="E13968" s="2">
        <v>0</v>
      </c>
      <c r="F13968" s="2" t="s">
        <v>66</v>
      </c>
    </row>
    <row r="13969" spans="1:6" ht="25.5">
      <c r="A13969" s="2">
        <v>13966</v>
      </c>
      <c r="B13969" s="2" t="s">
        <v>14041</v>
      </c>
      <c r="C13969" s="2" t="str">
        <f>"10269428"</f>
        <v>10269428</v>
      </c>
      <c r="D13969" s="2">
        <v>0.1</v>
      </c>
      <c r="E13969" s="2">
        <v>3</v>
      </c>
      <c r="F13969" s="2" t="s">
        <v>129</v>
      </c>
    </row>
    <row r="13970" spans="1:6" ht="25.5">
      <c r="A13970" s="2">
        <v>13967</v>
      </c>
      <c r="B13970" s="2" t="s">
        <v>14042</v>
      </c>
      <c r="C13970" s="2" t="str">
        <f>"00258326"</f>
        <v>00258326</v>
      </c>
      <c r="D13970" s="2">
        <v>0.107</v>
      </c>
      <c r="E13970" s="2">
        <v>6</v>
      </c>
      <c r="F13970" s="2" t="s">
        <v>129</v>
      </c>
    </row>
    <row r="13971" spans="1:6" ht="25.5">
      <c r="A13971" s="2">
        <v>13968</v>
      </c>
      <c r="B13971" s="2" t="s">
        <v>14043</v>
      </c>
      <c r="C13971" s="2" t="str">
        <f>"13629395"</f>
        <v>13629395</v>
      </c>
      <c r="D13971" s="2">
        <v>0.48499999999999999</v>
      </c>
      <c r="E13971" s="2">
        <v>10</v>
      </c>
      <c r="F13971" s="2" t="s">
        <v>16</v>
      </c>
    </row>
    <row r="13972" spans="1:6" ht="25.5">
      <c r="A13972" s="2">
        <v>13969</v>
      </c>
      <c r="B13972" s="2" t="s">
        <v>14044</v>
      </c>
      <c r="C13972" s="2" t="str">
        <f>"00258385"</f>
        <v>00258385</v>
      </c>
      <c r="D13972" s="2">
        <v>0.159</v>
      </c>
      <c r="E13972" s="2">
        <v>4</v>
      </c>
      <c r="F13972" s="2" t="s">
        <v>16</v>
      </c>
    </row>
    <row r="13973" spans="1:6" ht="25.5">
      <c r="A13973" s="2">
        <v>13970</v>
      </c>
      <c r="B13973" s="2" t="s">
        <v>14045</v>
      </c>
      <c r="C13973" s="2" t="str">
        <f>"0939351X"</f>
        <v>0939351X</v>
      </c>
      <c r="D13973" s="2">
        <v>0.10100000000000001</v>
      </c>
      <c r="E13973" s="2">
        <v>2</v>
      </c>
      <c r="F13973" s="2" t="s">
        <v>12</v>
      </c>
    </row>
    <row r="13974" spans="1:6" ht="25.5">
      <c r="A13974" s="2">
        <v>13971</v>
      </c>
      <c r="B13974" s="2" t="s">
        <v>14046</v>
      </c>
      <c r="C13974" s="2" t="str">
        <f>"00258431"</f>
        <v>00258431</v>
      </c>
      <c r="D13974" s="2">
        <v>0.111</v>
      </c>
      <c r="E13974" s="2">
        <v>6</v>
      </c>
      <c r="F13974" s="2" t="s">
        <v>12</v>
      </c>
    </row>
    <row r="13975" spans="1:6" ht="25.5">
      <c r="A13975" s="2">
        <v>13972</v>
      </c>
      <c r="B13975" s="2" t="s">
        <v>14047</v>
      </c>
      <c r="C13975" s="2" t="str">
        <f>"09365931"</f>
        <v>09365931</v>
      </c>
      <c r="D13975" s="2">
        <v>0.107</v>
      </c>
      <c r="E13975" s="2">
        <v>5</v>
      </c>
      <c r="F13975" s="2" t="s">
        <v>12</v>
      </c>
    </row>
    <row r="13976" spans="1:6" ht="25.5">
      <c r="A13976" s="2">
        <v>13973</v>
      </c>
      <c r="B13976" s="2" t="s">
        <v>14048</v>
      </c>
      <c r="C13976" s="2" t="str">
        <f>"07235003"</f>
        <v>07235003</v>
      </c>
      <c r="D13976" s="2">
        <v>0.156</v>
      </c>
      <c r="E13976" s="2">
        <v>21</v>
      </c>
      <c r="F13976" s="2" t="s">
        <v>12</v>
      </c>
    </row>
    <row r="13977" spans="1:6" ht="25.5">
      <c r="A13977" s="2">
        <v>13974</v>
      </c>
      <c r="B13977" s="2" t="s">
        <v>14049</v>
      </c>
      <c r="C13977" s="2" t="str">
        <f>"21936226"</f>
        <v>21936226</v>
      </c>
      <c r="D13977" s="2">
        <v>0.126</v>
      </c>
      <c r="E13977" s="2">
        <v>0</v>
      </c>
      <c r="F13977" s="2" t="s">
        <v>12</v>
      </c>
    </row>
    <row r="13978" spans="1:6" ht="25.5">
      <c r="A13978" s="2">
        <v>13975</v>
      </c>
      <c r="B13978" s="2" t="s">
        <v>14050</v>
      </c>
      <c r="C13978" s="2" t="str">
        <f>"03429601"</f>
        <v>03429601</v>
      </c>
      <c r="D13978" s="2">
        <v>0.17299999999999999</v>
      </c>
      <c r="E13978" s="2">
        <v>7</v>
      </c>
      <c r="F13978" s="2" t="s">
        <v>12</v>
      </c>
    </row>
    <row r="13979" spans="1:6" ht="25.5">
      <c r="A13979" s="2">
        <v>13976</v>
      </c>
      <c r="B13979" s="2" t="s">
        <v>14051</v>
      </c>
      <c r="C13979" s="2" t="str">
        <f>"07238886"</f>
        <v>07238886</v>
      </c>
      <c r="D13979" s="2">
        <v>0.10299999999999999</v>
      </c>
      <c r="E13979" s="2">
        <v>4</v>
      </c>
      <c r="F13979" s="2" t="s">
        <v>12</v>
      </c>
    </row>
    <row r="13980" spans="1:6" ht="25.5">
      <c r="A13980" s="2">
        <v>13977</v>
      </c>
      <c r="B13980" s="2" t="s">
        <v>14052</v>
      </c>
      <c r="C13980" s="2" t="str">
        <f>"03449416"</f>
        <v>03449416</v>
      </c>
      <c r="D13980" s="2">
        <v>0.111</v>
      </c>
      <c r="E13980" s="2">
        <v>2</v>
      </c>
      <c r="F13980" s="2" t="s">
        <v>12</v>
      </c>
    </row>
    <row r="13981" spans="1:6" ht="25.5">
      <c r="A13981" s="2">
        <v>13978</v>
      </c>
      <c r="B13981" s="2" t="s">
        <v>14053</v>
      </c>
      <c r="C13981" s="2" t="str">
        <f>"10920811"</f>
        <v>10920811</v>
      </c>
      <c r="D13981" s="2">
        <v>0.214</v>
      </c>
      <c r="E13981" s="2">
        <v>16</v>
      </c>
      <c r="F13981" s="2" t="s">
        <v>6</v>
      </c>
    </row>
    <row r="13982" spans="1:6" ht="25.5">
      <c r="A13982" s="2">
        <v>13979</v>
      </c>
      <c r="B13982" s="2" t="s">
        <v>14054</v>
      </c>
      <c r="C13982" s="2" t="str">
        <f>"00258601"</f>
        <v>00258601</v>
      </c>
      <c r="D13982" s="2">
        <v>0.115</v>
      </c>
      <c r="E13982" s="2">
        <v>8</v>
      </c>
      <c r="F13982" s="2" t="s">
        <v>169</v>
      </c>
    </row>
    <row r="13983" spans="1:6" ht="25.5">
      <c r="A13983" s="2">
        <v>13980</v>
      </c>
      <c r="B13983" s="2" t="s">
        <v>14055</v>
      </c>
      <c r="C13983" s="2" t="str">
        <f>"18980678"</f>
        <v>18980678</v>
      </c>
      <c r="D13983" s="2">
        <v>0.1</v>
      </c>
      <c r="E13983" s="2">
        <v>3</v>
      </c>
      <c r="F13983" s="2" t="s">
        <v>169</v>
      </c>
    </row>
    <row r="13984" spans="1:6" ht="25.5">
      <c r="A13984" s="2">
        <v>13981</v>
      </c>
      <c r="B13984" s="2" t="s">
        <v>14056</v>
      </c>
      <c r="C13984" s="2" t="str">
        <f>"04655893"</f>
        <v>04655893</v>
      </c>
      <c r="D13984" s="2">
        <v>0.245</v>
      </c>
      <c r="E13984" s="2">
        <v>11</v>
      </c>
      <c r="F13984" s="2" t="s">
        <v>169</v>
      </c>
    </row>
    <row r="13985" spans="1:6" ht="25.5">
      <c r="A13985" s="2">
        <v>13982</v>
      </c>
      <c r="B13985" s="2" t="s">
        <v>14057</v>
      </c>
      <c r="C13985" s="2" t="str">
        <f>"00258628"</f>
        <v>00258628</v>
      </c>
      <c r="D13985" s="2">
        <v>0.16200000000000001</v>
      </c>
      <c r="E13985" s="2">
        <v>14</v>
      </c>
      <c r="F13985" s="2" t="s">
        <v>169</v>
      </c>
    </row>
    <row r="13986" spans="1:6" ht="25.5">
      <c r="A13986" s="2">
        <v>13983</v>
      </c>
      <c r="B13986" s="2" t="s">
        <v>14058</v>
      </c>
      <c r="C13986" s="2" t="str">
        <f>"1428345X"</f>
        <v>1428345X</v>
      </c>
      <c r="D13986" s="2">
        <v>0.113</v>
      </c>
      <c r="E13986" s="2">
        <v>7</v>
      </c>
      <c r="F13986" s="2" t="s">
        <v>169</v>
      </c>
    </row>
    <row r="13987" spans="1:6" ht="25.5">
      <c r="A13987" s="2">
        <v>13984</v>
      </c>
      <c r="B13987" s="2" t="s">
        <v>14059</v>
      </c>
      <c r="C13987" s="2" t="str">
        <f>"13921320"</f>
        <v>13921320</v>
      </c>
      <c r="D13987" s="2">
        <v>0.28499999999999998</v>
      </c>
      <c r="E13987" s="2">
        <v>6</v>
      </c>
      <c r="F13987" s="2" t="s">
        <v>426</v>
      </c>
    </row>
    <row r="13988" spans="1:6" ht="25.5">
      <c r="A13988" s="2">
        <v>13985</v>
      </c>
      <c r="B13988" s="2" t="s">
        <v>14060</v>
      </c>
      <c r="C13988" s="2" t="str">
        <f>"02539993"</f>
        <v>02539993</v>
      </c>
      <c r="D13988" s="2">
        <v>0.63900000000000001</v>
      </c>
      <c r="E13988" s="2">
        <v>19</v>
      </c>
      <c r="F13988" s="2" t="s">
        <v>46</v>
      </c>
    </row>
    <row r="13989" spans="1:6" ht="25.5">
      <c r="A13989" s="2">
        <v>13986</v>
      </c>
      <c r="B13989" s="2" t="s">
        <v>14061</v>
      </c>
      <c r="C13989" s="2" t="str">
        <f>"17242134"</f>
        <v>17242134</v>
      </c>
      <c r="D13989" s="2">
        <v>0.1</v>
      </c>
      <c r="E13989" s="2">
        <v>3</v>
      </c>
      <c r="F13989" s="2" t="s">
        <v>190</v>
      </c>
    </row>
    <row r="13990" spans="1:6" ht="25.5">
      <c r="A13990" s="2">
        <v>13987</v>
      </c>
      <c r="B13990" s="2" t="s">
        <v>14062</v>
      </c>
      <c r="C13990" s="2" t="str">
        <f>"09608931"</f>
        <v>09608931</v>
      </c>
      <c r="D13990" s="2">
        <v>0.93200000000000005</v>
      </c>
      <c r="E13990" s="2">
        <v>51</v>
      </c>
      <c r="F13990" s="2" t="s">
        <v>6</v>
      </c>
    </row>
    <row r="13991" spans="1:6" ht="25.5">
      <c r="A13991" s="2">
        <v>13988</v>
      </c>
      <c r="B13991" s="2" t="s">
        <v>14063</v>
      </c>
      <c r="C13991" s="2" t="str">
        <f>"00258938"</f>
        <v>00258938</v>
      </c>
      <c r="D13991" s="2">
        <v>0.15</v>
      </c>
      <c r="E13991" s="2">
        <v>4</v>
      </c>
      <c r="F13991" s="2" t="s">
        <v>127</v>
      </c>
    </row>
    <row r="13992" spans="1:6" ht="25.5">
      <c r="A13992" s="2">
        <v>13989</v>
      </c>
      <c r="B13992" s="2" t="s">
        <v>14064</v>
      </c>
      <c r="C13992" s="2" t="str">
        <f>"0163755X"</f>
        <v>0163755X</v>
      </c>
      <c r="D13992" s="2">
        <v>0.10100000000000001</v>
      </c>
      <c r="E13992" s="2">
        <v>1</v>
      </c>
      <c r="F13992" s="2" t="s">
        <v>6</v>
      </c>
    </row>
    <row r="13993" spans="1:6" ht="25.5">
      <c r="A13993" s="2">
        <v>13990</v>
      </c>
      <c r="B13993" s="2" t="s">
        <v>14065</v>
      </c>
      <c r="C13993" s="2" t="str">
        <f>"09275193"</f>
        <v>09275193</v>
      </c>
      <c r="D13993" s="2">
        <v>0</v>
      </c>
      <c r="E13993" s="2">
        <v>8</v>
      </c>
      <c r="F13993" s="2" t="s">
        <v>75</v>
      </c>
    </row>
    <row r="13994" spans="1:6" ht="25.5">
      <c r="A13994" s="2">
        <v>13991</v>
      </c>
      <c r="B13994" s="2" t="s">
        <v>14066</v>
      </c>
      <c r="C13994" s="2" t="str">
        <f>"09582118"</f>
        <v>09582118</v>
      </c>
      <c r="D13994" s="2">
        <v>0.21099999999999999</v>
      </c>
      <c r="E13994" s="2">
        <v>13</v>
      </c>
      <c r="F13994" s="2" t="s">
        <v>75</v>
      </c>
    </row>
    <row r="13995" spans="1:6" ht="25.5">
      <c r="A13995" s="2">
        <v>13992</v>
      </c>
      <c r="B13995" s="2" t="s">
        <v>14067</v>
      </c>
      <c r="C13995" s="2" t="str">
        <f>"18659292"</f>
        <v>18659292</v>
      </c>
      <c r="D13995" s="2">
        <v>1.5569999999999999</v>
      </c>
      <c r="E13995" s="2">
        <v>10</v>
      </c>
      <c r="F13995" s="2" t="s">
        <v>12</v>
      </c>
    </row>
    <row r="13996" spans="1:6" ht="25.5">
      <c r="A13996" s="2">
        <v>13993</v>
      </c>
      <c r="B13996" s="2" t="s">
        <v>14068</v>
      </c>
      <c r="C13996" s="2" t="str">
        <f>"13475622"</f>
        <v>13475622</v>
      </c>
      <c r="D13996" s="2">
        <v>0.13100000000000001</v>
      </c>
      <c r="E13996" s="2">
        <v>3</v>
      </c>
      <c r="F13996" s="2" t="s">
        <v>131</v>
      </c>
    </row>
    <row r="13997" spans="1:6" ht="25.5">
      <c r="A13997" s="2">
        <v>13994</v>
      </c>
      <c r="B13997" s="2" t="s">
        <v>14069</v>
      </c>
      <c r="C13997" s="2" t="str">
        <f>"00721069"</f>
        <v>00721069</v>
      </c>
      <c r="D13997" s="2">
        <v>0.62</v>
      </c>
      <c r="E13997" s="2">
        <v>20</v>
      </c>
      <c r="F13997" s="2" t="s">
        <v>6</v>
      </c>
    </row>
    <row r="13998" spans="1:6" ht="25.5">
      <c r="A13998" s="2">
        <v>13995</v>
      </c>
      <c r="B13998" s="2" t="s">
        <v>14070</v>
      </c>
      <c r="C13998" s="2" t="str">
        <f>"14472554"</f>
        <v>14472554</v>
      </c>
      <c r="D13998" s="2">
        <v>0.21199999999999999</v>
      </c>
      <c r="E13998" s="2">
        <v>2</v>
      </c>
      <c r="F13998" s="2" t="s">
        <v>127</v>
      </c>
    </row>
    <row r="13999" spans="1:6" ht="25.5">
      <c r="A13999" s="2">
        <v>13996</v>
      </c>
      <c r="B13999" s="2" t="s">
        <v>14071</v>
      </c>
      <c r="C13999" s="2" t="str">
        <f>"00659266"</f>
        <v>00659266</v>
      </c>
      <c r="D13999" s="2">
        <v>1.7929999999999999</v>
      </c>
      <c r="E13999" s="2">
        <v>35</v>
      </c>
      <c r="F13999" s="2" t="s">
        <v>6</v>
      </c>
    </row>
    <row r="14000" spans="1:6" ht="25.5">
      <c r="A14000" s="2">
        <v>13997</v>
      </c>
      <c r="B14000" s="2" t="s">
        <v>14072</v>
      </c>
      <c r="C14000" s="2" t="str">
        <f>"08108889"</f>
        <v>08108889</v>
      </c>
      <c r="D14000" s="2">
        <v>0.24199999999999999</v>
      </c>
      <c r="E14000" s="2">
        <v>2</v>
      </c>
      <c r="F14000" s="2" t="s">
        <v>127</v>
      </c>
    </row>
    <row r="14001" spans="1:6" ht="25.5">
      <c r="A14001" s="2">
        <v>13998</v>
      </c>
      <c r="B14001" s="2" t="s">
        <v>14073</v>
      </c>
      <c r="C14001" s="2" t="str">
        <f>"1345868X"</f>
        <v>1345868X</v>
      </c>
      <c r="D14001" s="2">
        <v>0.104</v>
      </c>
      <c r="E14001" s="2">
        <v>5</v>
      </c>
      <c r="F14001" s="2" t="s">
        <v>131</v>
      </c>
    </row>
    <row r="14002" spans="1:6" ht="25.5">
      <c r="A14002" s="2">
        <v>13999</v>
      </c>
      <c r="B14002" s="2" t="s">
        <v>14074</v>
      </c>
      <c r="C14002" s="2" t="str">
        <f>"00798835"</f>
        <v>00798835</v>
      </c>
      <c r="D14002" s="2">
        <v>0.29399999999999998</v>
      </c>
      <c r="E14002" s="2">
        <v>24</v>
      </c>
      <c r="F14002" s="2" t="s">
        <v>127</v>
      </c>
    </row>
    <row r="14003" spans="1:6" ht="25.5">
      <c r="A14003" s="2">
        <v>14000</v>
      </c>
      <c r="B14003" s="2" t="s">
        <v>14075</v>
      </c>
      <c r="C14003" s="2" t="str">
        <f>"14404788"</f>
        <v>14404788</v>
      </c>
      <c r="D14003" s="2">
        <v>0.152</v>
      </c>
      <c r="E14003" s="2">
        <v>1</v>
      </c>
      <c r="F14003" s="2" t="s">
        <v>127</v>
      </c>
    </row>
    <row r="14004" spans="1:6" ht="25.5">
      <c r="A14004" s="2">
        <v>14001</v>
      </c>
      <c r="B14004" s="2" t="s">
        <v>14076</v>
      </c>
      <c r="C14004" s="2" t="str">
        <f>"18655041"</f>
        <v>18655041</v>
      </c>
      <c r="D14004" s="2">
        <v>0.122</v>
      </c>
      <c r="E14004" s="2">
        <v>3</v>
      </c>
      <c r="F14004" s="2" t="s">
        <v>288</v>
      </c>
    </row>
    <row r="14005" spans="1:6" ht="25.5">
      <c r="A14005" s="2">
        <v>14002</v>
      </c>
      <c r="B14005" s="2" t="s">
        <v>14077</v>
      </c>
      <c r="C14005" s="2" t="str">
        <f>"03736873"</f>
        <v>03736873</v>
      </c>
      <c r="D14005" s="2">
        <v>0.12</v>
      </c>
      <c r="E14005" s="2">
        <v>7</v>
      </c>
      <c r="F14005" s="2" t="s">
        <v>751</v>
      </c>
    </row>
    <row r="14006" spans="1:6" ht="25.5">
      <c r="A14006" s="2">
        <v>14003</v>
      </c>
      <c r="B14006" s="2" t="s">
        <v>14078</v>
      </c>
      <c r="C14006" s="2" t="str">
        <f>"16788060"</f>
        <v>16788060</v>
      </c>
      <c r="D14006" s="2">
        <v>0.61899999999999999</v>
      </c>
      <c r="E14006" s="2">
        <v>51</v>
      </c>
      <c r="F14006" s="2" t="s">
        <v>159</v>
      </c>
    </row>
    <row r="14007" spans="1:6" ht="25.5">
      <c r="A14007" s="2">
        <v>14004</v>
      </c>
      <c r="B14007" s="2" t="s">
        <v>14079</v>
      </c>
      <c r="C14007" s="2" t="str">
        <f>"14640686"</f>
        <v>14640686</v>
      </c>
      <c r="D14007" s="2">
        <v>1.2050000000000001</v>
      </c>
      <c r="E14007" s="2">
        <v>49</v>
      </c>
      <c r="F14007" s="2" t="s">
        <v>16</v>
      </c>
    </row>
    <row r="14008" spans="1:6" ht="25.5">
      <c r="A14008" s="2">
        <v>14005</v>
      </c>
      <c r="B14008" s="2" t="s">
        <v>14080</v>
      </c>
      <c r="C14008" s="2" t="str">
        <f>"15325946"</f>
        <v>15325946</v>
      </c>
      <c r="D14008" s="2">
        <v>1.4359999999999999</v>
      </c>
      <c r="E14008" s="2">
        <v>72</v>
      </c>
      <c r="F14008" s="2" t="s">
        <v>6</v>
      </c>
    </row>
    <row r="14009" spans="1:6" ht="25.5">
      <c r="A14009" s="2">
        <v>14006</v>
      </c>
      <c r="B14009" s="2" t="s">
        <v>14081</v>
      </c>
      <c r="C14009" s="2" t="str">
        <f>"17506980"</f>
        <v>17506980</v>
      </c>
      <c r="D14009" s="2">
        <v>0.32600000000000001</v>
      </c>
      <c r="E14009" s="2">
        <v>10</v>
      </c>
      <c r="F14009" s="2" t="s">
        <v>16</v>
      </c>
    </row>
    <row r="14010" spans="1:6" ht="25.5">
      <c r="A14010" s="2">
        <v>14007</v>
      </c>
      <c r="B14010" s="2" t="s">
        <v>14082</v>
      </c>
      <c r="C14010" s="2" t="str">
        <f>"1097184X"</f>
        <v>1097184X</v>
      </c>
      <c r="D14010" s="2">
        <v>0.53900000000000003</v>
      </c>
      <c r="E14010" s="2">
        <v>15</v>
      </c>
      <c r="F14010" s="2" t="s">
        <v>6</v>
      </c>
    </row>
    <row r="14011" spans="1:6" ht="25.5">
      <c r="A14011" s="2">
        <v>14008</v>
      </c>
      <c r="B14011" s="2" t="s">
        <v>14083</v>
      </c>
      <c r="C14011" s="2" t="str">
        <f>"1364551X"</f>
        <v>1364551X</v>
      </c>
      <c r="D14011" s="2">
        <v>0.45700000000000002</v>
      </c>
      <c r="E14011" s="2">
        <v>20</v>
      </c>
      <c r="F14011" s="2" t="s">
        <v>75</v>
      </c>
    </row>
    <row r="14012" spans="1:6" ht="25.5">
      <c r="A14012" s="2">
        <v>14009</v>
      </c>
      <c r="B14012" s="2" t="s">
        <v>14084</v>
      </c>
      <c r="C14012" s="2" t="str">
        <f>"15300374"</f>
        <v>15300374</v>
      </c>
      <c r="D14012" s="2">
        <v>1.169</v>
      </c>
      <c r="E14012" s="2">
        <v>66</v>
      </c>
      <c r="F14012" s="2" t="s">
        <v>6</v>
      </c>
    </row>
    <row r="14013" spans="1:6" ht="25.5">
      <c r="A14013" s="2">
        <v>14010</v>
      </c>
      <c r="B14013" s="2" t="s">
        <v>14085</v>
      </c>
      <c r="C14013" s="2" t="str">
        <f>"19984014"</f>
        <v>19984014</v>
      </c>
      <c r="D14013" s="2">
        <v>0.16</v>
      </c>
      <c r="E14013" s="2">
        <v>5</v>
      </c>
      <c r="F14013" s="2" t="s">
        <v>488</v>
      </c>
    </row>
    <row r="14014" spans="1:6" ht="25.5">
      <c r="A14014" s="2">
        <v>14011</v>
      </c>
      <c r="B14014" s="2" t="s">
        <v>14086</v>
      </c>
      <c r="C14014" s="2" t="str">
        <f>"08837902"</f>
        <v>08837902</v>
      </c>
      <c r="D14014" s="2">
        <v>0.10299999999999999</v>
      </c>
      <c r="E14014" s="2">
        <v>5</v>
      </c>
      <c r="F14014" s="2" t="s">
        <v>6</v>
      </c>
    </row>
    <row r="14015" spans="1:6" ht="25.5">
      <c r="A14015" s="2">
        <v>14012</v>
      </c>
      <c r="B14015" s="2" t="s">
        <v>14087</v>
      </c>
      <c r="C14015" s="2" t="str">
        <f>"17552966"</f>
        <v>17552966</v>
      </c>
      <c r="D14015" s="2">
        <v>0.61899999999999999</v>
      </c>
      <c r="E14015" s="2">
        <v>10</v>
      </c>
      <c r="F14015" s="2" t="s">
        <v>75</v>
      </c>
    </row>
    <row r="14016" spans="1:6" ht="25.5">
      <c r="A14016" s="2">
        <v>14013</v>
      </c>
      <c r="B14016" s="2" t="s">
        <v>14088</v>
      </c>
      <c r="C14016" s="2" t="str">
        <f>"20428316"</f>
        <v>20428316</v>
      </c>
      <c r="D14016" s="2">
        <v>0.19</v>
      </c>
      <c r="E14016" s="2">
        <v>3</v>
      </c>
      <c r="F14016" s="2" t="s">
        <v>16</v>
      </c>
    </row>
    <row r="14017" spans="1:6" ht="25.5">
      <c r="A14017" s="2">
        <v>14014</v>
      </c>
      <c r="B14017" s="2" t="s">
        <v>14089</v>
      </c>
      <c r="C14017" s="2" t="str">
        <f>"17523281"</f>
        <v>17523281</v>
      </c>
      <c r="D14017" s="2">
        <v>0.27200000000000002</v>
      </c>
      <c r="E14017" s="2">
        <v>5</v>
      </c>
      <c r="F14017" s="2" t="s">
        <v>16</v>
      </c>
    </row>
    <row r="14018" spans="1:6" ht="25.5">
      <c r="A14018" s="2">
        <v>14015</v>
      </c>
      <c r="B14018" s="2" t="s">
        <v>14090</v>
      </c>
      <c r="C14018" s="2" t="str">
        <f>"1756834X"</f>
        <v>1756834X</v>
      </c>
      <c r="D14018" s="2">
        <v>0.254</v>
      </c>
      <c r="E14018" s="2">
        <v>7</v>
      </c>
      <c r="F14018" s="2" t="s">
        <v>16</v>
      </c>
    </row>
    <row r="14019" spans="1:6" ht="25.5">
      <c r="A14019" s="2">
        <v>14016</v>
      </c>
      <c r="B14019" s="2" t="s">
        <v>14091</v>
      </c>
      <c r="C14019" s="2" t="str">
        <f>"14699737"</f>
        <v>14699737</v>
      </c>
      <c r="D14019" s="2">
        <v>0.42499999999999999</v>
      </c>
      <c r="E14019" s="2">
        <v>19</v>
      </c>
      <c r="F14019" s="2" t="s">
        <v>16</v>
      </c>
    </row>
    <row r="14020" spans="1:6" ht="25.5">
      <c r="A14020" s="2">
        <v>14017</v>
      </c>
      <c r="B14020" s="2" t="s">
        <v>14092</v>
      </c>
      <c r="C14020" s="2" t="str">
        <f>"20428758"</f>
        <v>20428758</v>
      </c>
      <c r="D14020" s="2">
        <v>0.126</v>
      </c>
      <c r="E14020" s="2">
        <v>1</v>
      </c>
      <c r="F14020" s="2" t="s">
        <v>16</v>
      </c>
    </row>
    <row r="14021" spans="1:6" ht="25.5">
      <c r="A14021" s="2">
        <v>14018</v>
      </c>
      <c r="B14021" s="2" t="s">
        <v>14093</v>
      </c>
      <c r="C14021" s="2" t="str">
        <f>"14745186"</f>
        <v>14745186</v>
      </c>
      <c r="D14021" s="2">
        <v>0.10199999999999999</v>
      </c>
      <c r="E14021" s="2">
        <v>3</v>
      </c>
      <c r="F14021" s="2" t="s">
        <v>16</v>
      </c>
    </row>
    <row r="14022" spans="1:6" ht="25.5">
      <c r="A14022" s="2">
        <v>14019</v>
      </c>
      <c r="B14022" s="2" t="s">
        <v>14094</v>
      </c>
      <c r="C14022" s="2" t="str">
        <f>"17863759"</f>
        <v>17863759</v>
      </c>
      <c r="D14022" s="2">
        <v>0.33100000000000002</v>
      </c>
      <c r="E14022" s="2">
        <v>5</v>
      </c>
      <c r="F14022" s="2" t="s">
        <v>135</v>
      </c>
    </row>
    <row r="14023" spans="1:6" ht="25.5">
      <c r="A14023" s="2">
        <v>14020</v>
      </c>
      <c r="B14023" s="2" t="s">
        <v>14095</v>
      </c>
      <c r="C14023" s="2" t="str">
        <f>"18711340"</f>
        <v>18711340</v>
      </c>
      <c r="D14023" s="2">
        <v>0.438</v>
      </c>
      <c r="E14023" s="2">
        <v>4</v>
      </c>
      <c r="F14023" s="2" t="s">
        <v>75</v>
      </c>
    </row>
    <row r="14024" spans="1:6" ht="25.5">
      <c r="A14024" s="2">
        <v>14021</v>
      </c>
      <c r="B14024" s="2" t="s">
        <v>14096</v>
      </c>
      <c r="C14024" s="2" t="str">
        <f>"0025990X"</f>
        <v>0025990X</v>
      </c>
      <c r="D14024" s="2">
        <v>0.129</v>
      </c>
      <c r="E14024" s="2">
        <v>6</v>
      </c>
      <c r="F14024" s="2" t="s">
        <v>16</v>
      </c>
    </row>
    <row r="14025" spans="1:6" ht="25.5">
      <c r="A14025" s="2">
        <v>14022</v>
      </c>
      <c r="B14025" s="2" t="s">
        <v>14097</v>
      </c>
      <c r="C14025" s="2" t="str">
        <f>"14655659"</f>
        <v>14655659</v>
      </c>
      <c r="D14025" s="2">
        <v>0.21299999999999999</v>
      </c>
      <c r="E14025" s="2">
        <v>5</v>
      </c>
      <c r="F14025" s="2" t="s">
        <v>16</v>
      </c>
    </row>
    <row r="14026" spans="1:6">
      <c r="A14026" s="2">
        <v>14023</v>
      </c>
      <c r="B14026" s="2" t="s">
        <v>14098</v>
      </c>
      <c r="C14026" s="2" t="str">
        <f>"0"</f>
        <v>0</v>
      </c>
      <c r="D14026" s="2">
        <v>0.126</v>
      </c>
      <c r="E14026" s="2">
        <v>1</v>
      </c>
      <c r="F14026" s="2" t="s">
        <v>16</v>
      </c>
    </row>
    <row r="14027" spans="1:6" ht="25.5">
      <c r="A14027" s="2">
        <v>14024</v>
      </c>
      <c r="B14027" s="2" t="s">
        <v>14099</v>
      </c>
      <c r="C14027" s="2" t="str">
        <f>"10979778"</f>
        <v>10979778</v>
      </c>
      <c r="D14027" s="2">
        <v>0.10100000000000001</v>
      </c>
      <c r="E14027" s="2">
        <v>4</v>
      </c>
      <c r="F14027" s="2" t="s">
        <v>6</v>
      </c>
    </row>
    <row r="14028" spans="1:6" ht="25.5">
      <c r="A14028" s="2">
        <v>14025</v>
      </c>
      <c r="B14028" s="2" t="s">
        <v>14100</v>
      </c>
      <c r="C14028" s="2" t="str">
        <f>"00260096"</f>
        <v>00260096</v>
      </c>
      <c r="D14028" s="2">
        <v>0.10299999999999999</v>
      </c>
      <c r="E14028" s="2">
        <v>3</v>
      </c>
      <c r="F14028" s="2" t="s">
        <v>12</v>
      </c>
    </row>
    <row r="14029" spans="1:6" ht="25.5">
      <c r="A14029" s="2">
        <v>14026</v>
      </c>
      <c r="B14029" s="2" t="s">
        <v>14101</v>
      </c>
      <c r="C14029" s="2" t="str">
        <f>"15350266"</f>
        <v>15350266</v>
      </c>
      <c r="D14029" s="2">
        <v>0.96399999999999997</v>
      </c>
      <c r="E14029" s="2">
        <v>42</v>
      </c>
      <c r="F14029" s="2" t="s">
        <v>6</v>
      </c>
    </row>
    <row r="14030" spans="1:6" ht="25.5">
      <c r="A14030" s="2">
        <v>14027</v>
      </c>
      <c r="B14030" s="2" t="s">
        <v>14102</v>
      </c>
      <c r="C14030" s="2" t="str">
        <f>"00260452"</f>
        <v>00260452</v>
      </c>
      <c r="D14030" s="2">
        <v>0.11700000000000001</v>
      </c>
      <c r="E14030" s="2">
        <v>7</v>
      </c>
      <c r="F14030" s="2" t="s">
        <v>64</v>
      </c>
    </row>
    <row r="14031" spans="1:6" ht="25.5">
      <c r="A14031" s="2">
        <v>14028</v>
      </c>
      <c r="B14031" s="2" t="s">
        <v>14103</v>
      </c>
      <c r="C14031" s="2" t="str">
        <f>"21752753"</f>
        <v>21752753</v>
      </c>
      <c r="D14031" s="2">
        <v>0.1</v>
      </c>
      <c r="E14031" s="2">
        <v>1</v>
      </c>
      <c r="F14031" s="2" t="s">
        <v>159</v>
      </c>
    </row>
    <row r="14032" spans="1:6" ht="25.5">
      <c r="A14032" s="2">
        <v>14029</v>
      </c>
      <c r="B14032" s="2" t="s">
        <v>14104</v>
      </c>
      <c r="C14032" s="2" t="str">
        <f>"15737365"</f>
        <v>15737365</v>
      </c>
      <c r="D14032" s="2">
        <v>0.80500000000000005</v>
      </c>
      <c r="E14032" s="2">
        <v>41</v>
      </c>
      <c r="F14032" s="2" t="s">
        <v>6</v>
      </c>
    </row>
    <row r="14033" spans="1:6" ht="25.5">
      <c r="A14033" s="2">
        <v>14030</v>
      </c>
      <c r="B14033" s="2" t="s">
        <v>14105</v>
      </c>
      <c r="C14033" s="2" t="str">
        <f>"10967184"</f>
        <v>10967184</v>
      </c>
      <c r="D14033" s="2">
        <v>2.524</v>
      </c>
      <c r="E14033" s="2">
        <v>55</v>
      </c>
      <c r="F14033" s="2" t="s">
        <v>6</v>
      </c>
    </row>
    <row r="14034" spans="1:6" ht="25.5">
      <c r="A14034" s="2">
        <v>14031</v>
      </c>
      <c r="B14034" s="2" t="s">
        <v>14106</v>
      </c>
      <c r="C14034" s="2" t="str">
        <f>"15404196"</f>
        <v>15404196</v>
      </c>
      <c r="D14034" s="2">
        <v>0.66</v>
      </c>
      <c r="E14034" s="2">
        <v>18</v>
      </c>
      <c r="F14034" s="2" t="s">
        <v>6</v>
      </c>
    </row>
    <row r="14035" spans="1:6" ht="25.5">
      <c r="A14035" s="2">
        <v>14032</v>
      </c>
      <c r="B14035" s="2" t="s">
        <v>14107</v>
      </c>
      <c r="C14035" s="2" t="str">
        <f>"15328600"</f>
        <v>15328600</v>
      </c>
      <c r="D14035" s="2">
        <v>1.0189999999999999</v>
      </c>
      <c r="E14035" s="2">
        <v>87</v>
      </c>
      <c r="F14035" s="2" t="s">
        <v>16</v>
      </c>
    </row>
    <row r="14036" spans="1:6" ht="25.5">
      <c r="A14036" s="2">
        <v>14033</v>
      </c>
      <c r="B14036" s="2" t="s">
        <v>14108</v>
      </c>
      <c r="C14036" s="2" t="str">
        <f>"15733890"</f>
        <v>15733890</v>
      </c>
      <c r="D14036" s="2">
        <v>1.0109999999999999</v>
      </c>
      <c r="E14036" s="2">
        <v>31</v>
      </c>
      <c r="F14036" s="2" t="s">
        <v>6</v>
      </c>
    </row>
    <row r="14037" spans="1:6" ht="25.5">
      <c r="A14037" s="2">
        <v>14034</v>
      </c>
      <c r="B14037" s="2" t="s">
        <v>14109</v>
      </c>
      <c r="C14037" s="2" t="str">
        <f>"15561631"</f>
        <v>15561631</v>
      </c>
      <c r="D14037" s="2">
        <v>1.9339999999999999</v>
      </c>
      <c r="E14037" s="2">
        <v>17</v>
      </c>
      <c r="F14037" s="2" t="s">
        <v>6</v>
      </c>
    </row>
    <row r="14038" spans="1:6" ht="25.5">
      <c r="A14038" s="2">
        <v>14035</v>
      </c>
      <c r="B14038" s="2" t="s">
        <v>14110</v>
      </c>
      <c r="C14038" s="2" t="str">
        <f>"16875486"</f>
        <v>16875486</v>
      </c>
      <c r="D14038" s="2">
        <v>0.38300000000000001</v>
      </c>
      <c r="E14038" s="2">
        <v>24</v>
      </c>
      <c r="F14038" s="2" t="s">
        <v>6</v>
      </c>
    </row>
    <row r="14039" spans="1:6" ht="25.5">
      <c r="A14039" s="2">
        <v>14036</v>
      </c>
      <c r="B14039" s="2" t="s">
        <v>14111</v>
      </c>
      <c r="C14039" s="2" t="str">
        <f>"00260576"</f>
        <v>00260576</v>
      </c>
      <c r="D14039" s="2">
        <v>0.13</v>
      </c>
      <c r="E14039" s="2">
        <v>17</v>
      </c>
      <c r="F14039" s="2" t="s">
        <v>6</v>
      </c>
    </row>
    <row r="14040" spans="1:6" ht="25.5">
      <c r="A14040" s="2">
        <v>14037</v>
      </c>
      <c r="B14040" s="2" t="s">
        <v>14112</v>
      </c>
      <c r="C14040" s="2" t="str">
        <f>"00260746"</f>
        <v>00260746</v>
      </c>
      <c r="D14040" s="2">
        <v>0.113</v>
      </c>
      <c r="E14040" s="2">
        <v>9</v>
      </c>
      <c r="F14040" s="2" t="s">
        <v>12</v>
      </c>
    </row>
    <row r="14041" spans="1:6" ht="25.5">
      <c r="A14041" s="2">
        <v>14038</v>
      </c>
      <c r="B14041" s="2" t="s">
        <v>14113</v>
      </c>
      <c r="C14041" s="2" t="str">
        <f>"10241809"</f>
        <v>10241809</v>
      </c>
      <c r="D14041" s="2">
        <v>0.112</v>
      </c>
      <c r="E14041" s="2">
        <v>8</v>
      </c>
      <c r="F14041" s="2" t="s">
        <v>438</v>
      </c>
    </row>
    <row r="14042" spans="1:6" ht="25.5">
      <c r="A14042" s="2">
        <v>14039</v>
      </c>
      <c r="B14042" s="2" t="s">
        <v>14114</v>
      </c>
      <c r="C14042" s="2" t="str">
        <f>"15431940"</f>
        <v>15431940</v>
      </c>
      <c r="D14042" s="2">
        <v>1.3129999999999999</v>
      </c>
      <c r="E14042" s="2">
        <v>83</v>
      </c>
      <c r="F14042" s="2" t="s">
        <v>12</v>
      </c>
    </row>
    <row r="14043" spans="1:6" ht="25.5">
      <c r="A14043" s="2">
        <v>14040</v>
      </c>
      <c r="B14043" s="2" t="s">
        <v>14115</v>
      </c>
      <c r="C14043" s="2" t="str">
        <f>"10735615"</f>
        <v>10735615</v>
      </c>
      <c r="D14043" s="2">
        <v>0.69</v>
      </c>
      <c r="E14043" s="2">
        <v>44</v>
      </c>
      <c r="F14043" s="2" t="s">
        <v>12</v>
      </c>
    </row>
    <row r="14044" spans="1:6" ht="25.5">
      <c r="A14044" s="2">
        <v>14041</v>
      </c>
      <c r="B14044" s="2" t="s">
        <v>14116</v>
      </c>
      <c r="C14044" s="2" t="str">
        <f>"20788312"</f>
        <v>20788312</v>
      </c>
      <c r="D14044" s="2">
        <v>0.10199999999999999</v>
      </c>
      <c r="E14044" s="2">
        <v>1</v>
      </c>
      <c r="F14044" s="2" t="s">
        <v>438</v>
      </c>
    </row>
    <row r="14045" spans="1:6" ht="25.5">
      <c r="A14045" s="2">
        <v>14042</v>
      </c>
      <c r="B14045" s="2" t="s">
        <v>14117</v>
      </c>
      <c r="C14045" s="2" t="str">
        <f>"15738892"</f>
        <v>15738892</v>
      </c>
      <c r="D14045" s="2">
        <v>0.13300000000000001</v>
      </c>
      <c r="E14045" s="2">
        <v>7</v>
      </c>
      <c r="F14045" s="2" t="s">
        <v>6</v>
      </c>
    </row>
    <row r="14046" spans="1:6" ht="25.5">
      <c r="A14046" s="2">
        <v>14043</v>
      </c>
      <c r="B14046" s="2" t="s">
        <v>14118</v>
      </c>
      <c r="C14046" s="2" t="str">
        <f>"00260657"</f>
        <v>00260657</v>
      </c>
      <c r="D14046" s="2">
        <v>0.19500000000000001</v>
      </c>
      <c r="E14046" s="2">
        <v>11</v>
      </c>
      <c r="F14046" s="2" t="s">
        <v>16</v>
      </c>
    </row>
    <row r="14047" spans="1:6" ht="25.5">
      <c r="A14047" s="2">
        <v>14044</v>
      </c>
      <c r="B14047" s="2" t="s">
        <v>14119</v>
      </c>
      <c r="C14047" s="2" t="str">
        <f>"15989623"</f>
        <v>15989623</v>
      </c>
      <c r="D14047" s="2">
        <v>0.78400000000000003</v>
      </c>
      <c r="E14047" s="2">
        <v>24</v>
      </c>
      <c r="F14047" s="2" t="s">
        <v>274</v>
      </c>
    </row>
    <row r="14048" spans="1:6" ht="25.5">
      <c r="A14048" s="2">
        <v>14045</v>
      </c>
      <c r="B14048" s="2" t="s">
        <v>14120</v>
      </c>
      <c r="C14048" s="2" t="str">
        <f>"15738973"</f>
        <v>15738973</v>
      </c>
      <c r="D14048" s="2">
        <v>0.14299999999999999</v>
      </c>
      <c r="E14048" s="2">
        <v>11</v>
      </c>
      <c r="F14048" s="2" t="s">
        <v>6</v>
      </c>
    </row>
    <row r="14049" spans="1:6" ht="25.5">
      <c r="A14049" s="2">
        <v>14046</v>
      </c>
      <c r="B14049" s="2" t="s">
        <v>14121</v>
      </c>
      <c r="C14049" s="2" t="str">
        <f>"15822214"</f>
        <v>15822214</v>
      </c>
      <c r="D14049" s="2">
        <v>0.22900000000000001</v>
      </c>
      <c r="E14049" s="2">
        <v>7</v>
      </c>
      <c r="F14049" s="2" t="s">
        <v>19</v>
      </c>
    </row>
    <row r="14050" spans="1:6" ht="25.5">
      <c r="A14050" s="2">
        <v>14047</v>
      </c>
      <c r="B14050" s="2" t="s">
        <v>14122</v>
      </c>
      <c r="C14050" s="2" t="str">
        <f>"05435846"</f>
        <v>05435846</v>
      </c>
      <c r="D14050" s="2">
        <v>0.373</v>
      </c>
      <c r="E14050" s="2">
        <v>10</v>
      </c>
      <c r="F14050" s="2" t="s">
        <v>149</v>
      </c>
    </row>
    <row r="14051" spans="1:6" ht="25.5">
      <c r="A14051" s="2">
        <v>14048</v>
      </c>
      <c r="B14051" s="2" t="s">
        <v>14123</v>
      </c>
      <c r="C14051" s="2" t="str">
        <f>"18731988"</f>
        <v>18731988</v>
      </c>
      <c r="D14051" s="2">
        <v>0.997</v>
      </c>
      <c r="E14051" s="2">
        <v>16</v>
      </c>
      <c r="F14051" s="2" t="s">
        <v>75</v>
      </c>
    </row>
    <row r="14052" spans="1:6" ht="25.5">
      <c r="A14052" s="2">
        <v>14049</v>
      </c>
      <c r="B14052" s="2" t="s">
        <v>14124</v>
      </c>
      <c r="C14052" s="2" t="str">
        <f>"14679973"</f>
        <v>14679973</v>
      </c>
      <c r="D14052" s="2">
        <v>0.36699999999999999</v>
      </c>
      <c r="E14052" s="2">
        <v>13</v>
      </c>
      <c r="F14052" s="2" t="s">
        <v>16</v>
      </c>
    </row>
    <row r="14053" spans="1:6" ht="25.5">
      <c r="A14053" s="2">
        <v>14050</v>
      </c>
      <c r="B14053" s="2" t="s">
        <v>14125</v>
      </c>
      <c r="C14053" s="2" t="str">
        <f>"15327868"</f>
        <v>15327868</v>
      </c>
      <c r="D14053" s="2">
        <v>0.26400000000000001</v>
      </c>
      <c r="E14053" s="2">
        <v>7</v>
      </c>
      <c r="F14053" s="2" t="s">
        <v>16</v>
      </c>
    </row>
    <row r="14054" spans="1:6" ht="25.5">
      <c r="A14054" s="2">
        <v>14051</v>
      </c>
      <c r="B14054" s="2" t="s">
        <v>14126</v>
      </c>
      <c r="C14054" s="2" t="str">
        <f>"14679981"</f>
        <v>14679981</v>
      </c>
      <c r="D14054" s="2">
        <v>0.10100000000000001</v>
      </c>
      <c r="E14054" s="2">
        <v>1</v>
      </c>
      <c r="F14054" s="2" t="s">
        <v>75</v>
      </c>
    </row>
    <row r="14055" spans="1:6" ht="25.5">
      <c r="A14055" s="2">
        <v>14052</v>
      </c>
      <c r="B14055" s="2" t="s">
        <v>14127</v>
      </c>
      <c r="C14055" s="2" t="str">
        <f>"10869379"</f>
        <v>10869379</v>
      </c>
      <c r="D14055" s="2">
        <v>1.0389999999999999</v>
      </c>
      <c r="E14055" s="2">
        <v>58</v>
      </c>
      <c r="F14055" s="2" t="s">
        <v>6</v>
      </c>
    </row>
    <row r="14056" spans="1:6" ht="25.5">
      <c r="A14056" s="2">
        <v>14053</v>
      </c>
      <c r="B14056" s="2" t="s">
        <v>14128</v>
      </c>
      <c r="C14056" s="2" t="str">
        <f>"14698080"</f>
        <v>14698080</v>
      </c>
      <c r="D14056" s="2">
        <v>0.73299999999999998</v>
      </c>
      <c r="E14056" s="2">
        <v>26</v>
      </c>
      <c r="F14056" s="2" t="s">
        <v>16</v>
      </c>
    </row>
    <row r="14057" spans="1:6" ht="25.5">
      <c r="A14057" s="2">
        <v>14054</v>
      </c>
      <c r="B14057" s="2" t="s">
        <v>14129</v>
      </c>
      <c r="C14057" s="2" t="str">
        <f>"16101227"</f>
        <v>16101227</v>
      </c>
      <c r="D14057" s="2">
        <v>0.79400000000000004</v>
      </c>
      <c r="E14057" s="2">
        <v>30</v>
      </c>
      <c r="F14057" s="2" t="s">
        <v>12</v>
      </c>
    </row>
    <row r="14058" spans="1:6" ht="25.5">
      <c r="A14058" s="2">
        <v>14055</v>
      </c>
      <c r="B14058" s="2" t="s">
        <v>14130</v>
      </c>
      <c r="C14058" s="2" t="str">
        <f>"14365065"</f>
        <v>14365065</v>
      </c>
      <c r="D14058" s="2">
        <v>0.73899999999999999</v>
      </c>
      <c r="E14058" s="2">
        <v>38</v>
      </c>
      <c r="F14058" s="2" t="s">
        <v>288</v>
      </c>
    </row>
    <row r="14059" spans="1:6" ht="25.5">
      <c r="A14059" s="2">
        <v>14056</v>
      </c>
      <c r="B14059" s="2" t="s">
        <v>14131</v>
      </c>
      <c r="C14059" s="2" t="str">
        <f>"09433058"</f>
        <v>09433058</v>
      </c>
      <c r="D14059" s="2">
        <v>0.251</v>
      </c>
      <c r="E14059" s="2">
        <v>9</v>
      </c>
      <c r="F14059" s="2" t="s">
        <v>75</v>
      </c>
    </row>
    <row r="14060" spans="1:6" ht="25.5">
      <c r="A14060" s="2">
        <v>14057</v>
      </c>
      <c r="B14060" s="2" t="s">
        <v>14132</v>
      </c>
      <c r="C14060" s="2" t="str">
        <f>"19476108"</f>
        <v>19476108</v>
      </c>
      <c r="D14060" s="2">
        <v>0.186</v>
      </c>
      <c r="E14060" s="2">
        <v>4</v>
      </c>
      <c r="F14060" s="2" t="s">
        <v>6</v>
      </c>
    </row>
    <row r="14061" spans="1:6" ht="25.5">
      <c r="A14061" s="2">
        <v>14058</v>
      </c>
      <c r="B14061" s="2" t="s">
        <v>14133</v>
      </c>
      <c r="C14061" s="2" t="str">
        <f>"16142241"</f>
        <v>16142241</v>
      </c>
      <c r="D14061" s="2">
        <v>0.33400000000000002</v>
      </c>
      <c r="E14061" s="2">
        <v>13</v>
      </c>
      <c r="F14061" s="2" t="s">
        <v>6</v>
      </c>
    </row>
    <row r="14062" spans="1:6" ht="25.5">
      <c r="A14062" s="2">
        <v>14059</v>
      </c>
      <c r="B14062" s="2" t="s">
        <v>14134</v>
      </c>
      <c r="C14062" s="2" t="str">
        <f>"13875841"</f>
        <v>13875841</v>
      </c>
      <c r="D14062" s="2">
        <v>0.43099999999999999</v>
      </c>
      <c r="E14062" s="2">
        <v>13</v>
      </c>
      <c r="F14062" s="2" t="s">
        <v>75</v>
      </c>
    </row>
    <row r="14063" spans="1:6" ht="25.5">
      <c r="A14063" s="2">
        <v>14060</v>
      </c>
      <c r="B14063" s="2" t="s">
        <v>14135</v>
      </c>
      <c r="C14063" s="2" t="str">
        <f>"10959130"</f>
        <v>10959130</v>
      </c>
      <c r="D14063" s="2">
        <v>1.9970000000000001</v>
      </c>
      <c r="E14063" s="2">
        <v>83</v>
      </c>
      <c r="F14063" s="2" t="s">
        <v>6</v>
      </c>
    </row>
    <row r="14064" spans="1:6" ht="25.5">
      <c r="A14064" s="2">
        <v>14061</v>
      </c>
      <c r="B14064" s="2" t="s">
        <v>14136</v>
      </c>
      <c r="C14064" s="2" t="str">
        <f>"0091679X"</f>
        <v>0091679X</v>
      </c>
      <c r="D14064" s="2">
        <v>0.71</v>
      </c>
      <c r="E14064" s="2">
        <v>46</v>
      </c>
      <c r="F14064" s="2" t="s">
        <v>6</v>
      </c>
    </row>
    <row r="14065" spans="1:6" ht="25.5">
      <c r="A14065" s="2">
        <v>14062</v>
      </c>
      <c r="B14065" s="2" t="s">
        <v>14137</v>
      </c>
      <c r="C14065" s="2" t="str">
        <f>"2041210X"</f>
        <v>2041210X</v>
      </c>
      <c r="D14065" s="2">
        <v>1.696</v>
      </c>
      <c r="E14065" s="2">
        <v>10</v>
      </c>
      <c r="F14065" s="2" t="s">
        <v>6</v>
      </c>
    </row>
    <row r="14066" spans="1:6" ht="25.5">
      <c r="A14066" s="2">
        <v>14063</v>
      </c>
      <c r="B14066" s="2" t="s">
        <v>14138</v>
      </c>
      <c r="C14066" s="2" t="str">
        <f>"00766879"</f>
        <v>00766879</v>
      </c>
      <c r="D14066" s="2">
        <v>1.19</v>
      </c>
      <c r="E14066" s="2">
        <v>118</v>
      </c>
      <c r="F14066" s="2" t="s">
        <v>6</v>
      </c>
    </row>
    <row r="14067" spans="1:6" ht="25.5">
      <c r="A14067" s="2">
        <v>14064</v>
      </c>
      <c r="B14067" s="2" t="s">
        <v>14139</v>
      </c>
      <c r="C14067" s="2" t="str">
        <f>"05809517"</f>
        <v>05809517</v>
      </c>
      <c r="D14067" s="2">
        <v>0.253</v>
      </c>
      <c r="E14067" s="2">
        <v>20</v>
      </c>
      <c r="F14067" s="2" t="s">
        <v>6</v>
      </c>
    </row>
    <row r="14068" spans="1:6" ht="25.5">
      <c r="A14068" s="2">
        <v>14065</v>
      </c>
      <c r="B14068" s="2" t="s">
        <v>14140</v>
      </c>
      <c r="C14068" s="2" t="str">
        <f>"10643745"</f>
        <v>10643745</v>
      </c>
      <c r="D14068" s="2">
        <v>0.59199999999999997</v>
      </c>
      <c r="E14068" s="2">
        <v>68</v>
      </c>
      <c r="F14068" s="2" t="s">
        <v>6</v>
      </c>
    </row>
    <row r="14069" spans="1:6" ht="25.5">
      <c r="A14069" s="2">
        <v>14066</v>
      </c>
      <c r="B14069" s="2" t="s">
        <v>14141</v>
      </c>
      <c r="C14069" s="2" t="str">
        <f>"22111220"</f>
        <v>22111220</v>
      </c>
      <c r="D14069" s="2">
        <v>0</v>
      </c>
      <c r="E14069" s="2">
        <v>0</v>
      </c>
      <c r="F14069" s="2" t="s">
        <v>75</v>
      </c>
    </row>
    <row r="14070" spans="1:6" ht="25.5">
      <c r="A14070" s="2">
        <v>14067</v>
      </c>
      <c r="B14070" s="2" t="s">
        <v>14142</v>
      </c>
      <c r="C14070" s="2" t="str">
        <f>"15572153"</f>
        <v>15572153</v>
      </c>
      <c r="D14070" s="2">
        <v>0</v>
      </c>
      <c r="E14070" s="2">
        <v>1</v>
      </c>
      <c r="F14070" s="2" t="s">
        <v>6</v>
      </c>
    </row>
    <row r="14071" spans="1:6" ht="25.5">
      <c r="A14071" s="2">
        <v>14068</v>
      </c>
      <c r="B14071" s="2" t="s">
        <v>14143</v>
      </c>
      <c r="C14071" s="2" t="str">
        <f>"00766941"</f>
        <v>00766941</v>
      </c>
      <c r="D14071" s="2">
        <v>0.11</v>
      </c>
      <c r="E14071" s="2">
        <v>16</v>
      </c>
      <c r="F14071" s="2" t="s">
        <v>6</v>
      </c>
    </row>
    <row r="14072" spans="1:6" ht="25.5">
      <c r="A14072" s="2">
        <v>14069</v>
      </c>
      <c r="B14072" s="2" t="s">
        <v>14144</v>
      </c>
      <c r="C14072" s="2" t="str">
        <f>"00261270"</f>
        <v>00261270</v>
      </c>
      <c r="D14072" s="2">
        <v>1.083</v>
      </c>
      <c r="E14072" s="2">
        <v>38</v>
      </c>
      <c r="F14072" s="2" t="s">
        <v>12</v>
      </c>
    </row>
    <row r="14073" spans="1:6" ht="25.5">
      <c r="A14073" s="2">
        <v>14070</v>
      </c>
      <c r="B14073" s="2" t="s">
        <v>14145</v>
      </c>
      <c r="C14073" s="2" t="str">
        <f>"1258780X"</f>
        <v>1258780X</v>
      </c>
      <c r="D14073" s="2">
        <v>0.1</v>
      </c>
      <c r="E14073" s="2">
        <v>3</v>
      </c>
      <c r="F14073" s="2" t="s">
        <v>190</v>
      </c>
    </row>
    <row r="14074" spans="1:6" ht="25.5">
      <c r="A14074" s="2">
        <v>14071</v>
      </c>
      <c r="B14074" s="2" t="s">
        <v>14146</v>
      </c>
      <c r="C14074" s="2" t="str">
        <f>"18540031"</f>
        <v>18540031</v>
      </c>
      <c r="D14074" s="2">
        <v>0.113</v>
      </c>
      <c r="E14074" s="2">
        <v>1</v>
      </c>
      <c r="F14074" s="2" t="s">
        <v>154</v>
      </c>
    </row>
    <row r="14075" spans="1:6" ht="25.5">
      <c r="A14075" s="2">
        <v>14072</v>
      </c>
      <c r="B14075" s="2" t="s">
        <v>14147</v>
      </c>
      <c r="C14075" s="2" t="str">
        <f>"1435926X"</f>
        <v>1435926X</v>
      </c>
      <c r="D14075" s="2">
        <v>0.83899999999999997</v>
      </c>
      <c r="E14075" s="2">
        <v>22</v>
      </c>
      <c r="F14075" s="2" t="s">
        <v>12</v>
      </c>
    </row>
    <row r="14076" spans="1:6" ht="25.5">
      <c r="A14076" s="2">
        <v>14073</v>
      </c>
      <c r="B14076" s="2" t="s">
        <v>14148</v>
      </c>
      <c r="C14076" s="2" t="str">
        <f>"00261394"</f>
        <v>00261394</v>
      </c>
      <c r="D14076" s="2">
        <v>1.04</v>
      </c>
      <c r="E14076" s="2">
        <v>45</v>
      </c>
      <c r="F14076" s="2" t="s">
        <v>16</v>
      </c>
    </row>
    <row r="14077" spans="1:6" ht="25.5">
      <c r="A14077" s="2">
        <v>14074</v>
      </c>
      <c r="B14077" s="2" t="s">
        <v>14149</v>
      </c>
      <c r="C14077" s="2" t="str">
        <f>"08608229"</f>
        <v>08608229</v>
      </c>
      <c r="D14077" s="2">
        <v>0.29599999999999999</v>
      </c>
      <c r="E14077" s="2">
        <v>8</v>
      </c>
      <c r="F14077" s="2" t="s">
        <v>169</v>
      </c>
    </row>
    <row r="14078" spans="1:6" ht="25.5">
      <c r="A14078" s="2">
        <v>14075</v>
      </c>
      <c r="B14078" s="2" t="s">
        <v>14150</v>
      </c>
      <c r="C14078" s="2" t="str">
        <f>"00261424"</f>
        <v>00261424</v>
      </c>
      <c r="D14078" s="2">
        <v>0.33900000000000002</v>
      </c>
      <c r="E14078" s="2">
        <v>3</v>
      </c>
      <c r="F14078" s="2" t="s">
        <v>190</v>
      </c>
    </row>
    <row r="14079" spans="1:6" ht="25.5">
      <c r="A14079" s="2">
        <v>14076</v>
      </c>
      <c r="B14079" s="2" t="s">
        <v>14151</v>
      </c>
      <c r="C14079" s="2" t="str">
        <f>"00261521"</f>
        <v>00261521</v>
      </c>
      <c r="D14079" s="2">
        <v>0.105</v>
      </c>
      <c r="E14079" s="2">
        <v>1</v>
      </c>
      <c r="F14079" s="2" t="s">
        <v>6</v>
      </c>
    </row>
    <row r="14080" spans="1:6" ht="25.5">
      <c r="A14080" s="2">
        <v>14077</v>
      </c>
      <c r="B14080" s="2" t="s">
        <v>14152</v>
      </c>
      <c r="C14080" s="2" t="str">
        <f>"16378962"</f>
        <v>16378962</v>
      </c>
      <c r="D14080" s="2">
        <v>0.1</v>
      </c>
      <c r="E14080" s="2">
        <v>0</v>
      </c>
      <c r="F14080" s="2" t="s">
        <v>66</v>
      </c>
    </row>
    <row r="14081" spans="1:6" ht="25.5">
      <c r="A14081" s="2">
        <v>14078</v>
      </c>
      <c r="B14081" s="2" t="s">
        <v>14153</v>
      </c>
      <c r="C14081" s="2" t="str">
        <f>"02585316"</f>
        <v>02585316</v>
      </c>
      <c r="D14081" s="2">
        <v>0.19500000000000001</v>
      </c>
      <c r="E14081" s="2">
        <v>2</v>
      </c>
      <c r="F14081" s="2" t="s">
        <v>345</v>
      </c>
    </row>
    <row r="14082" spans="1:6" ht="25.5">
      <c r="A14082" s="2">
        <v>14079</v>
      </c>
      <c r="B14082" s="2" t="s">
        <v>14154</v>
      </c>
      <c r="C14082" s="2" t="str">
        <f>"07429797"</f>
        <v>07429797</v>
      </c>
      <c r="D14082" s="2">
        <v>0.152</v>
      </c>
      <c r="E14082" s="2">
        <v>6</v>
      </c>
      <c r="F14082" s="2" t="s">
        <v>6</v>
      </c>
    </row>
    <row r="14083" spans="1:6" ht="25.5">
      <c r="A14083" s="2">
        <v>14080</v>
      </c>
      <c r="B14083" s="2" t="s">
        <v>14155</v>
      </c>
      <c r="C14083" s="2" t="str">
        <f>"00267724"</f>
        <v>00267724</v>
      </c>
      <c r="D14083" s="2">
        <v>0.247</v>
      </c>
      <c r="E14083" s="2">
        <v>6</v>
      </c>
      <c r="F14083" s="2" t="s">
        <v>6</v>
      </c>
    </row>
    <row r="14084" spans="1:6" ht="25.5">
      <c r="A14084" s="2">
        <v>14081</v>
      </c>
      <c r="B14084" s="2" t="s">
        <v>14156</v>
      </c>
      <c r="C14084" s="2" t="str">
        <f>"15370240"</f>
        <v>15370240</v>
      </c>
      <c r="D14084" s="2">
        <v>0.104</v>
      </c>
      <c r="E14084" s="2">
        <v>5</v>
      </c>
      <c r="F14084" s="2" t="s">
        <v>6</v>
      </c>
    </row>
    <row r="14085" spans="1:6" ht="25.5">
      <c r="A14085" s="2">
        <v>14082</v>
      </c>
      <c r="B14085" s="2" t="s">
        <v>14157</v>
      </c>
      <c r="C14085" s="2" t="str">
        <f>"03601846"</f>
        <v>03601846</v>
      </c>
      <c r="D14085" s="2">
        <v>0.10100000000000001</v>
      </c>
      <c r="E14085" s="2">
        <v>2</v>
      </c>
      <c r="F14085" s="2" t="s">
        <v>6</v>
      </c>
    </row>
    <row r="14086" spans="1:6" ht="25.5">
      <c r="A14086" s="2">
        <v>14083</v>
      </c>
      <c r="B14086" s="2" t="s">
        <v>14158</v>
      </c>
      <c r="C14086" s="2" t="str">
        <f>"00262234"</f>
        <v>00262234</v>
      </c>
      <c r="D14086" s="2">
        <v>1.125</v>
      </c>
      <c r="E14086" s="2">
        <v>21</v>
      </c>
      <c r="F14086" s="2" t="s">
        <v>6</v>
      </c>
    </row>
    <row r="14087" spans="1:6" ht="25.5">
      <c r="A14087" s="2">
        <v>14084</v>
      </c>
      <c r="B14087" s="2" t="s">
        <v>14159</v>
      </c>
      <c r="C14087" s="2" t="str">
        <f>"00262285"</f>
        <v>00262285</v>
      </c>
      <c r="D14087" s="2">
        <v>0.82</v>
      </c>
      <c r="E14087" s="2">
        <v>21</v>
      </c>
      <c r="F14087" s="2" t="s">
        <v>6</v>
      </c>
    </row>
    <row r="14088" spans="1:6" ht="25.5">
      <c r="A14088" s="2">
        <v>14085</v>
      </c>
      <c r="B14088" s="2" t="s">
        <v>14160</v>
      </c>
      <c r="C14088" s="2" t="str">
        <f>"00262293"</f>
        <v>00262293</v>
      </c>
      <c r="D14088" s="2">
        <v>0.1</v>
      </c>
      <c r="E14088" s="2">
        <v>2</v>
      </c>
      <c r="F14088" s="2" t="s">
        <v>6</v>
      </c>
    </row>
    <row r="14089" spans="1:6" ht="25.5">
      <c r="A14089" s="2">
        <v>14086</v>
      </c>
      <c r="B14089" s="2" t="s">
        <v>14161</v>
      </c>
      <c r="C14089" s="2" t="str">
        <f>"00262366"</f>
        <v>00262366</v>
      </c>
      <c r="D14089" s="2">
        <v>0.1</v>
      </c>
      <c r="E14089" s="2">
        <v>2</v>
      </c>
      <c r="F14089" s="2" t="s">
        <v>6</v>
      </c>
    </row>
    <row r="14090" spans="1:6" ht="25.5">
      <c r="A14090" s="2">
        <v>14087</v>
      </c>
      <c r="B14090" s="2" t="s">
        <v>14162</v>
      </c>
      <c r="C14090" s="2" t="str">
        <f>"15587266"</f>
        <v>15587266</v>
      </c>
      <c r="D14090" s="2">
        <v>0.10100000000000001</v>
      </c>
      <c r="E14090" s="2">
        <v>3</v>
      </c>
      <c r="F14090" s="2" t="s">
        <v>6</v>
      </c>
    </row>
    <row r="14091" spans="1:6">
      <c r="A14091" s="2">
        <v>14088</v>
      </c>
      <c r="B14091" s="2" t="s">
        <v>14163</v>
      </c>
      <c r="C14091" s="2" t="str">
        <f>"0"</f>
        <v>0</v>
      </c>
      <c r="D14091" s="2">
        <v>0</v>
      </c>
      <c r="E14091" s="2">
        <v>0</v>
      </c>
      <c r="F14091" s="2" t="s">
        <v>6</v>
      </c>
    </row>
    <row r="14092" spans="1:6">
      <c r="A14092" s="2">
        <v>14089</v>
      </c>
      <c r="B14092" s="2" t="s">
        <v>14164</v>
      </c>
      <c r="C14092" s="2" t="str">
        <f>"0"</f>
        <v>0</v>
      </c>
      <c r="D14092" s="2">
        <v>0</v>
      </c>
      <c r="E14092" s="2">
        <v>0</v>
      </c>
      <c r="F14092" s="2" t="s">
        <v>6</v>
      </c>
    </row>
    <row r="14093" spans="1:6" ht="25.5">
      <c r="A14093" s="2">
        <v>14090</v>
      </c>
      <c r="B14093" s="2" t="s">
        <v>14165</v>
      </c>
      <c r="C14093" s="2" t="str">
        <f>"17500443"</f>
        <v>17500443</v>
      </c>
      <c r="D14093" s="2">
        <v>0.314</v>
      </c>
      <c r="E14093" s="2">
        <v>12</v>
      </c>
      <c r="F14093" s="2" t="s">
        <v>16</v>
      </c>
    </row>
    <row r="14094" spans="1:6" ht="25.5">
      <c r="A14094" s="2">
        <v>14091</v>
      </c>
      <c r="B14094" s="2" t="s">
        <v>14166</v>
      </c>
      <c r="C14094" s="2" t="str">
        <f>"18764037"</f>
        <v>18764037</v>
      </c>
      <c r="D14094" s="2">
        <v>0.17</v>
      </c>
      <c r="E14094" s="2">
        <v>4</v>
      </c>
      <c r="F14094" s="2" t="s">
        <v>75</v>
      </c>
    </row>
    <row r="14095" spans="1:6" ht="25.5">
      <c r="A14095" s="2">
        <v>14092</v>
      </c>
      <c r="B14095" s="2" t="s">
        <v>14167</v>
      </c>
      <c r="C14095" s="2" t="str">
        <f>"15587460"</f>
        <v>15587460</v>
      </c>
      <c r="D14095" s="2">
        <v>0.30299999999999999</v>
      </c>
      <c r="E14095" s="2">
        <v>16</v>
      </c>
      <c r="F14095" s="2" t="s">
        <v>6</v>
      </c>
    </row>
    <row r="14096" spans="1:6" ht="25.5">
      <c r="A14096" s="2">
        <v>14093</v>
      </c>
      <c r="B14096" s="2" t="s">
        <v>14168</v>
      </c>
      <c r="C14096" s="2" t="str">
        <f>"13474405"</f>
        <v>13474405</v>
      </c>
      <c r="D14096" s="2">
        <v>0.71099999999999997</v>
      </c>
      <c r="E14096" s="2">
        <v>15</v>
      </c>
      <c r="F14096" s="2" t="s">
        <v>131</v>
      </c>
    </row>
    <row r="14097" spans="1:6" ht="25.5">
      <c r="A14097" s="2">
        <v>14094</v>
      </c>
      <c r="B14097" s="2" t="s">
        <v>14169</v>
      </c>
      <c r="C14097" s="2" t="str">
        <f>"12864579"</f>
        <v>12864579</v>
      </c>
      <c r="D14097" s="2">
        <v>1.1859999999999999</v>
      </c>
      <c r="E14097" s="2">
        <v>93</v>
      </c>
      <c r="F14097" s="2" t="s">
        <v>190</v>
      </c>
    </row>
    <row r="14098" spans="1:6" ht="25.5">
      <c r="A14098" s="2">
        <v>14095</v>
      </c>
      <c r="B14098" s="2" t="s">
        <v>14170</v>
      </c>
      <c r="C14098" s="2" t="str">
        <f>"17517907"</f>
        <v>17517907</v>
      </c>
      <c r="D14098" s="2">
        <v>0.97699999999999998</v>
      </c>
      <c r="E14098" s="2">
        <v>19</v>
      </c>
      <c r="F14098" s="2" t="s">
        <v>16</v>
      </c>
    </row>
    <row r="14099" spans="1:6" ht="25.5">
      <c r="A14099" s="2">
        <v>14096</v>
      </c>
      <c r="B14099" s="2" t="s">
        <v>14171</v>
      </c>
      <c r="C14099" s="2" t="str">
        <f>"14752859"</f>
        <v>14752859</v>
      </c>
      <c r="D14099" s="2">
        <v>1.1970000000000001</v>
      </c>
      <c r="E14099" s="2">
        <v>36</v>
      </c>
      <c r="F14099" s="2" t="s">
        <v>16</v>
      </c>
    </row>
    <row r="14100" spans="1:6" ht="25.5">
      <c r="A14100" s="2">
        <v>14097</v>
      </c>
      <c r="B14100" s="2" t="s">
        <v>14172</v>
      </c>
      <c r="C14100" s="2" t="str">
        <f>"19318448"</f>
        <v>19318448</v>
      </c>
      <c r="D14100" s="2">
        <v>0.82199999999999995</v>
      </c>
      <c r="E14100" s="2">
        <v>47</v>
      </c>
      <c r="F14100" s="2" t="s">
        <v>6</v>
      </c>
    </row>
    <row r="14101" spans="1:6" ht="25.5">
      <c r="A14101" s="2">
        <v>14098</v>
      </c>
      <c r="B14101" s="2" t="s">
        <v>14173</v>
      </c>
      <c r="C14101" s="2" t="str">
        <f>"1432184X"</f>
        <v>1432184X</v>
      </c>
      <c r="D14101" s="2">
        <v>1.1679999999999999</v>
      </c>
      <c r="E14101" s="2">
        <v>71</v>
      </c>
      <c r="F14101" s="2" t="s">
        <v>6</v>
      </c>
    </row>
    <row r="14102" spans="1:6" ht="25.5">
      <c r="A14102" s="2">
        <v>14099</v>
      </c>
      <c r="B14102" s="2" t="s">
        <v>14174</v>
      </c>
      <c r="C14102" s="2" t="str">
        <f>"10961208"</f>
        <v>10961208</v>
      </c>
      <c r="D14102" s="2">
        <v>0.75700000000000001</v>
      </c>
      <c r="E14102" s="2">
        <v>49</v>
      </c>
      <c r="F14102" s="2" t="s">
        <v>6</v>
      </c>
    </row>
    <row r="14103" spans="1:6" ht="25.5">
      <c r="A14103" s="2">
        <v>14100</v>
      </c>
      <c r="B14103" s="2" t="s">
        <v>14175</v>
      </c>
      <c r="C14103" s="2" t="str">
        <f>"09445013"</f>
        <v>09445013</v>
      </c>
      <c r="D14103" s="2">
        <v>0.68200000000000005</v>
      </c>
      <c r="E14103" s="2">
        <v>33</v>
      </c>
      <c r="F14103" s="2" t="s">
        <v>12</v>
      </c>
    </row>
    <row r="14104" spans="1:6" ht="25.5">
      <c r="A14104" s="2">
        <v>14101</v>
      </c>
      <c r="B14104" s="2" t="s">
        <v>14176</v>
      </c>
      <c r="C14104" s="2" t="str">
        <f>"14652080"</f>
        <v>14652080</v>
      </c>
      <c r="D14104" s="2">
        <v>1.3069999999999999</v>
      </c>
      <c r="E14104" s="2">
        <v>115</v>
      </c>
      <c r="F14104" s="2" t="s">
        <v>16</v>
      </c>
    </row>
    <row r="14105" spans="1:6" ht="25.5">
      <c r="A14105" s="2">
        <v>14102</v>
      </c>
      <c r="B14105" s="2" t="s">
        <v>14176</v>
      </c>
      <c r="C14105" s="2" t="str">
        <f>"00262617"</f>
        <v>00262617</v>
      </c>
      <c r="D14105" s="2">
        <v>0.312</v>
      </c>
      <c r="E14105" s="2">
        <v>18</v>
      </c>
      <c r="F14105" s="2" t="s">
        <v>129</v>
      </c>
    </row>
    <row r="14106" spans="1:6" ht="25.5">
      <c r="A14106" s="2">
        <v>14103</v>
      </c>
      <c r="B14106" s="2" t="s">
        <v>14177</v>
      </c>
      <c r="C14106" s="2" t="str">
        <f>"13480421"</f>
        <v>13480421</v>
      </c>
      <c r="D14106" s="2">
        <v>0.59099999999999997</v>
      </c>
      <c r="E14106" s="2">
        <v>50</v>
      </c>
      <c r="F14106" s="2" t="s">
        <v>131</v>
      </c>
    </row>
    <row r="14107" spans="1:6" ht="25.5">
      <c r="A14107" s="2">
        <v>14104</v>
      </c>
      <c r="B14107" s="2" t="s">
        <v>14178</v>
      </c>
      <c r="C14107" s="2" t="str">
        <f>"10922172"</f>
        <v>10922172</v>
      </c>
      <c r="D14107" s="2">
        <v>7.8869999999999996</v>
      </c>
      <c r="E14107" s="2">
        <v>168</v>
      </c>
      <c r="F14107" s="2" t="s">
        <v>6</v>
      </c>
    </row>
    <row r="14108" spans="1:6" ht="25.5">
      <c r="A14108" s="2">
        <v>14105</v>
      </c>
      <c r="B14108" s="2" t="s">
        <v>14179</v>
      </c>
      <c r="C14108" s="2" t="str">
        <f>"14640570"</f>
        <v>14640570</v>
      </c>
      <c r="D14108" s="2">
        <v>0.107</v>
      </c>
      <c r="E14108" s="2">
        <v>4</v>
      </c>
      <c r="F14108" s="2" t="s">
        <v>16</v>
      </c>
    </row>
    <row r="14109" spans="1:6" ht="25.5">
      <c r="A14109" s="2">
        <v>14106</v>
      </c>
      <c r="B14109" s="2" t="s">
        <v>14180</v>
      </c>
      <c r="C14109" s="2" t="str">
        <f>"0026265X"</f>
        <v>0026265X</v>
      </c>
      <c r="D14109" s="2">
        <v>0.92100000000000004</v>
      </c>
      <c r="E14109" s="2">
        <v>46</v>
      </c>
      <c r="F14109" s="2" t="s">
        <v>6</v>
      </c>
    </row>
    <row r="14110" spans="1:6" ht="25.5">
      <c r="A14110" s="2">
        <v>14107</v>
      </c>
      <c r="B14110" s="2" t="s">
        <v>14181</v>
      </c>
      <c r="C14110" s="2" t="str">
        <f>"14365073"</f>
        <v>14365073</v>
      </c>
      <c r="D14110" s="2">
        <v>0.98</v>
      </c>
      <c r="E14110" s="2">
        <v>44</v>
      </c>
      <c r="F14110" s="2" t="s">
        <v>288</v>
      </c>
    </row>
    <row r="14111" spans="1:6" ht="25.5">
      <c r="A14111" s="2">
        <v>14108</v>
      </c>
      <c r="B14111" s="2" t="s">
        <v>14182</v>
      </c>
      <c r="C14111" s="2" t="str">
        <f>"15498719"</f>
        <v>15498719</v>
      </c>
      <c r="D14111" s="2">
        <v>1.0049999999999999</v>
      </c>
      <c r="E14111" s="2">
        <v>55</v>
      </c>
      <c r="F14111" s="2" t="s">
        <v>6</v>
      </c>
    </row>
    <row r="14112" spans="1:6" ht="25.5">
      <c r="A14112" s="2">
        <v>14109</v>
      </c>
      <c r="B14112" s="2" t="s">
        <v>14183</v>
      </c>
      <c r="C14112" s="2" t="str">
        <f>"01679317"</f>
        <v>01679317</v>
      </c>
      <c r="D14112" s="2">
        <v>0.68</v>
      </c>
      <c r="E14112" s="2">
        <v>60</v>
      </c>
      <c r="F14112" s="2" t="s">
        <v>75</v>
      </c>
    </row>
    <row r="14113" spans="1:6" ht="25.5">
      <c r="A14113" s="2">
        <v>14110</v>
      </c>
      <c r="B14113" s="2" t="s">
        <v>14184</v>
      </c>
      <c r="C14113" s="2" t="str">
        <f>"00262714"</f>
        <v>00262714</v>
      </c>
      <c r="D14113" s="2">
        <v>0.57899999999999996</v>
      </c>
      <c r="E14113" s="2">
        <v>51</v>
      </c>
      <c r="F14113" s="2" t="s">
        <v>16</v>
      </c>
    </row>
    <row r="14114" spans="1:6" ht="25.5">
      <c r="A14114" s="2">
        <v>14111</v>
      </c>
      <c r="B14114" s="2" t="s">
        <v>14185</v>
      </c>
      <c r="C14114" s="2" t="str">
        <f>"13565362"</f>
        <v>13565362</v>
      </c>
      <c r="D14114" s="2">
        <v>0.28599999999999998</v>
      </c>
      <c r="E14114" s="2">
        <v>13</v>
      </c>
      <c r="F14114" s="2" t="s">
        <v>16</v>
      </c>
    </row>
    <row r="14115" spans="1:6" ht="25.5">
      <c r="A14115" s="2">
        <v>14112</v>
      </c>
      <c r="B14115" s="2" t="s">
        <v>14186</v>
      </c>
      <c r="C14115" s="2" t="str">
        <f>"09598324"</f>
        <v>09598324</v>
      </c>
      <c r="D14115" s="2">
        <v>0.51200000000000001</v>
      </c>
      <c r="E14115" s="2">
        <v>38</v>
      </c>
      <c r="F14115" s="2" t="s">
        <v>75</v>
      </c>
    </row>
    <row r="14116" spans="1:6" ht="25.5">
      <c r="A14116" s="2">
        <v>14113</v>
      </c>
      <c r="B14116" s="2" t="s">
        <v>14187</v>
      </c>
      <c r="C14116" s="2" t="str">
        <f>"16134990"</f>
        <v>16134990</v>
      </c>
      <c r="D14116" s="2">
        <v>1.077</v>
      </c>
      <c r="E14116" s="2">
        <v>40</v>
      </c>
      <c r="F14116" s="2" t="s">
        <v>12</v>
      </c>
    </row>
    <row r="14117" spans="1:6" ht="25.5">
      <c r="A14117" s="2">
        <v>14114</v>
      </c>
      <c r="B14117" s="2" t="s">
        <v>14188</v>
      </c>
      <c r="C14117" s="2" t="str">
        <f>"21900752"</f>
        <v>21900752</v>
      </c>
      <c r="D14117" s="2">
        <v>0.10100000000000001</v>
      </c>
      <c r="E14117" s="2">
        <v>1</v>
      </c>
      <c r="F14117" s="2" t="s">
        <v>12</v>
      </c>
    </row>
    <row r="14118" spans="1:6" ht="25.5">
      <c r="A14118" s="2">
        <v>14115</v>
      </c>
      <c r="B14118" s="2" t="s">
        <v>14189</v>
      </c>
      <c r="C14118" s="2" t="str">
        <f>"09495770"</f>
        <v>09495770</v>
      </c>
      <c r="D14118" s="2">
        <v>0.121</v>
      </c>
      <c r="E14118" s="2">
        <v>1</v>
      </c>
      <c r="F14118" s="2" t="s">
        <v>12</v>
      </c>
    </row>
    <row r="14119" spans="1:6" ht="25.5">
      <c r="A14119" s="2">
        <v>14116</v>
      </c>
      <c r="B14119" s="2" t="s">
        <v>14190</v>
      </c>
      <c r="C14119" s="2" t="str">
        <f>"09380108"</f>
        <v>09380108</v>
      </c>
      <c r="D14119" s="2">
        <v>0.44500000000000001</v>
      </c>
      <c r="E14119" s="2">
        <v>16</v>
      </c>
      <c r="F14119" s="2" t="s">
        <v>75</v>
      </c>
    </row>
    <row r="14120" spans="1:6" ht="25.5">
      <c r="A14120" s="2">
        <v>14117</v>
      </c>
      <c r="B14120" s="2" t="s">
        <v>14191</v>
      </c>
      <c r="C14120" s="2" t="str">
        <f>"09684328"</f>
        <v>09684328</v>
      </c>
      <c r="D14120" s="2">
        <v>0.57699999999999996</v>
      </c>
      <c r="E14120" s="2">
        <v>51</v>
      </c>
      <c r="F14120" s="2" t="s">
        <v>16</v>
      </c>
    </row>
    <row r="14121" spans="1:6" ht="25.5">
      <c r="A14121" s="2">
        <v>14118</v>
      </c>
      <c r="B14121" s="2" t="s">
        <v>14192</v>
      </c>
      <c r="C14121" s="2" t="str">
        <f>"00262803"</f>
        <v>00262803</v>
      </c>
      <c r="D14121" s="2">
        <v>0.33400000000000002</v>
      </c>
      <c r="E14121" s="2">
        <v>27</v>
      </c>
      <c r="F14121" s="2" t="s">
        <v>6</v>
      </c>
    </row>
    <row r="14122" spans="1:6" ht="25.5">
      <c r="A14122" s="2">
        <v>14119</v>
      </c>
      <c r="B14122" s="2" t="s">
        <v>14193</v>
      </c>
      <c r="C14122" s="2" t="str">
        <f>"13871811"</f>
        <v>13871811</v>
      </c>
      <c r="D14122" s="2">
        <v>1.306</v>
      </c>
      <c r="E14122" s="2">
        <v>93</v>
      </c>
      <c r="F14122" s="2" t="s">
        <v>75</v>
      </c>
    </row>
    <row r="14123" spans="1:6" ht="25.5">
      <c r="A14123" s="2">
        <v>14120</v>
      </c>
      <c r="B14123" s="2" t="s">
        <v>14194</v>
      </c>
      <c r="C14123" s="2" t="str">
        <f>"01419331"</f>
        <v>01419331</v>
      </c>
      <c r="D14123" s="2">
        <v>0.29299999999999998</v>
      </c>
      <c r="E14123" s="2">
        <v>22</v>
      </c>
      <c r="F14123" s="2" t="s">
        <v>75</v>
      </c>
    </row>
    <row r="14124" spans="1:6" ht="25.5">
      <c r="A14124" s="2">
        <v>14121</v>
      </c>
      <c r="B14124" s="2" t="s">
        <v>14195</v>
      </c>
      <c r="C14124" s="2" t="str">
        <f>"10893954"</f>
        <v>10893954</v>
      </c>
      <c r="D14124" s="2">
        <v>0.434</v>
      </c>
      <c r="E14124" s="2">
        <v>33</v>
      </c>
      <c r="F14124" s="2" t="s">
        <v>16</v>
      </c>
    </row>
    <row r="14125" spans="1:6" ht="25.5">
      <c r="A14125" s="2">
        <v>14122</v>
      </c>
      <c r="B14125" s="2" t="s">
        <v>14196</v>
      </c>
      <c r="C14125" s="2" t="str">
        <f>"14358115"</f>
        <v>14358115</v>
      </c>
      <c r="D14125" s="2">
        <v>0.28999999999999998</v>
      </c>
      <c r="E14125" s="2">
        <v>37</v>
      </c>
      <c r="F14125" s="2" t="s">
        <v>16</v>
      </c>
    </row>
    <row r="14126" spans="1:6" ht="25.5">
      <c r="A14126" s="2">
        <v>14123</v>
      </c>
      <c r="B14126" s="2" t="s">
        <v>14197</v>
      </c>
      <c r="C14126" s="2" t="str">
        <f>"1059910X"</f>
        <v>1059910X</v>
      </c>
      <c r="D14126" s="2">
        <v>0.56899999999999995</v>
      </c>
      <c r="E14126" s="2">
        <v>83</v>
      </c>
      <c r="F14126" s="2" t="s">
        <v>6</v>
      </c>
    </row>
    <row r="14127" spans="1:6" ht="25.5">
      <c r="A14127" s="2">
        <v>14124</v>
      </c>
      <c r="B14127" s="2" t="s">
        <v>14198</v>
      </c>
      <c r="C14127" s="2" t="str">
        <f>"10982752"</f>
        <v>10982752</v>
      </c>
      <c r="D14127" s="2">
        <v>0.85</v>
      </c>
      <c r="E14127" s="2">
        <v>36</v>
      </c>
      <c r="F14127" s="2" t="s">
        <v>6</v>
      </c>
    </row>
    <row r="14128" spans="1:6" ht="25.5">
      <c r="A14128" s="2">
        <v>14125</v>
      </c>
      <c r="B14128" s="2" t="s">
        <v>14199</v>
      </c>
      <c r="C14128" s="2" t="str">
        <f>"09467076"</f>
        <v>09467076</v>
      </c>
      <c r="D14128" s="2">
        <v>0.41799999999999998</v>
      </c>
      <c r="E14128" s="2">
        <v>38</v>
      </c>
      <c r="F14128" s="2" t="s">
        <v>12</v>
      </c>
    </row>
    <row r="14129" spans="1:6" ht="25.5">
      <c r="A14129" s="2">
        <v>14126</v>
      </c>
      <c r="B14129" s="2" t="s">
        <v>14200</v>
      </c>
      <c r="C14129" s="2" t="str">
        <f>"10959319"</f>
        <v>10959319</v>
      </c>
      <c r="D14129" s="2">
        <v>0.93300000000000005</v>
      </c>
      <c r="E14129" s="2">
        <v>60</v>
      </c>
      <c r="F14129" s="2" t="s">
        <v>6</v>
      </c>
    </row>
    <row r="14130" spans="1:6" ht="25.5">
      <c r="A14130" s="2">
        <v>14127</v>
      </c>
      <c r="B14130" s="2" t="s">
        <v>14201</v>
      </c>
      <c r="C14130" s="2" t="str">
        <f>"10982760"</f>
        <v>10982760</v>
      </c>
      <c r="D14130" s="2">
        <v>0.47</v>
      </c>
      <c r="E14130" s="2">
        <v>51</v>
      </c>
      <c r="F14130" s="2" t="s">
        <v>6</v>
      </c>
    </row>
    <row r="14131" spans="1:6" ht="25.5">
      <c r="A14131" s="2">
        <v>14128</v>
      </c>
      <c r="B14131" s="2" t="s">
        <v>14202</v>
      </c>
      <c r="C14131" s="2" t="str">
        <f>"14505835"</f>
        <v>14505835</v>
      </c>
      <c r="D14131" s="2">
        <v>0</v>
      </c>
      <c r="E14131" s="2">
        <v>0</v>
      </c>
      <c r="F14131" s="2" t="s">
        <v>212</v>
      </c>
    </row>
    <row r="14132" spans="1:6" ht="25.5">
      <c r="A14132" s="2">
        <v>14129</v>
      </c>
      <c r="B14132" s="2" t="s">
        <v>14203</v>
      </c>
      <c r="C14132" s="2" t="str">
        <f>"20905408"</f>
        <v>20905408</v>
      </c>
      <c r="D14132" s="2">
        <v>0.11899999999999999</v>
      </c>
      <c r="E14132" s="2">
        <v>1</v>
      </c>
      <c r="F14132" s="2" t="s">
        <v>6</v>
      </c>
    </row>
    <row r="14133" spans="1:6" ht="25.5">
      <c r="A14133" s="2">
        <v>14130</v>
      </c>
      <c r="B14133" s="2" t="s">
        <v>14204</v>
      </c>
      <c r="C14133" s="2" t="str">
        <f>"1475262X"</f>
        <v>1475262X</v>
      </c>
      <c r="D14133" s="2">
        <v>0.10100000000000001</v>
      </c>
      <c r="E14133" s="2">
        <v>1</v>
      </c>
      <c r="F14133" s="2" t="s">
        <v>16</v>
      </c>
    </row>
    <row r="14134" spans="1:6" ht="25.5">
      <c r="A14134" s="2">
        <v>14131</v>
      </c>
      <c r="B14134" s="2" t="s">
        <v>14205</v>
      </c>
      <c r="C14134" s="2" t="str">
        <f>"00263206"</f>
        <v>00263206</v>
      </c>
      <c r="D14134" s="2">
        <v>0.39900000000000002</v>
      </c>
      <c r="E14134" s="2">
        <v>13</v>
      </c>
      <c r="F14134" s="2" t="s">
        <v>16</v>
      </c>
    </row>
    <row r="14135" spans="1:6" ht="25.5">
      <c r="A14135" s="2">
        <v>14132</v>
      </c>
      <c r="B14135" s="2" t="s">
        <v>14206</v>
      </c>
      <c r="C14135" s="2" t="str">
        <f>"11105690"</f>
        <v>11105690</v>
      </c>
      <c r="D14135" s="2">
        <v>0.13500000000000001</v>
      </c>
      <c r="E14135" s="2">
        <v>8</v>
      </c>
      <c r="F14135" s="2" t="s">
        <v>523</v>
      </c>
    </row>
    <row r="14136" spans="1:6" ht="25.5">
      <c r="A14136" s="2">
        <v>14133</v>
      </c>
      <c r="B14136" s="2" t="s">
        <v>14207</v>
      </c>
      <c r="C14136" s="2" t="str">
        <f>"05440440"</f>
        <v>05440440</v>
      </c>
      <c r="D14136" s="2">
        <v>0.187</v>
      </c>
      <c r="E14136" s="2">
        <v>11</v>
      </c>
      <c r="F14136" s="2" t="s">
        <v>9981</v>
      </c>
    </row>
    <row r="14137" spans="1:6" ht="25.5">
      <c r="A14137" s="2">
        <v>14134</v>
      </c>
      <c r="B14137" s="2" t="s">
        <v>14208</v>
      </c>
      <c r="C14137" s="2" t="str">
        <f>"18739857"</f>
        <v>18739857</v>
      </c>
      <c r="D14137" s="2">
        <v>0.1</v>
      </c>
      <c r="E14137" s="2">
        <v>3</v>
      </c>
      <c r="F14137" s="2" t="s">
        <v>75</v>
      </c>
    </row>
    <row r="14138" spans="1:6" ht="25.5">
      <c r="A14138" s="2">
        <v>14135</v>
      </c>
      <c r="B14138" s="2" t="s">
        <v>14209</v>
      </c>
      <c r="C14138" s="2" t="str">
        <f>"19998147"</f>
        <v>19998147</v>
      </c>
      <c r="D14138" s="2">
        <v>0</v>
      </c>
      <c r="E14138" s="2">
        <v>2</v>
      </c>
      <c r="F14138" s="2" t="s">
        <v>43</v>
      </c>
    </row>
    <row r="14139" spans="1:6" ht="25.5">
      <c r="A14139" s="2">
        <v>14136</v>
      </c>
      <c r="B14139" s="2" t="s">
        <v>14210</v>
      </c>
      <c r="C14139" s="2" t="str">
        <f>"00263141"</f>
        <v>00263141</v>
      </c>
      <c r="D14139" s="2">
        <v>0.82799999999999996</v>
      </c>
      <c r="E14139" s="2">
        <v>13</v>
      </c>
      <c r="F14139" s="2" t="s">
        <v>6</v>
      </c>
    </row>
    <row r="14140" spans="1:6" ht="25.5">
      <c r="A14140" s="2">
        <v>14137</v>
      </c>
      <c r="B14140" s="2" t="s">
        <v>14211</v>
      </c>
      <c r="C14140" s="2" t="str">
        <f>"18763375"</f>
        <v>18763375</v>
      </c>
      <c r="D14140" s="2">
        <v>0.31</v>
      </c>
      <c r="E14140" s="2">
        <v>3</v>
      </c>
      <c r="F14140" s="2" t="s">
        <v>75</v>
      </c>
    </row>
    <row r="14141" spans="1:6" ht="25.5">
      <c r="A14141" s="2">
        <v>14138</v>
      </c>
      <c r="B14141" s="2" t="s">
        <v>14212</v>
      </c>
      <c r="C14141" s="2" t="str">
        <f>"14754967"</f>
        <v>14754967</v>
      </c>
      <c r="D14141" s="2">
        <v>0.5</v>
      </c>
      <c r="E14141" s="2">
        <v>10</v>
      </c>
      <c r="F14141" s="2" t="s">
        <v>16</v>
      </c>
    </row>
    <row r="14142" spans="1:6" ht="25.5">
      <c r="A14142" s="2">
        <v>14139</v>
      </c>
      <c r="B14142" s="2" t="s">
        <v>14213</v>
      </c>
      <c r="C14142" s="2" t="str">
        <f>"10739467"</f>
        <v>10739467</v>
      </c>
      <c r="D14142" s="2">
        <v>0.24</v>
      </c>
      <c r="E14142" s="2">
        <v>6</v>
      </c>
      <c r="F14142" s="2" t="s">
        <v>6</v>
      </c>
    </row>
    <row r="14143" spans="1:6" ht="25.5">
      <c r="A14143" s="2">
        <v>14140</v>
      </c>
      <c r="B14143" s="2" t="s">
        <v>14214</v>
      </c>
      <c r="C14143" s="2" t="str">
        <f>"08992851"</f>
        <v>08992851</v>
      </c>
      <c r="D14143" s="2">
        <v>0.16300000000000001</v>
      </c>
      <c r="E14143" s="2">
        <v>10</v>
      </c>
      <c r="F14143" s="2" t="s">
        <v>6</v>
      </c>
    </row>
    <row r="14144" spans="1:6" ht="25.5">
      <c r="A14144" s="2">
        <v>14141</v>
      </c>
      <c r="B14144" s="2" t="s">
        <v>14215</v>
      </c>
      <c r="C14144" s="2" t="str">
        <f>"00263451"</f>
        <v>00263451</v>
      </c>
      <c r="D14144" s="2">
        <v>0.1</v>
      </c>
      <c r="E14144" s="2">
        <v>2</v>
      </c>
      <c r="F14144" s="2" t="s">
        <v>6</v>
      </c>
    </row>
    <row r="14145" spans="1:6" ht="25.5">
      <c r="A14145" s="2">
        <v>14142</v>
      </c>
      <c r="B14145" s="2" t="s">
        <v>14216</v>
      </c>
      <c r="C14145" s="2" t="str">
        <f>"03636550"</f>
        <v>03636550</v>
      </c>
      <c r="D14145" s="2">
        <v>0.20799999999999999</v>
      </c>
      <c r="E14145" s="2">
        <v>11</v>
      </c>
      <c r="F14145" s="2" t="s">
        <v>16</v>
      </c>
    </row>
    <row r="14146" spans="1:6" ht="25.5">
      <c r="A14146" s="2">
        <v>14143</v>
      </c>
      <c r="B14146" s="2" t="s">
        <v>14217</v>
      </c>
      <c r="C14146" s="2" t="str">
        <f>"15483746"</f>
        <v>15483746</v>
      </c>
      <c r="D14146" s="2">
        <v>0.14299999999999999</v>
      </c>
      <c r="E14146" s="2">
        <v>19</v>
      </c>
      <c r="F14146" s="2" t="s">
        <v>6</v>
      </c>
    </row>
    <row r="14147" spans="1:6" ht="25.5">
      <c r="A14147" s="2">
        <v>14144</v>
      </c>
      <c r="B14147" s="2" t="s">
        <v>14218</v>
      </c>
      <c r="C14147" s="2" t="str">
        <f>"02666138"</f>
        <v>02666138</v>
      </c>
      <c r="D14147" s="2">
        <v>0.55500000000000005</v>
      </c>
      <c r="E14147" s="2">
        <v>32</v>
      </c>
      <c r="F14147" s="2" t="s">
        <v>6</v>
      </c>
    </row>
    <row r="14148" spans="1:6" ht="25.5">
      <c r="A14148" s="2">
        <v>14145</v>
      </c>
      <c r="B14148" s="2" t="s">
        <v>14219</v>
      </c>
      <c r="C14148" s="2" t="str">
        <f>"15518892"</f>
        <v>15518892</v>
      </c>
      <c r="D14148" s="2">
        <v>0.10199999999999999</v>
      </c>
      <c r="E14148" s="2">
        <v>5</v>
      </c>
      <c r="F14148" s="2" t="s">
        <v>6</v>
      </c>
    </row>
    <row r="14149" spans="1:6" ht="25.5">
      <c r="A14149" s="2">
        <v>14146</v>
      </c>
      <c r="B14149" s="2" t="s">
        <v>14220</v>
      </c>
      <c r="C14149" s="2" t="str">
        <f>"11385774"</f>
        <v>11385774</v>
      </c>
      <c r="D14149" s="2">
        <v>0.126</v>
      </c>
      <c r="E14149" s="2">
        <v>0</v>
      </c>
      <c r="F14149" s="2" t="s">
        <v>351</v>
      </c>
    </row>
    <row r="14150" spans="1:6" ht="25.5">
      <c r="A14150" s="2">
        <v>14147</v>
      </c>
      <c r="B14150" s="2" t="s">
        <v>14221</v>
      </c>
      <c r="C14150" s="2" t="str">
        <f>"16658906"</f>
        <v>16658906</v>
      </c>
      <c r="D14150" s="2">
        <v>0.11799999999999999</v>
      </c>
      <c r="E14150" s="2">
        <v>2</v>
      </c>
      <c r="F14150" s="2" t="s">
        <v>200</v>
      </c>
    </row>
    <row r="14151" spans="1:6" ht="25.5">
      <c r="A14151" s="2">
        <v>14148</v>
      </c>
      <c r="B14151" s="2" t="s">
        <v>14222</v>
      </c>
      <c r="C14151" s="2" t="str">
        <f>"17418992"</f>
        <v>17418992</v>
      </c>
      <c r="D14151" s="2">
        <v>0.10299999999999999</v>
      </c>
      <c r="E14151" s="2">
        <v>1</v>
      </c>
      <c r="F14151" s="2" t="s">
        <v>16</v>
      </c>
    </row>
    <row r="14152" spans="1:6" ht="25.5">
      <c r="A14152" s="2">
        <v>14149</v>
      </c>
      <c r="B14152" s="2" t="s">
        <v>14223</v>
      </c>
      <c r="C14152" s="2" t="str">
        <f>"1232986X"</f>
        <v>1232986X</v>
      </c>
      <c r="D14152" s="2">
        <v>0.187</v>
      </c>
      <c r="E14152" s="2">
        <v>10</v>
      </c>
      <c r="F14152" s="2" t="s">
        <v>169</v>
      </c>
    </row>
    <row r="14153" spans="1:6" ht="25.5">
      <c r="A14153" s="2">
        <v>14150</v>
      </c>
      <c r="B14153" s="2" t="s">
        <v>14224</v>
      </c>
      <c r="C14153" s="2" t="str">
        <f>"16083237"</f>
        <v>16083237</v>
      </c>
      <c r="D14153" s="2">
        <v>0.123</v>
      </c>
      <c r="E14153" s="2">
        <v>17</v>
      </c>
      <c r="F14153" s="2" t="s">
        <v>129</v>
      </c>
    </row>
    <row r="14154" spans="1:6" ht="25.5">
      <c r="A14154" s="2">
        <v>14151</v>
      </c>
      <c r="B14154" s="2" t="s">
        <v>14225</v>
      </c>
      <c r="C14154" s="2" t="str">
        <f>"10280987"</f>
        <v>10280987</v>
      </c>
      <c r="D14154" s="2">
        <v>0.107</v>
      </c>
      <c r="E14154" s="2">
        <v>6</v>
      </c>
      <c r="F14154" s="2" t="s">
        <v>438</v>
      </c>
    </row>
    <row r="14155" spans="1:6" ht="25.5">
      <c r="A14155" s="2">
        <v>14152</v>
      </c>
      <c r="B14155" s="2" t="s">
        <v>14226</v>
      </c>
      <c r="C14155" s="2" t="str">
        <f>"03749096"</f>
        <v>03749096</v>
      </c>
      <c r="D14155" s="2">
        <v>0.25800000000000001</v>
      </c>
      <c r="E14155" s="2">
        <v>11</v>
      </c>
      <c r="F14155" s="2" t="s">
        <v>345</v>
      </c>
    </row>
    <row r="14156" spans="1:6" ht="25.5">
      <c r="A14156" s="2">
        <v>14153</v>
      </c>
      <c r="B14156" s="2" t="s">
        <v>14227</v>
      </c>
      <c r="C14156" s="2" t="str">
        <f>"00263680"</f>
        <v>00263680</v>
      </c>
      <c r="D14156" s="2">
        <v>0.185</v>
      </c>
      <c r="E14156" s="2">
        <v>5</v>
      </c>
      <c r="F14156" s="2" t="s">
        <v>12</v>
      </c>
    </row>
    <row r="14157" spans="1:6" ht="25.5">
      <c r="A14157" s="2">
        <v>14154</v>
      </c>
      <c r="B14157" s="2" t="s">
        <v>14228</v>
      </c>
      <c r="C14157" s="2" t="str">
        <f>"14249294"</f>
        <v>14249294</v>
      </c>
      <c r="D14157" s="2">
        <v>0.56599999999999995</v>
      </c>
      <c r="E14157" s="2">
        <v>10</v>
      </c>
      <c r="F14157" s="2" t="s">
        <v>31</v>
      </c>
    </row>
    <row r="14158" spans="1:6" ht="25.5">
      <c r="A14158" s="2">
        <v>14155</v>
      </c>
      <c r="B14158" s="2" t="s">
        <v>14229</v>
      </c>
      <c r="C14158" s="2" t="str">
        <f>"14680009"</f>
        <v>14680009</v>
      </c>
      <c r="D14158" s="2">
        <v>3.5790000000000002</v>
      </c>
      <c r="E14158" s="2">
        <v>58</v>
      </c>
      <c r="F14158" s="2" t="s">
        <v>16</v>
      </c>
    </row>
    <row r="14159" spans="1:6" ht="25.5">
      <c r="A14159" s="2">
        <v>14156</v>
      </c>
      <c r="B14159" s="2" t="s">
        <v>14230</v>
      </c>
      <c r="C14159" s="2" t="str">
        <f>"00263788"</f>
        <v>00263788</v>
      </c>
      <c r="D14159" s="2">
        <v>0.221</v>
      </c>
      <c r="E14159" s="2">
        <v>28</v>
      </c>
      <c r="F14159" s="2" t="s">
        <v>12</v>
      </c>
    </row>
    <row r="14160" spans="1:6" ht="25.5">
      <c r="A14160" s="2">
        <v>14157</v>
      </c>
      <c r="B14160" s="2" t="s">
        <v>14231</v>
      </c>
      <c r="C14160" s="2" t="str">
        <f>"00263826"</f>
        <v>00263826</v>
      </c>
      <c r="D14160" s="2">
        <v>0.14799999999999999</v>
      </c>
      <c r="E14160" s="2">
        <v>2</v>
      </c>
      <c r="F14160" s="2" t="s">
        <v>12</v>
      </c>
    </row>
    <row r="14161" spans="1:6" ht="25.5">
      <c r="A14161" s="2">
        <v>14158</v>
      </c>
      <c r="B14161" s="2" t="s">
        <v>14232</v>
      </c>
      <c r="C14161" s="2" t="str">
        <f>"00264040"</f>
        <v>00264040</v>
      </c>
      <c r="D14161" s="2">
        <v>0.13700000000000001</v>
      </c>
      <c r="E14161" s="2">
        <v>5</v>
      </c>
      <c r="F14161" s="2" t="s">
        <v>6</v>
      </c>
    </row>
    <row r="14162" spans="1:6" ht="25.5">
      <c r="A14162" s="2">
        <v>14159</v>
      </c>
      <c r="B14162" s="2" t="s">
        <v>14233</v>
      </c>
      <c r="C14162" s="2" t="str">
        <f>"00264075"</f>
        <v>00264075</v>
      </c>
      <c r="D14162" s="2">
        <v>0.31900000000000001</v>
      </c>
      <c r="E14162" s="2">
        <v>39</v>
      </c>
      <c r="F14162" s="2" t="s">
        <v>6</v>
      </c>
    </row>
    <row r="14163" spans="1:6" ht="25.5">
      <c r="A14163" s="2">
        <v>14160</v>
      </c>
      <c r="B14163" s="2" t="s">
        <v>14234</v>
      </c>
      <c r="C14163" s="2" t="str">
        <f>"02755823"</f>
        <v>02755823</v>
      </c>
      <c r="D14163" s="2">
        <v>0.22700000000000001</v>
      </c>
      <c r="E14163" s="2">
        <v>6</v>
      </c>
      <c r="F14163" s="2" t="s">
        <v>6</v>
      </c>
    </row>
    <row r="14164" spans="1:6" ht="25.5">
      <c r="A14164" s="2">
        <v>14161</v>
      </c>
      <c r="B14164" s="2" t="s">
        <v>14235</v>
      </c>
      <c r="C14164" s="2" t="str">
        <f>"15327876"</f>
        <v>15327876</v>
      </c>
      <c r="D14164" s="2">
        <v>0.41299999999999998</v>
      </c>
      <c r="E14164" s="2">
        <v>23</v>
      </c>
      <c r="F14164" s="2" t="s">
        <v>16</v>
      </c>
    </row>
    <row r="14165" spans="1:6" ht="25.5">
      <c r="A14165" s="2">
        <v>14162</v>
      </c>
      <c r="B14165" s="2" t="s">
        <v>14236</v>
      </c>
      <c r="C14165" s="2" t="str">
        <f>"10645586"</f>
        <v>10645586</v>
      </c>
      <c r="D14165" s="2">
        <v>0.10100000000000001</v>
      </c>
      <c r="E14165" s="2">
        <v>1</v>
      </c>
      <c r="F14165" s="2" t="s">
        <v>6</v>
      </c>
    </row>
    <row r="14166" spans="1:6" ht="25.5">
      <c r="A14166" s="2">
        <v>14163</v>
      </c>
      <c r="B14166" s="2" t="s">
        <v>14237</v>
      </c>
      <c r="C14166" s="2" t="str">
        <f>"03058298"</f>
        <v>03058298</v>
      </c>
      <c r="D14166" s="2">
        <v>0.64800000000000002</v>
      </c>
      <c r="E14166" s="2">
        <v>24</v>
      </c>
      <c r="F14166" s="2" t="s">
        <v>16</v>
      </c>
    </row>
    <row r="14167" spans="1:6" ht="25.5">
      <c r="A14167" s="2">
        <v>14164</v>
      </c>
      <c r="B14167" s="2" t="s">
        <v>14238</v>
      </c>
      <c r="C14167" s="2" t="str">
        <f>"13025600"</f>
        <v>13025600</v>
      </c>
      <c r="D14167" s="2">
        <v>0.13800000000000001</v>
      </c>
      <c r="E14167" s="2">
        <v>2</v>
      </c>
      <c r="F14167" s="2" t="s">
        <v>345</v>
      </c>
    </row>
    <row r="14168" spans="1:6" ht="25.5">
      <c r="A14168" s="2">
        <v>14165</v>
      </c>
      <c r="B14168" s="2" t="s">
        <v>14239</v>
      </c>
      <c r="C14168" s="2" t="str">
        <f>"13003984"</f>
        <v>13003984</v>
      </c>
      <c r="D14168" s="2">
        <v>0.11799999999999999</v>
      </c>
      <c r="E14168" s="2">
        <v>3</v>
      </c>
      <c r="F14168" s="2" t="s">
        <v>345</v>
      </c>
    </row>
    <row r="14169" spans="1:6" ht="25.5">
      <c r="A14169" s="2">
        <v>14166</v>
      </c>
      <c r="B14169" s="2" t="s">
        <v>14240</v>
      </c>
      <c r="C14169" s="2" t="str">
        <f>"1094348X"</f>
        <v>1094348X</v>
      </c>
      <c r="D14169" s="2">
        <v>0.16400000000000001</v>
      </c>
      <c r="E14169" s="2">
        <v>5</v>
      </c>
      <c r="F14169" s="2" t="s">
        <v>16</v>
      </c>
    </row>
    <row r="14170" spans="1:6" ht="25.5">
      <c r="A14170" s="2">
        <v>14167</v>
      </c>
      <c r="B14170" s="2" t="s">
        <v>14241</v>
      </c>
      <c r="C14170" s="2" t="str">
        <f>"00768820"</f>
        <v>00768820</v>
      </c>
      <c r="D14170" s="2">
        <v>0.151</v>
      </c>
      <c r="E14170" s="2">
        <v>4</v>
      </c>
      <c r="F14170" s="2" t="s">
        <v>6</v>
      </c>
    </row>
    <row r="14171" spans="1:6" ht="25.5">
      <c r="A14171" s="2">
        <v>14168</v>
      </c>
      <c r="B14171" s="2" t="s">
        <v>14242</v>
      </c>
      <c r="C14171" s="2" t="str">
        <f>"14602113"</f>
        <v>14602113</v>
      </c>
      <c r="D14171" s="2">
        <v>1.075</v>
      </c>
      <c r="E14171" s="2">
        <v>19</v>
      </c>
      <c r="F14171" s="2" t="s">
        <v>16</v>
      </c>
    </row>
    <row r="14172" spans="1:6" ht="25.5">
      <c r="A14172" s="2">
        <v>14169</v>
      </c>
      <c r="B14172" s="2" t="s">
        <v>14243</v>
      </c>
      <c r="C14172" s="2" t="str">
        <f>"14680017"</f>
        <v>14680017</v>
      </c>
      <c r="D14172" s="2">
        <v>1.554</v>
      </c>
      <c r="E14172" s="2">
        <v>34</v>
      </c>
      <c r="F14172" s="2" t="s">
        <v>16</v>
      </c>
    </row>
    <row r="14173" spans="1:6" ht="25.5">
      <c r="A14173" s="2">
        <v>14170</v>
      </c>
      <c r="B14173" s="2" t="s">
        <v>14244</v>
      </c>
      <c r="C14173" s="2" t="str">
        <f>"15937879"</f>
        <v>15937879</v>
      </c>
      <c r="D14173" s="2">
        <v>0.20399999999999999</v>
      </c>
      <c r="E14173" s="2">
        <v>6</v>
      </c>
      <c r="F14173" s="2" t="s">
        <v>12</v>
      </c>
    </row>
    <row r="14174" spans="1:6" ht="25.5">
      <c r="A14174" s="2">
        <v>14171</v>
      </c>
      <c r="B14174" s="2" t="s">
        <v>14245</v>
      </c>
      <c r="C14174" s="2" t="str">
        <f>"1751228X"</f>
        <v>1751228X</v>
      </c>
      <c r="D14174" s="2">
        <v>0.47199999999999998</v>
      </c>
      <c r="E14174" s="2">
        <v>11</v>
      </c>
      <c r="F14174" s="2" t="s">
        <v>16</v>
      </c>
    </row>
    <row r="14175" spans="1:6" ht="25.5">
      <c r="A14175" s="2">
        <v>14172</v>
      </c>
      <c r="B14175" s="2" t="s">
        <v>14246</v>
      </c>
      <c r="C14175" s="2" t="str">
        <f>"10749039"</f>
        <v>10749039</v>
      </c>
      <c r="D14175" s="2">
        <v>0.70399999999999996</v>
      </c>
      <c r="E14175" s="2">
        <v>25</v>
      </c>
      <c r="F14175" s="2" t="s">
        <v>16</v>
      </c>
    </row>
    <row r="14176" spans="1:6" ht="25.5">
      <c r="A14176" s="2">
        <v>14173</v>
      </c>
      <c r="B14176" s="2" t="s">
        <v>14247</v>
      </c>
      <c r="C14176" s="2" t="str">
        <f>"18688535"</f>
        <v>18688535</v>
      </c>
      <c r="D14176" s="2">
        <v>0.54300000000000004</v>
      </c>
      <c r="E14176" s="2">
        <v>7</v>
      </c>
      <c r="F14176" s="2" t="s">
        <v>12</v>
      </c>
    </row>
    <row r="14177" spans="1:6" ht="25.5">
      <c r="A14177" s="2">
        <v>14174</v>
      </c>
      <c r="B14177" s="2" t="s">
        <v>14248</v>
      </c>
      <c r="C14177" s="2" t="str">
        <f>"15728641"</f>
        <v>15728641</v>
      </c>
      <c r="D14177" s="2">
        <v>0.317</v>
      </c>
      <c r="E14177" s="2">
        <v>18</v>
      </c>
      <c r="F14177" s="2" t="s">
        <v>75</v>
      </c>
    </row>
    <row r="14178" spans="1:6" ht="25.5">
      <c r="A14178" s="2">
        <v>14175</v>
      </c>
      <c r="B14178" s="2" t="s">
        <v>14249</v>
      </c>
      <c r="C14178" s="2" t="str">
        <f>"14321866"</f>
        <v>14321866</v>
      </c>
      <c r="D14178" s="2">
        <v>1.08</v>
      </c>
      <c r="E14178" s="2">
        <v>47</v>
      </c>
      <c r="F14178" s="2" t="s">
        <v>12</v>
      </c>
    </row>
    <row r="14179" spans="1:6" ht="25.5">
      <c r="A14179" s="2">
        <v>14176</v>
      </c>
      <c r="B14179" s="2" t="s">
        <v>14250</v>
      </c>
      <c r="C14179" s="2" t="str">
        <f>"18998526"</f>
        <v>18998526</v>
      </c>
      <c r="D14179" s="2">
        <v>0.114</v>
      </c>
      <c r="E14179" s="2">
        <v>2</v>
      </c>
      <c r="F14179" s="2" t="s">
        <v>169</v>
      </c>
    </row>
    <row r="14180" spans="1:6" ht="25.5">
      <c r="A14180" s="2">
        <v>14177</v>
      </c>
      <c r="B14180" s="2" t="s">
        <v>14251</v>
      </c>
      <c r="C14180" s="2" t="str">
        <f>"0026461X"</f>
        <v>0026461X</v>
      </c>
      <c r="D14180" s="2">
        <v>0.69</v>
      </c>
      <c r="E14180" s="2">
        <v>38</v>
      </c>
      <c r="F14180" s="2" t="s">
        <v>16</v>
      </c>
    </row>
    <row r="14181" spans="1:6" ht="25.5">
      <c r="A14181" s="2">
        <v>14178</v>
      </c>
      <c r="B14181" s="2" t="s">
        <v>14252</v>
      </c>
      <c r="C14181" s="2" t="str">
        <f>"00264628"</f>
        <v>00264628</v>
      </c>
      <c r="D14181" s="2">
        <v>0.14000000000000001</v>
      </c>
      <c r="E14181" s="2">
        <v>9</v>
      </c>
      <c r="F14181" s="2" t="s">
        <v>6</v>
      </c>
    </row>
    <row r="14182" spans="1:6" ht="25.5">
      <c r="A14182" s="2">
        <v>14179</v>
      </c>
      <c r="B14182" s="2" t="s">
        <v>14253</v>
      </c>
      <c r="C14182" s="2" t="str">
        <f>"14381168"</f>
        <v>14381168</v>
      </c>
      <c r="D14182" s="2">
        <v>0.91700000000000004</v>
      </c>
      <c r="E14182" s="2">
        <v>32</v>
      </c>
      <c r="F14182" s="2" t="s">
        <v>288</v>
      </c>
    </row>
    <row r="14183" spans="1:6" ht="25.5">
      <c r="A14183" s="2">
        <v>14180</v>
      </c>
      <c r="B14183" s="2" t="s">
        <v>14254</v>
      </c>
      <c r="C14183" s="2" t="str">
        <f>"15747401"</f>
        <v>15747401</v>
      </c>
      <c r="D14183" s="2">
        <v>0.33700000000000002</v>
      </c>
      <c r="E14183" s="2">
        <v>14</v>
      </c>
      <c r="F14183" s="2" t="s">
        <v>16</v>
      </c>
    </row>
    <row r="14184" spans="1:6" ht="25.5">
      <c r="A14184" s="2">
        <v>14181</v>
      </c>
      <c r="B14184" s="2" t="s">
        <v>14255</v>
      </c>
      <c r="C14184" s="2" t="str">
        <f>"07479182"</f>
        <v>07479182</v>
      </c>
      <c r="D14184" s="2">
        <v>0.312</v>
      </c>
      <c r="E14184" s="2">
        <v>16</v>
      </c>
      <c r="F14184" s="2" t="s">
        <v>6</v>
      </c>
    </row>
    <row r="14185" spans="1:6" ht="25.5">
      <c r="A14185" s="2">
        <v>14182</v>
      </c>
      <c r="B14185" s="2" t="s">
        <v>14256</v>
      </c>
      <c r="C14185" s="2" t="str">
        <f>"08926875"</f>
        <v>08926875</v>
      </c>
      <c r="D14185" s="2">
        <v>1.0389999999999999</v>
      </c>
      <c r="E14185" s="2">
        <v>49</v>
      </c>
      <c r="F14185" s="2" t="s">
        <v>16</v>
      </c>
    </row>
    <row r="14186" spans="1:6" ht="25.5">
      <c r="A14186" s="2">
        <v>14183</v>
      </c>
      <c r="B14186" s="2" t="s">
        <v>14257</v>
      </c>
      <c r="C14186" s="2" t="str">
        <f>"15731871"</f>
        <v>15731871</v>
      </c>
      <c r="D14186" s="2">
        <v>0.79100000000000004</v>
      </c>
      <c r="E14186" s="2">
        <v>18</v>
      </c>
      <c r="F14186" s="2" t="s">
        <v>75</v>
      </c>
    </row>
    <row r="14187" spans="1:6" ht="25.5">
      <c r="A14187" s="2">
        <v>14184</v>
      </c>
      <c r="B14187" s="2" t="s">
        <v>14258</v>
      </c>
      <c r="C14187" s="2" t="str">
        <f>"03759393"</f>
        <v>03759393</v>
      </c>
      <c r="D14187" s="2">
        <v>0.82299999999999995</v>
      </c>
      <c r="E14187" s="2">
        <v>28</v>
      </c>
      <c r="F14187" s="2" t="s">
        <v>190</v>
      </c>
    </row>
    <row r="14188" spans="1:6" ht="25.5">
      <c r="A14188" s="2">
        <v>14185</v>
      </c>
      <c r="B14188" s="2" t="s">
        <v>14259</v>
      </c>
      <c r="C14188" s="2" t="str">
        <f>"11204826"</f>
        <v>11204826</v>
      </c>
      <c r="D14188" s="2">
        <v>0.126</v>
      </c>
      <c r="E14188" s="2">
        <v>12</v>
      </c>
      <c r="F14188" s="2" t="s">
        <v>190</v>
      </c>
    </row>
    <row r="14189" spans="1:6" ht="25.5">
      <c r="A14189" s="2">
        <v>14186</v>
      </c>
      <c r="B14189" s="2" t="s">
        <v>14260</v>
      </c>
      <c r="C14189" s="2" t="str">
        <f>"00264725"</f>
        <v>00264725</v>
      </c>
      <c r="D14189" s="2">
        <v>0.29799999999999999</v>
      </c>
      <c r="E14189" s="2">
        <v>17</v>
      </c>
      <c r="F14189" s="2" t="s">
        <v>190</v>
      </c>
    </row>
    <row r="14190" spans="1:6" ht="25.5">
      <c r="A14190" s="2">
        <v>14187</v>
      </c>
      <c r="B14190" s="2" t="s">
        <v>14261</v>
      </c>
      <c r="C14190" s="2" t="str">
        <f>"00264733"</f>
        <v>00264733</v>
      </c>
      <c r="D14190" s="2">
        <v>0.33800000000000002</v>
      </c>
      <c r="E14190" s="2">
        <v>16</v>
      </c>
      <c r="F14190" s="2" t="s">
        <v>190</v>
      </c>
    </row>
    <row r="14191" spans="1:6" ht="25.5">
      <c r="A14191" s="2">
        <v>14188</v>
      </c>
      <c r="B14191" s="2" t="s">
        <v>14262</v>
      </c>
      <c r="C14191" s="2" t="str">
        <f>"03911977"</f>
        <v>03911977</v>
      </c>
      <c r="D14191" s="2">
        <v>0.35</v>
      </c>
      <c r="E14191" s="2">
        <v>22</v>
      </c>
      <c r="F14191" s="2" t="s">
        <v>190</v>
      </c>
    </row>
    <row r="14192" spans="1:6" ht="25.5">
      <c r="A14192" s="2">
        <v>14189</v>
      </c>
      <c r="B14192" s="2" t="s">
        <v>14263</v>
      </c>
      <c r="C14192" s="2" t="str">
        <f>"1121421X"</f>
        <v>1121421X</v>
      </c>
      <c r="D14192" s="2">
        <v>0.30399999999999999</v>
      </c>
      <c r="E14192" s="2">
        <v>14</v>
      </c>
      <c r="F14192" s="2" t="s">
        <v>190</v>
      </c>
    </row>
    <row r="14193" spans="1:6" ht="25.5">
      <c r="A14193" s="2">
        <v>14190</v>
      </c>
      <c r="B14193" s="2" t="s">
        <v>14264</v>
      </c>
      <c r="C14193" s="2" t="str">
        <f>"00264784"</f>
        <v>00264784</v>
      </c>
      <c r="D14193" s="2">
        <v>0.29399999999999998</v>
      </c>
      <c r="E14193" s="2">
        <v>19</v>
      </c>
      <c r="F14193" s="2" t="s">
        <v>190</v>
      </c>
    </row>
    <row r="14194" spans="1:6" ht="25.5">
      <c r="A14194" s="2">
        <v>14191</v>
      </c>
      <c r="B14194" s="2" t="s">
        <v>14265</v>
      </c>
      <c r="C14194" s="2" t="str">
        <f>"00264806"</f>
        <v>00264806</v>
      </c>
      <c r="D14194" s="2">
        <v>0.251</v>
      </c>
      <c r="E14194" s="2">
        <v>17</v>
      </c>
      <c r="F14194" s="2" t="s">
        <v>190</v>
      </c>
    </row>
    <row r="14195" spans="1:6" ht="25.5">
      <c r="A14195" s="2">
        <v>14192</v>
      </c>
      <c r="B14195" s="2" t="s">
        <v>14266</v>
      </c>
      <c r="C14195" s="2" t="str">
        <f>"18271707"</f>
        <v>18271707</v>
      </c>
      <c r="D14195" s="2">
        <v>0.108</v>
      </c>
      <c r="E14195" s="2">
        <v>3</v>
      </c>
      <c r="F14195" s="2" t="s">
        <v>190</v>
      </c>
    </row>
    <row r="14196" spans="1:6" ht="25.5">
      <c r="A14196" s="2">
        <v>14193</v>
      </c>
      <c r="B14196" s="2" t="s">
        <v>14267</v>
      </c>
      <c r="C14196" s="2" t="str">
        <f>"18271715"</f>
        <v>18271715</v>
      </c>
      <c r="D14196" s="2">
        <v>0.16500000000000001</v>
      </c>
      <c r="E14196" s="2">
        <v>18</v>
      </c>
      <c r="F14196" s="2" t="s">
        <v>190</v>
      </c>
    </row>
    <row r="14197" spans="1:6" ht="25.5">
      <c r="A14197" s="2">
        <v>14194</v>
      </c>
      <c r="B14197" s="2" t="s">
        <v>14268</v>
      </c>
      <c r="C14197" s="2" t="str">
        <f>"00264954"</f>
        <v>00264954</v>
      </c>
      <c r="D14197" s="2">
        <v>0.13400000000000001</v>
      </c>
      <c r="E14197" s="2">
        <v>3</v>
      </c>
      <c r="F14197" s="2" t="s">
        <v>190</v>
      </c>
    </row>
    <row r="14198" spans="1:6" ht="25.5">
      <c r="A14198" s="2">
        <v>14195</v>
      </c>
      <c r="B14198" s="2" t="s">
        <v>14269</v>
      </c>
      <c r="C14198" s="2" t="str">
        <f>"03911772"</f>
        <v>03911772</v>
      </c>
      <c r="D14198" s="2">
        <v>0.115</v>
      </c>
      <c r="E14198" s="2">
        <v>6</v>
      </c>
      <c r="F14198" s="2" t="s">
        <v>190</v>
      </c>
    </row>
    <row r="14199" spans="1:6" ht="25.5">
      <c r="A14199" s="2">
        <v>14196</v>
      </c>
      <c r="B14199" s="2" t="s">
        <v>14270</v>
      </c>
      <c r="C14199" s="2" t="str">
        <f>"00264970"</f>
        <v>00264970</v>
      </c>
      <c r="D14199" s="2">
        <v>0.24099999999999999</v>
      </c>
      <c r="E14199" s="2">
        <v>15</v>
      </c>
      <c r="F14199" s="2" t="s">
        <v>190</v>
      </c>
    </row>
    <row r="14200" spans="1:6" ht="25.5">
      <c r="A14200" s="2">
        <v>14197</v>
      </c>
      <c r="B14200" s="2" t="s">
        <v>14271</v>
      </c>
      <c r="C14200" s="2" t="str">
        <f>"03932249"</f>
        <v>03932249</v>
      </c>
      <c r="D14200" s="2">
        <v>0.30499999999999999</v>
      </c>
      <c r="E14200" s="2">
        <v>16</v>
      </c>
      <c r="F14200" s="2" t="s">
        <v>190</v>
      </c>
    </row>
    <row r="14201" spans="1:6" ht="25.5">
      <c r="A14201" s="2">
        <v>14198</v>
      </c>
      <c r="B14201" s="2" t="s">
        <v>14272</v>
      </c>
      <c r="C14201" s="2" t="str">
        <f>"16161068"</f>
        <v>16161068</v>
      </c>
      <c r="D14201" s="2">
        <v>0.52800000000000002</v>
      </c>
      <c r="E14201" s="2">
        <v>13</v>
      </c>
      <c r="F14201" s="2" t="s">
        <v>12</v>
      </c>
    </row>
    <row r="14202" spans="1:6" ht="25.5">
      <c r="A14202" s="2">
        <v>14199</v>
      </c>
      <c r="B14202" s="2" t="s">
        <v>14273</v>
      </c>
      <c r="C14202" s="2" t="str">
        <f>"14392291"</f>
        <v>14392291</v>
      </c>
      <c r="D14202" s="2">
        <v>0.376</v>
      </c>
      <c r="E14202" s="2">
        <v>33</v>
      </c>
      <c r="F14202" s="2" t="s">
        <v>12</v>
      </c>
    </row>
    <row r="14203" spans="1:6" ht="25.5">
      <c r="A14203" s="2">
        <v>14200</v>
      </c>
      <c r="B14203" s="2" t="s">
        <v>14274</v>
      </c>
      <c r="C14203" s="2" t="str">
        <f>"20901453"</f>
        <v>20901453</v>
      </c>
      <c r="D14203" s="2">
        <v>0.153</v>
      </c>
      <c r="E14203" s="2">
        <v>2</v>
      </c>
      <c r="F14203" s="2" t="s">
        <v>6</v>
      </c>
    </row>
    <row r="14204" spans="1:6" ht="25.5">
      <c r="A14204" s="2">
        <v>14201</v>
      </c>
      <c r="B14204" s="2" t="s">
        <v>14275</v>
      </c>
      <c r="C14204" s="2" t="str">
        <f>"13652931"</f>
        <v>13652931</v>
      </c>
      <c r="D14204" s="2">
        <v>0.33700000000000002</v>
      </c>
      <c r="E14204" s="2">
        <v>29</v>
      </c>
      <c r="F14204" s="2" t="s">
        <v>16</v>
      </c>
    </row>
    <row r="14205" spans="1:6" ht="25.5">
      <c r="A14205" s="2">
        <v>14202</v>
      </c>
      <c r="B14205" s="2" t="s">
        <v>14276</v>
      </c>
      <c r="C14205" s="2" t="str">
        <f>"13895575"</f>
        <v>13895575</v>
      </c>
      <c r="D14205" s="2">
        <v>0.79300000000000004</v>
      </c>
      <c r="E14205" s="2">
        <v>51</v>
      </c>
      <c r="F14205" s="2" t="s">
        <v>75</v>
      </c>
    </row>
    <row r="14206" spans="1:6" ht="25.5">
      <c r="A14206" s="2">
        <v>14203</v>
      </c>
      <c r="B14206" s="2" t="s">
        <v>14277</v>
      </c>
      <c r="C14206" s="2" t="str">
        <f>"1570193X"</f>
        <v>1570193X</v>
      </c>
      <c r="D14206" s="2">
        <v>0.57199999999999995</v>
      </c>
      <c r="E14206" s="2">
        <v>20</v>
      </c>
      <c r="F14206" s="2" t="s">
        <v>75</v>
      </c>
    </row>
    <row r="14207" spans="1:6" ht="25.5">
      <c r="A14207" s="2">
        <v>14204</v>
      </c>
      <c r="B14207" s="2" t="s">
        <v>14278</v>
      </c>
      <c r="C14207" s="2" t="str">
        <f>"00265535"</f>
        <v>00265535</v>
      </c>
      <c r="D14207" s="2">
        <v>0.86099999999999999</v>
      </c>
      <c r="E14207" s="2">
        <v>17</v>
      </c>
      <c r="F14207" s="2" t="s">
        <v>6</v>
      </c>
    </row>
    <row r="14208" spans="1:6" ht="25.5">
      <c r="A14208" s="2">
        <v>14205</v>
      </c>
      <c r="B14208" s="2" t="s">
        <v>14279</v>
      </c>
      <c r="C14208" s="2" t="str">
        <f>"0026556X"</f>
        <v>0026556X</v>
      </c>
      <c r="D14208" s="2">
        <v>0.13600000000000001</v>
      </c>
      <c r="E14208" s="2">
        <v>13</v>
      </c>
      <c r="F14208" s="2" t="s">
        <v>6</v>
      </c>
    </row>
    <row r="14209" spans="1:6" ht="25.5">
      <c r="A14209" s="2">
        <v>14206</v>
      </c>
      <c r="B14209" s="2" t="s">
        <v>14280</v>
      </c>
      <c r="C14209" s="2" t="str">
        <f>"00265667"</f>
        <v>00265667</v>
      </c>
      <c r="D14209" s="2">
        <v>0.11799999999999999</v>
      </c>
      <c r="E14209" s="2">
        <v>2</v>
      </c>
      <c r="F14209" s="2" t="s">
        <v>6</v>
      </c>
    </row>
    <row r="14210" spans="1:6" ht="25.5">
      <c r="A14210" s="2">
        <v>14207</v>
      </c>
      <c r="B14210" s="2" t="s">
        <v>14281</v>
      </c>
      <c r="C14210" s="2" t="str">
        <f>"17872413"</f>
        <v>17872413</v>
      </c>
      <c r="D14210" s="2">
        <v>0.20599999999999999</v>
      </c>
      <c r="E14210" s="2">
        <v>4</v>
      </c>
      <c r="F14210" s="2" t="s">
        <v>135</v>
      </c>
    </row>
    <row r="14211" spans="1:6" ht="25.5">
      <c r="A14211" s="2">
        <v>14208</v>
      </c>
      <c r="B14211" s="2" t="s">
        <v>14282</v>
      </c>
      <c r="C14211" s="2" t="str">
        <f>"15401979"</f>
        <v>15401979</v>
      </c>
      <c r="D14211" s="2">
        <v>1.5549999999999999</v>
      </c>
      <c r="E14211" s="2">
        <v>8</v>
      </c>
      <c r="F14211" s="2" t="s">
        <v>6</v>
      </c>
    </row>
    <row r="14212" spans="1:6" ht="25.5">
      <c r="A14212" s="2">
        <v>14209</v>
      </c>
      <c r="B14212" s="2" t="s">
        <v>14283</v>
      </c>
      <c r="C14212" s="2" t="str">
        <f>"02767783"</f>
        <v>02767783</v>
      </c>
      <c r="D14212" s="2">
        <v>5.7450000000000001</v>
      </c>
      <c r="E14212" s="2">
        <v>117</v>
      </c>
      <c r="F14212" s="2" t="s">
        <v>6</v>
      </c>
    </row>
    <row r="14213" spans="1:6" ht="25.5">
      <c r="A14213" s="2">
        <v>14210</v>
      </c>
      <c r="B14213" s="2" t="s">
        <v>14284</v>
      </c>
      <c r="C14213" s="2" t="str">
        <f>"02569507"</f>
        <v>02569507</v>
      </c>
      <c r="D14213" s="2">
        <v>0.104</v>
      </c>
      <c r="E14213" s="2">
        <v>3</v>
      </c>
      <c r="F14213" s="2" t="s">
        <v>410</v>
      </c>
    </row>
    <row r="14214" spans="1:6" ht="25.5">
      <c r="A14214" s="2">
        <v>14211</v>
      </c>
      <c r="B14214" s="2" t="s">
        <v>14285</v>
      </c>
      <c r="C14214" s="2" t="str">
        <f>"01689789"</f>
        <v>01689789</v>
      </c>
      <c r="D14214" s="2">
        <v>0.121</v>
      </c>
      <c r="E14214" s="2">
        <v>2</v>
      </c>
      <c r="F14214" s="2" t="s">
        <v>75</v>
      </c>
    </row>
    <row r="14215" spans="1:6" ht="25.5">
      <c r="A14215" s="2">
        <v>14212</v>
      </c>
      <c r="B14215" s="2" t="s">
        <v>14286</v>
      </c>
      <c r="C14215" s="2" t="str">
        <f>"0026637X"</f>
        <v>0026637X</v>
      </c>
      <c r="D14215" s="2">
        <v>0.1</v>
      </c>
      <c r="E14215" s="2">
        <v>3</v>
      </c>
      <c r="F14215" s="2" t="s">
        <v>6</v>
      </c>
    </row>
    <row r="14216" spans="1:6" ht="25.5">
      <c r="A14216" s="2">
        <v>14213</v>
      </c>
      <c r="B14216" s="2" t="s">
        <v>14287</v>
      </c>
      <c r="C14216" s="2" t="str">
        <f>"00266388"</f>
        <v>00266388</v>
      </c>
      <c r="D14216" s="2">
        <v>0.104</v>
      </c>
      <c r="E14216" s="2">
        <v>1</v>
      </c>
      <c r="F14216" s="2" t="s">
        <v>6</v>
      </c>
    </row>
    <row r="14217" spans="1:6" ht="25.5">
      <c r="A14217" s="2">
        <v>14214</v>
      </c>
      <c r="B14217" s="2" t="s">
        <v>14288</v>
      </c>
      <c r="C14217" s="2" t="str">
        <f>"10852581"</f>
        <v>10852581</v>
      </c>
      <c r="D14217" s="2">
        <v>0.104</v>
      </c>
      <c r="E14217" s="2">
        <v>4</v>
      </c>
      <c r="F14217" s="2" t="s">
        <v>6</v>
      </c>
    </row>
    <row r="14218" spans="1:6" ht="25.5">
      <c r="A14218" s="2">
        <v>14215</v>
      </c>
      <c r="B14218" s="2" t="s">
        <v>14289</v>
      </c>
      <c r="C14218" s="2" t="str">
        <f>"00266620"</f>
        <v>00266620</v>
      </c>
      <c r="D14218" s="2">
        <v>0.14199999999999999</v>
      </c>
      <c r="E14218" s="2">
        <v>12</v>
      </c>
      <c r="F14218" s="2" t="s">
        <v>6</v>
      </c>
    </row>
    <row r="14219" spans="1:6" ht="25.5">
      <c r="A14219" s="2">
        <v>14216</v>
      </c>
      <c r="B14219" s="2" t="s">
        <v>14290</v>
      </c>
      <c r="C14219" s="2" t="str">
        <f>"15731596"</f>
        <v>15731596</v>
      </c>
      <c r="D14219" s="2">
        <v>0.59299999999999997</v>
      </c>
      <c r="E14219" s="2">
        <v>31</v>
      </c>
      <c r="F14219" s="2" t="s">
        <v>75</v>
      </c>
    </row>
    <row r="14220" spans="1:6" ht="25.5">
      <c r="A14220" s="2">
        <v>14217</v>
      </c>
      <c r="B14220" s="2" t="s">
        <v>14291</v>
      </c>
      <c r="C14220" s="2" t="str">
        <f>"19401744"</f>
        <v>19401744</v>
      </c>
      <c r="D14220" s="2">
        <v>0.54300000000000004</v>
      </c>
      <c r="E14220" s="2">
        <v>19</v>
      </c>
      <c r="F14220" s="2" t="s">
        <v>16</v>
      </c>
    </row>
    <row r="14221" spans="1:6" ht="25.5">
      <c r="A14221" s="2">
        <v>14218</v>
      </c>
      <c r="B14221" s="2" t="s">
        <v>14292</v>
      </c>
      <c r="C14221" s="2" t="str">
        <f>"15677249"</f>
        <v>15677249</v>
      </c>
      <c r="D14221" s="2">
        <v>1.4770000000000001</v>
      </c>
      <c r="E14221" s="2">
        <v>43</v>
      </c>
      <c r="F14221" s="2" t="s">
        <v>75</v>
      </c>
    </row>
    <row r="14222" spans="1:6" ht="25.5">
      <c r="A14222" s="2">
        <v>14219</v>
      </c>
      <c r="B14222" s="2" t="s">
        <v>14293</v>
      </c>
      <c r="C14222" s="2" t="str">
        <f>"15329194"</f>
        <v>15329194</v>
      </c>
      <c r="D14222" s="2">
        <v>0.879</v>
      </c>
      <c r="E14222" s="2">
        <v>53</v>
      </c>
      <c r="F14222" s="2" t="s">
        <v>6</v>
      </c>
    </row>
    <row r="14223" spans="1:6" ht="25.5">
      <c r="A14223" s="2">
        <v>14220</v>
      </c>
      <c r="B14223" s="2" t="s">
        <v>14294</v>
      </c>
      <c r="C14223" s="2" t="str">
        <f>"13453041"</f>
        <v>13453041</v>
      </c>
      <c r="D14223" s="2">
        <v>0.1</v>
      </c>
      <c r="E14223" s="2">
        <v>4</v>
      </c>
      <c r="F14223" s="2" t="s">
        <v>131</v>
      </c>
    </row>
    <row r="14224" spans="1:6" ht="25.5">
      <c r="A14224" s="2">
        <v>14221</v>
      </c>
      <c r="B14224" s="2" t="s">
        <v>14295</v>
      </c>
      <c r="C14224" s="2" t="str">
        <f>"00299138"</f>
        <v>00299138</v>
      </c>
      <c r="D14224" s="2">
        <v>0.114</v>
      </c>
      <c r="E14224" s="2">
        <v>5</v>
      </c>
      <c r="F14224" s="2" t="s">
        <v>288</v>
      </c>
    </row>
    <row r="14225" spans="1:6" ht="25.5">
      <c r="A14225" s="2">
        <v>14222</v>
      </c>
      <c r="B14225" s="2" t="s">
        <v>14296</v>
      </c>
      <c r="C14225" s="2" t="str">
        <f>"05052211"</f>
        <v>05052211</v>
      </c>
      <c r="D14225" s="2">
        <v>0.10199999999999999</v>
      </c>
      <c r="E14225" s="2">
        <v>3</v>
      </c>
      <c r="F14225" s="2" t="s">
        <v>12</v>
      </c>
    </row>
    <row r="14226" spans="1:6" ht="25.5">
      <c r="A14226" s="2">
        <v>14223</v>
      </c>
      <c r="B14226" s="2" t="s">
        <v>14297</v>
      </c>
      <c r="C14226" s="2" t="str">
        <f>"18142036"</f>
        <v>18142036</v>
      </c>
      <c r="D14226" s="2">
        <v>0.10199999999999999</v>
      </c>
      <c r="E14226" s="2">
        <v>3</v>
      </c>
      <c r="F14226" s="2" t="s">
        <v>288</v>
      </c>
    </row>
    <row r="14227" spans="1:6" ht="25.5">
      <c r="A14227" s="2">
        <v>14224</v>
      </c>
      <c r="B14227" s="2" t="s">
        <v>14298</v>
      </c>
      <c r="C14227" s="2" t="str">
        <f>"18464025"</f>
        <v>18464025</v>
      </c>
      <c r="D14227" s="2">
        <v>0.2</v>
      </c>
      <c r="E14227" s="2">
        <v>6</v>
      </c>
      <c r="F14227" s="2" t="s">
        <v>149</v>
      </c>
    </row>
    <row r="14228" spans="1:6" ht="25.5">
      <c r="A14228" s="2">
        <v>14225</v>
      </c>
      <c r="B14228" s="2" t="s">
        <v>14299</v>
      </c>
      <c r="C14228" s="2" t="str">
        <f>"10806598"</f>
        <v>10806598</v>
      </c>
      <c r="D14228" s="2">
        <v>0.11600000000000001</v>
      </c>
      <c r="E14228" s="2">
        <v>5</v>
      </c>
      <c r="F14228" s="2" t="s">
        <v>6</v>
      </c>
    </row>
    <row r="14229" spans="1:6" ht="25.5">
      <c r="A14229" s="2">
        <v>14226</v>
      </c>
      <c r="B14229" s="2" t="s">
        <v>14300</v>
      </c>
      <c r="C14229" s="2" t="str">
        <f>"14383276"</f>
        <v>14383276</v>
      </c>
      <c r="D14229" s="2">
        <v>0.112</v>
      </c>
      <c r="E14229" s="2">
        <v>9</v>
      </c>
      <c r="F14229" s="2" t="s">
        <v>12</v>
      </c>
    </row>
    <row r="14230" spans="1:6" ht="38.25">
      <c r="A14230" s="2">
        <v>14227</v>
      </c>
      <c r="B14230" s="2" t="s">
        <v>14301</v>
      </c>
      <c r="C14230" s="2" t="str">
        <f>"15458601"</f>
        <v>15458601</v>
      </c>
      <c r="D14230" s="2">
        <v>3.7469999999999999</v>
      </c>
      <c r="E14230" s="2">
        <v>96</v>
      </c>
      <c r="F14230" s="2" t="s">
        <v>6</v>
      </c>
    </row>
    <row r="14231" spans="1:6" ht="25.5">
      <c r="A14231" s="2">
        <v>14228</v>
      </c>
      <c r="B14231" s="2" t="s">
        <v>14302</v>
      </c>
      <c r="C14231" s="2" t="str">
        <f>"15460738"</f>
        <v>15460738</v>
      </c>
      <c r="D14231" s="2">
        <v>2.2229999999999999</v>
      </c>
      <c r="E14231" s="2">
        <v>58</v>
      </c>
      <c r="F14231" s="2" t="s">
        <v>6</v>
      </c>
    </row>
    <row r="14232" spans="1:6" ht="25.5">
      <c r="A14232" s="2">
        <v>14229</v>
      </c>
      <c r="B14232" s="2" t="s">
        <v>14303</v>
      </c>
      <c r="C14232" s="2" t="str">
        <f>"1568525X"</f>
        <v>1568525X</v>
      </c>
      <c r="D14232" s="2">
        <v>0.14599999999999999</v>
      </c>
      <c r="E14232" s="2">
        <v>3</v>
      </c>
      <c r="F14232" s="2" t="s">
        <v>75</v>
      </c>
    </row>
    <row r="14233" spans="1:6" ht="25.5">
      <c r="A14233" s="2">
        <v>14230</v>
      </c>
      <c r="B14233" s="2" t="s">
        <v>14304</v>
      </c>
      <c r="C14233" s="2" t="str">
        <f>"1574017X"</f>
        <v>1574017X</v>
      </c>
      <c r="D14233" s="2">
        <v>0.32300000000000001</v>
      </c>
      <c r="E14233" s="2">
        <v>9</v>
      </c>
      <c r="F14233" s="2" t="s">
        <v>75</v>
      </c>
    </row>
    <row r="14234" spans="1:6" ht="25.5">
      <c r="A14234" s="2">
        <v>14231</v>
      </c>
      <c r="B14234" s="2" t="s">
        <v>14305</v>
      </c>
      <c r="C14234" s="2" t="str">
        <f>"15728153"</f>
        <v>15728153</v>
      </c>
      <c r="D14234" s="2">
        <v>1.1240000000000001</v>
      </c>
      <c r="E14234" s="2">
        <v>56</v>
      </c>
      <c r="F14234" s="2" t="s">
        <v>75</v>
      </c>
    </row>
    <row r="14235" spans="1:6" ht="25.5">
      <c r="A14235" s="2">
        <v>14232</v>
      </c>
      <c r="B14235" s="2" t="s">
        <v>14306</v>
      </c>
      <c r="C14235" s="2" t="str">
        <f>"1745011X"</f>
        <v>1745011X</v>
      </c>
      <c r="D14235" s="2">
        <v>1.046</v>
      </c>
      <c r="E14235" s="2">
        <v>12</v>
      </c>
      <c r="F14235" s="2" t="s">
        <v>16</v>
      </c>
    </row>
    <row r="14236" spans="1:6" ht="25.5">
      <c r="A14236" s="2">
        <v>14233</v>
      </c>
      <c r="B14236" s="2" t="s">
        <v>14307</v>
      </c>
      <c r="C14236" s="2" t="str">
        <f>"1086671X"</f>
        <v>1086671X</v>
      </c>
      <c r="D14236" s="2">
        <v>0.83399999999999996</v>
      </c>
      <c r="E14236" s="2">
        <v>13</v>
      </c>
      <c r="F14236" s="2" t="s">
        <v>6</v>
      </c>
    </row>
    <row r="14237" spans="1:6" ht="25.5">
      <c r="A14237" s="2">
        <v>14234</v>
      </c>
      <c r="B14237" s="2" t="s">
        <v>14308</v>
      </c>
      <c r="C14237" s="2" t="str">
        <f>"10040595"</f>
        <v>10040595</v>
      </c>
      <c r="D14237" s="2">
        <v>0.28999999999999998</v>
      </c>
      <c r="E14237" s="2">
        <v>15</v>
      </c>
      <c r="F14237" s="2" t="s">
        <v>46</v>
      </c>
    </row>
    <row r="14238" spans="1:6" ht="25.5">
      <c r="A14238" s="2">
        <v>14235</v>
      </c>
      <c r="B14238" s="2" t="s">
        <v>14309</v>
      </c>
      <c r="C14238" s="2" t="str">
        <f>"15741699"</f>
        <v>15741699</v>
      </c>
      <c r="D14238" s="2">
        <v>0.13200000000000001</v>
      </c>
      <c r="E14238" s="2">
        <v>5</v>
      </c>
      <c r="F14238" s="2" t="s">
        <v>75</v>
      </c>
    </row>
    <row r="14239" spans="1:6" ht="25.5">
      <c r="A14239" s="2">
        <v>14236</v>
      </c>
      <c r="B14239" s="2" t="s">
        <v>14310</v>
      </c>
      <c r="C14239" s="2" t="str">
        <f>"03327353"</f>
        <v>03327353</v>
      </c>
      <c r="D14239" s="2">
        <v>0.57599999999999996</v>
      </c>
      <c r="E14239" s="2">
        <v>12</v>
      </c>
      <c r="F14239" s="2" t="s">
        <v>2637</v>
      </c>
    </row>
    <row r="14240" spans="1:6" ht="25.5">
      <c r="A14240" s="2">
        <v>14237</v>
      </c>
      <c r="B14240" s="2" t="s">
        <v>14311</v>
      </c>
      <c r="C14240" s="2" t="str">
        <f>"16875605"</f>
        <v>16875605</v>
      </c>
      <c r="D14240" s="2">
        <v>0.20899999999999999</v>
      </c>
      <c r="E14240" s="2">
        <v>4</v>
      </c>
      <c r="F14240" s="2" t="s">
        <v>6</v>
      </c>
    </row>
    <row r="14241" spans="1:6" ht="25.5">
      <c r="A14241" s="2">
        <v>14238</v>
      </c>
      <c r="B14241" s="2" t="s">
        <v>14312</v>
      </c>
      <c r="C14241" s="2" t="str">
        <f>"1361651X"</f>
        <v>1361651X</v>
      </c>
      <c r="D14241" s="2">
        <v>1.1259999999999999</v>
      </c>
      <c r="E14241" s="2">
        <v>44</v>
      </c>
      <c r="F14241" s="2" t="s">
        <v>16</v>
      </c>
    </row>
    <row r="14242" spans="1:6" ht="25.5">
      <c r="A14242" s="2">
        <v>14239</v>
      </c>
      <c r="B14242" s="2" t="s">
        <v>14313</v>
      </c>
      <c r="C14242" s="2" t="str">
        <f>"12595985"</f>
        <v>12595985</v>
      </c>
      <c r="D14242" s="2">
        <v>0.111</v>
      </c>
      <c r="E14242" s="2">
        <v>4</v>
      </c>
      <c r="F14242" s="2" t="s">
        <v>66</v>
      </c>
    </row>
    <row r="14243" spans="1:6" ht="25.5">
      <c r="A14243" s="2">
        <v>14240</v>
      </c>
      <c r="B14243" s="2" t="s">
        <v>14314</v>
      </c>
      <c r="C14243" s="2" t="str">
        <f>"12595969"</f>
        <v>12595969</v>
      </c>
      <c r="D14243" s="2">
        <v>0.10100000000000001</v>
      </c>
      <c r="E14243" s="2">
        <v>6</v>
      </c>
      <c r="F14243" s="2" t="s">
        <v>66</v>
      </c>
    </row>
    <row r="14244" spans="1:6" ht="25.5">
      <c r="A14244" s="2">
        <v>14241</v>
      </c>
      <c r="B14244" s="2" t="s">
        <v>14315</v>
      </c>
      <c r="C14244" s="2" t="str">
        <f>"12595977"</f>
        <v>12595977</v>
      </c>
      <c r="D14244" s="2">
        <v>0.10100000000000001</v>
      </c>
      <c r="E14244" s="2">
        <v>4</v>
      </c>
      <c r="F14244" s="2" t="s">
        <v>66</v>
      </c>
    </row>
    <row r="14245" spans="1:6" ht="25.5">
      <c r="A14245" s="2">
        <v>14242</v>
      </c>
      <c r="B14245" s="2" t="s">
        <v>14316</v>
      </c>
      <c r="C14245" s="2" t="str">
        <f>"14699869"</f>
        <v>14699869</v>
      </c>
      <c r="D14245" s="2">
        <v>0.184</v>
      </c>
      <c r="E14245" s="2">
        <v>4</v>
      </c>
      <c r="F14245" s="2" t="s">
        <v>16</v>
      </c>
    </row>
    <row r="14246" spans="1:6" ht="25.5">
      <c r="A14246" s="2">
        <v>14243</v>
      </c>
      <c r="B14246" s="2" t="s">
        <v>14317</v>
      </c>
      <c r="C14246" s="2" t="str">
        <f>"19131852"</f>
        <v>19131852</v>
      </c>
      <c r="D14246" s="2">
        <v>0.13500000000000001</v>
      </c>
      <c r="E14246" s="2">
        <v>2</v>
      </c>
      <c r="F14246" s="2" t="s">
        <v>64</v>
      </c>
    </row>
    <row r="14247" spans="1:6" ht="25.5">
      <c r="A14247" s="2">
        <v>14244</v>
      </c>
      <c r="B14247" s="2" t="s">
        <v>14318</v>
      </c>
      <c r="C14247" s="2" t="str">
        <f>"14698099"</f>
        <v>14698099</v>
      </c>
      <c r="D14247" s="2">
        <v>0.38100000000000001</v>
      </c>
      <c r="E14247" s="2">
        <v>15</v>
      </c>
      <c r="F14247" s="2" t="s">
        <v>16</v>
      </c>
    </row>
    <row r="14248" spans="1:6" ht="25.5">
      <c r="A14248" s="2">
        <v>14245</v>
      </c>
      <c r="B14248" s="2" t="s">
        <v>14319</v>
      </c>
      <c r="C14248" s="2" t="str">
        <f>"00268577"</f>
        <v>00268577</v>
      </c>
      <c r="D14248" s="2">
        <v>0.19</v>
      </c>
      <c r="E14248" s="2">
        <v>2</v>
      </c>
      <c r="F14248" s="2" t="s">
        <v>151</v>
      </c>
    </row>
    <row r="14249" spans="1:6" ht="25.5">
      <c r="A14249" s="2">
        <v>14246</v>
      </c>
      <c r="B14249" s="2" t="s">
        <v>14320</v>
      </c>
      <c r="C14249" s="2" t="str">
        <f>"00267503"</f>
        <v>00267503</v>
      </c>
      <c r="D14249" s="2">
        <v>0.1</v>
      </c>
      <c r="E14249" s="2">
        <v>2</v>
      </c>
      <c r="F14249" s="2" t="s">
        <v>6</v>
      </c>
    </row>
    <row r="14250" spans="1:6" ht="25.5">
      <c r="A14250" s="2">
        <v>14247</v>
      </c>
      <c r="B14250" s="2" t="s">
        <v>14321</v>
      </c>
      <c r="C14250" s="2" t="str">
        <f>"15526836"</f>
        <v>15526836</v>
      </c>
      <c r="D14250" s="2">
        <v>0.53500000000000003</v>
      </c>
      <c r="E14250" s="2">
        <v>13</v>
      </c>
      <c r="F14250" s="2" t="s">
        <v>6</v>
      </c>
    </row>
    <row r="14251" spans="1:6" ht="25.5">
      <c r="A14251" s="2">
        <v>14248</v>
      </c>
      <c r="B14251" s="2" t="s">
        <v>14322</v>
      </c>
      <c r="C14251" s="2" t="str">
        <f>"00267694"</f>
        <v>00267694</v>
      </c>
      <c r="D14251" s="2">
        <v>0.1</v>
      </c>
      <c r="E14251" s="2">
        <v>4</v>
      </c>
      <c r="F14251" s="2" t="s">
        <v>64</v>
      </c>
    </row>
    <row r="14252" spans="1:6" ht="25.5">
      <c r="A14252" s="2">
        <v>14249</v>
      </c>
      <c r="B14252" s="2" t="s">
        <v>14323</v>
      </c>
      <c r="C14252" s="2" t="str">
        <f>"01607480"</f>
        <v>01607480</v>
      </c>
      <c r="D14252" s="2">
        <v>0.106</v>
      </c>
      <c r="E14252" s="2">
        <v>8</v>
      </c>
      <c r="F14252" s="2" t="s">
        <v>16</v>
      </c>
    </row>
    <row r="14253" spans="1:6" ht="25.5">
      <c r="A14253" s="2">
        <v>14250</v>
      </c>
      <c r="B14253" s="2" t="s">
        <v>14324</v>
      </c>
      <c r="C14253" s="2" t="str">
        <f>"10716068"</f>
        <v>10716068</v>
      </c>
      <c r="D14253" s="2">
        <v>0.111</v>
      </c>
      <c r="E14253" s="2">
        <v>7</v>
      </c>
      <c r="F14253" s="2" t="s">
        <v>6</v>
      </c>
    </row>
    <row r="14254" spans="1:6" ht="25.5">
      <c r="A14254" s="2">
        <v>14251</v>
      </c>
      <c r="B14254" s="2" t="s">
        <v>14325</v>
      </c>
      <c r="C14254" s="2" t="str">
        <f>"14699877"</f>
        <v>14699877</v>
      </c>
      <c r="D14254" s="2">
        <v>0.16200000000000001</v>
      </c>
      <c r="E14254" s="2">
        <v>2</v>
      </c>
      <c r="F14254" s="2" t="s">
        <v>16</v>
      </c>
    </row>
    <row r="14255" spans="1:6" ht="25.5">
      <c r="A14255" s="2">
        <v>14252</v>
      </c>
      <c r="B14255" s="2" t="s">
        <v>14326</v>
      </c>
      <c r="C14255" s="2" t="str">
        <f>"10863273"</f>
        <v>10863273</v>
      </c>
      <c r="D14255" s="2">
        <v>0.123</v>
      </c>
      <c r="E14255" s="2">
        <v>6</v>
      </c>
      <c r="F14255" s="2" t="s">
        <v>6</v>
      </c>
    </row>
    <row r="14256" spans="1:6" ht="25.5">
      <c r="A14256" s="2">
        <v>14253</v>
      </c>
      <c r="B14256" s="2" t="s">
        <v>14327</v>
      </c>
      <c r="C14256" s="2" t="str">
        <f>"00267902"</f>
        <v>00267902</v>
      </c>
      <c r="D14256" s="2">
        <v>1.0029999999999999</v>
      </c>
      <c r="E14256" s="2">
        <v>28</v>
      </c>
      <c r="F14256" s="2" t="s">
        <v>16</v>
      </c>
    </row>
    <row r="14257" spans="1:6" ht="25.5">
      <c r="A14257" s="2">
        <v>14254</v>
      </c>
      <c r="B14257" s="2" t="s">
        <v>14328</v>
      </c>
      <c r="C14257" s="2" t="str">
        <f>"00267929"</f>
        <v>00267929</v>
      </c>
      <c r="D14257" s="2">
        <v>0.14000000000000001</v>
      </c>
      <c r="E14257" s="2">
        <v>8</v>
      </c>
      <c r="F14257" s="2" t="s">
        <v>6</v>
      </c>
    </row>
    <row r="14258" spans="1:6" ht="25.5">
      <c r="A14258" s="2">
        <v>14255</v>
      </c>
      <c r="B14258" s="2" t="s">
        <v>14329</v>
      </c>
      <c r="C14258" s="2" t="str">
        <f>"00267937"</f>
        <v>00267937</v>
      </c>
      <c r="D14258" s="2">
        <v>0.10100000000000001</v>
      </c>
      <c r="E14258" s="2">
        <v>4</v>
      </c>
      <c r="F14258" s="2" t="s">
        <v>16</v>
      </c>
    </row>
    <row r="14259" spans="1:6" ht="25.5">
      <c r="A14259" s="2">
        <v>14256</v>
      </c>
      <c r="B14259" s="2" t="s">
        <v>14330</v>
      </c>
      <c r="C14259" s="2" t="str">
        <f>"14682230"</f>
        <v>14682230</v>
      </c>
      <c r="D14259" s="2">
        <v>0.246</v>
      </c>
      <c r="E14259" s="2">
        <v>7</v>
      </c>
      <c r="F14259" s="2" t="s">
        <v>6</v>
      </c>
    </row>
    <row r="14260" spans="1:6" ht="25.5">
      <c r="A14260" s="2">
        <v>14257</v>
      </c>
      <c r="B14260" s="2" t="s">
        <v>14331</v>
      </c>
      <c r="C14260" s="2" t="str">
        <f>"15300285"</f>
        <v>15300285</v>
      </c>
      <c r="D14260" s="2">
        <v>2.1269999999999998</v>
      </c>
      <c r="E14260" s="2">
        <v>92</v>
      </c>
      <c r="F14260" s="2" t="s">
        <v>16</v>
      </c>
    </row>
    <row r="14261" spans="1:6" ht="25.5">
      <c r="A14261" s="2">
        <v>14258</v>
      </c>
      <c r="B14261" s="2" t="s">
        <v>14332</v>
      </c>
      <c r="C14261" s="2" t="str">
        <f>"15456951"</f>
        <v>15456951</v>
      </c>
      <c r="D14261" s="2">
        <v>0.1</v>
      </c>
      <c r="E14261" s="2">
        <v>6</v>
      </c>
      <c r="F14261" s="2" t="s">
        <v>6</v>
      </c>
    </row>
    <row r="14262" spans="1:6" ht="25.5">
      <c r="A14262" s="2">
        <v>14259</v>
      </c>
      <c r="B14262" s="2" t="s">
        <v>14333</v>
      </c>
      <c r="C14262" s="2" t="str">
        <f>"02177323"</f>
        <v>02177323</v>
      </c>
      <c r="D14262" s="2">
        <v>0.66600000000000004</v>
      </c>
      <c r="E14262" s="2">
        <v>57</v>
      </c>
      <c r="F14262" s="2" t="s">
        <v>543</v>
      </c>
    </row>
    <row r="14263" spans="1:6" ht="25.5">
      <c r="A14263" s="2">
        <v>14260</v>
      </c>
      <c r="B14263" s="2" t="s">
        <v>14334</v>
      </c>
      <c r="C14263" s="2" t="str">
        <f>"02179849"</f>
        <v>02179849</v>
      </c>
      <c r="D14263" s="2">
        <v>0.22500000000000001</v>
      </c>
      <c r="E14263" s="2">
        <v>26</v>
      </c>
      <c r="F14263" s="2" t="s">
        <v>543</v>
      </c>
    </row>
    <row r="14264" spans="1:6" ht="25.5">
      <c r="A14264" s="2">
        <v>14261</v>
      </c>
      <c r="B14264" s="2" t="s">
        <v>14335</v>
      </c>
      <c r="C14264" s="2" t="str">
        <f>"14397609"</f>
        <v>14397609</v>
      </c>
      <c r="D14264" s="2">
        <v>0.60199999999999998</v>
      </c>
      <c r="E14264" s="2">
        <v>27</v>
      </c>
      <c r="F14264" s="2" t="s">
        <v>131</v>
      </c>
    </row>
    <row r="14265" spans="1:6" ht="25.5">
      <c r="A14265" s="2">
        <v>14262</v>
      </c>
      <c r="B14265" s="2" t="s">
        <v>14336</v>
      </c>
      <c r="C14265" s="2" t="str">
        <f>"00268402"</f>
        <v>00268402</v>
      </c>
      <c r="D14265" s="2">
        <v>0.11</v>
      </c>
      <c r="E14265" s="2">
        <v>3</v>
      </c>
      <c r="F14265" s="2" t="s">
        <v>6</v>
      </c>
    </row>
    <row r="14266" spans="1:6" ht="25.5">
      <c r="A14266" s="2">
        <v>14263</v>
      </c>
      <c r="B14266" s="2" t="s">
        <v>14337</v>
      </c>
      <c r="C14266" s="2" t="str">
        <f>"14680025"</f>
        <v>14680025</v>
      </c>
      <c r="D14266" s="2">
        <v>0.16800000000000001</v>
      </c>
      <c r="E14266" s="2">
        <v>2</v>
      </c>
      <c r="F14266" s="2" t="s">
        <v>16</v>
      </c>
    </row>
    <row r="14267" spans="1:6" ht="25.5">
      <c r="A14267" s="2">
        <v>14264</v>
      </c>
      <c r="B14267" s="2" t="s">
        <v>14338</v>
      </c>
      <c r="C14267" s="2" t="str">
        <f>"14228599"</f>
        <v>14228599</v>
      </c>
      <c r="D14267" s="2">
        <v>0.114</v>
      </c>
      <c r="E14267" s="2">
        <v>3</v>
      </c>
      <c r="F14267" s="2" t="s">
        <v>31</v>
      </c>
    </row>
    <row r="14268" spans="1:6" ht="25.5">
      <c r="A14268" s="2">
        <v>14265</v>
      </c>
      <c r="B14268" s="2" t="s">
        <v>14339</v>
      </c>
      <c r="C14268" s="2" t="str">
        <f>"01666851"</f>
        <v>01666851</v>
      </c>
      <c r="D14268" s="2">
        <v>1.165</v>
      </c>
      <c r="E14268" s="2">
        <v>79</v>
      </c>
      <c r="F14268" s="2" t="s">
        <v>75</v>
      </c>
    </row>
    <row r="14269" spans="1:6" ht="25.5">
      <c r="A14269" s="2">
        <v>14266</v>
      </c>
      <c r="B14269" s="2" t="s">
        <v>14340</v>
      </c>
      <c r="C14269" s="2" t="str">
        <f>"15734919"</f>
        <v>15734919</v>
      </c>
      <c r="D14269" s="2">
        <v>0.79900000000000004</v>
      </c>
      <c r="E14269" s="2">
        <v>85</v>
      </c>
      <c r="F14269" s="2" t="s">
        <v>75</v>
      </c>
    </row>
    <row r="14270" spans="1:6" ht="25.5">
      <c r="A14270" s="2">
        <v>14267</v>
      </c>
      <c r="B14270" s="2" t="s">
        <v>14341</v>
      </c>
      <c r="C14270" s="2" t="str">
        <f>"10985549"</f>
        <v>10985549</v>
      </c>
      <c r="D14270" s="2">
        <v>3.8210000000000002</v>
      </c>
      <c r="E14270" s="2">
        <v>247</v>
      </c>
      <c r="F14270" s="2" t="s">
        <v>6</v>
      </c>
    </row>
    <row r="14271" spans="1:6" ht="25.5">
      <c r="A14271" s="2">
        <v>14268</v>
      </c>
      <c r="B14271" s="2" t="s">
        <v>14342</v>
      </c>
      <c r="C14271" s="2" t="str">
        <f>"03037207"</f>
        <v>03037207</v>
      </c>
      <c r="D14271" s="2">
        <v>1.38</v>
      </c>
      <c r="E14271" s="2">
        <v>89</v>
      </c>
      <c r="F14271" s="2" t="s">
        <v>732</v>
      </c>
    </row>
    <row r="14272" spans="1:6" ht="25.5">
      <c r="A14272" s="2">
        <v>14269</v>
      </c>
      <c r="B14272" s="2" t="s">
        <v>14343</v>
      </c>
      <c r="C14272" s="2" t="str">
        <f>"10959327"</f>
        <v>10959327</v>
      </c>
      <c r="D14272" s="2">
        <v>1.9490000000000001</v>
      </c>
      <c r="E14272" s="2">
        <v>96</v>
      </c>
      <c r="F14272" s="2" t="s">
        <v>6</v>
      </c>
    </row>
    <row r="14273" spans="1:6" ht="25.5">
      <c r="A14273" s="2">
        <v>14270</v>
      </c>
      <c r="B14273" s="2" t="s">
        <v>14344</v>
      </c>
      <c r="C14273" s="2" t="str">
        <f>"19381247"</f>
        <v>19381247</v>
      </c>
      <c r="D14273" s="2">
        <v>0.41499999999999998</v>
      </c>
      <c r="E14273" s="2">
        <v>7</v>
      </c>
      <c r="F14273" s="2" t="s">
        <v>6</v>
      </c>
    </row>
    <row r="14274" spans="1:6" ht="25.5">
      <c r="A14274" s="2">
        <v>14271</v>
      </c>
      <c r="B14274" s="2" t="s">
        <v>14345</v>
      </c>
      <c r="C14274" s="2" t="str">
        <f>"10961194"</f>
        <v>10961194</v>
      </c>
      <c r="D14274" s="2">
        <v>0.45400000000000001</v>
      </c>
      <c r="E14274" s="2">
        <v>46</v>
      </c>
      <c r="F14274" s="2" t="s">
        <v>6</v>
      </c>
    </row>
    <row r="14275" spans="1:6" ht="25.5">
      <c r="A14275" s="2">
        <v>14272</v>
      </c>
      <c r="B14275" s="2" t="s">
        <v>14346</v>
      </c>
      <c r="C14275" s="2" t="str">
        <f>"15359484"</f>
        <v>15359484</v>
      </c>
      <c r="D14275" s="2">
        <v>2.3519999999999999</v>
      </c>
      <c r="E14275" s="2">
        <v>110</v>
      </c>
      <c r="F14275" s="2" t="s">
        <v>6</v>
      </c>
    </row>
    <row r="14276" spans="1:6" ht="25.5">
      <c r="A14276" s="2">
        <v>14273</v>
      </c>
      <c r="B14276" s="2" t="s">
        <v>14347</v>
      </c>
      <c r="C14276" s="2" t="str">
        <f>"1738642X"</f>
        <v>1738642X</v>
      </c>
      <c r="D14276" s="2">
        <v>0.216</v>
      </c>
      <c r="E14276" s="2">
        <v>5</v>
      </c>
      <c r="F14276" s="2" t="s">
        <v>12</v>
      </c>
    </row>
    <row r="14277" spans="1:6" ht="25.5">
      <c r="A14277" s="2">
        <v>14274</v>
      </c>
      <c r="B14277" s="2" t="s">
        <v>14348</v>
      </c>
      <c r="C14277" s="2" t="str">
        <f>"00982997"</f>
        <v>00982997</v>
      </c>
      <c r="D14277" s="2">
        <v>4.6059999999999999</v>
      </c>
      <c r="E14277" s="2">
        <v>71</v>
      </c>
      <c r="F14277" s="2" t="s">
        <v>16</v>
      </c>
    </row>
    <row r="14278" spans="1:6" ht="25.5">
      <c r="A14278" s="2">
        <v>14275</v>
      </c>
      <c r="B14278" s="2" t="s">
        <v>14349</v>
      </c>
      <c r="C14278" s="2" t="str">
        <f>"16083245"</f>
        <v>16083245</v>
      </c>
      <c r="D14278" s="2">
        <v>0.183</v>
      </c>
      <c r="E14278" s="2">
        <v>14</v>
      </c>
      <c r="F14278" s="2" t="s">
        <v>129</v>
      </c>
    </row>
    <row r="14279" spans="1:6" ht="25.5">
      <c r="A14279" s="2">
        <v>14276</v>
      </c>
      <c r="B14279" s="2" t="s">
        <v>14350</v>
      </c>
      <c r="C14279" s="2" t="str">
        <f>"15371719"</f>
        <v>15371719</v>
      </c>
      <c r="D14279" s="2">
        <v>3.9569999999999999</v>
      </c>
      <c r="E14279" s="2">
        <v>145</v>
      </c>
      <c r="F14279" s="2" t="s">
        <v>16</v>
      </c>
    </row>
    <row r="14280" spans="1:6" ht="25.5">
      <c r="A14280" s="2">
        <v>14277</v>
      </c>
      <c r="B14280" s="2" t="s">
        <v>14351</v>
      </c>
      <c r="C14280" s="2" t="str">
        <f>"10591524"</f>
        <v>10591524</v>
      </c>
      <c r="D14280" s="2">
        <v>3.2850000000000001</v>
      </c>
      <c r="E14280" s="2">
        <v>157</v>
      </c>
      <c r="F14280" s="2" t="s">
        <v>6</v>
      </c>
    </row>
    <row r="14281" spans="1:6" ht="25.5">
      <c r="A14281" s="2">
        <v>14278</v>
      </c>
      <c r="B14281" s="2" t="s">
        <v>14352</v>
      </c>
      <c r="C14281" s="2" t="str">
        <f>"15734978"</f>
        <v>15734978</v>
      </c>
      <c r="D14281" s="2">
        <v>0.56399999999999995</v>
      </c>
      <c r="E14281" s="2">
        <v>32</v>
      </c>
      <c r="F14281" s="2" t="s">
        <v>75</v>
      </c>
    </row>
    <row r="14282" spans="1:6" ht="25.5">
      <c r="A14282" s="2">
        <v>14279</v>
      </c>
      <c r="B14282" s="2" t="s">
        <v>14353</v>
      </c>
      <c r="C14282" s="2" t="str">
        <f>"1742206X"</f>
        <v>1742206X</v>
      </c>
      <c r="D14282" s="2">
        <v>1.3879999999999999</v>
      </c>
      <c r="E14282" s="2">
        <v>42</v>
      </c>
      <c r="F14282" s="2" t="s">
        <v>16</v>
      </c>
    </row>
    <row r="14283" spans="1:6" ht="25.5">
      <c r="A14283" s="2">
        <v>14280</v>
      </c>
      <c r="B14283" s="2" t="s">
        <v>14354</v>
      </c>
      <c r="C14283" s="2" t="str">
        <f>"10736085"</f>
        <v>10736085</v>
      </c>
      <c r="D14283" s="2">
        <v>0.74199999999999999</v>
      </c>
      <c r="E14283" s="2">
        <v>47</v>
      </c>
      <c r="F14283" s="2" t="s">
        <v>6</v>
      </c>
    </row>
    <row r="14284" spans="1:6" ht="25.5">
      <c r="A14284" s="2">
        <v>14281</v>
      </c>
      <c r="B14284" s="2" t="s">
        <v>14355</v>
      </c>
      <c r="C14284" s="2" t="str">
        <f>"17566606"</f>
        <v>17566606</v>
      </c>
      <c r="D14284" s="2">
        <v>2.0089999999999999</v>
      </c>
      <c r="E14284" s="2">
        <v>19</v>
      </c>
      <c r="F14284" s="2" t="s">
        <v>16</v>
      </c>
    </row>
    <row r="14285" spans="1:6" ht="25.5">
      <c r="A14285" s="2">
        <v>14282</v>
      </c>
      <c r="B14285" s="2" t="s">
        <v>14356</v>
      </c>
      <c r="C14285" s="2" t="str">
        <f>"15729788"</f>
        <v>15729788</v>
      </c>
      <c r="D14285" s="2">
        <v>1.0900000000000001</v>
      </c>
      <c r="E14285" s="2">
        <v>62</v>
      </c>
      <c r="F14285" s="2" t="s">
        <v>75</v>
      </c>
    </row>
    <row r="14286" spans="1:6" ht="25.5">
      <c r="A14286" s="2">
        <v>14283</v>
      </c>
      <c r="B14286" s="2" t="s">
        <v>14357</v>
      </c>
      <c r="C14286" s="2" t="str">
        <f>"14764598"</f>
        <v>14764598</v>
      </c>
      <c r="D14286" s="2">
        <v>2.0649999999999999</v>
      </c>
      <c r="E14286" s="2">
        <v>54</v>
      </c>
      <c r="F14286" s="2" t="s">
        <v>16</v>
      </c>
    </row>
    <row r="14287" spans="1:6" ht="25.5">
      <c r="A14287" s="2">
        <v>14284</v>
      </c>
      <c r="B14287" s="2" t="s">
        <v>14358</v>
      </c>
      <c r="C14287" s="2" t="str">
        <f>"15417786"</f>
        <v>15417786</v>
      </c>
      <c r="D14287" s="2">
        <v>2.2109999999999999</v>
      </c>
      <c r="E14287" s="2">
        <v>89</v>
      </c>
      <c r="F14287" s="2" t="s">
        <v>6</v>
      </c>
    </row>
    <row r="14288" spans="1:6" ht="25.5">
      <c r="A14288" s="2">
        <v>14285</v>
      </c>
      <c r="B14288" s="2" t="s">
        <v>14359</v>
      </c>
      <c r="C14288" s="2" t="str">
        <f>"15357163"</f>
        <v>15357163</v>
      </c>
      <c r="D14288" s="2">
        <v>2.387</v>
      </c>
      <c r="E14288" s="2">
        <v>98</v>
      </c>
      <c r="F14288" s="2" t="s">
        <v>6</v>
      </c>
    </row>
    <row r="14289" spans="1:6" ht="25.5">
      <c r="A14289" s="2">
        <v>14286</v>
      </c>
      <c r="B14289" s="2" t="s">
        <v>14360</v>
      </c>
      <c r="C14289" s="2" t="str">
        <f>"10982744"</f>
        <v>10982744</v>
      </c>
      <c r="D14289" s="2">
        <v>1.2350000000000001</v>
      </c>
      <c r="E14289" s="2">
        <v>63</v>
      </c>
      <c r="F14289" s="2" t="s">
        <v>6</v>
      </c>
    </row>
    <row r="14290" spans="1:6" ht="25.5">
      <c r="A14290" s="2">
        <v>14287</v>
      </c>
      <c r="B14290" s="2" t="s">
        <v>14361</v>
      </c>
      <c r="C14290" s="2" t="str">
        <f>"10974164"</f>
        <v>10974164</v>
      </c>
      <c r="D14290" s="2">
        <v>10.667</v>
      </c>
      <c r="E14290" s="2">
        <v>261</v>
      </c>
      <c r="F14290" s="2" t="s">
        <v>6</v>
      </c>
    </row>
    <row r="14291" spans="1:6" ht="25.5">
      <c r="A14291" s="2">
        <v>14288</v>
      </c>
      <c r="B14291" s="2" t="s">
        <v>14362</v>
      </c>
      <c r="C14291" s="2" t="str">
        <f>"15435318"</f>
        <v>15435318</v>
      </c>
      <c r="D14291" s="2">
        <v>0.21099999999999999</v>
      </c>
      <c r="E14291" s="2">
        <v>21</v>
      </c>
      <c r="F14291" s="2" t="s">
        <v>16</v>
      </c>
    </row>
    <row r="14292" spans="1:6" ht="25.5">
      <c r="A14292" s="2">
        <v>14289</v>
      </c>
      <c r="B14292" s="2" t="s">
        <v>14363</v>
      </c>
      <c r="C14292" s="2" t="str">
        <f>"17558166"</f>
        <v>17558166</v>
      </c>
      <c r="D14292" s="2">
        <v>0.73</v>
      </c>
      <c r="E14292" s="2">
        <v>10</v>
      </c>
      <c r="F14292" s="2" t="s">
        <v>16</v>
      </c>
    </row>
    <row r="14293" spans="1:6" ht="25.5">
      <c r="A14293" s="2">
        <v>14290</v>
      </c>
      <c r="B14293" s="2" t="s">
        <v>14364</v>
      </c>
      <c r="C14293" s="2" t="str">
        <f>"11771062"</f>
        <v>11771062</v>
      </c>
      <c r="D14293" s="2">
        <v>0.45900000000000002</v>
      </c>
      <c r="E14293" s="2">
        <v>19</v>
      </c>
      <c r="F14293" s="2" t="s">
        <v>16</v>
      </c>
    </row>
    <row r="14294" spans="1:6" ht="25.5">
      <c r="A14294" s="2">
        <v>14291</v>
      </c>
      <c r="B14294" s="2" t="s">
        <v>14365</v>
      </c>
      <c r="C14294" s="2" t="str">
        <f>"1573501X"</f>
        <v>1573501X</v>
      </c>
      <c r="D14294" s="2">
        <v>0.752</v>
      </c>
      <c r="E14294" s="2">
        <v>33</v>
      </c>
      <c r="F14294" s="2" t="s">
        <v>75</v>
      </c>
    </row>
    <row r="14295" spans="1:6" ht="25.5">
      <c r="A14295" s="2">
        <v>14292</v>
      </c>
      <c r="B14295" s="2" t="s">
        <v>14366</v>
      </c>
      <c r="C14295" s="2" t="str">
        <f>"1365294X"</f>
        <v>1365294X</v>
      </c>
      <c r="D14295" s="2">
        <v>2.4700000000000002</v>
      </c>
      <c r="E14295" s="2">
        <v>137</v>
      </c>
      <c r="F14295" s="2" t="s">
        <v>16</v>
      </c>
    </row>
    <row r="14296" spans="1:6" ht="25.5">
      <c r="A14296" s="2">
        <v>14293</v>
      </c>
      <c r="B14296" s="2" t="s">
        <v>14367</v>
      </c>
      <c r="C14296" s="2" t="str">
        <f>"17550998"</f>
        <v>17550998</v>
      </c>
      <c r="D14296" s="2">
        <v>1.7529999999999999</v>
      </c>
      <c r="E14296" s="2">
        <v>66</v>
      </c>
      <c r="F14296" s="2" t="s">
        <v>16</v>
      </c>
    </row>
    <row r="14297" spans="1:6" ht="25.5">
      <c r="A14297" s="2">
        <v>14294</v>
      </c>
      <c r="B14297" s="2" t="s">
        <v>14368</v>
      </c>
      <c r="C14297" s="2" t="str">
        <f>"08888809"</f>
        <v>08888809</v>
      </c>
      <c r="D14297" s="2">
        <v>2.2469999999999999</v>
      </c>
      <c r="E14297" s="2">
        <v>138</v>
      </c>
      <c r="F14297" s="2" t="s">
        <v>6</v>
      </c>
    </row>
    <row r="14298" spans="1:6" ht="25.5">
      <c r="A14298" s="2">
        <v>14295</v>
      </c>
      <c r="B14298" s="2" t="s">
        <v>14369</v>
      </c>
      <c r="C14298" s="2" t="str">
        <f>"16174623"</f>
        <v>16174623</v>
      </c>
      <c r="D14298" s="2">
        <v>1.202</v>
      </c>
      <c r="E14298" s="2">
        <v>82</v>
      </c>
      <c r="F14298" s="2" t="s">
        <v>12</v>
      </c>
    </row>
    <row r="14299" spans="1:6" ht="25.5">
      <c r="A14299" s="2">
        <v>14296</v>
      </c>
      <c r="B14299" s="2" t="s">
        <v>14370</v>
      </c>
      <c r="C14299" s="2" t="str">
        <f>"10967206"</f>
        <v>10967206</v>
      </c>
      <c r="D14299" s="2">
        <v>0.98</v>
      </c>
      <c r="E14299" s="2">
        <v>70</v>
      </c>
      <c r="F14299" s="2" t="s">
        <v>6</v>
      </c>
    </row>
    <row r="14300" spans="1:6" ht="25.5">
      <c r="A14300" s="2">
        <v>14297</v>
      </c>
      <c r="B14300" s="2" t="s">
        <v>14371</v>
      </c>
      <c r="C14300" s="2" t="str">
        <f>"1934841X"</f>
        <v>1934841X</v>
      </c>
      <c r="D14300" s="2">
        <v>0.11799999999999999</v>
      </c>
      <c r="E14300" s="2">
        <v>2</v>
      </c>
      <c r="F14300" s="2" t="s">
        <v>6</v>
      </c>
    </row>
    <row r="14301" spans="1:6" ht="25.5">
      <c r="A14301" s="2">
        <v>14298</v>
      </c>
      <c r="B14301" s="2" t="s">
        <v>14372</v>
      </c>
      <c r="C14301" s="2" t="str">
        <f>"14602407"</f>
        <v>14602407</v>
      </c>
      <c r="D14301" s="2">
        <v>1.7010000000000001</v>
      </c>
      <c r="E14301" s="2">
        <v>84</v>
      </c>
      <c r="F14301" s="2" t="s">
        <v>16</v>
      </c>
    </row>
    <row r="14302" spans="1:6" ht="25.5">
      <c r="A14302" s="2">
        <v>14299</v>
      </c>
      <c r="B14302" s="2" t="s">
        <v>14373</v>
      </c>
      <c r="C14302" s="2" t="str">
        <f>"15360121"</f>
        <v>15360121</v>
      </c>
      <c r="D14302" s="2">
        <v>0.93799999999999994</v>
      </c>
      <c r="E14302" s="2">
        <v>40</v>
      </c>
      <c r="F14302" s="2" t="s">
        <v>64</v>
      </c>
    </row>
    <row r="14303" spans="1:6" ht="25.5">
      <c r="A14303" s="2">
        <v>14300</v>
      </c>
      <c r="B14303" s="2" t="s">
        <v>14374</v>
      </c>
      <c r="C14303" s="2" t="str">
        <f>"15361632"</f>
        <v>15361632</v>
      </c>
      <c r="D14303" s="2">
        <v>0.91700000000000004</v>
      </c>
      <c r="E14303" s="2">
        <v>43</v>
      </c>
      <c r="F14303" s="2" t="s">
        <v>6</v>
      </c>
    </row>
    <row r="14304" spans="1:6" ht="25.5">
      <c r="A14304" s="2">
        <v>14301</v>
      </c>
      <c r="B14304" s="2" t="s">
        <v>14375</v>
      </c>
      <c r="C14304" s="2" t="str">
        <f>"01615890"</f>
        <v>01615890</v>
      </c>
      <c r="D14304" s="2">
        <v>1.159</v>
      </c>
      <c r="E14304" s="2">
        <v>76</v>
      </c>
      <c r="F14304" s="2" t="s">
        <v>16</v>
      </c>
    </row>
    <row r="14305" spans="1:6" ht="25.5">
      <c r="A14305" s="2">
        <v>14302</v>
      </c>
      <c r="B14305" s="2" t="s">
        <v>14376</v>
      </c>
      <c r="C14305" s="2" t="str">
        <f>"18681751"</f>
        <v>18681751</v>
      </c>
      <c r="D14305" s="2">
        <v>0.46400000000000002</v>
      </c>
      <c r="E14305" s="2">
        <v>43</v>
      </c>
      <c r="F14305" s="2" t="s">
        <v>12</v>
      </c>
    </row>
    <row r="14306" spans="1:6" ht="25.5">
      <c r="A14306" s="2">
        <v>14303</v>
      </c>
      <c r="B14306" s="2" t="s">
        <v>14377</v>
      </c>
      <c r="C14306" s="2" t="str">
        <f>"15342548"</f>
        <v>15342548</v>
      </c>
      <c r="D14306" s="2">
        <v>1.121</v>
      </c>
      <c r="E14306" s="2">
        <v>49</v>
      </c>
      <c r="F14306" s="2" t="s">
        <v>6</v>
      </c>
    </row>
    <row r="14307" spans="1:6" ht="25.5">
      <c r="A14307" s="2">
        <v>14304</v>
      </c>
      <c r="B14307" s="2" t="s">
        <v>14378</v>
      </c>
      <c r="C14307" s="2" t="str">
        <f>"15283658"</f>
        <v>15283658</v>
      </c>
      <c r="D14307" s="2">
        <v>1.5720000000000001</v>
      </c>
      <c r="E14307" s="2">
        <v>79</v>
      </c>
      <c r="F14307" s="2" t="s">
        <v>6</v>
      </c>
    </row>
    <row r="14308" spans="1:6" ht="25.5">
      <c r="A14308" s="2">
        <v>14305</v>
      </c>
      <c r="B14308" s="2" t="s">
        <v>14379</v>
      </c>
      <c r="C14308" s="2" t="str">
        <f>"17913004"</f>
        <v>17913004</v>
      </c>
      <c r="D14308" s="2">
        <v>0.36299999999999999</v>
      </c>
      <c r="E14308" s="2">
        <v>9</v>
      </c>
      <c r="F14308" s="2" t="s">
        <v>313</v>
      </c>
    </row>
    <row r="14309" spans="1:6" ht="25.5">
      <c r="A14309" s="2">
        <v>14306</v>
      </c>
      <c r="B14309" s="2" t="s">
        <v>14380</v>
      </c>
      <c r="C14309" s="2" t="str">
        <f>"14645203"</f>
        <v>14645203</v>
      </c>
      <c r="D14309" s="2">
        <v>1.1819999999999999</v>
      </c>
      <c r="E14309" s="2">
        <v>56</v>
      </c>
      <c r="F14309" s="2" t="s">
        <v>16</v>
      </c>
    </row>
    <row r="14310" spans="1:6" ht="25.5">
      <c r="A14310" s="2">
        <v>14307</v>
      </c>
      <c r="B14310" s="2" t="s">
        <v>14381</v>
      </c>
      <c r="C14310" s="2" t="str">
        <f>"22128778"</f>
        <v>22128778</v>
      </c>
      <c r="D14310" s="2">
        <v>0</v>
      </c>
      <c r="E14310" s="2">
        <v>1</v>
      </c>
      <c r="F14310" s="2" t="s">
        <v>12</v>
      </c>
    </row>
    <row r="14311" spans="1:6" ht="25.5">
      <c r="A14311" s="2">
        <v>14308</v>
      </c>
      <c r="B14311" s="2" t="s">
        <v>14382</v>
      </c>
      <c r="C14311" s="2" t="str">
        <f>"13652958"</f>
        <v>13652958</v>
      </c>
      <c r="D14311" s="2">
        <v>2.766</v>
      </c>
      <c r="E14311" s="2">
        <v>172</v>
      </c>
      <c r="F14311" s="2" t="s">
        <v>16</v>
      </c>
    </row>
    <row r="14312" spans="1:6" ht="25.5">
      <c r="A14312" s="2">
        <v>14309</v>
      </c>
      <c r="B14312" s="2" t="s">
        <v>14383</v>
      </c>
      <c r="C14312" s="2" t="str">
        <f>"08937648"</f>
        <v>08937648</v>
      </c>
      <c r="D14312" s="2">
        <v>2.1240000000000001</v>
      </c>
      <c r="E14312" s="2">
        <v>64</v>
      </c>
      <c r="F14312" s="2" t="s">
        <v>6</v>
      </c>
    </row>
    <row r="14313" spans="1:6" ht="25.5">
      <c r="A14313" s="2">
        <v>14310</v>
      </c>
      <c r="B14313" s="2" t="s">
        <v>14384</v>
      </c>
      <c r="C14313" s="2" t="str">
        <f>"17501326"</f>
        <v>17501326</v>
      </c>
      <c r="D14313" s="2">
        <v>1.9990000000000001</v>
      </c>
      <c r="E14313" s="2">
        <v>29</v>
      </c>
      <c r="F14313" s="2" t="s">
        <v>16</v>
      </c>
    </row>
    <row r="14314" spans="1:6" ht="25.5">
      <c r="A14314" s="2">
        <v>14311</v>
      </c>
      <c r="B14314" s="2" t="s">
        <v>14385</v>
      </c>
      <c r="C14314" s="2" t="str">
        <f>"16134125"</f>
        <v>16134125</v>
      </c>
      <c r="D14314" s="2">
        <v>1.339</v>
      </c>
      <c r="E14314" s="2">
        <v>60</v>
      </c>
      <c r="F14314" s="2" t="s">
        <v>12</v>
      </c>
    </row>
    <row r="14315" spans="1:6" ht="25.5">
      <c r="A14315" s="2">
        <v>14312</v>
      </c>
      <c r="B14315" s="2" t="s">
        <v>14386</v>
      </c>
      <c r="C14315" s="2" t="str">
        <f>"18780261"</f>
        <v>18780261</v>
      </c>
      <c r="D14315" s="2">
        <v>2.6920000000000002</v>
      </c>
      <c r="E14315" s="2">
        <v>26</v>
      </c>
      <c r="F14315" s="2" t="s">
        <v>75</v>
      </c>
    </row>
    <row r="14316" spans="1:6" ht="25.5">
      <c r="A14316" s="2">
        <v>14313</v>
      </c>
      <c r="B14316" s="2" t="s">
        <v>14387</v>
      </c>
      <c r="C14316" s="2" t="str">
        <f>"20411006"</f>
        <v>20411006</v>
      </c>
      <c r="D14316" s="2">
        <v>0.70299999999999996</v>
      </c>
      <c r="E14316" s="2">
        <v>48</v>
      </c>
      <c r="F14316" s="2" t="s">
        <v>6</v>
      </c>
    </row>
    <row r="14317" spans="1:6" ht="25.5">
      <c r="A14317" s="2">
        <v>14314</v>
      </c>
      <c r="B14317" s="2" t="s">
        <v>14388</v>
      </c>
      <c r="C14317" s="2" t="str">
        <f>"17448069"</f>
        <v>17448069</v>
      </c>
      <c r="D14317" s="2">
        <v>1.677</v>
      </c>
      <c r="E14317" s="2">
        <v>36</v>
      </c>
      <c r="F14317" s="2" t="s">
        <v>16</v>
      </c>
    </row>
    <row r="14318" spans="1:6" ht="25.5">
      <c r="A14318" s="2">
        <v>14315</v>
      </c>
      <c r="B14318" s="2" t="s">
        <v>14389</v>
      </c>
      <c r="C14318" s="2" t="str">
        <f>"15438392"</f>
        <v>15438392</v>
      </c>
      <c r="D14318" s="2">
        <v>1.804</v>
      </c>
      <c r="E14318" s="2">
        <v>56</v>
      </c>
      <c r="F14318" s="2" t="s">
        <v>6</v>
      </c>
    </row>
    <row r="14319" spans="1:6" ht="25.5">
      <c r="A14319" s="2">
        <v>14316</v>
      </c>
      <c r="B14319" s="2" t="s">
        <v>14390</v>
      </c>
      <c r="C14319" s="2" t="str">
        <f>"15210111"</f>
        <v>15210111</v>
      </c>
      <c r="D14319" s="2">
        <v>2</v>
      </c>
      <c r="E14319" s="2">
        <v>143</v>
      </c>
      <c r="F14319" s="2" t="s">
        <v>6</v>
      </c>
    </row>
    <row r="14320" spans="1:6" ht="25.5">
      <c r="A14320" s="2">
        <v>14317</v>
      </c>
      <c r="B14320" s="2" t="s">
        <v>14391</v>
      </c>
      <c r="C14320" s="2" t="str">
        <f>"10959513"</f>
        <v>10959513</v>
      </c>
      <c r="D14320" s="2">
        <v>1.7829999999999999</v>
      </c>
      <c r="E14320" s="2">
        <v>99</v>
      </c>
      <c r="F14320" s="2" t="s">
        <v>6</v>
      </c>
    </row>
    <row r="14321" spans="1:6" ht="25.5">
      <c r="A14321" s="2">
        <v>14318</v>
      </c>
      <c r="B14321" s="2" t="s">
        <v>14392</v>
      </c>
      <c r="C14321" s="2" t="str">
        <f>"13623028"</f>
        <v>13623028</v>
      </c>
      <c r="D14321" s="2">
        <v>0.69</v>
      </c>
      <c r="E14321" s="2">
        <v>74</v>
      </c>
      <c r="F14321" s="2" t="s">
        <v>16</v>
      </c>
    </row>
    <row r="14322" spans="1:6" ht="25.5">
      <c r="A14322" s="2">
        <v>14319</v>
      </c>
      <c r="B14322" s="2" t="s">
        <v>14393</v>
      </c>
      <c r="C14322" s="2" t="str">
        <f>"17529867"</f>
        <v>17529867</v>
      </c>
      <c r="D14322" s="2">
        <v>2.806</v>
      </c>
      <c r="E14322" s="2">
        <v>30</v>
      </c>
      <c r="F14322" s="2" t="s">
        <v>16</v>
      </c>
    </row>
    <row r="14323" spans="1:6" ht="25.5">
      <c r="A14323" s="2">
        <v>14320</v>
      </c>
      <c r="B14323" s="2" t="s">
        <v>14394</v>
      </c>
      <c r="C14323" s="2" t="str">
        <f>"08940282"</f>
        <v>08940282</v>
      </c>
      <c r="D14323" s="2">
        <v>1.871</v>
      </c>
      <c r="E14323" s="2">
        <v>92</v>
      </c>
      <c r="F14323" s="2" t="s">
        <v>6</v>
      </c>
    </row>
    <row r="14324" spans="1:6" ht="25.5">
      <c r="A14324" s="2">
        <v>14321</v>
      </c>
      <c r="B14324" s="2" t="s">
        <v>14395</v>
      </c>
      <c r="C14324" s="2" t="str">
        <f>"14646722"</f>
        <v>14646722</v>
      </c>
      <c r="D14324" s="2">
        <v>1.4650000000000001</v>
      </c>
      <c r="E14324" s="2">
        <v>51</v>
      </c>
      <c r="F14324" s="2" t="s">
        <v>16</v>
      </c>
    </row>
    <row r="14325" spans="1:6" ht="25.5">
      <c r="A14325" s="2">
        <v>14322</v>
      </c>
      <c r="B14325" s="2" t="s">
        <v>14396</v>
      </c>
      <c r="C14325" s="2" t="str">
        <f>"14765578"</f>
        <v>14765578</v>
      </c>
      <c r="D14325" s="2">
        <v>5.117</v>
      </c>
      <c r="E14325" s="2">
        <v>132</v>
      </c>
      <c r="F14325" s="2" t="s">
        <v>16</v>
      </c>
    </row>
    <row r="14326" spans="1:6" ht="25.5">
      <c r="A14326" s="2">
        <v>14323</v>
      </c>
      <c r="B14326" s="2" t="s">
        <v>14397</v>
      </c>
      <c r="C14326" s="2" t="str">
        <f>"10982795"</f>
        <v>10982795</v>
      </c>
      <c r="D14326" s="2">
        <v>0.93899999999999995</v>
      </c>
      <c r="E14326" s="2">
        <v>74</v>
      </c>
      <c r="F14326" s="2" t="s">
        <v>6</v>
      </c>
    </row>
    <row r="14327" spans="1:6" ht="25.5">
      <c r="A14327" s="2">
        <v>14324</v>
      </c>
      <c r="B14327" s="2" t="s">
        <v>14398</v>
      </c>
      <c r="C14327" s="2" t="str">
        <f>"10290435"</f>
        <v>10290435</v>
      </c>
      <c r="D14327" s="2">
        <v>0.432</v>
      </c>
      <c r="E14327" s="2">
        <v>32</v>
      </c>
      <c r="F14327" s="2" t="s">
        <v>16</v>
      </c>
    </row>
    <row r="14328" spans="1:6" ht="25.5">
      <c r="A14328" s="2">
        <v>14325</v>
      </c>
      <c r="B14328" s="2" t="s">
        <v>14399</v>
      </c>
      <c r="C14328" s="2" t="str">
        <f>"16618777"</f>
        <v>16618777</v>
      </c>
      <c r="D14328" s="2">
        <v>0.84899999999999998</v>
      </c>
      <c r="E14328" s="2">
        <v>6</v>
      </c>
      <c r="F14328" s="2" t="s">
        <v>31</v>
      </c>
    </row>
    <row r="14329" spans="1:6" ht="25.5">
      <c r="A14329" s="2">
        <v>14326</v>
      </c>
      <c r="B14329" s="2" t="s">
        <v>14400</v>
      </c>
      <c r="C14329" s="2" t="str">
        <f>"17444292"</f>
        <v>17444292</v>
      </c>
      <c r="D14329" s="2">
        <v>6.3860000000000001</v>
      </c>
      <c r="E14329" s="2">
        <v>65</v>
      </c>
      <c r="F14329" s="2" t="s">
        <v>16</v>
      </c>
    </row>
    <row r="14330" spans="1:6" ht="25.5">
      <c r="A14330" s="2">
        <v>14327</v>
      </c>
      <c r="B14330" s="2" t="s">
        <v>14401</v>
      </c>
      <c r="C14330" s="2" t="str">
        <f>"15250024"</f>
        <v>15250024</v>
      </c>
      <c r="D14330" s="2">
        <v>2.5019999999999998</v>
      </c>
      <c r="E14330" s="2">
        <v>106</v>
      </c>
      <c r="F14330" s="2" t="s">
        <v>16</v>
      </c>
    </row>
    <row r="14331" spans="1:6" ht="25.5">
      <c r="A14331" s="2">
        <v>14328</v>
      </c>
      <c r="B14331" s="2" t="s">
        <v>14402</v>
      </c>
      <c r="C14331" s="2" t="str">
        <f>"21622531"</f>
        <v>21622531</v>
      </c>
      <c r="D14331" s="2">
        <v>0</v>
      </c>
      <c r="E14331" s="2">
        <v>3</v>
      </c>
      <c r="F14331" s="2" t="s">
        <v>6</v>
      </c>
    </row>
    <row r="14332" spans="1:6" ht="25.5">
      <c r="A14332" s="2">
        <v>14329</v>
      </c>
      <c r="B14332" s="2" t="s">
        <v>14403</v>
      </c>
      <c r="C14332" s="2" t="str">
        <f>"10900535"</f>
        <v>10900535</v>
      </c>
      <c r="D14332" s="2">
        <v>0.879</v>
      </c>
      <c r="E14332" s="2">
        <v>56</v>
      </c>
      <c r="F14332" s="2" t="s">
        <v>6</v>
      </c>
    </row>
    <row r="14333" spans="1:6" ht="25.5">
      <c r="A14333" s="2">
        <v>14330</v>
      </c>
      <c r="B14333" s="2" t="s">
        <v>14404</v>
      </c>
      <c r="C14333" s="2" t="str">
        <f>"14203049"</f>
        <v>14203049</v>
      </c>
      <c r="D14333" s="2">
        <v>0.69199999999999995</v>
      </c>
      <c r="E14333" s="2">
        <v>47</v>
      </c>
      <c r="F14333" s="2" t="s">
        <v>31</v>
      </c>
    </row>
    <row r="14334" spans="1:6" ht="25.5">
      <c r="A14334" s="2">
        <v>14331</v>
      </c>
      <c r="B14334" s="2" t="s">
        <v>14405</v>
      </c>
      <c r="C14334" s="2" t="str">
        <f>"10168478"</f>
        <v>10168478</v>
      </c>
      <c r="D14334" s="2">
        <v>0.89700000000000002</v>
      </c>
      <c r="E14334" s="2">
        <v>43</v>
      </c>
      <c r="F14334" s="2" t="s">
        <v>274</v>
      </c>
    </row>
    <row r="14335" spans="1:6" ht="25.5">
      <c r="A14335" s="2">
        <v>14332</v>
      </c>
      <c r="B14335" s="2" t="s">
        <v>14406</v>
      </c>
      <c r="C14335" s="2" t="str">
        <f>"02080613"</f>
        <v>02080613</v>
      </c>
      <c r="D14335" s="2">
        <v>0.112</v>
      </c>
      <c r="E14335" s="2">
        <v>7</v>
      </c>
      <c r="F14335" s="2" t="s">
        <v>129</v>
      </c>
    </row>
    <row r="14336" spans="1:6" ht="25.5">
      <c r="A14336" s="2">
        <v>14333</v>
      </c>
      <c r="B14336" s="2" t="s">
        <v>14407</v>
      </c>
      <c r="C14336" s="2" t="str">
        <f>"00268984"</f>
        <v>00268984</v>
      </c>
      <c r="D14336" s="2">
        <v>0.157</v>
      </c>
      <c r="E14336" s="2">
        <v>17</v>
      </c>
      <c r="F14336" s="2" t="s">
        <v>129</v>
      </c>
    </row>
    <row r="14337" spans="1:6" ht="25.5">
      <c r="A14337" s="2">
        <v>14334</v>
      </c>
      <c r="B14337" s="2" t="s">
        <v>14408</v>
      </c>
      <c r="C14337" s="2" t="str">
        <f>"13235818"</f>
        <v>13235818</v>
      </c>
      <c r="D14337" s="2">
        <v>0.23300000000000001</v>
      </c>
      <c r="E14337" s="2">
        <v>7</v>
      </c>
      <c r="F14337" s="2" t="s">
        <v>503</v>
      </c>
    </row>
    <row r="14338" spans="1:6" ht="25.5">
      <c r="A14338" s="2">
        <v>14335</v>
      </c>
      <c r="B14338" s="2" t="s">
        <v>14409</v>
      </c>
      <c r="C14338" s="2" t="str">
        <f>"11220643"</f>
        <v>11220643</v>
      </c>
      <c r="D14338" s="2">
        <v>0.23200000000000001</v>
      </c>
      <c r="E14338" s="2">
        <v>32</v>
      </c>
      <c r="F14338" s="2" t="s">
        <v>190</v>
      </c>
    </row>
    <row r="14339" spans="1:6" ht="25.5">
      <c r="A14339" s="2">
        <v>14336</v>
      </c>
      <c r="B14339" s="2" t="s">
        <v>14410</v>
      </c>
      <c r="C14339" s="2" t="str">
        <f>"13212753"</f>
        <v>13212753</v>
      </c>
      <c r="D14339" s="2">
        <v>0.115</v>
      </c>
      <c r="E14339" s="2">
        <v>5</v>
      </c>
      <c r="F14339" s="2" t="s">
        <v>127</v>
      </c>
    </row>
    <row r="14340" spans="1:6" ht="25.5">
      <c r="A14340" s="2">
        <v>14337</v>
      </c>
      <c r="B14340" s="2" t="s">
        <v>14411</v>
      </c>
      <c r="C14340" s="2" t="str">
        <f>"14344475"</f>
        <v>14344475</v>
      </c>
      <c r="D14340" s="2">
        <v>0.46899999999999997</v>
      </c>
      <c r="E14340" s="2">
        <v>39</v>
      </c>
      <c r="F14340" s="2" t="s">
        <v>288</v>
      </c>
    </row>
    <row r="14341" spans="1:6" ht="25.5">
      <c r="A14341" s="2">
        <v>14338</v>
      </c>
      <c r="B14341" s="2" t="s">
        <v>14412</v>
      </c>
      <c r="C14341" s="2" t="str">
        <f>"14365081"</f>
        <v>14365081</v>
      </c>
      <c r="D14341" s="2">
        <v>0.54400000000000004</v>
      </c>
      <c r="E14341" s="2">
        <v>22</v>
      </c>
      <c r="F14341" s="2" t="s">
        <v>288</v>
      </c>
    </row>
    <row r="14342" spans="1:6" ht="25.5">
      <c r="A14342" s="2">
        <v>14339</v>
      </c>
      <c r="B14342" s="2" t="s">
        <v>14413</v>
      </c>
      <c r="C14342" s="2" t="str">
        <f>"14330474"</f>
        <v>14330474</v>
      </c>
      <c r="D14342" s="2">
        <v>0.13500000000000001</v>
      </c>
      <c r="E14342" s="2">
        <v>17</v>
      </c>
      <c r="F14342" s="2" t="s">
        <v>12</v>
      </c>
    </row>
    <row r="14343" spans="1:6" ht="25.5">
      <c r="A14343" s="2">
        <v>14340</v>
      </c>
      <c r="B14343" s="2" t="s">
        <v>14414</v>
      </c>
      <c r="C14343" s="2" t="str">
        <f>"17821444"</f>
        <v>17821444</v>
      </c>
      <c r="D14343" s="2">
        <v>0.13600000000000001</v>
      </c>
      <c r="E14343" s="2">
        <v>5</v>
      </c>
      <c r="F14343" s="2" t="s">
        <v>161</v>
      </c>
    </row>
    <row r="14344" spans="1:6">
      <c r="A14344" s="2">
        <v>14341</v>
      </c>
      <c r="B14344" s="2" t="s">
        <v>14415</v>
      </c>
      <c r="C14344" s="2" t="str">
        <f>"0"</f>
        <v>0</v>
      </c>
      <c r="D14344" s="2">
        <v>0.123</v>
      </c>
      <c r="E14344" s="2">
        <v>3</v>
      </c>
      <c r="F14344" s="2" t="s">
        <v>190</v>
      </c>
    </row>
    <row r="14345" spans="1:6" ht="25.5">
      <c r="A14345" s="2">
        <v>14342</v>
      </c>
      <c r="B14345" s="2" t="s">
        <v>14416</v>
      </c>
      <c r="C14345" s="2" t="str">
        <f>"03912000"</f>
        <v>03912000</v>
      </c>
      <c r="D14345" s="2">
        <v>0.157</v>
      </c>
      <c r="E14345" s="2">
        <v>3</v>
      </c>
      <c r="F14345" s="2" t="s">
        <v>75</v>
      </c>
    </row>
    <row r="14346" spans="1:6" ht="25.5">
      <c r="A14346" s="2">
        <v>14343</v>
      </c>
      <c r="B14346" s="2" t="s">
        <v>14417</v>
      </c>
      <c r="C14346" s="2" t="str">
        <f>"16958950"</f>
        <v>16958950</v>
      </c>
      <c r="D14346" s="2">
        <v>0.113</v>
      </c>
      <c r="E14346" s="2">
        <v>1</v>
      </c>
      <c r="F14346" s="2" t="s">
        <v>66</v>
      </c>
    </row>
    <row r="14347" spans="1:6" ht="25.5">
      <c r="A14347" s="2">
        <v>14344</v>
      </c>
      <c r="B14347" s="2" t="s">
        <v>14418</v>
      </c>
      <c r="C14347" s="2" t="str">
        <f>"00770809"</f>
        <v>00770809</v>
      </c>
      <c r="D14347" s="2">
        <v>0.11700000000000001</v>
      </c>
      <c r="E14347" s="2">
        <v>3</v>
      </c>
      <c r="F14347" s="2" t="s">
        <v>31</v>
      </c>
    </row>
    <row r="14348" spans="1:6" ht="25.5">
      <c r="A14348" s="2">
        <v>14345</v>
      </c>
      <c r="B14348" s="2" t="s">
        <v>14419</v>
      </c>
      <c r="C14348" s="2" t="str">
        <f>"00770876"</f>
        <v>00770876</v>
      </c>
      <c r="D14348" s="2">
        <v>0.155</v>
      </c>
      <c r="E14348" s="2">
        <v>4</v>
      </c>
      <c r="F14348" s="2" t="s">
        <v>31</v>
      </c>
    </row>
    <row r="14349" spans="1:6" ht="25.5">
      <c r="A14349" s="2">
        <v>14346</v>
      </c>
      <c r="B14349" s="2" t="s">
        <v>14420</v>
      </c>
      <c r="C14349" s="2" t="str">
        <f>"00770892"</f>
        <v>00770892</v>
      </c>
      <c r="D14349" s="2">
        <v>0.60299999999999998</v>
      </c>
      <c r="E14349" s="2">
        <v>17</v>
      </c>
      <c r="F14349" s="2" t="s">
        <v>31</v>
      </c>
    </row>
    <row r="14350" spans="1:6" ht="25.5">
      <c r="A14350" s="2">
        <v>14347</v>
      </c>
      <c r="B14350" s="2" t="s">
        <v>14421</v>
      </c>
      <c r="C14350" s="2" t="str">
        <f>"16623851"</f>
        <v>16623851</v>
      </c>
      <c r="D14350" s="2">
        <v>0</v>
      </c>
      <c r="E14350" s="2">
        <v>3</v>
      </c>
      <c r="F14350" s="2" t="s">
        <v>31</v>
      </c>
    </row>
    <row r="14351" spans="1:6" ht="25.5">
      <c r="A14351" s="2">
        <v>14348</v>
      </c>
      <c r="B14351" s="2" t="s">
        <v>14422</v>
      </c>
      <c r="C14351" s="2" t="str">
        <f>"15405834"</f>
        <v>15405834</v>
      </c>
      <c r="D14351" s="2">
        <v>0.67500000000000004</v>
      </c>
      <c r="E14351" s="2">
        <v>39</v>
      </c>
      <c r="F14351" s="2" t="s">
        <v>16</v>
      </c>
    </row>
    <row r="14352" spans="1:6" ht="25.5">
      <c r="A14352" s="2">
        <v>14349</v>
      </c>
      <c r="B14352" s="2" t="s">
        <v>14423</v>
      </c>
      <c r="C14352" s="2" t="str">
        <f>"00269891"</f>
        <v>00269891</v>
      </c>
      <c r="D14352" s="2">
        <v>0.1</v>
      </c>
      <c r="E14352" s="2">
        <v>2</v>
      </c>
      <c r="F14352" s="2" t="s">
        <v>6</v>
      </c>
    </row>
    <row r="14353" spans="1:6" ht="25.5">
      <c r="A14353" s="2">
        <v>14350</v>
      </c>
      <c r="B14353" s="2" t="s">
        <v>14424</v>
      </c>
      <c r="C14353" s="2" t="str">
        <f>"09299629"</f>
        <v>09299629</v>
      </c>
      <c r="D14353" s="2">
        <v>0.224</v>
      </c>
      <c r="E14353" s="2">
        <v>14</v>
      </c>
      <c r="F14353" s="2" t="s">
        <v>12</v>
      </c>
    </row>
    <row r="14354" spans="1:6" ht="25.5">
      <c r="A14354" s="2">
        <v>14351</v>
      </c>
      <c r="B14354" s="2" t="s">
        <v>14425</v>
      </c>
      <c r="C14354" s="2" t="str">
        <f>"00981818"</f>
        <v>00981818</v>
      </c>
      <c r="D14354" s="2">
        <v>0.36499999999999999</v>
      </c>
      <c r="E14354" s="2">
        <v>31</v>
      </c>
      <c r="F14354" s="2" t="s">
        <v>6</v>
      </c>
    </row>
    <row r="14355" spans="1:6" ht="25.5">
      <c r="A14355" s="2">
        <v>14352</v>
      </c>
      <c r="B14355" s="2" t="s">
        <v>14426</v>
      </c>
      <c r="C14355" s="2" t="str">
        <f>"17453933"</f>
        <v>17453933</v>
      </c>
      <c r="D14355" s="2">
        <v>1.804</v>
      </c>
      <c r="E14355" s="2">
        <v>49</v>
      </c>
      <c r="F14355" s="2" t="s">
        <v>16</v>
      </c>
    </row>
    <row r="14356" spans="1:6" ht="25.5">
      <c r="A14356" s="2">
        <v>14353</v>
      </c>
      <c r="B14356" s="2" t="s">
        <v>14427</v>
      </c>
      <c r="C14356" s="2" t="str">
        <f>"00270520"</f>
        <v>00270520</v>
      </c>
      <c r="D14356" s="2">
        <v>0.64300000000000002</v>
      </c>
      <c r="E14356" s="2">
        <v>13</v>
      </c>
      <c r="F14356" s="2" t="s">
        <v>6</v>
      </c>
    </row>
    <row r="14357" spans="1:6" ht="25.5">
      <c r="A14357" s="2">
        <v>14354</v>
      </c>
      <c r="B14357" s="2" t="s">
        <v>14428</v>
      </c>
      <c r="C14357" s="2" t="str">
        <f>"15200493"</f>
        <v>15200493</v>
      </c>
      <c r="D14357" s="2">
        <v>2.7330000000000001</v>
      </c>
      <c r="E14357" s="2">
        <v>101</v>
      </c>
      <c r="F14357" s="2" t="s">
        <v>6</v>
      </c>
    </row>
    <row r="14358" spans="1:6" ht="25.5">
      <c r="A14358" s="2">
        <v>14355</v>
      </c>
      <c r="B14358" s="2" t="s">
        <v>14429</v>
      </c>
      <c r="C14358" s="2" t="str">
        <f>"18801390"</f>
        <v>18801390</v>
      </c>
      <c r="D14358" s="2">
        <v>0.10100000000000001</v>
      </c>
      <c r="E14358" s="2">
        <v>3</v>
      </c>
      <c r="F14358" s="2" t="s">
        <v>131</v>
      </c>
    </row>
    <row r="14359" spans="1:6" ht="25.5">
      <c r="A14359" s="2">
        <v>14356</v>
      </c>
      <c r="B14359" s="2" t="s">
        <v>14430</v>
      </c>
      <c r="C14359" s="2" t="str">
        <f>"12108812"</f>
        <v>12108812</v>
      </c>
      <c r="D14359" s="2">
        <v>0.215</v>
      </c>
      <c r="E14359" s="2">
        <v>6</v>
      </c>
      <c r="F14359" s="2" t="s">
        <v>208</v>
      </c>
    </row>
    <row r="14360" spans="1:6" ht="25.5">
      <c r="A14360" s="2">
        <v>14357</v>
      </c>
      <c r="B14360" s="2" t="s">
        <v>14431</v>
      </c>
      <c r="C14360" s="2" t="str">
        <f>"1545861X"</f>
        <v>1545861X</v>
      </c>
      <c r="D14360" s="2">
        <v>4.24</v>
      </c>
      <c r="E14360" s="2">
        <v>125</v>
      </c>
      <c r="F14360" s="2" t="s">
        <v>6</v>
      </c>
    </row>
    <row r="14361" spans="1:6" ht="25.5">
      <c r="A14361" s="2">
        <v>14358</v>
      </c>
      <c r="B14361" s="2" t="s">
        <v>14432</v>
      </c>
      <c r="C14361" s="2" t="str">
        <f>"00478105"</f>
        <v>00478105</v>
      </c>
      <c r="D14361" s="2">
        <v>0.1</v>
      </c>
      <c r="E14361" s="2">
        <v>2</v>
      </c>
      <c r="F14361" s="2" t="s">
        <v>66</v>
      </c>
    </row>
    <row r="14362" spans="1:6" ht="25.5">
      <c r="A14362" s="2">
        <v>14359</v>
      </c>
      <c r="B14362" s="2" t="s">
        <v>14433</v>
      </c>
      <c r="C14362" s="2" t="str">
        <f>"10263543"</f>
        <v>10263543</v>
      </c>
      <c r="D14362" s="2">
        <v>0.11799999999999999</v>
      </c>
      <c r="E14362" s="2">
        <v>9</v>
      </c>
      <c r="F14362" s="2" t="s">
        <v>129</v>
      </c>
    </row>
    <row r="14363" spans="1:6" ht="25.5">
      <c r="A14363" s="2">
        <v>14360</v>
      </c>
      <c r="B14363" s="2" t="s">
        <v>14434</v>
      </c>
      <c r="C14363" s="2" t="str">
        <f>"12860115"</f>
        <v>12860115</v>
      </c>
      <c r="D14363" s="2">
        <v>0.151</v>
      </c>
      <c r="E14363" s="2">
        <v>9</v>
      </c>
      <c r="F14363" s="2" t="s">
        <v>66</v>
      </c>
    </row>
    <row r="14364" spans="1:6" ht="25.5">
      <c r="A14364" s="2">
        <v>14361</v>
      </c>
      <c r="B14364" s="2" t="s">
        <v>14435</v>
      </c>
      <c r="C14364" s="2" t="str">
        <f>"18715656"</f>
        <v>18715656</v>
      </c>
      <c r="D14364" s="2">
        <v>0.32400000000000001</v>
      </c>
      <c r="E14364" s="2">
        <v>4</v>
      </c>
      <c r="F14364" s="2" t="s">
        <v>75</v>
      </c>
    </row>
    <row r="14365" spans="1:6" ht="25.5">
      <c r="A14365" s="2">
        <v>14362</v>
      </c>
      <c r="B14365" s="2" t="s">
        <v>14436</v>
      </c>
      <c r="C14365" s="2" t="str">
        <f>"14699885"</f>
        <v>14699885</v>
      </c>
      <c r="D14365" s="2">
        <v>0.245</v>
      </c>
      <c r="E14365" s="2">
        <v>9</v>
      </c>
      <c r="F14365" s="2" t="s">
        <v>16</v>
      </c>
    </row>
    <row r="14366" spans="1:6" ht="25.5">
      <c r="A14366" s="2">
        <v>14363</v>
      </c>
      <c r="B14366" s="2" t="s">
        <v>14437</v>
      </c>
      <c r="C14366" s="2" t="str">
        <f>"00271276"</f>
        <v>00271276</v>
      </c>
      <c r="D14366" s="2">
        <v>0.11700000000000001</v>
      </c>
      <c r="E14366" s="2">
        <v>5</v>
      </c>
      <c r="F14366" s="2" t="s">
        <v>64</v>
      </c>
    </row>
    <row r="14367" spans="1:6" ht="25.5">
      <c r="A14367" s="2">
        <v>14364</v>
      </c>
      <c r="B14367" s="2" t="s">
        <v>14438</v>
      </c>
      <c r="C14367" s="2" t="str">
        <f>"16094514"</f>
        <v>16094514</v>
      </c>
      <c r="D14367" s="2">
        <v>0.71599999999999997</v>
      </c>
      <c r="E14367" s="2">
        <v>4</v>
      </c>
      <c r="F14367" s="2" t="s">
        <v>129</v>
      </c>
    </row>
    <row r="14368" spans="1:6" ht="25.5">
      <c r="A14368" s="2">
        <v>14365</v>
      </c>
      <c r="B14368" s="2" t="s">
        <v>14439</v>
      </c>
      <c r="C14368" s="2" t="str">
        <f>"1934791X"</f>
        <v>1934791X</v>
      </c>
      <c r="D14368" s="2">
        <v>0.109</v>
      </c>
      <c r="E14368" s="2">
        <v>1</v>
      </c>
      <c r="F14368" s="2" t="s">
        <v>6</v>
      </c>
    </row>
    <row r="14369" spans="1:6" ht="25.5">
      <c r="A14369" s="2">
        <v>14366</v>
      </c>
      <c r="B14369" s="2" t="s">
        <v>14440</v>
      </c>
      <c r="C14369" s="2" t="str">
        <f>"00271314"</f>
        <v>00271314</v>
      </c>
      <c r="D14369" s="2">
        <v>0.161</v>
      </c>
      <c r="E14369" s="2">
        <v>3</v>
      </c>
      <c r="F14369" s="2" t="s">
        <v>6</v>
      </c>
    </row>
    <row r="14370" spans="1:6" ht="25.5">
      <c r="A14370" s="2">
        <v>14367</v>
      </c>
      <c r="B14370" s="2" t="s">
        <v>14441</v>
      </c>
      <c r="C14370" s="2" t="str">
        <f>"02786419"</f>
        <v>02786419</v>
      </c>
      <c r="D14370" s="2">
        <v>0.107</v>
      </c>
      <c r="E14370" s="2">
        <v>2</v>
      </c>
      <c r="F14370" s="2" t="s">
        <v>6</v>
      </c>
    </row>
    <row r="14371" spans="1:6" ht="25.5">
      <c r="A14371" s="2">
        <v>14368</v>
      </c>
      <c r="B14371" s="2" t="s">
        <v>14442</v>
      </c>
      <c r="C14371" s="2" t="str">
        <f>"00271330"</f>
        <v>00271330</v>
      </c>
      <c r="D14371" s="2">
        <v>0.17199999999999999</v>
      </c>
      <c r="E14371" s="2">
        <v>2</v>
      </c>
      <c r="F14371" s="2" t="s">
        <v>6</v>
      </c>
    </row>
    <row r="14372" spans="1:6" ht="25.5">
      <c r="A14372" s="2">
        <v>14369</v>
      </c>
      <c r="B14372" s="2" t="s">
        <v>14443</v>
      </c>
      <c r="C14372" s="2" t="str">
        <f>"10036059"</f>
        <v>10036059</v>
      </c>
      <c r="D14372" s="2">
        <v>0.19700000000000001</v>
      </c>
      <c r="E14372" s="2">
        <v>10</v>
      </c>
      <c r="F14372" s="2" t="s">
        <v>46</v>
      </c>
    </row>
    <row r="14373" spans="1:6" ht="25.5">
      <c r="A14373" s="2">
        <v>14370</v>
      </c>
      <c r="B14373" s="2" t="s">
        <v>14444</v>
      </c>
      <c r="C14373" s="2" t="str">
        <f>"15736644"</f>
        <v>15736644</v>
      </c>
      <c r="D14373" s="2">
        <v>0.66900000000000004</v>
      </c>
      <c r="E14373" s="2">
        <v>41</v>
      </c>
      <c r="F14373" s="2" t="s">
        <v>6</v>
      </c>
    </row>
    <row r="14374" spans="1:6" ht="25.5">
      <c r="A14374" s="2">
        <v>14371</v>
      </c>
      <c r="B14374" s="2" t="s">
        <v>14445</v>
      </c>
      <c r="C14374" s="2" t="str">
        <f>"15432696"</f>
        <v>15432696</v>
      </c>
      <c r="D14374" s="2">
        <v>0.41799999999999998</v>
      </c>
      <c r="E14374" s="2">
        <v>28</v>
      </c>
      <c r="F14374" s="2" t="s">
        <v>6</v>
      </c>
    </row>
    <row r="14375" spans="1:6" ht="25.5">
      <c r="A14375" s="2">
        <v>14372</v>
      </c>
      <c r="B14375" s="2" t="s">
        <v>14446</v>
      </c>
      <c r="C14375" s="2" t="str">
        <f>"00272000"</f>
        <v>00272000</v>
      </c>
      <c r="D14375" s="2">
        <v>0.1</v>
      </c>
      <c r="E14375" s="2">
        <v>1</v>
      </c>
      <c r="F14375" s="2" t="s">
        <v>16</v>
      </c>
    </row>
    <row r="14376" spans="1:6" ht="25.5">
      <c r="A14376" s="2">
        <v>14373</v>
      </c>
      <c r="B14376" s="2" t="s">
        <v>14447</v>
      </c>
      <c r="C14376" s="2" t="str">
        <f>"1646107X"</f>
        <v>1646107X</v>
      </c>
      <c r="D14376" s="2">
        <v>0.10100000000000001</v>
      </c>
      <c r="E14376" s="2">
        <v>1</v>
      </c>
      <c r="F14376" s="2" t="s">
        <v>306</v>
      </c>
    </row>
    <row r="14377" spans="1:6" ht="25.5">
      <c r="A14377" s="2">
        <v>14374</v>
      </c>
      <c r="B14377" s="2" t="s">
        <v>14448</v>
      </c>
      <c r="C14377" s="2" t="str">
        <f>"02455919"</f>
        <v>02455919</v>
      </c>
      <c r="D14377" s="2">
        <v>0.1</v>
      </c>
      <c r="E14377" s="2">
        <v>3</v>
      </c>
      <c r="F14377" s="2" t="s">
        <v>66</v>
      </c>
    </row>
    <row r="14378" spans="1:6" ht="25.5">
      <c r="A14378" s="2">
        <v>14375</v>
      </c>
      <c r="B14378" s="2" t="s">
        <v>14449</v>
      </c>
      <c r="C14378" s="2" t="str">
        <f>"19806574"</f>
        <v>19806574</v>
      </c>
      <c r="D14378" s="2">
        <v>0.18</v>
      </c>
      <c r="E14378" s="2">
        <v>2</v>
      </c>
      <c r="F14378" s="2" t="s">
        <v>159</v>
      </c>
    </row>
    <row r="14379" spans="1:6" ht="25.5">
      <c r="A14379" s="2">
        <v>14376</v>
      </c>
      <c r="B14379" s="2" t="s">
        <v>14450</v>
      </c>
      <c r="C14379" s="2" t="str">
        <f>"02764741"</f>
        <v>02764741</v>
      </c>
      <c r="D14379" s="2">
        <v>0.40400000000000003</v>
      </c>
      <c r="E14379" s="2">
        <v>27</v>
      </c>
      <c r="F14379" s="2" t="s">
        <v>31</v>
      </c>
    </row>
    <row r="14380" spans="1:6" ht="25.5">
      <c r="A14380" s="2">
        <v>14377</v>
      </c>
      <c r="B14380" s="2" t="s">
        <v>14451</v>
      </c>
      <c r="C14380" s="2" t="str">
        <f>"00272507"</f>
        <v>00272507</v>
      </c>
      <c r="D14380" s="2">
        <v>0.68700000000000006</v>
      </c>
      <c r="E14380" s="2">
        <v>41</v>
      </c>
      <c r="F14380" s="2" t="s">
        <v>6</v>
      </c>
    </row>
    <row r="14381" spans="1:6" ht="25.5">
      <c r="A14381" s="2">
        <v>14378</v>
      </c>
      <c r="B14381" s="2" t="s">
        <v>14452</v>
      </c>
      <c r="C14381" s="2" t="str">
        <f>"00272671"</f>
        <v>00272671</v>
      </c>
      <c r="D14381" s="2">
        <v>0.129</v>
      </c>
      <c r="E14381" s="2">
        <v>5</v>
      </c>
      <c r="F14381" s="2" t="s">
        <v>66</v>
      </c>
    </row>
    <row r="14382" spans="1:6" ht="25.5">
      <c r="A14382" s="2">
        <v>14379</v>
      </c>
      <c r="B14382" s="2" t="s">
        <v>14453</v>
      </c>
      <c r="C14382" s="2" t="str">
        <f>"15318257"</f>
        <v>15318257</v>
      </c>
      <c r="D14382" s="2">
        <v>1.7330000000000001</v>
      </c>
      <c r="E14382" s="2">
        <v>113</v>
      </c>
      <c r="F14382" s="2" t="s">
        <v>6</v>
      </c>
    </row>
    <row r="14383" spans="1:6" ht="25.5">
      <c r="A14383" s="2">
        <v>14380</v>
      </c>
      <c r="B14383" s="2" t="s">
        <v>14454</v>
      </c>
      <c r="C14383" s="2" t="str">
        <f>"19828918"</f>
        <v>19828918</v>
      </c>
      <c r="D14383" s="2">
        <v>0.20699999999999999</v>
      </c>
      <c r="E14383" s="2">
        <v>2</v>
      </c>
      <c r="F14383" s="2" t="s">
        <v>159</v>
      </c>
    </row>
    <row r="14384" spans="1:6" ht="25.5">
      <c r="A14384" s="2">
        <v>14381</v>
      </c>
      <c r="B14384" s="2" t="s">
        <v>14455</v>
      </c>
      <c r="C14384" s="2" t="str">
        <f>"00272841"</f>
        <v>00272841</v>
      </c>
      <c r="D14384" s="2">
        <v>0.1</v>
      </c>
      <c r="E14384" s="2">
        <v>3</v>
      </c>
      <c r="F14384" s="2" t="s">
        <v>161</v>
      </c>
    </row>
    <row r="14385" spans="1:6" ht="25.5">
      <c r="A14385" s="2">
        <v>14382</v>
      </c>
      <c r="B14385" s="2" t="s">
        <v>14456</v>
      </c>
      <c r="C14385" s="2" t="str">
        <f>"02260174"</f>
        <v>02260174</v>
      </c>
      <c r="D14385" s="2">
        <v>0.10100000000000001</v>
      </c>
      <c r="E14385" s="2">
        <v>2</v>
      </c>
      <c r="F14385" s="2" t="s">
        <v>161</v>
      </c>
    </row>
    <row r="14386" spans="1:6" ht="25.5">
      <c r="A14386" s="2">
        <v>14383</v>
      </c>
      <c r="B14386" s="2" t="s">
        <v>14457</v>
      </c>
      <c r="C14386" s="2" t="str">
        <f>"17697298"</f>
        <v>17697298</v>
      </c>
      <c r="D14386" s="2">
        <v>0.1</v>
      </c>
      <c r="E14386" s="2">
        <v>4</v>
      </c>
      <c r="F14386" s="2" t="s">
        <v>66</v>
      </c>
    </row>
    <row r="14387" spans="1:6" ht="25.5">
      <c r="A14387" s="2">
        <v>14384</v>
      </c>
      <c r="B14387" s="2" t="s">
        <v>14458</v>
      </c>
      <c r="C14387" s="2" t="str">
        <f>"08837694"</f>
        <v>08837694</v>
      </c>
      <c r="D14387" s="2">
        <v>2.1720000000000002</v>
      </c>
      <c r="E14387" s="2">
        <v>88</v>
      </c>
      <c r="F14387" s="2" t="s">
        <v>6</v>
      </c>
    </row>
    <row r="14388" spans="1:6" ht="25.5">
      <c r="A14388" s="2">
        <v>14385</v>
      </c>
      <c r="B14388" s="2" t="s">
        <v>14459</v>
      </c>
      <c r="C14388" s="2" t="str">
        <f>"10537899"</f>
        <v>10537899</v>
      </c>
      <c r="D14388" s="2">
        <v>0.1</v>
      </c>
      <c r="E14388" s="2">
        <v>1</v>
      </c>
      <c r="F14388" s="2" t="s">
        <v>6</v>
      </c>
    </row>
    <row r="14389" spans="1:6" ht="25.5">
      <c r="A14389" s="2">
        <v>14386</v>
      </c>
      <c r="B14389" s="2" t="s">
        <v>14460</v>
      </c>
      <c r="C14389" s="2" t="str">
        <f>"19353456"</f>
        <v>19353456</v>
      </c>
      <c r="D14389" s="2">
        <v>3.1579999999999999</v>
      </c>
      <c r="E14389" s="2">
        <v>33</v>
      </c>
      <c r="F14389" s="2" t="s">
        <v>16</v>
      </c>
    </row>
    <row r="14390" spans="1:6" ht="25.5">
      <c r="A14390" s="2">
        <v>14387</v>
      </c>
      <c r="B14390" s="2" t="s">
        <v>14461</v>
      </c>
      <c r="C14390" s="2" t="str">
        <f>"00771813"</f>
        <v>00771813</v>
      </c>
      <c r="D14390" s="2">
        <v>0.186</v>
      </c>
      <c r="E14390" s="2">
        <v>6</v>
      </c>
      <c r="F14390" s="2" t="s">
        <v>127</v>
      </c>
    </row>
    <row r="14391" spans="1:6" ht="25.5">
      <c r="A14391" s="2">
        <v>14388</v>
      </c>
      <c r="B14391" s="2" t="s">
        <v>14462</v>
      </c>
      <c r="C14391" s="2" t="str">
        <f>"15741702"</f>
        <v>15741702</v>
      </c>
      <c r="D14391" s="2">
        <v>0.112</v>
      </c>
      <c r="E14391" s="2">
        <v>2</v>
      </c>
      <c r="F14391" s="2" t="s">
        <v>6</v>
      </c>
    </row>
    <row r="14392" spans="1:6" ht="25.5">
      <c r="A14392" s="2">
        <v>14389</v>
      </c>
      <c r="B14392" s="2" t="s">
        <v>14463</v>
      </c>
      <c r="C14392" s="2" t="str">
        <f>"1573272X"</f>
        <v>1573272X</v>
      </c>
      <c r="D14392" s="2">
        <v>0.97</v>
      </c>
      <c r="E14392" s="2">
        <v>31</v>
      </c>
      <c r="F14392" s="2" t="s">
        <v>75</v>
      </c>
    </row>
    <row r="14393" spans="1:6" ht="25.5">
      <c r="A14393" s="2">
        <v>14390</v>
      </c>
      <c r="B14393" s="2" t="s">
        <v>14464</v>
      </c>
      <c r="C14393" s="2" t="str">
        <f>"10683844"</f>
        <v>10683844</v>
      </c>
      <c r="D14393" s="2">
        <v>0.14199999999999999</v>
      </c>
      <c r="E14393" s="2">
        <v>6</v>
      </c>
      <c r="F14393" s="2" t="s">
        <v>6</v>
      </c>
    </row>
    <row r="14394" spans="1:6" ht="25.5">
      <c r="A14394" s="2">
        <v>14391</v>
      </c>
      <c r="B14394" s="2" t="s">
        <v>14465</v>
      </c>
      <c r="C14394" s="2" t="str">
        <f>"1750497X"</f>
        <v>1750497X</v>
      </c>
      <c r="D14394" s="2">
        <v>0</v>
      </c>
      <c r="E14394" s="2">
        <v>2</v>
      </c>
      <c r="F14394" s="2" t="s">
        <v>16</v>
      </c>
    </row>
    <row r="14395" spans="1:6" ht="25.5">
      <c r="A14395" s="2">
        <v>14392</v>
      </c>
      <c r="B14395" s="2" t="s">
        <v>14466</v>
      </c>
      <c r="C14395" s="2" t="str">
        <f>"15327892"</f>
        <v>15327892</v>
      </c>
      <c r="D14395" s="2">
        <v>0.184</v>
      </c>
      <c r="E14395" s="2">
        <v>3</v>
      </c>
      <c r="F14395" s="2" t="s">
        <v>6</v>
      </c>
    </row>
    <row r="14396" spans="1:6" ht="25.5">
      <c r="A14396" s="2">
        <v>14393</v>
      </c>
      <c r="B14396" s="2" t="s">
        <v>14467</v>
      </c>
      <c r="C14396" s="2" t="str">
        <f>"15730824"</f>
        <v>15730824</v>
      </c>
      <c r="D14396" s="2">
        <v>0.67400000000000004</v>
      </c>
      <c r="E14396" s="2">
        <v>21</v>
      </c>
      <c r="F14396" s="2" t="s">
        <v>75</v>
      </c>
    </row>
    <row r="14397" spans="1:6" ht="25.5">
      <c r="A14397" s="2">
        <v>14394</v>
      </c>
      <c r="B14397" s="2" t="s">
        <v>14468</v>
      </c>
      <c r="C14397" s="2" t="str">
        <f>"1828695X"</f>
        <v>1828695X</v>
      </c>
      <c r="D14397" s="2">
        <v>0.13600000000000001</v>
      </c>
      <c r="E14397" s="2">
        <v>3</v>
      </c>
      <c r="F14397" s="2" t="s">
        <v>190</v>
      </c>
    </row>
    <row r="14398" spans="1:6" ht="25.5">
      <c r="A14398" s="2">
        <v>14395</v>
      </c>
      <c r="B14398" s="2" t="s">
        <v>14469</v>
      </c>
      <c r="C14398" s="2" t="str">
        <f>"15736113"</f>
        <v>15736113</v>
      </c>
      <c r="D14398" s="2">
        <v>0.20799999999999999</v>
      </c>
      <c r="E14398" s="2">
        <v>5</v>
      </c>
      <c r="F14398" s="2" t="s">
        <v>16</v>
      </c>
    </row>
    <row r="14399" spans="1:6" ht="25.5">
      <c r="A14399" s="2">
        <v>14396</v>
      </c>
      <c r="B14399" s="2" t="s">
        <v>14470</v>
      </c>
      <c r="C14399" s="2" t="str">
        <f>"16133684"</f>
        <v>16133684</v>
      </c>
      <c r="D14399" s="2">
        <v>0.35599999999999998</v>
      </c>
      <c r="E14399" s="2">
        <v>13</v>
      </c>
      <c r="F14399" s="2" t="s">
        <v>12</v>
      </c>
    </row>
    <row r="14400" spans="1:6" ht="25.5">
      <c r="A14400" s="2">
        <v>14397</v>
      </c>
      <c r="B14400" s="2" t="s">
        <v>14471</v>
      </c>
      <c r="C14400" s="2" t="str">
        <f>"09424962"</f>
        <v>09424962</v>
      </c>
      <c r="D14400" s="2">
        <v>0.49099999999999999</v>
      </c>
      <c r="E14400" s="2">
        <v>39</v>
      </c>
      <c r="F14400" s="2" t="s">
        <v>12</v>
      </c>
    </row>
    <row r="14401" spans="1:6" ht="25.5">
      <c r="A14401" s="2">
        <v>14398</v>
      </c>
      <c r="B14401" s="2" t="s">
        <v>14472</v>
      </c>
      <c r="C14401" s="2" t="str">
        <f>"14321882"</f>
        <v>14321882</v>
      </c>
      <c r="D14401" s="2">
        <v>0.64600000000000002</v>
      </c>
      <c r="E14401" s="2">
        <v>25</v>
      </c>
      <c r="F14401" s="2" t="s">
        <v>75</v>
      </c>
    </row>
    <row r="14402" spans="1:6" ht="25.5">
      <c r="A14402" s="2">
        <v>14399</v>
      </c>
      <c r="B14402" s="2" t="s">
        <v>14473</v>
      </c>
      <c r="C14402" s="2" t="str">
        <f>"02761459"</f>
        <v>02761459</v>
      </c>
      <c r="D14402" s="2">
        <v>0.38</v>
      </c>
      <c r="E14402" s="2">
        <v>13</v>
      </c>
      <c r="F14402" s="2" t="s">
        <v>6</v>
      </c>
    </row>
    <row r="14403" spans="1:6" ht="25.5">
      <c r="A14403" s="2">
        <v>14400</v>
      </c>
      <c r="B14403" s="2" t="s">
        <v>14474</v>
      </c>
      <c r="C14403" s="2" t="str">
        <f>"14770970"</f>
        <v>14770970</v>
      </c>
      <c r="D14403" s="2">
        <v>1.425</v>
      </c>
      <c r="E14403" s="2">
        <v>69</v>
      </c>
      <c r="F14403" s="2" t="s">
        <v>16</v>
      </c>
    </row>
    <row r="14404" spans="1:6" ht="25.5">
      <c r="A14404" s="2">
        <v>14401</v>
      </c>
      <c r="B14404" s="2" t="s">
        <v>14475</v>
      </c>
      <c r="C14404" s="2" t="str">
        <f>"22110348"</f>
        <v>22110348</v>
      </c>
      <c r="D14404" s="2">
        <v>0</v>
      </c>
      <c r="E14404" s="2">
        <v>2</v>
      </c>
      <c r="F14404" s="2" t="s">
        <v>6</v>
      </c>
    </row>
    <row r="14405" spans="1:6" ht="25.5">
      <c r="A14405" s="2">
        <v>14402</v>
      </c>
      <c r="B14405" s="2" t="s">
        <v>14476</v>
      </c>
      <c r="C14405" s="2" t="str">
        <f>"15403467"</f>
        <v>15403467</v>
      </c>
      <c r="D14405" s="2">
        <v>1.5720000000000001</v>
      </c>
      <c r="E14405" s="2">
        <v>29</v>
      </c>
      <c r="F14405" s="2" t="s">
        <v>6</v>
      </c>
    </row>
    <row r="14406" spans="1:6" ht="25.5">
      <c r="A14406" s="2">
        <v>14403</v>
      </c>
      <c r="B14406" s="2" t="s">
        <v>14477</v>
      </c>
      <c r="C14406" s="2" t="str">
        <f>"17775841"</f>
        <v>17775841</v>
      </c>
      <c r="D14406" s="2">
        <v>0.10299999999999999</v>
      </c>
      <c r="E14406" s="2">
        <v>4</v>
      </c>
      <c r="F14406" s="2" t="s">
        <v>66</v>
      </c>
    </row>
    <row r="14407" spans="1:6" ht="25.5">
      <c r="A14407" s="2">
        <v>14404</v>
      </c>
      <c r="B14407" s="2" t="s">
        <v>14478</v>
      </c>
      <c r="C14407" s="2" t="str">
        <f>"15327906"</f>
        <v>15327906</v>
      </c>
      <c r="D14407" s="2">
        <v>1.37</v>
      </c>
      <c r="E14407" s="2">
        <v>41</v>
      </c>
      <c r="F14407" s="2" t="s">
        <v>16</v>
      </c>
    </row>
    <row r="14408" spans="1:6" ht="25.5">
      <c r="A14408" s="2">
        <v>14405</v>
      </c>
      <c r="B14408" s="2" t="s">
        <v>14479</v>
      </c>
      <c r="C14408" s="2" t="str">
        <f>"15155994"</f>
        <v>15155994</v>
      </c>
      <c r="D14408" s="2">
        <v>0.1</v>
      </c>
      <c r="E14408" s="2">
        <v>1</v>
      </c>
      <c r="F14408" s="2" t="s">
        <v>192</v>
      </c>
    </row>
    <row r="14409" spans="1:6" ht="25.5">
      <c r="A14409" s="2">
        <v>14406</v>
      </c>
      <c r="B14409" s="2" t="s">
        <v>14480</v>
      </c>
      <c r="C14409" s="2" t="str">
        <f>"07322992"</f>
        <v>07322992</v>
      </c>
      <c r="D14409" s="2">
        <v>0.10100000000000001</v>
      </c>
      <c r="E14409" s="2">
        <v>6</v>
      </c>
      <c r="F14409" s="2" t="s">
        <v>75</v>
      </c>
    </row>
    <row r="14410" spans="1:6" ht="25.5">
      <c r="A14410" s="2">
        <v>14407</v>
      </c>
      <c r="B14410" s="2" t="s">
        <v>14481</v>
      </c>
      <c r="C14410" s="2" t="str">
        <f>"10974598"</f>
        <v>10974598</v>
      </c>
      <c r="D14410" s="2">
        <v>0.84899999999999998</v>
      </c>
      <c r="E14410" s="2">
        <v>95</v>
      </c>
      <c r="F14410" s="2" t="s">
        <v>6</v>
      </c>
    </row>
    <row r="14411" spans="1:6" ht="25.5">
      <c r="A14411" s="2">
        <v>14408</v>
      </c>
      <c r="B14411" s="2" t="s">
        <v>14482</v>
      </c>
      <c r="C14411" s="2" t="str">
        <f>"14782189"</f>
        <v>14782189</v>
      </c>
      <c r="D14411" s="2">
        <v>0.59199999999999997</v>
      </c>
      <c r="E14411" s="2">
        <v>12</v>
      </c>
      <c r="F14411" s="2" t="s">
        <v>16</v>
      </c>
    </row>
    <row r="14412" spans="1:6" ht="25.5">
      <c r="A14412" s="2">
        <v>14409</v>
      </c>
      <c r="B14412" s="2" t="s">
        <v>14483</v>
      </c>
      <c r="C14412" s="2" t="str">
        <f>"20355114"</f>
        <v>20355114</v>
      </c>
      <c r="D14412" s="2">
        <v>0.30299999999999999</v>
      </c>
      <c r="E14412" s="2">
        <v>4</v>
      </c>
      <c r="F14412" s="2" t="s">
        <v>12</v>
      </c>
    </row>
    <row r="14413" spans="1:6" ht="25.5">
      <c r="A14413" s="2">
        <v>14410</v>
      </c>
      <c r="B14413" s="2" t="s">
        <v>14484</v>
      </c>
      <c r="C14413" s="2" t="str">
        <f>"1783158X"</f>
        <v>1783158X</v>
      </c>
      <c r="D14413" s="2">
        <v>0.11700000000000001</v>
      </c>
      <c r="E14413" s="2">
        <v>4</v>
      </c>
      <c r="F14413" s="2" t="s">
        <v>161</v>
      </c>
    </row>
    <row r="14414" spans="1:6" ht="25.5">
      <c r="A14414" s="2">
        <v>14411</v>
      </c>
      <c r="B14414" s="2" t="s">
        <v>14485</v>
      </c>
      <c r="C14414" s="2" t="str">
        <f>"00274054"</f>
        <v>00274054</v>
      </c>
      <c r="D14414" s="2">
        <v>0.108</v>
      </c>
      <c r="E14414" s="2">
        <v>3</v>
      </c>
      <c r="F14414" s="2" t="s">
        <v>31</v>
      </c>
    </row>
    <row r="14415" spans="1:6" ht="25.5">
      <c r="A14415" s="2">
        <v>14412</v>
      </c>
      <c r="B14415" s="2" t="s">
        <v>14486</v>
      </c>
      <c r="C14415" s="2" t="str">
        <f>"14680033"</f>
        <v>14680033</v>
      </c>
      <c r="D14415" s="2">
        <v>0.10199999999999999</v>
      </c>
      <c r="E14415" s="2">
        <v>6</v>
      </c>
      <c r="F14415" s="2" t="s">
        <v>16</v>
      </c>
    </row>
    <row r="14416" spans="1:6" ht="25.5">
      <c r="A14416" s="2">
        <v>14413</v>
      </c>
      <c r="B14416" s="2" t="s">
        <v>14487</v>
      </c>
      <c r="C14416" s="2" t="str">
        <f>"18729185"</f>
        <v>18729185</v>
      </c>
      <c r="D14416" s="2">
        <v>0.216</v>
      </c>
      <c r="E14416" s="2">
        <v>12</v>
      </c>
      <c r="F14416" s="2" t="s">
        <v>16</v>
      </c>
    </row>
    <row r="14417" spans="1:6" ht="25.5">
      <c r="A14417" s="2">
        <v>14414</v>
      </c>
      <c r="B14417" s="2" t="s">
        <v>14488</v>
      </c>
      <c r="C14417" s="2" t="str">
        <f>"00274089"</f>
        <v>00274089</v>
      </c>
      <c r="D14417" s="2">
        <v>0.10199999999999999</v>
      </c>
      <c r="E14417" s="2">
        <v>1</v>
      </c>
      <c r="F14417" s="2" t="s">
        <v>6</v>
      </c>
    </row>
    <row r="14418" spans="1:6" ht="25.5">
      <c r="A14418" s="2">
        <v>14415</v>
      </c>
      <c r="B14418" s="2" t="s">
        <v>14489</v>
      </c>
      <c r="C14418" s="2" t="str">
        <f>"10298649"</f>
        <v>10298649</v>
      </c>
      <c r="D14418" s="2">
        <v>0.40899999999999997</v>
      </c>
      <c r="E14418" s="2">
        <v>8</v>
      </c>
      <c r="F14418" s="2" t="s">
        <v>161</v>
      </c>
    </row>
    <row r="14419" spans="1:6" ht="25.5">
      <c r="A14419" s="2">
        <v>14416</v>
      </c>
      <c r="B14419" s="2" t="s">
        <v>14490</v>
      </c>
      <c r="C14419" s="2" t="str">
        <f>"16763939"</f>
        <v>16763939</v>
      </c>
      <c r="D14419" s="2">
        <v>0.10100000000000001</v>
      </c>
      <c r="E14419" s="2">
        <v>1</v>
      </c>
      <c r="F14419" s="2" t="s">
        <v>159</v>
      </c>
    </row>
    <row r="14420" spans="1:6" ht="25.5">
      <c r="A14420" s="2">
        <v>14417</v>
      </c>
      <c r="B14420" s="2" t="s">
        <v>14491</v>
      </c>
      <c r="C14420" s="2" t="str">
        <f>"17418399"</f>
        <v>17418399</v>
      </c>
      <c r="D14420" s="2">
        <v>0.16200000000000001</v>
      </c>
      <c r="E14420" s="2">
        <v>7</v>
      </c>
      <c r="F14420" s="2" t="s">
        <v>16</v>
      </c>
    </row>
    <row r="14421" spans="1:6" ht="25.5">
      <c r="A14421" s="2">
        <v>14418</v>
      </c>
      <c r="B14421" s="2" t="s">
        <v>14492</v>
      </c>
      <c r="C14421" s="2" t="str">
        <f>"00274666"</f>
        <v>00274666</v>
      </c>
      <c r="D14421" s="2">
        <v>0.1</v>
      </c>
      <c r="E14421" s="2">
        <v>3</v>
      </c>
      <c r="F14421" s="2" t="s">
        <v>16</v>
      </c>
    </row>
    <row r="14422" spans="1:6" ht="25.5">
      <c r="A14422" s="2">
        <v>14419</v>
      </c>
      <c r="B14422" s="2" t="s">
        <v>14493</v>
      </c>
      <c r="C14422" s="2" t="str">
        <f>"14682249"</f>
        <v>14682249</v>
      </c>
      <c r="D14422" s="2">
        <v>0.13600000000000001</v>
      </c>
      <c r="E14422" s="2">
        <v>8</v>
      </c>
      <c r="F14422" s="2" t="s">
        <v>16</v>
      </c>
    </row>
    <row r="14423" spans="1:6" ht="25.5">
      <c r="A14423" s="2">
        <v>14420</v>
      </c>
      <c r="B14423" s="2" t="s">
        <v>14494</v>
      </c>
      <c r="C14423" s="2" t="str">
        <f>"14774631"</f>
        <v>14774631</v>
      </c>
      <c r="D14423" s="2">
        <v>0.14099999999999999</v>
      </c>
      <c r="E14423" s="2">
        <v>6</v>
      </c>
      <c r="F14423" s="2" t="s">
        <v>16</v>
      </c>
    </row>
    <row r="14424" spans="1:6" ht="25.5">
      <c r="A14424" s="2">
        <v>14421</v>
      </c>
      <c r="B14424" s="2" t="s">
        <v>14495</v>
      </c>
      <c r="C14424" s="2" t="str">
        <f>"14699893"</f>
        <v>14699893</v>
      </c>
      <c r="D14424" s="2">
        <v>0.36</v>
      </c>
      <c r="E14424" s="2">
        <v>5</v>
      </c>
      <c r="F14424" s="2" t="s">
        <v>16</v>
      </c>
    </row>
    <row r="14425" spans="1:6" ht="25.5">
      <c r="A14425" s="2">
        <v>14422</v>
      </c>
      <c r="B14425" s="2" t="s">
        <v>14496</v>
      </c>
      <c r="C14425" s="2" t="str">
        <f>"1949453X"</f>
        <v>1949453X</v>
      </c>
      <c r="D14425" s="2">
        <v>0.10100000000000001</v>
      </c>
      <c r="E14425" s="2">
        <v>1</v>
      </c>
      <c r="F14425" s="2" t="s">
        <v>16</v>
      </c>
    </row>
    <row r="14426" spans="1:6" ht="25.5">
      <c r="A14426" s="2">
        <v>14423</v>
      </c>
      <c r="B14426" s="2" t="s">
        <v>14497</v>
      </c>
      <c r="C14426" s="2" t="str">
        <f>"07307829"</f>
        <v>07307829</v>
      </c>
      <c r="D14426" s="2">
        <v>0.879</v>
      </c>
      <c r="E14426" s="2">
        <v>27</v>
      </c>
      <c r="F14426" s="2" t="s">
        <v>6</v>
      </c>
    </row>
    <row r="14427" spans="1:6" ht="25.5">
      <c r="A14427" s="2">
        <v>14424</v>
      </c>
      <c r="B14427" s="2" t="s">
        <v>14498</v>
      </c>
      <c r="C14427" s="2" t="str">
        <f>"10588167"</f>
        <v>10588167</v>
      </c>
      <c r="D14427" s="2">
        <v>0.17599999999999999</v>
      </c>
      <c r="E14427" s="2">
        <v>3</v>
      </c>
      <c r="F14427" s="2" t="s">
        <v>16</v>
      </c>
    </row>
    <row r="14428" spans="1:6" ht="25.5">
      <c r="A14428" s="2">
        <v>14425</v>
      </c>
      <c r="B14428" s="2" t="s">
        <v>14499</v>
      </c>
      <c r="C14428" s="2" t="str">
        <f>"15338339"</f>
        <v>15338339</v>
      </c>
      <c r="D14428" s="2">
        <v>0.18099999999999999</v>
      </c>
      <c r="E14428" s="2">
        <v>10</v>
      </c>
      <c r="F14428" s="2" t="s">
        <v>6</v>
      </c>
    </row>
    <row r="14429" spans="1:6" ht="25.5">
      <c r="A14429" s="2">
        <v>14426</v>
      </c>
      <c r="B14429" s="2" t="s">
        <v>14500</v>
      </c>
      <c r="C14429" s="2" t="str">
        <f>"00274801"</f>
        <v>00274801</v>
      </c>
      <c r="D14429" s="2">
        <v>0.1</v>
      </c>
      <c r="E14429" s="2">
        <v>2</v>
      </c>
      <c r="F14429" s="2" t="s">
        <v>31</v>
      </c>
    </row>
    <row r="14430" spans="1:6" ht="25.5">
      <c r="A14430" s="2">
        <v>14427</v>
      </c>
      <c r="B14430" s="2" t="s">
        <v>14501</v>
      </c>
      <c r="C14430" s="2" t="str">
        <f>"01774182"</f>
        <v>01774182</v>
      </c>
      <c r="D14430" s="2">
        <v>0.10100000000000001</v>
      </c>
      <c r="E14430" s="2">
        <v>2</v>
      </c>
      <c r="F14430" s="2" t="s">
        <v>12</v>
      </c>
    </row>
    <row r="14431" spans="1:6" ht="25.5">
      <c r="A14431" s="2">
        <v>14428</v>
      </c>
      <c r="B14431" s="2" t="s">
        <v>14502</v>
      </c>
      <c r="C14431" s="2" t="str">
        <f>"14329425"</f>
        <v>14329425</v>
      </c>
      <c r="D14431" s="2">
        <v>0.1</v>
      </c>
      <c r="E14431" s="2">
        <v>3</v>
      </c>
      <c r="F14431" s="2" t="s">
        <v>12</v>
      </c>
    </row>
    <row r="14432" spans="1:6" ht="25.5">
      <c r="A14432" s="2">
        <v>14429</v>
      </c>
      <c r="B14432" s="2" t="s">
        <v>14503</v>
      </c>
      <c r="C14432" s="2" t="str">
        <f>"00274771"</f>
        <v>00274771</v>
      </c>
      <c r="D14432" s="2">
        <v>0.1</v>
      </c>
      <c r="E14432" s="2">
        <v>1</v>
      </c>
      <c r="F14432" s="2" t="s">
        <v>31</v>
      </c>
    </row>
    <row r="14433" spans="1:6" ht="25.5">
      <c r="A14433" s="2">
        <v>14430</v>
      </c>
      <c r="B14433" s="2" t="s">
        <v>14504</v>
      </c>
      <c r="C14433" s="2" t="str">
        <f>"15544419"</f>
        <v>15544419</v>
      </c>
      <c r="D14433" s="2">
        <v>0.10100000000000001</v>
      </c>
      <c r="E14433" s="2">
        <v>4</v>
      </c>
      <c r="F14433" s="2" t="s">
        <v>6</v>
      </c>
    </row>
    <row r="14434" spans="1:6" ht="25.5">
      <c r="A14434" s="2">
        <v>14431</v>
      </c>
      <c r="B14434" s="2" t="s">
        <v>14505</v>
      </c>
      <c r="C14434" s="2" t="str">
        <f>"14781913"</f>
        <v>14781913</v>
      </c>
      <c r="D14434" s="2">
        <v>0.14299999999999999</v>
      </c>
      <c r="E14434" s="2">
        <v>10</v>
      </c>
      <c r="F14434" s="2" t="s">
        <v>16</v>
      </c>
    </row>
    <row r="14435" spans="1:6" ht="25.5">
      <c r="A14435" s="2">
        <v>14432</v>
      </c>
      <c r="B14435" s="2" t="s">
        <v>14506</v>
      </c>
      <c r="C14435" s="2" t="str">
        <f>"14643804"</f>
        <v>14643804</v>
      </c>
      <c r="D14435" s="2">
        <v>1.0529999999999999</v>
      </c>
      <c r="E14435" s="2">
        <v>57</v>
      </c>
      <c r="F14435" s="2" t="s">
        <v>16</v>
      </c>
    </row>
    <row r="14436" spans="1:6" ht="25.5">
      <c r="A14436" s="2">
        <v>14433</v>
      </c>
      <c r="B14436" s="2" t="s">
        <v>14507</v>
      </c>
      <c r="C14436" s="2" t="str">
        <f>"00275107"</f>
        <v>00275107</v>
      </c>
      <c r="D14436" s="2">
        <v>0.32400000000000001</v>
      </c>
      <c r="E14436" s="2">
        <v>11</v>
      </c>
      <c r="F14436" s="2" t="s">
        <v>75</v>
      </c>
    </row>
    <row r="14437" spans="1:6" ht="25.5">
      <c r="A14437" s="2">
        <v>14434</v>
      </c>
      <c r="B14437" s="2" t="s">
        <v>14508</v>
      </c>
      <c r="C14437" s="2" t="str">
        <f>"13861964"</f>
        <v>13861964</v>
      </c>
      <c r="D14437" s="2">
        <v>1.333</v>
      </c>
      <c r="E14437" s="2">
        <v>112</v>
      </c>
      <c r="F14437" s="2" t="s">
        <v>75</v>
      </c>
    </row>
    <row r="14438" spans="1:6" ht="25.5">
      <c r="A14438" s="2">
        <v>14435</v>
      </c>
      <c r="B14438" s="2" t="s">
        <v>14509</v>
      </c>
      <c r="C14438" s="2" t="str">
        <f>"13835718"</f>
        <v>13835718</v>
      </c>
      <c r="D14438" s="2">
        <v>0.73699999999999999</v>
      </c>
      <c r="E14438" s="2">
        <v>72</v>
      </c>
      <c r="F14438" s="2" t="s">
        <v>75</v>
      </c>
    </row>
    <row r="14439" spans="1:6" ht="25.5">
      <c r="A14439" s="2">
        <v>14436</v>
      </c>
      <c r="B14439" s="2" t="s">
        <v>14510</v>
      </c>
      <c r="C14439" s="2" t="str">
        <f>"13835742"</f>
        <v>13835742</v>
      </c>
      <c r="D14439" s="2">
        <v>2.351</v>
      </c>
      <c r="E14439" s="2">
        <v>82</v>
      </c>
      <c r="F14439" s="2" t="s">
        <v>75</v>
      </c>
    </row>
    <row r="14440" spans="1:6" ht="25.5">
      <c r="A14440" s="2">
        <v>14437</v>
      </c>
      <c r="B14440" s="2" t="s">
        <v>14511</v>
      </c>
      <c r="C14440" s="2" t="str">
        <f>"0027514X"</f>
        <v>0027514X</v>
      </c>
      <c r="D14440" s="2">
        <v>0.1</v>
      </c>
      <c r="E14440" s="2">
        <v>4</v>
      </c>
      <c r="F14440" s="2" t="s">
        <v>12</v>
      </c>
    </row>
    <row r="14441" spans="1:6" ht="25.5">
      <c r="A14441" s="2">
        <v>14438</v>
      </c>
      <c r="B14441" s="2" t="s">
        <v>14512</v>
      </c>
      <c r="C14441" s="2" t="str">
        <f>"15882802"</f>
        <v>15882802</v>
      </c>
      <c r="D14441" s="2">
        <v>0.1</v>
      </c>
      <c r="E14441" s="2">
        <v>1</v>
      </c>
      <c r="F14441" s="2" t="s">
        <v>135</v>
      </c>
    </row>
    <row r="14442" spans="1:6" ht="25.5">
      <c r="A14442" s="2">
        <v>14439</v>
      </c>
      <c r="B14442" s="2" t="s">
        <v>14513</v>
      </c>
      <c r="C14442" s="2" t="str">
        <f>"20929323"</f>
        <v>20929323</v>
      </c>
      <c r="D14442" s="2">
        <v>0.17799999999999999</v>
      </c>
      <c r="E14442" s="2">
        <v>4</v>
      </c>
      <c r="F14442" s="2" t="s">
        <v>274</v>
      </c>
    </row>
    <row r="14443" spans="1:6" ht="25.5">
      <c r="A14443" s="2">
        <v>14440</v>
      </c>
      <c r="B14443" s="2" t="s">
        <v>14514</v>
      </c>
      <c r="C14443" s="2" t="str">
        <f>"00275514"</f>
        <v>00275514</v>
      </c>
      <c r="D14443" s="2">
        <v>0.96799999999999997</v>
      </c>
      <c r="E14443" s="2">
        <v>64</v>
      </c>
      <c r="F14443" s="2" t="s">
        <v>6</v>
      </c>
    </row>
    <row r="14444" spans="1:6" ht="25.5">
      <c r="A14444" s="2">
        <v>14441</v>
      </c>
      <c r="B14444" s="2" t="s">
        <v>14515</v>
      </c>
      <c r="C14444" s="2" t="str">
        <f>"1617416X"</f>
        <v>1617416X</v>
      </c>
      <c r="D14444" s="2">
        <v>0.63</v>
      </c>
      <c r="E14444" s="2">
        <v>14</v>
      </c>
      <c r="F14444" s="2" t="s">
        <v>12</v>
      </c>
    </row>
    <row r="14445" spans="1:6" ht="25.5">
      <c r="A14445" s="2">
        <v>14442</v>
      </c>
      <c r="B14445" s="2" t="s">
        <v>14516</v>
      </c>
      <c r="C14445" s="2" t="str">
        <f>"15730832"</f>
        <v>15730832</v>
      </c>
      <c r="D14445" s="2">
        <v>0.40100000000000002</v>
      </c>
      <c r="E14445" s="2">
        <v>40</v>
      </c>
      <c r="F14445" s="2" t="s">
        <v>75</v>
      </c>
    </row>
    <row r="14446" spans="1:6" ht="25.5">
      <c r="A14446" s="2">
        <v>14443</v>
      </c>
      <c r="B14446" s="2" t="s">
        <v>14517</v>
      </c>
      <c r="C14446" s="2" t="str">
        <f>"14321890"</f>
        <v>14321890</v>
      </c>
      <c r="D14446" s="2">
        <v>0.91600000000000004</v>
      </c>
      <c r="E14446" s="2">
        <v>51</v>
      </c>
      <c r="F14446" s="2" t="s">
        <v>12</v>
      </c>
    </row>
    <row r="14447" spans="1:6" ht="25.5">
      <c r="A14447" s="2">
        <v>14444</v>
      </c>
      <c r="B14447" s="2" t="s">
        <v>14518</v>
      </c>
      <c r="C14447" s="2" t="str">
        <f>"16182545"</f>
        <v>16182545</v>
      </c>
      <c r="D14447" s="2">
        <v>0.496</v>
      </c>
      <c r="E14447" s="2">
        <v>27</v>
      </c>
      <c r="F14447" s="2" t="s">
        <v>131</v>
      </c>
    </row>
    <row r="14448" spans="1:6" ht="25.5">
      <c r="A14448" s="2">
        <v>14445</v>
      </c>
      <c r="B14448" s="2" t="s">
        <v>14519</v>
      </c>
      <c r="C14448" s="2" t="str">
        <f>"14390507"</f>
        <v>14390507</v>
      </c>
      <c r="D14448" s="2">
        <v>0.47599999999999998</v>
      </c>
      <c r="E14448" s="2">
        <v>42</v>
      </c>
      <c r="F14448" s="2" t="s">
        <v>16</v>
      </c>
    </row>
    <row r="14449" spans="1:6" ht="25.5">
      <c r="A14449" s="2">
        <v>14446</v>
      </c>
      <c r="B14449" s="2" t="s">
        <v>14520</v>
      </c>
      <c r="C14449" s="2" t="str">
        <f>"00934666"</f>
        <v>00934666</v>
      </c>
      <c r="D14449" s="2">
        <v>0.46800000000000003</v>
      </c>
      <c r="E14449" s="2">
        <v>26</v>
      </c>
      <c r="F14449" s="2" t="s">
        <v>6</v>
      </c>
    </row>
    <row r="14450" spans="1:6" ht="25.5">
      <c r="A14450" s="2">
        <v>14447</v>
      </c>
      <c r="B14450" s="2" t="s">
        <v>14521</v>
      </c>
      <c r="C14450" s="2" t="str">
        <f>"01787888"</f>
        <v>01787888</v>
      </c>
      <c r="D14450" s="2">
        <v>0.47799999999999998</v>
      </c>
      <c r="E14450" s="2">
        <v>8</v>
      </c>
      <c r="F14450" s="2" t="s">
        <v>12</v>
      </c>
    </row>
    <row r="14451" spans="1:6" ht="25.5">
      <c r="A14451" s="2">
        <v>14448</v>
      </c>
      <c r="B14451" s="2" t="s">
        <v>14522</v>
      </c>
      <c r="C14451" s="2" t="str">
        <f>"10224742"</f>
        <v>10224742</v>
      </c>
      <c r="D14451" s="2">
        <v>0.151</v>
      </c>
      <c r="E14451" s="2">
        <v>8</v>
      </c>
      <c r="F14451" s="2" t="s">
        <v>2282</v>
      </c>
    </row>
    <row r="14452" spans="1:6" ht="25.5">
      <c r="A14452" s="2">
        <v>14449</v>
      </c>
      <c r="B14452" s="2" t="s">
        <v>14523</v>
      </c>
      <c r="C14452" s="2" t="str">
        <f>"19973500"</f>
        <v>19973500</v>
      </c>
      <c r="D14452" s="2">
        <v>0.98699999999999999</v>
      </c>
      <c r="E14452" s="2">
        <v>12</v>
      </c>
      <c r="F14452" s="2" t="s">
        <v>288</v>
      </c>
    </row>
    <row r="14453" spans="1:6" ht="25.5">
      <c r="A14453" s="2">
        <v>14450</v>
      </c>
      <c r="B14453" s="2" t="s">
        <v>14524</v>
      </c>
      <c r="C14453" s="2" t="str">
        <f>"14399598"</f>
        <v>14399598</v>
      </c>
      <c r="D14453" s="2">
        <v>0.13100000000000001</v>
      </c>
      <c r="E14453" s="2">
        <v>13</v>
      </c>
      <c r="F14453" s="2" t="s">
        <v>12</v>
      </c>
    </row>
    <row r="14454" spans="1:6" ht="25.5">
      <c r="A14454" s="2">
        <v>14451</v>
      </c>
      <c r="B14454" s="2" t="s">
        <v>14525</v>
      </c>
      <c r="C14454" s="2" t="str">
        <f>"14285851"</f>
        <v>14285851</v>
      </c>
      <c r="D14454" s="2">
        <v>0.14899999999999999</v>
      </c>
      <c r="E14454" s="2">
        <v>6</v>
      </c>
      <c r="F14454" s="2" t="s">
        <v>169</v>
      </c>
    </row>
    <row r="14455" spans="1:6" ht="25.5">
      <c r="A14455" s="2">
        <v>14452</v>
      </c>
      <c r="B14455" s="2" t="s">
        <v>14526</v>
      </c>
      <c r="C14455" s="2" t="str">
        <f>"03587024"</f>
        <v>03587024</v>
      </c>
      <c r="D14455" s="2">
        <v>0.10100000000000001</v>
      </c>
      <c r="E14455" s="2">
        <v>2</v>
      </c>
      <c r="F14455" s="2" t="s">
        <v>751</v>
      </c>
    </row>
    <row r="14456" spans="1:6" ht="25.5">
      <c r="A14456" s="2">
        <v>14453</v>
      </c>
      <c r="B14456" s="2" t="s">
        <v>14527</v>
      </c>
      <c r="C14456" s="2" t="str">
        <f>"0027755X"</f>
        <v>0027755X</v>
      </c>
      <c r="D14456" s="2">
        <v>0</v>
      </c>
      <c r="E14456" s="2">
        <v>0</v>
      </c>
      <c r="F14456" s="2" t="s">
        <v>149</v>
      </c>
    </row>
    <row r="14457" spans="1:6" ht="25.5">
      <c r="A14457" s="2">
        <v>14454</v>
      </c>
      <c r="B14457" s="2" t="s">
        <v>14528</v>
      </c>
      <c r="C14457" s="2" t="str">
        <f>"00277622"</f>
        <v>00277622</v>
      </c>
      <c r="D14457" s="2">
        <v>0.191</v>
      </c>
      <c r="E14457" s="2">
        <v>11</v>
      </c>
      <c r="F14457" s="2" t="s">
        <v>131</v>
      </c>
    </row>
    <row r="14458" spans="1:6" ht="25.5">
      <c r="A14458" s="2">
        <v>14455</v>
      </c>
      <c r="B14458" s="2" t="s">
        <v>14529</v>
      </c>
      <c r="C14458" s="2" t="str">
        <f>"00277630"</f>
        <v>00277630</v>
      </c>
      <c r="D14458" s="2">
        <v>0.878</v>
      </c>
      <c r="E14458" s="2">
        <v>19</v>
      </c>
      <c r="F14458" s="2" t="s">
        <v>131</v>
      </c>
    </row>
    <row r="14459" spans="1:6" ht="25.5">
      <c r="A14459" s="2">
        <v>14456</v>
      </c>
      <c r="B14459" s="2" t="s">
        <v>14530</v>
      </c>
      <c r="C14459" s="2" t="str">
        <f>"10011935"</f>
        <v>10011935</v>
      </c>
      <c r="D14459" s="2">
        <v>0.106</v>
      </c>
      <c r="E14459" s="2">
        <v>5</v>
      </c>
      <c r="F14459" s="2" t="s">
        <v>46</v>
      </c>
    </row>
    <row r="14460" spans="1:6" ht="25.5">
      <c r="A14460" s="2">
        <v>14457</v>
      </c>
      <c r="B14460" s="2" t="s">
        <v>14531</v>
      </c>
      <c r="C14460" s="2" t="str">
        <f>"00277738"</f>
        <v>00277738</v>
      </c>
      <c r="D14460" s="2">
        <v>0.20100000000000001</v>
      </c>
      <c r="E14460" s="2">
        <v>5</v>
      </c>
      <c r="F14460" s="2" t="s">
        <v>16</v>
      </c>
    </row>
    <row r="14461" spans="1:6" ht="25.5">
      <c r="A14461" s="2">
        <v>14458</v>
      </c>
      <c r="B14461" s="2" t="s">
        <v>14532</v>
      </c>
      <c r="C14461" s="2" t="str">
        <f>"16726030"</f>
        <v>16726030</v>
      </c>
      <c r="D14461" s="2">
        <v>0.25</v>
      </c>
      <c r="E14461" s="2">
        <v>6</v>
      </c>
      <c r="F14461" s="2" t="s">
        <v>46</v>
      </c>
    </row>
    <row r="14462" spans="1:6" ht="25.5">
      <c r="A14462" s="2">
        <v>14459</v>
      </c>
      <c r="B14462" s="2" t="s">
        <v>14533</v>
      </c>
      <c r="C14462" s="2" t="str">
        <f>"16734254"</f>
        <v>16734254</v>
      </c>
      <c r="D14462" s="2">
        <v>0.124</v>
      </c>
      <c r="E14462" s="2">
        <v>11</v>
      </c>
      <c r="F14462" s="2" t="s">
        <v>46</v>
      </c>
    </row>
    <row r="14463" spans="1:6" ht="25.5">
      <c r="A14463" s="2">
        <v>14460</v>
      </c>
      <c r="B14463" s="2" t="s">
        <v>14534</v>
      </c>
      <c r="C14463" s="2" t="str">
        <f>"10052615"</f>
        <v>10052615</v>
      </c>
      <c r="D14463" s="2">
        <v>0.16600000000000001</v>
      </c>
      <c r="E14463" s="2">
        <v>10</v>
      </c>
      <c r="F14463" s="2" t="s">
        <v>46</v>
      </c>
    </row>
    <row r="14464" spans="1:6" ht="25.5">
      <c r="A14464" s="2">
        <v>14461</v>
      </c>
      <c r="B14464" s="2" t="s">
        <v>14535</v>
      </c>
      <c r="C14464" s="2" t="str">
        <f>"10059830"</f>
        <v>10059830</v>
      </c>
      <c r="D14464" s="2">
        <v>0.24199999999999999</v>
      </c>
      <c r="E14464" s="2">
        <v>7</v>
      </c>
      <c r="F14464" s="2" t="s">
        <v>46</v>
      </c>
    </row>
    <row r="14465" spans="1:6" ht="25.5">
      <c r="A14465" s="2">
        <v>14462</v>
      </c>
      <c r="B14465" s="2" t="s">
        <v>14536</v>
      </c>
      <c r="C14465" s="2" t="str">
        <f>"16735439"</f>
        <v>16735439</v>
      </c>
      <c r="D14465" s="2">
        <v>0.14099999999999999</v>
      </c>
      <c r="E14465" s="2">
        <v>5</v>
      </c>
      <c r="F14465" s="2" t="s">
        <v>46</v>
      </c>
    </row>
    <row r="14466" spans="1:6" ht="25.5">
      <c r="A14466" s="2">
        <v>14463</v>
      </c>
      <c r="B14466" s="2" t="s">
        <v>14537</v>
      </c>
      <c r="C14466" s="2" t="str">
        <f>"15685268"</f>
        <v>15685268</v>
      </c>
      <c r="D14466" s="2">
        <v>0.10100000000000001</v>
      </c>
      <c r="E14466" s="2">
        <v>3</v>
      </c>
      <c r="F14466" s="2" t="s">
        <v>75</v>
      </c>
    </row>
    <row r="14467" spans="1:6" ht="25.5">
      <c r="A14467" s="2">
        <v>14464</v>
      </c>
      <c r="B14467" s="2" t="s">
        <v>14538</v>
      </c>
      <c r="C14467" s="2" t="str">
        <f>"17932920"</f>
        <v>17932920</v>
      </c>
      <c r="D14467" s="2">
        <v>0.314</v>
      </c>
      <c r="E14467" s="2">
        <v>10</v>
      </c>
      <c r="F14467" s="2" t="s">
        <v>543</v>
      </c>
    </row>
    <row r="14468" spans="1:6" ht="25.5">
      <c r="A14468" s="2">
        <v>14465</v>
      </c>
      <c r="B14468" s="2" t="s">
        <v>14539</v>
      </c>
      <c r="C14468" s="2" t="str">
        <f>"21505578"</f>
        <v>21505578</v>
      </c>
      <c r="D14468" s="2">
        <v>0.36099999999999999</v>
      </c>
      <c r="E14468" s="2">
        <v>9</v>
      </c>
      <c r="F14468" s="2" t="s">
        <v>6</v>
      </c>
    </row>
    <row r="14469" spans="1:6" ht="25.5">
      <c r="A14469" s="2">
        <v>14466</v>
      </c>
      <c r="B14469" s="2" t="s">
        <v>14540</v>
      </c>
      <c r="C14469" s="2" t="str">
        <f>"18787789"</f>
        <v>18787789</v>
      </c>
      <c r="D14469" s="2">
        <v>0.75900000000000001</v>
      </c>
      <c r="E14469" s="2">
        <v>8</v>
      </c>
      <c r="F14469" s="2" t="s">
        <v>75</v>
      </c>
    </row>
    <row r="14470" spans="1:6" ht="25.5">
      <c r="A14470" s="2">
        <v>14467</v>
      </c>
      <c r="B14470" s="2" t="s">
        <v>14541</v>
      </c>
      <c r="C14470" s="2" t="str">
        <f>"22112855"</f>
        <v>22112855</v>
      </c>
      <c r="D14470" s="2">
        <v>0</v>
      </c>
      <c r="E14470" s="2">
        <v>7</v>
      </c>
      <c r="F14470" s="2" t="s">
        <v>75</v>
      </c>
    </row>
    <row r="14471" spans="1:6" ht="25.5">
      <c r="A14471" s="2">
        <v>14468</v>
      </c>
      <c r="B14471" s="2" t="s">
        <v>14542</v>
      </c>
      <c r="C14471" s="2" t="str">
        <f>"18714765"</f>
        <v>18714765</v>
      </c>
      <c r="D14471" s="2">
        <v>0.33300000000000002</v>
      </c>
      <c r="E14471" s="2">
        <v>12</v>
      </c>
      <c r="F14471" s="2" t="s">
        <v>75</v>
      </c>
    </row>
    <row r="14472" spans="1:6" ht="25.5">
      <c r="A14472" s="2">
        <v>14469</v>
      </c>
      <c r="B14472" s="2" t="s">
        <v>14543</v>
      </c>
      <c r="C14472" s="2" t="str">
        <f>"15306992"</f>
        <v>15306992</v>
      </c>
      <c r="D14472" s="2">
        <v>8.6470000000000002</v>
      </c>
      <c r="E14472" s="2">
        <v>239</v>
      </c>
      <c r="F14472" s="2" t="s">
        <v>6</v>
      </c>
    </row>
    <row r="14473" spans="1:6" ht="25.5">
      <c r="A14473" s="2">
        <v>14470</v>
      </c>
      <c r="B14473" s="2" t="s">
        <v>14544</v>
      </c>
      <c r="C14473" s="2" t="str">
        <f>"17486963"</f>
        <v>17486963</v>
      </c>
      <c r="D14473" s="2">
        <v>1.403</v>
      </c>
      <c r="E14473" s="2">
        <v>43</v>
      </c>
      <c r="F14473" s="2" t="s">
        <v>16</v>
      </c>
    </row>
    <row r="14474" spans="1:6" ht="25.5">
      <c r="A14474" s="2">
        <v>14471</v>
      </c>
      <c r="B14474" s="2" t="s">
        <v>14545</v>
      </c>
      <c r="C14474" s="2" t="str">
        <f>"15499642"</f>
        <v>15499642</v>
      </c>
      <c r="D14474" s="2">
        <v>1.9450000000000001</v>
      </c>
      <c r="E14474" s="2">
        <v>44</v>
      </c>
      <c r="F14474" s="2" t="s">
        <v>6</v>
      </c>
    </row>
    <row r="14475" spans="1:6" ht="25.5">
      <c r="A14475" s="2">
        <v>14472</v>
      </c>
      <c r="B14475" s="2" t="s">
        <v>14546</v>
      </c>
      <c r="C14475" s="2" t="str">
        <f>"21505551"</f>
        <v>21505551</v>
      </c>
      <c r="D14475" s="2">
        <v>0.52400000000000002</v>
      </c>
      <c r="E14475" s="2">
        <v>8</v>
      </c>
      <c r="F14475" s="2" t="s">
        <v>6</v>
      </c>
    </row>
    <row r="14476" spans="1:6" ht="25.5">
      <c r="A14476" s="2">
        <v>14473</v>
      </c>
      <c r="B14476" s="2" t="s">
        <v>14547</v>
      </c>
      <c r="C14476" s="2" t="str">
        <f>"17880718"</f>
        <v>17880718</v>
      </c>
      <c r="D14476" s="2">
        <v>0.113</v>
      </c>
      <c r="E14476" s="2">
        <v>0</v>
      </c>
      <c r="F14476" s="2" t="s">
        <v>135</v>
      </c>
    </row>
    <row r="14477" spans="1:6" ht="25.5">
      <c r="A14477" s="2">
        <v>14474</v>
      </c>
      <c r="B14477" s="2" t="s">
        <v>14548</v>
      </c>
      <c r="C14477" s="2" t="str">
        <f>"19980124"</f>
        <v>19980124</v>
      </c>
      <c r="D14477" s="2">
        <v>2.9</v>
      </c>
      <c r="E14477" s="2">
        <v>30</v>
      </c>
      <c r="F14477" s="2" t="s">
        <v>46</v>
      </c>
    </row>
    <row r="14478" spans="1:6" ht="25.5">
      <c r="A14478" s="2">
        <v>14475</v>
      </c>
      <c r="B14478" s="2" t="s">
        <v>14549</v>
      </c>
      <c r="C14478" s="2" t="str">
        <f>"19317573"</f>
        <v>19317573</v>
      </c>
      <c r="D14478" s="2">
        <v>0.89200000000000002</v>
      </c>
      <c r="E14478" s="2">
        <v>31</v>
      </c>
      <c r="F14478" s="2" t="s">
        <v>6</v>
      </c>
    </row>
    <row r="14479" spans="1:6" ht="25.5">
      <c r="A14479" s="2">
        <v>14476</v>
      </c>
      <c r="B14479" s="2" t="s">
        <v>14550</v>
      </c>
      <c r="C14479" s="2" t="str">
        <f>"22106820"</f>
        <v>22106820</v>
      </c>
      <c r="D14479" s="2">
        <v>0.14599999999999999</v>
      </c>
      <c r="E14479" s="2">
        <v>2</v>
      </c>
      <c r="F14479" s="2" t="s">
        <v>75</v>
      </c>
    </row>
    <row r="14480" spans="1:6" ht="25.5">
      <c r="A14480" s="2">
        <v>14477</v>
      </c>
      <c r="B14480" s="2" t="s">
        <v>14551</v>
      </c>
      <c r="C14480" s="2" t="str">
        <f>"19414919"</f>
        <v>19414919</v>
      </c>
      <c r="D14480" s="2">
        <v>0.28699999999999998</v>
      </c>
      <c r="E14480" s="2">
        <v>6</v>
      </c>
      <c r="F14480" s="2" t="s">
        <v>6</v>
      </c>
    </row>
    <row r="14481" spans="1:6" ht="25.5">
      <c r="A14481" s="2">
        <v>14478</v>
      </c>
      <c r="B14481" s="2" t="s">
        <v>14552</v>
      </c>
      <c r="C14481" s="2" t="str">
        <f>"14344904"</f>
        <v>14344904</v>
      </c>
      <c r="D14481" s="2">
        <v>0.10100000000000001</v>
      </c>
      <c r="E14481" s="2">
        <v>1</v>
      </c>
      <c r="F14481" s="2" t="s">
        <v>12</v>
      </c>
    </row>
    <row r="14482" spans="1:6" ht="25.5">
      <c r="A14482" s="2">
        <v>14479</v>
      </c>
      <c r="B14482" s="2" t="s">
        <v>14553</v>
      </c>
      <c r="C14482" s="2" t="str">
        <f>"19950799"</f>
        <v>19950799</v>
      </c>
      <c r="D14482" s="2">
        <v>0.20799999999999999</v>
      </c>
      <c r="E14482" s="2">
        <v>5</v>
      </c>
      <c r="F14482" s="2" t="s">
        <v>12</v>
      </c>
    </row>
    <row r="14483" spans="1:6" ht="25.5">
      <c r="A14483" s="2">
        <v>14480</v>
      </c>
      <c r="B14483" s="2" t="s">
        <v>14554</v>
      </c>
      <c r="C14483" s="2" t="str">
        <f>"13616528"</f>
        <v>13616528</v>
      </c>
      <c r="D14483" s="2">
        <v>1.474</v>
      </c>
      <c r="E14483" s="2">
        <v>104</v>
      </c>
      <c r="F14483" s="2" t="s">
        <v>16</v>
      </c>
    </row>
    <row r="14484" spans="1:6" ht="25.5">
      <c r="A14484" s="2">
        <v>14481</v>
      </c>
      <c r="B14484" s="2" t="s">
        <v>14555</v>
      </c>
      <c r="C14484" s="2" t="str">
        <f>"15462080"</f>
        <v>15462080</v>
      </c>
      <c r="D14484" s="2">
        <v>0.14099999999999999</v>
      </c>
      <c r="E14484" s="2">
        <v>9</v>
      </c>
      <c r="F14484" s="2" t="s">
        <v>6</v>
      </c>
    </row>
    <row r="14485" spans="1:6" ht="25.5">
      <c r="A14485" s="2">
        <v>14482</v>
      </c>
      <c r="B14485" s="2" t="s">
        <v>14556</v>
      </c>
      <c r="C14485" s="2" t="str">
        <f>"16606795"</f>
        <v>16606795</v>
      </c>
      <c r="D14485" s="2">
        <v>0.15</v>
      </c>
      <c r="E14485" s="2">
        <v>4</v>
      </c>
      <c r="F14485" s="2" t="s">
        <v>31</v>
      </c>
    </row>
    <row r="14486" spans="1:6" ht="25.5">
      <c r="A14486" s="2">
        <v>14483</v>
      </c>
      <c r="B14486" s="2" t="s">
        <v>14557</v>
      </c>
      <c r="C14486" s="2" t="str">
        <f>"11778903"</f>
        <v>11778903</v>
      </c>
      <c r="D14486" s="2">
        <v>0.55200000000000005</v>
      </c>
      <c r="E14486" s="2">
        <v>6</v>
      </c>
      <c r="F14486" s="2" t="s">
        <v>6</v>
      </c>
    </row>
    <row r="14487" spans="1:6" ht="25.5">
      <c r="A14487" s="2">
        <v>14484</v>
      </c>
      <c r="B14487" s="2" t="s">
        <v>14558</v>
      </c>
      <c r="C14487" s="2" t="str">
        <f>"17480132"</f>
        <v>17480132</v>
      </c>
      <c r="D14487" s="2">
        <v>6.7489999999999997</v>
      </c>
      <c r="E14487" s="2">
        <v>50</v>
      </c>
      <c r="F14487" s="2" t="s">
        <v>75</v>
      </c>
    </row>
    <row r="14488" spans="1:6" ht="25.5">
      <c r="A14488" s="2">
        <v>14485</v>
      </c>
      <c r="B14488" s="2" t="s">
        <v>14559</v>
      </c>
      <c r="C14488" s="2" t="str">
        <f>"17435404"</f>
        <v>17435404</v>
      </c>
      <c r="D14488" s="2">
        <v>1.7509999999999999</v>
      </c>
      <c r="E14488" s="2">
        <v>23</v>
      </c>
      <c r="F14488" s="2" t="s">
        <v>16</v>
      </c>
    </row>
    <row r="14489" spans="1:6" ht="25.5">
      <c r="A14489" s="2">
        <v>14486</v>
      </c>
      <c r="B14489" s="2" t="s">
        <v>14560</v>
      </c>
      <c r="C14489" s="2" t="str">
        <f>"05472504"</f>
        <v>05472504</v>
      </c>
      <c r="D14489" s="2">
        <v>0.10199999999999999</v>
      </c>
      <c r="E14489" s="2">
        <v>1</v>
      </c>
      <c r="F14489" s="2" t="s">
        <v>149</v>
      </c>
    </row>
    <row r="14490" spans="1:6" ht="25.5">
      <c r="A14490" s="2">
        <v>14487</v>
      </c>
      <c r="B14490" s="2" t="s">
        <v>14561</v>
      </c>
      <c r="C14490" s="2" t="str">
        <f>"1538974X"</f>
        <v>1538974X</v>
      </c>
      <c r="D14490" s="2">
        <v>0.17299999999999999</v>
      </c>
      <c r="E14490" s="2">
        <v>11</v>
      </c>
      <c r="F14490" s="2" t="s">
        <v>6</v>
      </c>
    </row>
    <row r="14491" spans="1:6" ht="25.5">
      <c r="A14491" s="2">
        <v>14488</v>
      </c>
      <c r="B14491" s="2" t="s">
        <v>14562</v>
      </c>
      <c r="C14491" s="2" t="str">
        <f>"13876740"</f>
        <v>13876740</v>
      </c>
      <c r="D14491" s="2">
        <v>0.318</v>
      </c>
      <c r="E14491" s="2">
        <v>18</v>
      </c>
      <c r="F14491" s="2" t="s">
        <v>75</v>
      </c>
    </row>
    <row r="14492" spans="1:6" ht="25.5">
      <c r="A14492" s="2">
        <v>14489</v>
      </c>
      <c r="B14492" s="2" t="s">
        <v>14563</v>
      </c>
      <c r="C14492" s="2" t="str">
        <f>"04696255"</f>
        <v>04696255</v>
      </c>
      <c r="D14492" s="2">
        <v>0.1</v>
      </c>
      <c r="E14492" s="2">
        <v>4</v>
      </c>
      <c r="F14492" s="2" t="s">
        <v>149</v>
      </c>
    </row>
    <row r="14493" spans="1:6" ht="25.5">
      <c r="A14493" s="2">
        <v>14490</v>
      </c>
      <c r="B14493" s="2" t="s">
        <v>14564</v>
      </c>
      <c r="C14493" s="2" t="str">
        <f>"19426038"</f>
        <v>19426038</v>
      </c>
      <c r="D14493" s="2">
        <v>0.107</v>
      </c>
      <c r="E14493" s="2">
        <v>3</v>
      </c>
      <c r="F14493" s="2" t="s">
        <v>6</v>
      </c>
    </row>
    <row r="14494" spans="1:6" ht="25.5">
      <c r="A14494" s="2">
        <v>14491</v>
      </c>
      <c r="B14494" s="2" t="s">
        <v>14565</v>
      </c>
      <c r="C14494" s="2" t="str">
        <f>"19407882"</f>
        <v>19407882</v>
      </c>
      <c r="D14494" s="2">
        <v>0</v>
      </c>
      <c r="E14494" s="2">
        <v>0</v>
      </c>
      <c r="F14494" s="2" t="s">
        <v>12</v>
      </c>
    </row>
    <row r="14495" spans="1:6" ht="25.5">
      <c r="A14495" s="2">
        <v>14492</v>
      </c>
      <c r="B14495" s="2" t="s">
        <v>14566</v>
      </c>
      <c r="C14495" s="2" t="str">
        <f>"19301405"</f>
        <v>19301405</v>
      </c>
      <c r="D14495" s="2">
        <v>0.28499999999999998</v>
      </c>
      <c r="E14495" s="2">
        <v>9</v>
      </c>
      <c r="F14495" s="2" t="s">
        <v>16</v>
      </c>
    </row>
    <row r="14496" spans="1:6" ht="25.5">
      <c r="A14496" s="2">
        <v>14493</v>
      </c>
      <c r="B14496" s="2" t="s">
        <v>14567</v>
      </c>
      <c r="C14496" s="2" t="str">
        <f>"00278378"</f>
        <v>00278378</v>
      </c>
      <c r="D14496" s="2">
        <v>0.105</v>
      </c>
      <c r="E14496" s="2">
        <v>3</v>
      </c>
      <c r="F14496" s="2" t="s">
        <v>6</v>
      </c>
    </row>
    <row r="14497" spans="1:6" ht="25.5">
      <c r="A14497" s="2">
        <v>14494</v>
      </c>
      <c r="B14497" s="2" t="s">
        <v>14568</v>
      </c>
      <c r="C14497" s="2" t="str">
        <f>"0250541X"</f>
        <v>0250541X</v>
      </c>
      <c r="D14497" s="2">
        <v>0.13800000000000001</v>
      </c>
      <c r="E14497" s="2">
        <v>6</v>
      </c>
      <c r="F14497" s="2" t="s">
        <v>488</v>
      </c>
    </row>
    <row r="14498" spans="1:6">
      <c r="A14498" s="2">
        <v>14495</v>
      </c>
      <c r="B14498" s="2" t="s">
        <v>14569</v>
      </c>
      <c r="C14498" s="2" t="str">
        <f>"0"</f>
        <v>0</v>
      </c>
      <c r="D14498" s="2">
        <v>0.10100000000000001</v>
      </c>
      <c r="E14498" s="2">
        <v>0</v>
      </c>
      <c r="F14498" s="2" t="s">
        <v>6</v>
      </c>
    </row>
    <row r="14499" spans="1:6">
      <c r="A14499" s="2">
        <v>14496</v>
      </c>
      <c r="B14499" s="2" t="s">
        <v>14570</v>
      </c>
      <c r="C14499" s="2" t="str">
        <f>"0"</f>
        <v>0</v>
      </c>
      <c r="D14499" s="2">
        <v>2.528</v>
      </c>
      <c r="E14499" s="2">
        <v>40</v>
      </c>
      <c r="F14499" s="2" t="s">
        <v>6</v>
      </c>
    </row>
    <row r="14500" spans="1:6" ht="25.5">
      <c r="A14500" s="2">
        <v>14497</v>
      </c>
      <c r="B14500" s="2" t="s">
        <v>14571</v>
      </c>
      <c r="C14500" s="2" t="str">
        <f>"14699907"</f>
        <v>14699907</v>
      </c>
      <c r="D14500" s="2">
        <v>0.106</v>
      </c>
      <c r="E14500" s="2">
        <v>8</v>
      </c>
      <c r="F14500" s="2" t="s">
        <v>16</v>
      </c>
    </row>
    <row r="14501" spans="1:6" ht="25.5">
      <c r="A14501" s="2">
        <v>14498</v>
      </c>
      <c r="B14501" s="2" t="s">
        <v>14572</v>
      </c>
      <c r="C14501" s="2" t="str">
        <f>"17413036"</f>
        <v>17413036</v>
      </c>
      <c r="D14501" s="2">
        <v>0.32</v>
      </c>
      <c r="E14501" s="2">
        <v>15</v>
      </c>
      <c r="F14501" s="2" t="s">
        <v>16</v>
      </c>
    </row>
    <row r="14502" spans="1:6" ht="25.5">
      <c r="A14502" s="2">
        <v>14499</v>
      </c>
      <c r="B14502" s="2" t="s">
        <v>14573</v>
      </c>
      <c r="C14502" s="2" t="str">
        <f>"08849382"</f>
        <v>08849382</v>
      </c>
      <c r="D14502" s="2">
        <v>0.36399999999999999</v>
      </c>
      <c r="E14502" s="2">
        <v>5</v>
      </c>
      <c r="F14502" s="2" t="s">
        <v>6</v>
      </c>
    </row>
    <row r="14503" spans="1:6" ht="25.5">
      <c r="A14503" s="2">
        <v>14500</v>
      </c>
      <c r="B14503" s="2" t="s">
        <v>14574</v>
      </c>
      <c r="C14503" s="2" t="str">
        <f>"15572986"</f>
        <v>15572986</v>
      </c>
      <c r="D14503" s="2">
        <v>0.182</v>
      </c>
      <c r="E14503" s="2">
        <v>11</v>
      </c>
      <c r="F14503" s="2" t="s">
        <v>16</v>
      </c>
    </row>
    <row r="14504" spans="1:6" ht="25.5">
      <c r="A14504" s="2">
        <v>14501</v>
      </c>
      <c r="B14504" s="2" t="s">
        <v>14575</v>
      </c>
      <c r="C14504" s="2" t="str">
        <f>"14653923"</f>
        <v>14653923</v>
      </c>
      <c r="D14504" s="2">
        <v>0.20599999999999999</v>
      </c>
      <c r="E14504" s="2">
        <v>11</v>
      </c>
      <c r="F14504" s="2" t="s">
        <v>16</v>
      </c>
    </row>
    <row r="14505" spans="1:6" ht="25.5">
      <c r="A14505" s="2">
        <v>14502</v>
      </c>
      <c r="B14505" s="2" t="s">
        <v>14576</v>
      </c>
      <c r="C14505" s="2" t="str">
        <f>"10093591"</f>
        <v>10093591</v>
      </c>
      <c r="D14505" s="2">
        <v>0.125</v>
      </c>
      <c r="E14505" s="2">
        <v>8</v>
      </c>
      <c r="F14505" s="2" t="s">
        <v>46</v>
      </c>
    </row>
    <row r="14506" spans="1:6" ht="25.5">
      <c r="A14506" s="2">
        <v>14503</v>
      </c>
      <c r="B14506" s="2" t="s">
        <v>14577</v>
      </c>
      <c r="C14506" s="2" t="str">
        <f>"0970258X"</f>
        <v>0970258X</v>
      </c>
      <c r="D14506" s="2">
        <v>0.21199999999999999</v>
      </c>
      <c r="E14506" s="2">
        <v>26</v>
      </c>
      <c r="F14506" s="2" t="s">
        <v>488</v>
      </c>
    </row>
    <row r="14507" spans="1:6">
      <c r="A14507" s="2">
        <v>14504</v>
      </c>
      <c r="B14507" s="2" t="s">
        <v>14578</v>
      </c>
      <c r="C14507" s="2" t="str">
        <f>"0"</f>
        <v>0</v>
      </c>
      <c r="D14507" s="2">
        <v>0.1</v>
      </c>
      <c r="E14507" s="2">
        <v>3</v>
      </c>
      <c r="F14507" s="2" t="s">
        <v>6</v>
      </c>
    </row>
    <row r="14508" spans="1:6" ht="25.5">
      <c r="A14508" s="2">
        <v>14505</v>
      </c>
      <c r="B14508" s="2" t="s">
        <v>14579</v>
      </c>
      <c r="C14508" s="2" t="str">
        <f>"15565246"</f>
        <v>15565246</v>
      </c>
      <c r="D14508" s="2">
        <v>0</v>
      </c>
      <c r="E14508" s="2">
        <v>0</v>
      </c>
      <c r="F14508" s="2" t="s">
        <v>6</v>
      </c>
    </row>
    <row r="14509" spans="1:6" ht="25.5">
      <c r="A14509" s="2">
        <v>14506</v>
      </c>
      <c r="B14509" s="2" t="s">
        <v>14580</v>
      </c>
      <c r="C14509" s="2" t="str">
        <f>"08888051"</f>
        <v>08888051</v>
      </c>
      <c r="D14509" s="2">
        <v>0.10299999999999999</v>
      </c>
      <c r="E14509" s="2">
        <v>0</v>
      </c>
      <c r="F14509" s="2" t="s">
        <v>6</v>
      </c>
    </row>
    <row r="14510" spans="1:6" ht="38.25">
      <c r="A14510" s="2">
        <v>14507</v>
      </c>
      <c r="B14510" s="2" t="s">
        <v>14581</v>
      </c>
      <c r="C14510" s="2" t="str">
        <f>"15518930"</f>
        <v>15518930</v>
      </c>
      <c r="D14510" s="2">
        <v>7.67</v>
      </c>
      <c r="E14510" s="2">
        <v>58</v>
      </c>
      <c r="F14510" s="2" t="s">
        <v>6</v>
      </c>
    </row>
    <row r="14511" spans="1:6" ht="25.5">
      <c r="A14511" s="2">
        <v>14508</v>
      </c>
      <c r="B14511" s="2" t="s">
        <v>14582</v>
      </c>
      <c r="C14511" s="2" t="str">
        <f>"14698129"</f>
        <v>14698129</v>
      </c>
      <c r="D14511" s="2">
        <v>0.61499999999999999</v>
      </c>
      <c r="E14511" s="2">
        <v>17</v>
      </c>
      <c r="F14511" s="2" t="s">
        <v>16</v>
      </c>
    </row>
    <row r="14512" spans="1:6" ht="25.5">
      <c r="A14512" s="2">
        <v>14509</v>
      </c>
      <c r="B14512" s="2" t="s">
        <v>14583</v>
      </c>
      <c r="C14512" s="2" t="str">
        <f>"14550725"</f>
        <v>14550725</v>
      </c>
      <c r="D14512" s="2">
        <v>0.30599999999999999</v>
      </c>
      <c r="E14512" s="2">
        <v>5</v>
      </c>
      <c r="F14512" s="2" t="s">
        <v>751</v>
      </c>
    </row>
    <row r="14513" spans="1:6" ht="25.5">
      <c r="A14513" s="2">
        <v>14510</v>
      </c>
      <c r="B14513" s="2" t="s">
        <v>14584</v>
      </c>
      <c r="C14513" s="2" t="str">
        <f>"18746489"</f>
        <v>18746489</v>
      </c>
      <c r="D14513" s="2">
        <v>0.106</v>
      </c>
      <c r="E14513" s="2">
        <v>2</v>
      </c>
      <c r="F14513" s="2" t="s">
        <v>12</v>
      </c>
    </row>
    <row r="14514" spans="1:6" ht="25.5">
      <c r="A14514" s="2">
        <v>14511</v>
      </c>
      <c r="B14514" s="2" t="s">
        <v>14585</v>
      </c>
      <c r="C14514" s="2" t="str">
        <f>"18746500"</f>
        <v>18746500</v>
      </c>
      <c r="D14514" s="2">
        <v>0.10299999999999999</v>
      </c>
      <c r="E14514" s="2">
        <v>2</v>
      </c>
      <c r="F14514" s="2" t="s">
        <v>12</v>
      </c>
    </row>
    <row r="14515" spans="1:6" ht="25.5">
      <c r="A14515" s="2">
        <v>14512</v>
      </c>
      <c r="B14515" s="2" t="s">
        <v>14586</v>
      </c>
      <c r="C14515" s="2" t="str">
        <f>"13300520"</f>
        <v>13300520</v>
      </c>
      <c r="D14515" s="2">
        <v>0.435</v>
      </c>
      <c r="E14515" s="2">
        <v>12</v>
      </c>
      <c r="F14515" s="2" t="s">
        <v>149</v>
      </c>
    </row>
    <row r="14516" spans="1:6" ht="25.5">
      <c r="A14516" s="2">
        <v>14513</v>
      </c>
      <c r="B14516" s="2" t="s">
        <v>14587</v>
      </c>
      <c r="C14516" s="2" t="str">
        <f>"08858608"</f>
        <v>08858608</v>
      </c>
      <c r="D14516" s="2">
        <v>0.499</v>
      </c>
      <c r="E14516" s="2">
        <v>28</v>
      </c>
      <c r="F14516" s="2" t="s">
        <v>6</v>
      </c>
    </row>
    <row r="14517" spans="1:6" ht="25.5">
      <c r="A14517" s="2">
        <v>14514</v>
      </c>
      <c r="B14517" s="2" t="s">
        <v>14588</v>
      </c>
      <c r="C14517" s="2" t="str">
        <f>"15677818"</f>
        <v>15677818</v>
      </c>
      <c r="D14517" s="2">
        <v>1.048</v>
      </c>
      <c r="E14517" s="2">
        <v>21</v>
      </c>
      <c r="F14517" s="2" t="s">
        <v>75</v>
      </c>
    </row>
    <row r="14518" spans="1:6" ht="25.5">
      <c r="A14518" s="2">
        <v>14515</v>
      </c>
      <c r="B14518" s="2" t="s">
        <v>14589</v>
      </c>
      <c r="C14518" s="2" t="str">
        <f>"16197127"</f>
        <v>16197127</v>
      </c>
      <c r="D14518" s="2">
        <v>0.108</v>
      </c>
      <c r="E14518" s="2">
        <v>1</v>
      </c>
      <c r="F14518" s="2" t="s">
        <v>12</v>
      </c>
    </row>
    <row r="14519" spans="1:6" ht="25.5">
      <c r="A14519" s="2">
        <v>14516</v>
      </c>
      <c r="B14519" s="2" t="s">
        <v>14590</v>
      </c>
      <c r="C14519" s="2" t="str">
        <f>"15730840"</f>
        <v>15730840</v>
      </c>
      <c r="D14519" s="2">
        <v>0.59099999999999997</v>
      </c>
      <c r="E14519" s="2">
        <v>40</v>
      </c>
      <c r="F14519" s="2" t="s">
        <v>75</v>
      </c>
    </row>
    <row r="14520" spans="1:6" ht="25.5">
      <c r="A14520" s="2">
        <v>14517</v>
      </c>
      <c r="B14520" s="2" t="s">
        <v>14591</v>
      </c>
      <c r="C14520" s="2" t="str">
        <f>"16849981"</f>
        <v>16849981</v>
      </c>
      <c r="D14520" s="2">
        <v>0.88900000000000001</v>
      </c>
      <c r="E14520" s="2">
        <v>34</v>
      </c>
      <c r="F14520" s="2" t="s">
        <v>12</v>
      </c>
    </row>
    <row r="14521" spans="1:6" ht="25.5">
      <c r="A14521" s="2">
        <v>14518</v>
      </c>
      <c r="B14521" s="2" t="s">
        <v>14592</v>
      </c>
      <c r="C14521" s="2" t="str">
        <f>"15276988"</f>
        <v>15276988</v>
      </c>
      <c r="D14521" s="2">
        <v>0.433</v>
      </c>
      <c r="E14521" s="2">
        <v>23</v>
      </c>
      <c r="F14521" s="2" t="s">
        <v>6</v>
      </c>
    </row>
    <row r="14522" spans="1:6" ht="25.5">
      <c r="A14522" s="2">
        <v>14519</v>
      </c>
      <c r="B14522" s="2" t="s">
        <v>14593</v>
      </c>
      <c r="C14522" s="2" t="str">
        <f>"00280712"</f>
        <v>00280712</v>
      </c>
      <c r="D14522" s="2">
        <v>0.10299999999999999</v>
      </c>
      <c r="E14522" s="2">
        <v>5</v>
      </c>
      <c r="F14522" s="2" t="s">
        <v>6</v>
      </c>
    </row>
    <row r="14523" spans="1:6" ht="25.5">
      <c r="A14523" s="2">
        <v>14520</v>
      </c>
      <c r="B14523" s="2" t="s">
        <v>14594</v>
      </c>
      <c r="C14523" s="2" t="str">
        <f>"15730859"</f>
        <v>15730859</v>
      </c>
      <c r="D14523" s="2">
        <v>1.343</v>
      </c>
      <c r="E14523" s="2">
        <v>22</v>
      </c>
      <c r="F14523" s="2" t="s">
        <v>75</v>
      </c>
    </row>
    <row r="14524" spans="1:6" ht="25.5">
      <c r="A14524" s="2">
        <v>14521</v>
      </c>
      <c r="B14524" s="2" t="s">
        <v>14595</v>
      </c>
      <c r="C14524" s="2" t="str">
        <f>"14698110"</f>
        <v>14698110</v>
      </c>
      <c r="D14524" s="2">
        <v>0.73599999999999999</v>
      </c>
      <c r="E14524" s="2">
        <v>21</v>
      </c>
      <c r="F14524" s="2" t="s">
        <v>16</v>
      </c>
    </row>
    <row r="14525" spans="1:6" ht="25.5">
      <c r="A14525" s="2">
        <v>14522</v>
      </c>
      <c r="B14525" s="2" t="s">
        <v>14596</v>
      </c>
      <c r="C14525" s="2" t="str">
        <f>"0925854X"</f>
        <v>0925854X</v>
      </c>
      <c r="D14525" s="2">
        <v>0.96299999999999997</v>
      </c>
      <c r="E14525" s="2">
        <v>19</v>
      </c>
      <c r="F14525" s="2" t="s">
        <v>75</v>
      </c>
    </row>
    <row r="14526" spans="1:6" ht="25.5">
      <c r="A14526" s="2">
        <v>14523</v>
      </c>
      <c r="B14526" s="2" t="s">
        <v>14597</v>
      </c>
      <c r="C14526" s="2" t="str">
        <f>"1934578X"</f>
        <v>1934578X</v>
      </c>
      <c r="D14526" s="2">
        <v>0.41799999999999998</v>
      </c>
      <c r="E14526" s="2">
        <v>16</v>
      </c>
      <c r="F14526" s="2" t="s">
        <v>6</v>
      </c>
    </row>
    <row r="14527" spans="1:6" ht="25.5">
      <c r="A14527" s="2">
        <v>14524</v>
      </c>
      <c r="B14527" s="2" t="s">
        <v>14598</v>
      </c>
      <c r="C14527" s="2" t="str">
        <f>"14604752"</f>
        <v>14604752</v>
      </c>
      <c r="D14527" s="2">
        <v>2.99</v>
      </c>
      <c r="E14527" s="2">
        <v>94</v>
      </c>
      <c r="F14527" s="2" t="s">
        <v>16</v>
      </c>
    </row>
    <row r="14528" spans="1:6" ht="25.5">
      <c r="A14528" s="2">
        <v>14525</v>
      </c>
      <c r="B14528" s="2" t="s">
        <v>14599</v>
      </c>
      <c r="C14528" s="2" t="str">
        <f>"14786427"</f>
        <v>14786427</v>
      </c>
      <c r="D14528" s="2">
        <v>0.376</v>
      </c>
      <c r="E14528" s="2">
        <v>24</v>
      </c>
      <c r="F14528" s="2" t="s">
        <v>16</v>
      </c>
    </row>
    <row r="14529" spans="1:6" ht="25.5">
      <c r="A14529" s="2">
        <v>14526</v>
      </c>
      <c r="B14529" s="2" t="s">
        <v>14600</v>
      </c>
      <c r="C14529" s="2" t="str">
        <f>"12263907"</f>
        <v>12263907</v>
      </c>
      <c r="D14529" s="2">
        <v>0.21099999999999999</v>
      </c>
      <c r="E14529" s="2">
        <v>14</v>
      </c>
      <c r="F14529" s="2" t="s">
        <v>274</v>
      </c>
    </row>
    <row r="14530" spans="1:6" ht="25.5">
      <c r="A14530" s="2">
        <v>14527</v>
      </c>
      <c r="B14530" s="2" t="s">
        <v>14601</v>
      </c>
      <c r="C14530" s="2" t="str">
        <f>"08908575"</f>
        <v>08908575</v>
      </c>
      <c r="D14530" s="2">
        <v>0.39400000000000002</v>
      </c>
      <c r="E14530" s="2">
        <v>4</v>
      </c>
      <c r="F14530" s="2" t="s">
        <v>6</v>
      </c>
    </row>
    <row r="14531" spans="1:6" ht="25.5">
      <c r="A14531" s="2">
        <v>14528</v>
      </c>
      <c r="B14531" s="2" t="s">
        <v>14602</v>
      </c>
      <c r="C14531" s="2" t="str">
        <f>"14778947"</f>
        <v>14778947</v>
      </c>
      <c r="D14531" s="2">
        <v>0.44</v>
      </c>
      <c r="E14531" s="2">
        <v>22</v>
      </c>
      <c r="F14531" s="2" t="s">
        <v>16</v>
      </c>
    </row>
    <row r="14532" spans="1:6" ht="25.5">
      <c r="A14532" s="2">
        <v>14529</v>
      </c>
      <c r="B14532" s="2" t="s">
        <v>14603</v>
      </c>
      <c r="C14532" s="2" t="str">
        <f>"00280739"</f>
        <v>00280739</v>
      </c>
      <c r="D14532" s="2">
        <v>0.26900000000000002</v>
      </c>
      <c r="E14532" s="2">
        <v>12</v>
      </c>
      <c r="F14532" s="2" t="s">
        <v>6</v>
      </c>
    </row>
    <row r="14533" spans="1:6" ht="25.5">
      <c r="A14533" s="2">
        <v>14530</v>
      </c>
      <c r="B14533" s="2" t="s">
        <v>14604</v>
      </c>
      <c r="C14533" s="2" t="str">
        <f>"15207439"</f>
        <v>15207439</v>
      </c>
      <c r="D14533" s="2">
        <v>0.46800000000000003</v>
      </c>
      <c r="E14533" s="2">
        <v>23</v>
      </c>
      <c r="F14533" s="2" t="s">
        <v>75</v>
      </c>
    </row>
    <row r="14534" spans="1:6" ht="25.5">
      <c r="A14534" s="2">
        <v>14531</v>
      </c>
      <c r="B14534" s="2" t="s">
        <v>14605</v>
      </c>
      <c r="C14534" s="2" t="str">
        <f>"14764687"</f>
        <v>14764687</v>
      </c>
      <c r="D14534" s="2">
        <v>14.747</v>
      </c>
      <c r="E14534" s="2">
        <v>768</v>
      </c>
      <c r="F14534" s="2" t="s">
        <v>16</v>
      </c>
    </row>
    <row r="14535" spans="1:6" ht="25.5">
      <c r="A14535" s="2">
        <v>14532</v>
      </c>
      <c r="B14535" s="2" t="s">
        <v>14606</v>
      </c>
      <c r="C14535" s="2" t="str">
        <f>"15586073"</f>
        <v>15586073</v>
      </c>
      <c r="D14535" s="2">
        <v>0.29699999999999999</v>
      </c>
      <c r="E14535" s="2">
        <v>2</v>
      </c>
      <c r="F14535" s="2" t="s">
        <v>6</v>
      </c>
    </row>
    <row r="14536" spans="1:6" ht="25.5">
      <c r="A14536" s="2">
        <v>14533</v>
      </c>
      <c r="B14536" s="2" t="s">
        <v>14607</v>
      </c>
      <c r="C14536" s="2" t="str">
        <f>"13420054"</f>
        <v>13420054</v>
      </c>
      <c r="D14536" s="2">
        <v>0.10100000000000001</v>
      </c>
      <c r="E14536" s="2">
        <v>6</v>
      </c>
      <c r="F14536" s="2" t="s">
        <v>131</v>
      </c>
    </row>
    <row r="14537" spans="1:6" ht="25.5">
      <c r="A14537" s="2">
        <v>14534</v>
      </c>
      <c r="B14537" s="2" t="s">
        <v>14608</v>
      </c>
      <c r="C14537" s="2" t="str">
        <f>"11791608"</f>
        <v>11791608</v>
      </c>
      <c r="D14537" s="2">
        <v>0.214</v>
      </c>
      <c r="E14537" s="2">
        <v>4</v>
      </c>
      <c r="F14537" s="2" t="s">
        <v>503</v>
      </c>
    </row>
    <row r="14538" spans="1:6" ht="25.5">
      <c r="A14538" s="2">
        <v>14535</v>
      </c>
      <c r="B14538" s="2" t="s">
        <v>14609</v>
      </c>
      <c r="C14538" s="2" t="str">
        <f>"10870156"</f>
        <v>10870156</v>
      </c>
      <c r="D14538" s="2">
        <v>8.6660000000000004</v>
      </c>
      <c r="E14538" s="2">
        <v>265</v>
      </c>
      <c r="F14538" s="2" t="s">
        <v>16</v>
      </c>
    </row>
    <row r="14539" spans="1:6" ht="25.5">
      <c r="A14539" s="2">
        <v>14536</v>
      </c>
      <c r="B14539" s="2" t="s">
        <v>14610</v>
      </c>
      <c r="C14539" s="2" t="str">
        <f>"14764679"</f>
        <v>14764679</v>
      </c>
      <c r="D14539" s="2">
        <v>11.414999999999999</v>
      </c>
      <c r="E14539" s="2">
        <v>236</v>
      </c>
      <c r="F14539" s="2" t="s">
        <v>16</v>
      </c>
    </row>
    <row r="14540" spans="1:6" ht="25.5">
      <c r="A14540" s="2">
        <v>14537</v>
      </c>
      <c r="B14540" s="2" t="s">
        <v>14611</v>
      </c>
      <c r="C14540" s="2" t="str">
        <f>"15524469"</f>
        <v>15524469</v>
      </c>
      <c r="D14540" s="2">
        <v>6.2290000000000001</v>
      </c>
      <c r="E14540" s="2">
        <v>94</v>
      </c>
      <c r="F14540" s="2" t="s">
        <v>16</v>
      </c>
    </row>
    <row r="14541" spans="1:6" ht="25.5">
      <c r="A14541" s="2">
        <v>14538</v>
      </c>
      <c r="B14541" s="2" t="s">
        <v>14612</v>
      </c>
      <c r="C14541" s="2" t="str">
        <f>"17554349"</f>
        <v>17554349</v>
      </c>
      <c r="D14541" s="2">
        <v>7.6260000000000003</v>
      </c>
      <c r="E14541" s="2">
        <v>61</v>
      </c>
      <c r="F14541" s="2" t="s">
        <v>16</v>
      </c>
    </row>
    <row r="14542" spans="1:6" ht="25.5">
      <c r="A14542" s="2">
        <v>14539</v>
      </c>
      <c r="B14542" s="2" t="s">
        <v>14613</v>
      </c>
      <c r="C14542" s="2" t="str">
        <f>"17586798"</f>
        <v>17586798</v>
      </c>
      <c r="D14542" s="2">
        <v>2.6720000000000002</v>
      </c>
      <c r="E14542" s="2">
        <v>15</v>
      </c>
      <c r="F14542" s="2" t="s">
        <v>16</v>
      </c>
    </row>
    <row r="14543" spans="1:6" ht="25.5">
      <c r="A14543" s="2">
        <v>14540</v>
      </c>
      <c r="B14543" s="2" t="s">
        <v>14614</v>
      </c>
      <c r="C14543" s="2" t="str">
        <f>"20411723"</f>
        <v>20411723</v>
      </c>
      <c r="D14543" s="2">
        <v>5.0410000000000004</v>
      </c>
      <c r="E14543" s="2">
        <v>34</v>
      </c>
      <c r="F14543" s="2" t="s">
        <v>16</v>
      </c>
    </row>
    <row r="14544" spans="1:6" ht="25.5">
      <c r="A14544" s="2">
        <v>14541</v>
      </c>
      <c r="B14544" s="2" t="s">
        <v>14615</v>
      </c>
      <c r="C14544" s="2" t="str">
        <f>"09726268"</f>
        <v>09726268</v>
      </c>
      <c r="D14544" s="2">
        <v>0.16600000000000001</v>
      </c>
      <c r="E14544" s="2">
        <v>3</v>
      </c>
      <c r="F14544" s="2" t="s">
        <v>488</v>
      </c>
    </row>
    <row r="14545" spans="1:6" ht="25.5">
      <c r="A14545" s="2">
        <v>14542</v>
      </c>
      <c r="B14545" s="2" t="s">
        <v>14616</v>
      </c>
      <c r="C14545" s="2" t="str">
        <f>"10614036"</f>
        <v>10614036</v>
      </c>
      <c r="D14545" s="2">
        <v>20.420999999999999</v>
      </c>
      <c r="E14545" s="2">
        <v>395</v>
      </c>
      <c r="F14545" s="2" t="s">
        <v>16</v>
      </c>
    </row>
    <row r="14546" spans="1:6" ht="25.5">
      <c r="A14546" s="2">
        <v>14543</v>
      </c>
      <c r="B14546" s="2" t="s">
        <v>14617</v>
      </c>
      <c r="C14546" s="2" t="str">
        <f>"17520908"</f>
        <v>17520908</v>
      </c>
      <c r="D14546" s="2">
        <v>5.4930000000000003</v>
      </c>
      <c r="E14546" s="2">
        <v>60</v>
      </c>
      <c r="F14546" s="2" t="s">
        <v>16</v>
      </c>
    </row>
    <row r="14547" spans="1:6" ht="25.5">
      <c r="A14547" s="2">
        <v>14544</v>
      </c>
      <c r="B14547" s="2" t="s">
        <v>14618</v>
      </c>
      <c r="C14547" s="2" t="str">
        <f>"15292916"</f>
        <v>15292916</v>
      </c>
      <c r="D14547" s="2">
        <v>14.933</v>
      </c>
      <c r="E14547" s="2">
        <v>243</v>
      </c>
      <c r="F14547" s="2" t="s">
        <v>16</v>
      </c>
    </row>
    <row r="14548" spans="1:6" ht="25.5">
      <c r="A14548" s="2">
        <v>14545</v>
      </c>
      <c r="B14548" s="2" t="s">
        <v>14619</v>
      </c>
      <c r="C14548" s="2" t="str">
        <f>"14764660"</f>
        <v>14764660</v>
      </c>
      <c r="D14548" s="2">
        <v>16.245999999999999</v>
      </c>
      <c r="E14548" s="2">
        <v>219</v>
      </c>
      <c r="F14548" s="2" t="s">
        <v>16</v>
      </c>
    </row>
    <row r="14549" spans="1:6" ht="25.5">
      <c r="A14549" s="2">
        <v>14546</v>
      </c>
      <c r="B14549" s="2" t="s">
        <v>14620</v>
      </c>
      <c r="C14549" s="2" t="str">
        <f>"10788956"</f>
        <v>10788956</v>
      </c>
      <c r="D14549" s="2">
        <v>8.3149999999999995</v>
      </c>
      <c r="E14549" s="2">
        <v>370</v>
      </c>
      <c r="F14549" s="2" t="s">
        <v>16</v>
      </c>
    </row>
    <row r="14550" spans="1:6" ht="25.5">
      <c r="A14550" s="2">
        <v>14547</v>
      </c>
      <c r="B14550" s="2" t="s">
        <v>14621</v>
      </c>
      <c r="C14550" s="2" t="str">
        <f>"15487105"</f>
        <v>15487105</v>
      </c>
      <c r="D14550" s="2">
        <v>7.4169999999999998</v>
      </c>
      <c r="E14550" s="2">
        <v>127</v>
      </c>
      <c r="F14550" s="2" t="s">
        <v>16</v>
      </c>
    </row>
    <row r="14551" spans="1:6" ht="25.5">
      <c r="A14551" s="2">
        <v>14548</v>
      </c>
      <c r="B14551" s="2" t="s">
        <v>14622</v>
      </c>
      <c r="C14551" s="2" t="str">
        <f>"17483395"</f>
        <v>17483395</v>
      </c>
      <c r="D14551" s="2">
        <v>13.246</v>
      </c>
      <c r="E14551" s="2">
        <v>119</v>
      </c>
      <c r="F14551" s="2" t="s">
        <v>16</v>
      </c>
    </row>
    <row r="14552" spans="1:6" ht="25.5">
      <c r="A14552" s="2">
        <v>14549</v>
      </c>
      <c r="B14552" s="2" t="s">
        <v>14623</v>
      </c>
      <c r="C14552" s="2" t="str">
        <f>"10976256"</f>
        <v>10976256</v>
      </c>
      <c r="D14552" s="2">
        <v>8.8789999999999996</v>
      </c>
      <c r="E14552" s="2">
        <v>257</v>
      </c>
      <c r="F14552" s="2" t="s">
        <v>16</v>
      </c>
    </row>
    <row r="14553" spans="1:6" ht="25.5">
      <c r="A14553" s="2">
        <v>14550</v>
      </c>
      <c r="B14553" s="2" t="s">
        <v>14624</v>
      </c>
      <c r="C14553" s="2" t="str">
        <f>"17494885"</f>
        <v>17494885</v>
      </c>
      <c r="D14553" s="2">
        <v>11.897</v>
      </c>
      <c r="E14553" s="2">
        <v>100</v>
      </c>
      <c r="F14553" s="2" t="s">
        <v>16</v>
      </c>
    </row>
    <row r="14554" spans="1:6" ht="25.5">
      <c r="A14554" s="2">
        <v>14551</v>
      </c>
      <c r="B14554" s="2" t="s">
        <v>14625</v>
      </c>
      <c r="C14554" s="2" t="str">
        <f>"17452473"</f>
        <v>17452473</v>
      </c>
      <c r="D14554" s="2">
        <v>14.131</v>
      </c>
      <c r="E14554" s="2">
        <v>112</v>
      </c>
      <c r="F14554" s="2" t="s">
        <v>16</v>
      </c>
    </row>
    <row r="14555" spans="1:6" ht="25.5">
      <c r="A14555" s="2">
        <v>14552</v>
      </c>
      <c r="B14555" s="2" t="s">
        <v>14626</v>
      </c>
      <c r="C14555" s="2" t="str">
        <f>"17542189"</f>
        <v>17542189</v>
      </c>
      <c r="D14555" s="2">
        <v>6.3079999999999998</v>
      </c>
      <c r="E14555" s="2">
        <v>96</v>
      </c>
      <c r="F14555" s="2" t="s">
        <v>16</v>
      </c>
    </row>
    <row r="14556" spans="1:6" ht="25.5">
      <c r="A14556" s="2">
        <v>14553</v>
      </c>
      <c r="B14556" s="2" t="s">
        <v>14627</v>
      </c>
      <c r="C14556" s="2" t="str">
        <f>"1474175X"</f>
        <v>1474175X</v>
      </c>
      <c r="D14556" s="2">
        <v>11.464</v>
      </c>
      <c r="E14556" s="2">
        <v>244</v>
      </c>
      <c r="F14556" s="2" t="s">
        <v>16</v>
      </c>
    </row>
    <row r="14557" spans="1:6" ht="25.5">
      <c r="A14557" s="2">
        <v>14554</v>
      </c>
      <c r="B14557" s="2" t="s">
        <v>14628</v>
      </c>
      <c r="C14557" s="2" t="str">
        <f>"17595010"</f>
        <v>17595010</v>
      </c>
      <c r="D14557" s="2">
        <v>1.71</v>
      </c>
      <c r="E14557" s="2">
        <v>51</v>
      </c>
      <c r="F14557" s="2" t="s">
        <v>16</v>
      </c>
    </row>
    <row r="14558" spans="1:6" ht="25.5">
      <c r="A14558" s="2">
        <v>14555</v>
      </c>
      <c r="B14558" s="2" t="s">
        <v>14629</v>
      </c>
      <c r="C14558" s="2" t="str">
        <f>"17594782"</f>
        <v>17594782</v>
      </c>
      <c r="D14558" s="2">
        <v>2.3130000000000002</v>
      </c>
      <c r="E14558" s="2">
        <v>61</v>
      </c>
      <c r="F14558" s="2" t="s">
        <v>16</v>
      </c>
    </row>
    <row r="14559" spans="1:6" ht="25.5">
      <c r="A14559" s="2">
        <v>14556</v>
      </c>
      <c r="B14559" s="2" t="s">
        <v>14630</v>
      </c>
      <c r="C14559" s="2" t="str">
        <f>"14741776"</f>
        <v>14741776</v>
      </c>
      <c r="D14559" s="2">
        <v>5.4429999999999996</v>
      </c>
      <c r="E14559" s="2">
        <v>177</v>
      </c>
      <c r="F14559" s="2" t="s">
        <v>16</v>
      </c>
    </row>
    <row r="14560" spans="1:6" ht="25.5">
      <c r="A14560" s="2">
        <v>14557</v>
      </c>
      <c r="B14560" s="2" t="s">
        <v>14631</v>
      </c>
      <c r="C14560" s="2" t="str">
        <f>"17595037"</f>
        <v>17595037</v>
      </c>
      <c r="D14560" s="2">
        <v>1.2110000000000001</v>
      </c>
      <c r="E14560" s="2">
        <v>49</v>
      </c>
      <c r="F14560" s="2" t="s">
        <v>16</v>
      </c>
    </row>
    <row r="14561" spans="1:6" ht="25.5">
      <c r="A14561" s="2">
        <v>14558</v>
      </c>
      <c r="B14561" s="2" t="s">
        <v>14632</v>
      </c>
      <c r="C14561" s="2" t="str">
        <f>"17595053"</f>
        <v>17595053</v>
      </c>
      <c r="D14561" s="2">
        <v>1.373</v>
      </c>
      <c r="E14561" s="2">
        <v>45</v>
      </c>
      <c r="F14561" s="2" t="s">
        <v>16</v>
      </c>
    </row>
    <row r="14562" spans="1:6" ht="25.5">
      <c r="A14562" s="2">
        <v>14559</v>
      </c>
      <c r="B14562" s="2" t="s">
        <v>14633</v>
      </c>
      <c r="C14562" s="2" t="str">
        <f>"14710064"</f>
        <v>14710064</v>
      </c>
      <c r="D14562" s="2">
        <v>14.077</v>
      </c>
      <c r="E14562" s="2">
        <v>199</v>
      </c>
      <c r="F14562" s="2" t="s">
        <v>16</v>
      </c>
    </row>
    <row r="14563" spans="1:6" ht="25.5">
      <c r="A14563" s="2">
        <v>14560</v>
      </c>
      <c r="B14563" s="2" t="s">
        <v>14634</v>
      </c>
      <c r="C14563" s="2" t="str">
        <f>"14741733"</f>
        <v>14741733</v>
      </c>
      <c r="D14563" s="2">
        <v>10.07</v>
      </c>
      <c r="E14563" s="2">
        <v>222</v>
      </c>
      <c r="F14563" s="2" t="s">
        <v>16</v>
      </c>
    </row>
    <row r="14564" spans="1:6" ht="25.5">
      <c r="A14564" s="2">
        <v>14561</v>
      </c>
      <c r="B14564" s="2" t="s">
        <v>14635</v>
      </c>
      <c r="C14564" s="2" t="str">
        <f>"17401526"</f>
        <v>17401526</v>
      </c>
      <c r="D14564" s="2">
        <v>7.8769999999999998</v>
      </c>
      <c r="E14564" s="2">
        <v>140</v>
      </c>
      <c r="F14564" s="2" t="s">
        <v>16</v>
      </c>
    </row>
    <row r="14565" spans="1:6" ht="25.5">
      <c r="A14565" s="2">
        <v>14562</v>
      </c>
      <c r="B14565" s="2" t="s">
        <v>14636</v>
      </c>
      <c r="C14565" s="2" t="str">
        <f>"14710080"</f>
        <v>14710080</v>
      </c>
      <c r="D14565" s="2">
        <v>14.938000000000001</v>
      </c>
      <c r="E14565" s="2">
        <v>252</v>
      </c>
      <c r="F14565" s="2" t="s">
        <v>16</v>
      </c>
    </row>
    <row r="14566" spans="1:6" ht="25.5">
      <c r="A14566" s="2">
        <v>14563</v>
      </c>
      <c r="B14566" s="2" t="s">
        <v>14637</v>
      </c>
      <c r="C14566" s="2" t="str">
        <f>"1759507X"</f>
        <v>1759507X</v>
      </c>
      <c r="D14566" s="2">
        <v>1.1000000000000001</v>
      </c>
      <c r="E14566" s="2">
        <v>40</v>
      </c>
      <c r="F14566" s="2" t="s">
        <v>16</v>
      </c>
    </row>
    <row r="14567" spans="1:6" ht="25.5">
      <c r="A14567" s="2">
        <v>14564</v>
      </c>
      <c r="B14567" s="2" t="s">
        <v>14638</v>
      </c>
      <c r="C14567" s="2" t="str">
        <f>"17594766"</f>
        <v>17594766</v>
      </c>
      <c r="D14567" s="2">
        <v>2.266</v>
      </c>
      <c r="E14567" s="2">
        <v>52</v>
      </c>
      <c r="F14567" s="2" t="s">
        <v>16</v>
      </c>
    </row>
    <row r="14568" spans="1:6" ht="25.5">
      <c r="A14568" s="2">
        <v>14565</v>
      </c>
      <c r="B14568" s="2" t="s">
        <v>14639</v>
      </c>
      <c r="C14568" s="2" t="str">
        <f>"14710048"</f>
        <v>14710048</v>
      </c>
      <c r="D14568" s="2">
        <v>8.65</v>
      </c>
      <c r="E14568" s="2">
        <v>232</v>
      </c>
      <c r="F14568" s="2" t="s">
        <v>16</v>
      </c>
    </row>
    <row r="14569" spans="1:6" ht="25.5">
      <c r="A14569" s="2">
        <v>14566</v>
      </c>
      <c r="B14569" s="2" t="s">
        <v>14640</v>
      </c>
      <c r="C14569" s="2" t="str">
        <f>"17594804"</f>
        <v>17594804</v>
      </c>
      <c r="D14569" s="2">
        <v>1.71</v>
      </c>
      <c r="E14569" s="2">
        <v>52</v>
      </c>
      <c r="F14569" s="2" t="s">
        <v>16</v>
      </c>
    </row>
    <row r="14570" spans="1:6" ht="25.5">
      <c r="A14570" s="2">
        <v>14567</v>
      </c>
      <c r="B14570" s="2" t="s">
        <v>14641</v>
      </c>
      <c r="C14570" s="2" t="str">
        <f>"17594820"</f>
        <v>17594820</v>
      </c>
      <c r="D14570" s="2">
        <v>0.70099999999999996</v>
      </c>
      <c r="E14570" s="2">
        <v>33</v>
      </c>
      <c r="F14570" s="2" t="s">
        <v>16</v>
      </c>
    </row>
    <row r="14571" spans="1:6" ht="25.5">
      <c r="A14571" s="2">
        <v>14568</v>
      </c>
      <c r="B14571" s="2" t="s">
        <v>14642</v>
      </c>
      <c r="C14571" s="2" t="str">
        <f>"17652979"</f>
        <v>17652979</v>
      </c>
      <c r="D14571" s="2">
        <v>0.188</v>
      </c>
      <c r="E14571" s="2">
        <v>10</v>
      </c>
      <c r="F14571" s="2" t="s">
        <v>66</v>
      </c>
    </row>
    <row r="14572" spans="1:6" ht="25.5">
      <c r="A14572" s="2">
        <v>14569</v>
      </c>
      <c r="B14572" s="2" t="s">
        <v>14643</v>
      </c>
      <c r="C14572" s="2" t="str">
        <f>"15459993"</f>
        <v>15459993</v>
      </c>
      <c r="D14572" s="2">
        <v>9.8160000000000007</v>
      </c>
      <c r="E14572" s="2">
        <v>185</v>
      </c>
      <c r="F14572" s="2" t="s">
        <v>16</v>
      </c>
    </row>
    <row r="14573" spans="1:6" ht="25.5">
      <c r="A14573" s="2">
        <v>14570</v>
      </c>
      <c r="B14573" s="2" t="s">
        <v>14644</v>
      </c>
      <c r="C14573" s="2" t="str">
        <f>"16790073"</f>
        <v>16790073</v>
      </c>
      <c r="D14573" s="2">
        <v>0.52900000000000003</v>
      </c>
      <c r="E14573" s="2">
        <v>7</v>
      </c>
      <c r="F14573" s="2" t="s">
        <v>159</v>
      </c>
    </row>
    <row r="14574" spans="1:6" ht="25.5">
      <c r="A14574" s="2">
        <v>14571</v>
      </c>
      <c r="B14574" s="2" t="s">
        <v>14645</v>
      </c>
      <c r="C14574" s="2" t="str">
        <f>"09406808"</f>
        <v>09406808</v>
      </c>
      <c r="D14574" s="2">
        <v>0.26900000000000002</v>
      </c>
      <c r="E14574" s="2">
        <v>9</v>
      </c>
      <c r="F14574" s="2" t="s">
        <v>12</v>
      </c>
    </row>
    <row r="14575" spans="1:6" ht="25.5">
      <c r="A14575" s="2">
        <v>14572</v>
      </c>
      <c r="B14575" s="2" t="s">
        <v>14646</v>
      </c>
      <c r="C14575" s="2" t="str">
        <f>"14390515"</f>
        <v>14390515</v>
      </c>
      <c r="D14575" s="2">
        <v>0.11799999999999999</v>
      </c>
      <c r="E14575" s="2">
        <v>3</v>
      </c>
      <c r="F14575" s="2" t="s">
        <v>12</v>
      </c>
    </row>
    <row r="14576" spans="1:6" ht="25.5">
      <c r="A14576" s="2">
        <v>14573</v>
      </c>
      <c r="B14576" s="2" t="s">
        <v>14647</v>
      </c>
      <c r="C14576" s="2" t="str">
        <f>"20712227"</f>
        <v>20712227</v>
      </c>
      <c r="D14576" s="2">
        <v>0</v>
      </c>
      <c r="E14576" s="2">
        <v>1</v>
      </c>
      <c r="F14576" s="2" t="s">
        <v>438</v>
      </c>
    </row>
    <row r="14577" spans="1:6" ht="25.5">
      <c r="A14577" s="2">
        <v>14574</v>
      </c>
      <c r="B14577" s="2" t="s">
        <v>14648</v>
      </c>
      <c r="C14577" s="2" t="str">
        <f>"19814526"</f>
        <v>19814526</v>
      </c>
      <c r="D14577" s="2">
        <v>0</v>
      </c>
      <c r="E14577" s="2">
        <v>0</v>
      </c>
      <c r="F14577" s="2" t="s">
        <v>159</v>
      </c>
    </row>
    <row r="14578" spans="1:6" ht="25.5">
      <c r="A14578" s="2">
        <v>14575</v>
      </c>
      <c r="B14578" s="2" t="s">
        <v>14649</v>
      </c>
      <c r="C14578" s="2" t="str">
        <f>"00281298"</f>
        <v>00281298</v>
      </c>
      <c r="D14578" s="2">
        <v>0.71799999999999997</v>
      </c>
      <c r="E14578" s="2">
        <v>67</v>
      </c>
      <c r="F14578" s="2" t="s">
        <v>12</v>
      </c>
    </row>
    <row r="14579" spans="1:6" ht="25.5">
      <c r="A14579" s="2">
        <v>14576</v>
      </c>
      <c r="B14579" s="2" t="s">
        <v>14650</v>
      </c>
      <c r="C14579" s="2" t="str">
        <f>"00281344"</f>
        <v>00281344</v>
      </c>
      <c r="D14579" s="2">
        <v>0.23200000000000001</v>
      </c>
      <c r="E14579" s="2">
        <v>12</v>
      </c>
      <c r="F14579" s="2" t="s">
        <v>6</v>
      </c>
    </row>
    <row r="14580" spans="1:6" ht="25.5">
      <c r="A14580" s="2">
        <v>14577</v>
      </c>
      <c r="B14580" s="2" t="s">
        <v>14651</v>
      </c>
      <c r="C14580" s="2" t="str">
        <f>"00281425"</f>
        <v>00281425</v>
      </c>
      <c r="D14580" s="2">
        <v>0.127</v>
      </c>
      <c r="E14580" s="2">
        <v>10</v>
      </c>
      <c r="F14580" s="2" t="s">
        <v>6</v>
      </c>
    </row>
    <row r="14581" spans="1:6" ht="25.5">
      <c r="A14581" s="2">
        <v>14578</v>
      </c>
      <c r="B14581" s="2" t="s">
        <v>14652</v>
      </c>
      <c r="C14581" s="2" t="str">
        <f>"0894069X"</f>
        <v>0894069X</v>
      </c>
      <c r="D14581" s="2">
        <v>1.268</v>
      </c>
      <c r="E14581" s="2">
        <v>36</v>
      </c>
      <c r="F14581" s="2" t="s">
        <v>6</v>
      </c>
    </row>
    <row r="14582" spans="1:6" ht="25.5">
      <c r="A14582" s="2">
        <v>14579</v>
      </c>
      <c r="B14582" s="2" t="s">
        <v>14653</v>
      </c>
      <c r="C14582" s="2" t="str">
        <f>"00281522"</f>
        <v>00281522</v>
      </c>
      <c r="D14582" s="2">
        <v>0.73799999999999999</v>
      </c>
      <c r="E14582" s="2">
        <v>20</v>
      </c>
      <c r="F14582" s="2" t="s">
        <v>6</v>
      </c>
    </row>
    <row r="14583" spans="1:6" ht="25.5">
      <c r="A14583" s="2">
        <v>14580</v>
      </c>
      <c r="B14583" s="2" t="s">
        <v>14654</v>
      </c>
      <c r="C14583" s="2" t="str">
        <f>"08893365"</f>
        <v>08893365</v>
      </c>
      <c r="D14583" s="2">
        <v>3.0209999999999999</v>
      </c>
      <c r="E14583" s="2">
        <v>25</v>
      </c>
      <c r="F14583" s="2" t="s">
        <v>6</v>
      </c>
    </row>
    <row r="14584" spans="1:6" ht="25.5">
      <c r="A14584" s="2">
        <v>14581</v>
      </c>
      <c r="B14584" s="2" t="s">
        <v>14655</v>
      </c>
      <c r="C14584" s="2" t="str">
        <f>"19414935"</f>
        <v>19414935</v>
      </c>
      <c r="D14584" s="2">
        <v>1.7929999999999999</v>
      </c>
      <c r="E14584" s="2">
        <v>16</v>
      </c>
      <c r="F14584" s="2" t="s">
        <v>6</v>
      </c>
    </row>
    <row r="14585" spans="1:6" ht="25.5">
      <c r="A14585" s="2">
        <v>14582</v>
      </c>
      <c r="B14585" s="2" t="s">
        <v>14656</v>
      </c>
      <c r="C14585" s="2" t="str">
        <f>"10682716"</f>
        <v>10682716</v>
      </c>
      <c r="D14585" s="2">
        <v>0.105</v>
      </c>
      <c r="E14585" s="2">
        <v>1</v>
      </c>
      <c r="F14585" s="2" t="s">
        <v>6</v>
      </c>
    </row>
    <row r="14586" spans="1:6" ht="25.5">
      <c r="A14586" s="2">
        <v>14583</v>
      </c>
      <c r="B14586" s="2" t="s">
        <v>14657</v>
      </c>
      <c r="C14586" s="2" t="str">
        <f>"09638695"</f>
        <v>09638695</v>
      </c>
      <c r="D14586" s="2">
        <v>0.95299999999999996</v>
      </c>
      <c r="E14586" s="2">
        <v>44</v>
      </c>
      <c r="F14586" s="2" t="s">
        <v>16</v>
      </c>
    </row>
    <row r="14587" spans="1:6" ht="25.5">
      <c r="A14587" s="2">
        <v>14584</v>
      </c>
      <c r="B14587" s="2" t="s">
        <v>14658</v>
      </c>
      <c r="C14587" s="2" t="str">
        <f>"10942076"</f>
        <v>10942076</v>
      </c>
      <c r="D14587" s="2">
        <v>0.56499999999999995</v>
      </c>
      <c r="E14587" s="2">
        <v>6</v>
      </c>
      <c r="F14587" s="2" t="s">
        <v>6</v>
      </c>
    </row>
    <row r="14588" spans="1:6" ht="25.5">
      <c r="A14588" s="2">
        <v>14585</v>
      </c>
      <c r="B14588" s="2" t="s">
        <v>14659</v>
      </c>
      <c r="C14588" s="2" t="str">
        <f>"15694445"</f>
        <v>15694445</v>
      </c>
      <c r="D14588" s="2">
        <v>0.91100000000000003</v>
      </c>
      <c r="E14588" s="2">
        <v>16</v>
      </c>
      <c r="F14588" s="2" t="s">
        <v>75</v>
      </c>
    </row>
    <row r="14589" spans="1:6" ht="25.5">
      <c r="A14589" s="2">
        <v>14586</v>
      </c>
      <c r="B14589" s="2" t="s">
        <v>14660</v>
      </c>
      <c r="C14589" s="2" t="str">
        <f>"00281921"</f>
        <v>00281921</v>
      </c>
      <c r="D14589" s="2">
        <v>0.10199999999999999</v>
      </c>
      <c r="E14589" s="2">
        <v>2</v>
      </c>
      <c r="F14589" s="2" t="s">
        <v>6</v>
      </c>
    </row>
    <row r="14590" spans="1:6" ht="25.5">
      <c r="A14590" s="2">
        <v>14587</v>
      </c>
      <c r="B14590" s="2" t="s">
        <v>14661</v>
      </c>
      <c r="C14590" s="2" t="str">
        <f>"01467875"</f>
        <v>01467875</v>
      </c>
      <c r="D14590" s="2">
        <v>0.38600000000000001</v>
      </c>
      <c r="E14590" s="2">
        <v>15</v>
      </c>
      <c r="F14590" s="2" t="s">
        <v>6</v>
      </c>
    </row>
    <row r="14591" spans="1:6" ht="25.5">
      <c r="A14591" s="2">
        <v>14588</v>
      </c>
      <c r="B14591" s="2" t="s">
        <v>14662</v>
      </c>
      <c r="C14591" s="2" t="str">
        <f>"18805884"</f>
        <v>18805884</v>
      </c>
      <c r="D14591" s="2">
        <v>0.128</v>
      </c>
      <c r="E14591" s="2">
        <v>7</v>
      </c>
      <c r="F14591" s="2" t="s">
        <v>131</v>
      </c>
    </row>
    <row r="14592" spans="1:6" ht="25.5">
      <c r="A14592" s="2">
        <v>14589</v>
      </c>
      <c r="B14592" s="2" t="s">
        <v>14663</v>
      </c>
      <c r="C14592" s="2" t="str">
        <f>"13845829"</f>
        <v>13845829</v>
      </c>
      <c r="D14592" s="2">
        <v>0.128</v>
      </c>
      <c r="E14592" s="2">
        <v>2</v>
      </c>
      <c r="F14592" s="2" t="s">
        <v>75</v>
      </c>
    </row>
    <row r="14593" spans="1:6" ht="25.5">
      <c r="A14593" s="2">
        <v>14590</v>
      </c>
      <c r="B14593" s="2" t="s">
        <v>14664</v>
      </c>
      <c r="C14593" s="2" t="str">
        <f>"09258604"</f>
        <v>09258604</v>
      </c>
      <c r="D14593" s="2">
        <v>0.107</v>
      </c>
      <c r="E14593" s="2">
        <v>4</v>
      </c>
      <c r="F14593" s="2" t="s">
        <v>75</v>
      </c>
    </row>
    <row r="14594" spans="1:6" ht="25.5">
      <c r="A14594" s="2">
        <v>14591</v>
      </c>
      <c r="B14594" s="2" t="s">
        <v>14665</v>
      </c>
      <c r="C14594" s="2" t="str">
        <f>"00282162"</f>
        <v>00282162</v>
      </c>
      <c r="D14594" s="2">
        <v>0.13500000000000001</v>
      </c>
      <c r="E14594" s="2">
        <v>25</v>
      </c>
      <c r="F14594" s="2" t="s">
        <v>75</v>
      </c>
    </row>
    <row r="14595" spans="1:6" ht="25.5">
      <c r="A14595" s="2">
        <v>14592</v>
      </c>
      <c r="B14595" s="2" t="s">
        <v>14666</v>
      </c>
      <c r="C14595" s="2" t="str">
        <f>"13816683"</f>
        <v>13816683</v>
      </c>
      <c r="D14595" s="2">
        <v>0.1</v>
      </c>
      <c r="E14595" s="2">
        <v>2</v>
      </c>
      <c r="F14595" s="2" t="s">
        <v>75</v>
      </c>
    </row>
    <row r="14596" spans="1:6" ht="25.5">
      <c r="A14596" s="2">
        <v>14593</v>
      </c>
      <c r="B14596" s="2" t="s">
        <v>14667</v>
      </c>
      <c r="C14596" s="2" t="str">
        <f>"15708306"</f>
        <v>15708306</v>
      </c>
      <c r="D14596" s="2">
        <v>0.13</v>
      </c>
      <c r="E14596" s="2">
        <v>6</v>
      </c>
      <c r="F14596" s="2" t="s">
        <v>75</v>
      </c>
    </row>
    <row r="14597" spans="1:6" ht="25.5">
      <c r="A14597" s="2">
        <v>14594</v>
      </c>
      <c r="B14597" s="2" t="s">
        <v>14668</v>
      </c>
      <c r="C14597" s="2" t="str">
        <f>"00282200"</f>
        <v>00282200</v>
      </c>
      <c r="D14597" s="2">
        <v>0.109</v>
      </c>
      <c r="E14597" s="2">
        <v>6</v>
      </c>
      <c r="F14597" s="2" t="s">
        <v>75</v>
      </c>
    </row>
    <row r="14598" spans="1:6" ht="25.5">
      <c r="A14598" s="2">
        <v>14595</v>
      </c>
      <c r="B14598" s="2" t="s">
        <v>14669</v>
      </c>
      <c r="C14598" s="2" t="str">
        <f>"02116995"</f>
        <v>02116995</v>
      </c>
      <c r="D14598" s="2">
        <v>0.26900000000000002</v>
      </c>
      <c r="E14598" s="2">
        <v>18</v>
      </c>
      <c r="F14598" s="2" t="s">
        <v>351</v>
      </c>
    </row>
    <row r="14599" spans="1:6" ht="25.5">
      <c r="A14599" s="2">
        <v>14596</v>
      </c>
      <c r="B14599" s="2" t="s">
        <v>14670</v>
      </c>
      <c r="C14599" s="2" t="str">
        <f>"00282448"</f>
        <v>00282448</v>
      </c>
      <c r="D14599" s="2">
        <v>0.122</v>
      </c>
      <c r="E14599" s="2">
        <v>3</v>
      </c>
      <c r="F14599" s="2" t="s">
        <v>129</v>
      </c>
    </row>
    <row r="14600" spans="1:6" ht="25.5">
      <c r="A14600" s="2">
        <v>14597</v>
      </c>
      <c r="B14600" s="2" t="s">
        <v>14671</v>
      </c>
      <c r="C14600" s="2" t="str">
        <f>"13818546"</f>
        <v>13818546</v>
      </c>
      <c r="D14600" s="2">
        <v>0.10100000000000001</v>
      </c>
      <c r="E14600" s="2">
        <v>2</v>
      </c>
      <c r="F14600" s="2" t="s">
        <v>75</v>
      </c>
    </row>
    <row r="14601" spans="1:6" ht="25.5">
      <c r="A14601" s="2">
        <v>14598</v>
      </c>
      <c r="B14601" s="2" t="s">
        <v>14672</v>
      </c>
      <c r="C14601" s="2" t="str">
        <f>"15719979"</f>
        <v>15719979</v>
      </c>
      <c r="D14601" s="2">
        <v>0.20200000000000001</v>
      </c>
      <c r="E14601" s="2">
        <v>14</v>
      </c>
      <c r="F14601" s="2" t="s">
        <v>16</v>
      </c>
    </row>
    <row r="14602" spans="1:6" ht="25.5">
      <c r="A14602" s="2">
        <v>14599</v>
      </c>
      <c r="B14602" s="2" t="s">
        <v>14673</v>
      </c>
      <c r="C14602" s="2" t="str">
        <f>"10000925"</f>
        <v>10000925</v>
      </c>
      <c r="D14602" s="2">
        <v>0.27500000000000002</v>
      </c>
      <c r="E14602" s="2">
        <v>8</v>
      </c>
      <c r="F14602" s="2" t="s">
        <v>46</v>
      </c>
    </row>
    <row r="14603" spans="1:6" ht="25.5">
      <c r="A14603" s="2">
        <v>14600</v>
      </c>
      <c r="B14603" s="2" t="s">
        <v>14674</v>
      </c>
      <c r="C14603" s="2" t="str">
        <f>"10000909"</f>
        <v>10000909</v>
      </c>
      <c r="D14603" s="2">
        <v>0.16800000000000001</v>
      </c>
      <c r="E14603" s="2">
        <v>10</v>
      </c>
      <c r="F14603" s="2" t="s">
        <v>46</v>
      </c>
    </row>
    <row r="14604" spans="1:6" ht="25.5">
      <c r="A14604" s="2">
        <v>14601</v>
      </c>
      <c r="B14604" s="2" t="s">
        <v>14675</v>
      </c>
      <c r="C14604" s="2" t="str">
        <f>"15685411"</f>
        <v>15685411</v>
      </c>
      <c r="D14604" s="2">
        <v>0.505</v>
      </c>
      <c r="E14604" s="2">
        <v>30</v>
      </c>
      <c r="F14604" s="2" t="s">
        <v>75</v>
      </c>
    </row>
    <row r="14605" spans="1:6" ht="25.5">
      <c r="A14605" s="2">
        <v>14602</v>
      </c>
      <c r="B14605" s="2" t="s">
        <v>14676</v>
      </c>
      <c r="C14605" s="2" t="str">
        <f>"00995444"</f>
        <v>00995444</v>
      </c>
      <c r="D14605" s="2">
        <v>0.27300000000000002</v>
      </c>
      <c r="E14605" s="2">
        <v>15</v>
      </c>
      <c r="F14605" s="2" t="s">
        <v>6</v>
      </c>
    </row>
    <row r="14606" spans="1:6" ht="25.5">
      <c r="A14606" s="2">
        <v>14603</v>
      </c>
      <c r="B14606" s="2" t="s">
        <v>14677</v>
      </c>
      <c r="C14606" s="2" t="str">
        <f>"15882810"</f>
        <v>15882810</v>
      </c>
      <c r="D14606" s="2">
        <v>0.115</v>
      </c>
      <c r="E14606" s="2">
        <v>3</v>
      </c>
      <c r="F14606" s="2" t="s">
        <v>75</v>
      </c>
    </row>
    <row r="14607" spans="1:6" ht="25.5">
      <c r="A14607" s="2">
        <v>14604</v>
      </c>
      <c r="B14607" s="2" t="s">
        <v>14678</v>
      </c>
      <c r="C14607" s="2" t="str">
        <f>"15392880"</f>
        <v>15392880</v>
      </c>
      <c r="D14607" s="2">
        <v>0.28599999999999998</v>
      </c>
      <c r="E14607" s="2">
        <v>23</v>
      </c>
      <c r="F14607" s="2" t="s">
        <v>6</v>
      </c>
    </row>
    <row r="14608" spans="1:6" ht="25.5">
      <c r="A14608" s="2">
        <v>14605</v>
      </c>
      <c r="B14608" s="2" t="s">
        <v>14679</v>
      </c>
      <c r="C14608" s="2" t="str">
        <f>"14416638"</f>
        <v>14416638</v>
      </c>
      <c r="D14608" s="2">
        <v>0.11</v>
      </c>
      <c r="E14608" s="2">
        <v>5</v>
      </c>
      <c r="F14608" s="2" t="s">
        <v>127</v>
      </c>
    </row>
    <row r="14609" spans="1:6" ht="25.5">
      <c r="A14609" s="2">
        <v>14606</v>
      </c>
      <c r="B14609" s="2" t="s">
        <v>14680</v>
      </c>
      <c r="C14609" s="2" t="str">
        <f>"16617800"</f>
        <v>16617800</v>
      </c>
      <c r="D14609" s="2">
        <v>1.0309999999999999</v>
      </c>
      <c r="E14609" s="2">
        <v>48</v>
      </c>
      <c r="F14609" s="2" t="s">
        <v>31</v>
      </c>
    </row>
    <row r="14610" spans="1:6" ht="25.5">
      <c r="A14610" s="2">
        <v>14607</v>
      </c>
      <c r="B14610" s="2" t="s">
        <v>14681</v>
      </c>
      <c r="C14610" s="2" t="str">
        <f>"15728668"</f>
        <v>15728668</v>
      </c>
      <c r="D14610" s="2">
        <v>0.14699999999999999</v>
      </c>
      <c r="E14610" s="2">
        <v>5</v>
      </c>
      <c r="F14610" s="2" t="s">
        <v>75</v>
      </c>
    </row>
    <row r="14611" spans="1:6" ht="25.5">
      <c r="A14611" s="2">
        <v>14608</v>
      </c>
      <c r="B14611" s="2" t="s">
        <v>14682</v>
      </c>
      <c r="C14611" s="2" t="str">
        <f>"15228002"</f>
        <v>15228002</v>
      </c>
      <c r="D14611" s="2">
        <v>2.6150000000000002</v>
      </c>
      <c r="E14611" s="2">
        <v>78</v>
      </c>
      <c r="F14611" s="2" t="s">
        <v>6</v>
      </c>
    </row>
    <row r="14612" spans="1:6" ht="25.5">
      <c r="A14612" s="2">
        <v>14609</v>
      </c>
      <c r="B14612" s="2" t="s">
        <v>14683</v>
      </c>
      <c r="C14612" s="2" t="str">
        <f>"00282685"</f>
        <v>00282685</v>
      </c>
      <c r="D14612" s="2">
        <v>0.61099999999999999</v>
      </c>
      <c r="E14612" s="2">
        <v>29</v>
      </c>
      <c r="F14612" s="2" t="s">
        <v>241</v>
      </c>
    </row>
    <row r="14613" spans="1:6" ht="25.5">
      <c r="A14613" s="2">
        <v>14610</v>
      </c>
      <c r="B14613" s="2" t="s">
        <v>14684</v>
      </c>
      <c r="C14613" s="2" t="str">
        <f>"15269906"</f>
        <v>15269906</v>
      </c>
      <c r="D14613" s="2">
        <v>0.20899999999999999</v>
      </c>
      <c r="E14613" s="2">
        <v>6</v>
      </c>
      <c r="F14613" s="2" t="s">
        <v>6</v>
      </c>
    </row>
    <row r="14614" spans="1:6" ht="25.5">
      <c r="A14614" s="2">
        <v>14611</v>
      </c>
      <c r="B14614" s="2" t="s">
        <v>14685</v>
      </c>
      <c r="C14614" s="2" t="str">
        <f>"18099939"</f>
        <v>18099939</v>
      </c>
      <c r="D14614" s="2">
        <v>0</v>
      </c>
      <c r="E14614" s="2">
        <v>0</v>
      </c>
      <c r="F14614" s="2" t="s">
        <v>159</v>
      </c>
    </row>
    <row r="14615" spans="1:6" ht="25.5">
      <c r="A14615" s="2">
        <v>14612</v>
      </c>
      <c r="B14615" s="2" t="s">
        <v>14686</v>
      </c>
      <c r="C14615" s="2" t="str">
        <f>"16788052"</f>
        <v>16788052</v>
      </c>
      <c r="D14615" s="2">
        <v>0.45900000000000002</v>
      </c>
      <c r="E14615" s="2">
        <v>24</v>
      </c>
      <c r="F14615" s="2" t="s">
        <v>159</v>
      </c>
    </row>
    <row r="14616" spans="1:6" ht="25.5">
      <c r="A14616" s="2">
        <v>14613</v>
      </c>
      <c r="B14616" s="2" t="s">
        <v>14687</v>
      </c>
      <c r="C14616" s="2" t="str">
        <f>"16796225"</f>
        <v>16796225</v>
      </c>
      <c r="D14616" s="2">
        <v>0.61199999999999999</v>
      </c>
      <c r="E14616" s="2">
        <v>17</v>
      </c>
      <c r="F14616" s="2" t="s">
        <v>159</v>
      </c>
    </row>
    <row r="14617" spans="1:6" ht="25.5">
      <c r="A14617" s="2">
        <v>14614</v>
      </c>
      <c r="B14617" s="2" t="s">
        <v>14688</v>
      </c>
      <c r="C14617" s="2" t="str">
        <f>"20910320"</f>
        <v>20910320</v>
      </c>
      <c r="D14617" s="2">
        <v>0.19500000000000001</v>
      </c>
      <c r="E14617" s="2">
        <v>2</v>
      </c>
      <c r="F14617" s="2" t="s">
        <v>11849</v>
      </c>
    </row>
    <row r="14618" spans="1:6">
      <c r="A14618" s="2">
        <v>14615</v>
      </c>
      <c r="B14618" s="2" t="s">
        <v>14689</v>
      </c>
      <c r="C14618" s="2" t="str">
        <f>"0"</f>
        <v>0</v>
      </c>
      <c r="D14618" s="2">
        <v>0.161</v>
      </c>
      <c r="E14618" s="2">
        <v>9</v>
      </c>
      <c r="F14618" s="2" t="s">
        <v>11849</v>
      </c>
    </row>
    <row r="14619" spans="1:6" ht="25.5">
      <c r="A14619" s="2">
        <v>14616</v>
      </c>
      <c r="B14619" s="2" t="s">
        <v>14690</v>
      </c>
      <c r="C14619" s="2" t="str">
        <f>"1862040X"</f>
        <v>1862040X</v>
      </c>
      <c r="D14619" s="2">
        <v>0.10299999999999999</v>
      </c>
      <c r="E14619" s="2">
        <v>3</v>
      </c>
      <c r="F14619" s="2" t="s">
        <v>12</v>
      </c>
    </row>
    <row r="14620" spans="1:6" ht="25.5">
      <c r="A14620" s="2">
        <v>14617</v>
      </c>
      <c r="B14620" s="2" t="s">
        <v>14691</v>
      </c>
      <c r="C14620" s="2" t="str">
        <f>"17697255"</f>
        <v>17697255</v>
      </c>
      <c r="D14620" s="2">
        <v>0.193</v>
      </c>
      <c r="E14620" s="2">
        <v>18</v>
      </c>
      <c r="F14620" s="2" t="s">
        <v>66</v>
      </c>
    </row>
    <row r="14621" spans="1:6" ht="25.5">
      <c r="A14621" s="2">
        <v>14618</v>
      </c>
      <c r="B14621" s="2" t="s">
        <v>14692</v>
      </c>
      <c r="C14621" s="2" t="str">
        <f>"14401797"</f>
        <v>14401797</v>
      </c>
      <c r="D14621" s="2">
        <v>0.65200000000000002</v>
      </c>
      <c r="E14621" s="2">
        <v>30</v>
      </c>
      <c r="F14621" s="2" t="s">
        <v>16</v>
      </c>
    </row>
    <row r="14622" spans="1:6" ht="25.5">
      <c r="A14622" s="2">
        <v>14619</v>
      </c>
      <c r="B14622" s="2" t="s">
        <v>14693</v>
      </c>
      <c r="C14622" s="2" t="str">
        <f>"13125257"</f>
        <v>13125257</v>
      </c>
      <c r="D14622" s="2">
        <v>0.10100000000000001</v>
      </c>
      <c r="E14622" s="2">
        <v>1</v>
      </c>
      <c r="F14622" s="2" t="s">
        <v>293</v>
      </c>
    </row>
    <row r="14623" spans="1:6" ht="25.5">
      <c r="A14623" s="2">
        <v>14620</v>
      </c>
      <c r="B14623" s="2" t="s">
        <v>14694</v>
      </c>
      <c r="C14623" s="2" t="str">
        <f>"14602385"</f>
        <v>14602385</v>
      </c>
      <c r="D14623" s="2">
        <v>1.4259999999999999</v>
      </c>
      <c r="E14623" s="2">
        <v>112</v>
      </c>
      <c r="F14623" s="2" t="s">
        <v>16</v>
      </c>
    </row>
    <row r="14624" spans="1:6" ht="25.5">
      <c r="A14624" s="2">
        <v>14621</v>
      </c>
      <c r="B14624" s="2" t="s">
        <v>14695</v>
      </c>
      <c r="C14624" s="2" t="str">
        <f>"08961263"</f>
        <v>08961263</v>
      </c>
      <c r="D14624" s="2">
        <v>0.14599999999999999</v>
      </c>
      <c r="E14624" s="2">
        <v>11</v>
      </c>
      <c r="F14624" s="2" t="s">
        <v>6</v>
      </c>
    </row>
    <row r="14625" spans="1:6" ht="25.5">
      <c r="A14625" s="2">
        <v>14622</v>
      </c>
      <c r="B14625" s="2" t="s">
        <v>14696</v>
      </c>
      <c r="C14625" s="2" t="str">
        <f>"1526744X"</f>
        <v>1526744X</v>
      </c>
      <c r="D14625" s="2">
        <v>0.19500000000000001</v>
      </c>
      <c r="E14625" s="2">
        <v>19</v>
      </c>
      <c r="F14625" s="2" t="s">
        <v>6</v>
      </c>
    </row>
    <row r="14626" spans="1:6" ht="25.5">
      <c r="A14626" s="2">
        <v>14623</v>
      </c>
      <c r="B14626" s="2" t="s">
        <v>14697</v>
      </c>
      <c r="C14626" s="2" t="str">
        <f>"16602110"</f>
        <v>16602110</v>
      </c>
      <c r="D14626" s="2">
        <v>0.70099999999999996</v>
      </c>
      <c r="E14626" s="2">
        <v>33</v>
      </c>
      <c r="F14626" s="2" t="s">
        <v>31</v>
      </c>
    </row>
    <row r="14627" spans="1:6" ht="25.5">
      <c r="A14627" s="2">
        <v>14624</v>
      </c>
      <c r="B14627" s="2" t="s">
        <v>14698</v>
      </c>
      <c r="C14627" s="2" t="str">
        <f>"16602129"</f>
        <v>16602129</v>
      </c>
      <c r="D14627" s="2">
        <v>0.76300000000000001</v>
      </c>
      <c r="E14627" s="2">
        <v>25</v>
      </c>
      <c r="F14627" s="2" t="s">
        <v>31</v>
      </c>
    </row>
    <row r="14628" spans="1:6" ht="25.5">
      <c r="A14628" s="2">
        <v>14625</v>
      </c>
      <c r="B14628" s="2" t="s">
        <v>14699</v>
      </c>
      <c r="C14628" s="2" t="str">
        <f>"16608151"</f>
        <v>16608151</v>
      </c>
      <c r="D14628" s="2">
        <v>0.86899999999999999</v>
      </c>
      <c r="E14628" s="2">
        <v>24</v>
      </c>
      <c r="F14628" s="2" t="s">
        <v>31</v>
      </c>
    </row>
    <row r="14629" spans="1:6" ht="25.5">
      <c r="A14629" s="2">
        <v>14626</v>
      </c>
      <c r="B14629" s="2" t="s">
        <v>14700</v>
      </c>
      <c r="C14629" s="2" t="str">
        <f>"20084684"</f>
        <v>20084684</v>
      </c>
      <c r="D14629" s="2">
        <v>0.11799999999999999</v>
      </c>
      <c r="E14629" s="2">
        <v>3</v>
      </c>
      <c r="F14629" s="2" t="s">
        <v>75</v>
      </c>
    </row>
    <row r="14630" spans="1:6" ht="25.5">
      <c r="A14630" s="2">
        <v>14627</v>
      </c>
      <c r="B14630" s="2" t="s">
        <v>14701</v>
      </c>
      <c r="C14630" s="2" t="str">
        <f>"07221541"</f>
        <v>07221541</v>
      </c>
      <c r="D14630" s="2">
        <v>0.121</v>
      </c>
      <c r="E14630" s="2">
        <v>12</v>
      </c>
      <c r="F14630" s="2" t="s">
        <v>12</v>
      </c>
    </row>
    <row r="14631" spans="1:6" ht="25.5">
      <c r="A14631" s="2">
        <v>14628</v>
      </c>
      <c r="B14631" s="2" t="s">
        <v>14702</v>
      </c>
      <c r="C14631" s="2" t="str">
        <f>"15685888"</f>
        <v>15685888</v>
      </c>
      <c r="D14631" s="2">
        <v>0.32500000000000001</v>
      </c>
      <c r="E14631" s="2">
        <v>17</v>
      </c>
      <c r="F14631" s="2" t="s">
        <v>75</v>
      </c>
    </row>
    <row r="14632" spans="1:6" ht="25.5">
      <c r="A14632" s="2">
        <v>14629</v>
      </c>
      <c r="B14632" s="2" t="s">
        <v>14703</v>
      </c>
      <c r="C14632" s="2" t="str">
        <f>"15693511"</f>
        <v>15693511</v>
      </c>
      <c r="D14632" s="2">
        <v>0.13500000000000001</v>
      </c>
      <c r="E14632" s="2">
        <v>4</v>
      </c>
      <c r="F14632" s="2" t="s">
        <v>75</v>
      </c>
    </row>
    <row r="14633" spans="1:6" ht="25.5">
      <c r="A14633" s="2">
        <v>14630</v>
      </c>
      <c r="B14633" s="2" t="s">
        <v>14704</v>
      </c>
      <c r="C14633" s="2" t="str">
        <f>"03002977"</f>
        <v>03002977</v>
      </c>
      <c r="D14633" s="2">
        <v>0.51900000000000002</v>
      </c>
      <c r="E14633" s="2">
        <v>35</v>
      </c>
      <c r="F14633" s="2" t="s">
        <v>75</v>
      </c>
    </row>
    <row r="14634" spans="1:6" ht="25.5">
      <c r="A14634" s="2">
        <v>14631</v>
      </c>
      <c r="B14634" s="2" t="s">
        <v>14705</v>
      </c>
      <c r="C14634" s="2" t="str">
        <f>"01693441"</f>
        <v>01693441</v>
      </c>
      <c r="D14634" s="2">
        <v>0.14000000000000001</v>
      </c>
      <c r="E14634" s="2">
        <v>3</v>
      </c>
      <c r="F14634" s="2" t="s">
        <v>75</v>
      </c>
    </row>
    <row r="14635" spans="1:6" ht="25.5">
      <c r="A14635" s="2">
        <v>14632</v>
      </c>
      <c r="B14635" s="2" t="s">
        <v>14706</v>
      </c>
      <c r="C14635" s="2" t="str">
        <f>"13859587"</f>
        <v>13859587</v>
      </c>
      <c r="D14635" s="2">
        <v>1.111</v>
      </c>
      <c r="E14635" s="2">
        <v>6</v>
      </c>
      <c r="F14635" s="2" t="s">
        <v>75</v>
      </c>
    </row>
    <row r="14636" spans="1:6" ht="25.5">
      <c r="A14636" s="2">
        <v>14633</v>
      </c>
      <c r="B14636" s="2" t="s">
        <v>14707</v>
      </c>
      <c r="C14636" s="2" t="str">
        <f>"13616536"</f>
        <v>13616536</v>
      </c>
      <c r="D14636" s="2">
        <v>0.34300000000000003</v>
      </c>
      <c r="E14636" s="2">
        <v>40</v>
      </c>
      <c r="F14636" s="2" t="s">
        <v>16</v>
      </c>
    </row>
    <row r="14637" spans="1:6" ht="25.5">
      <c r="A14637" s="2">
        <v>14634</v>
      </c>
      <c r="B14637" s="2" t="s">
        <v>14708</v>
      </c>
      <c r="C14637" s="2" t="str">
        <f>"10970037"</f>
        <v>10970037</v>
      </c>
      <c r="D14637" s="2">
        <v>0.92600000000000005</v>
      </c>
      <c r="E14637" s="2">
        <v>34</v>
      </c>
      <c r="F14637" s="2" t="s">
        <v>6</v>
      </c>
    </row>
    <row r="14638" spans="1:6" ht="25.5">
      <c r="A14638" s="2">
        <v>14635</v>
      </c>
      <c r="B14638" s="2" t="s">
        <v>14709</v>
      </c>
      <c r="C14638" s="2" t="str">
        <f>"1556181X"</f>
        <v>1556181X</v>
      </c>
      <c r="D14638" s="2">
        <v>0.67700000000000005</v>
      </c>
      <c r="E14638" s="2">
        <v>12</v>
      </c>
      <c r="F14638" s="2" t="s">
        <v>6</v>
      </c>
    </row>
    <row r="14639" spans="1:6" ht="25.5">
      <c r="A14639" s="2">
        <v>14636</v>
      </c>
      <c r="B14639" s="2" t="s">
        <v>14710</v>
      </c>
      <c r="C14639" s="2" t="str">
        <f>"1566113X"</f>
        <v>1566113X</v>
      </c>
      <c r="D14639" s="2">
        <v>1.58</v>
      </c>
      <c r="E14639" s="2">
        <v>17</v>
      </c>
      <c r="F14639" s="2" t="s">
        <v>75</v>
      </c>
    </row>
    <row r="14640" spans="1:6" ht="25.5">
      <c r="A14640" s="2">
        <v>14637</v>
      </c>
      <c r="B14640" s="2" t="s">
        <v>14711</v>
      </c>
      <c r="C14640" s="2" t="str">
        <f>"09492739"</f>
        <v>09492739</v>
      </c>
      <c r="D14640" s="2">
        <v>0.10100000000000001</v>
      </c>
      <c r="E14640" s="2">
        <v>0</v>
      </c>
      <c r="F14640" s="2" t="s">
        <v>12</v>
      </c>
    </row>
    <row r="14641" spans="1:6" ht="25.5">
      <c r="A14641" s="2">
        <v>14638</v>
      </c>
      <c r="B14641" s="2" t="s">
        <v>14712</v>
      </c>
      <c r="C14641" s="2" t="str">
        <f>"00283347"</f>
        <v>00283347</v>
      </c>
      <c r="D14641" s="2">
        <v>0.1</v>
      </c>
      <c r="E14641" s="2">
        <v>2</v>
      </c>
      <c r="F14641" s="2" t="s">
        <v>12</v>
      </c>
    </row>
    <row r="14642" spans="1:6" ht="25.5">
      <c r="A14642" s="2">
        <v>14639</v>
      </c>
      <c r="B14642" s="2" t="s">
        <v>14713</v>
      </c>
      <c r="C14642" s="2" t="str">
        <f>"00777749"</f>
        <v>00777749</v>
      </c>
      <c r="D14642" s="2">
        <v>0.54100000000000004</v>
      </c>
      <c r="E14642" s="2">
        <v>25</v>
      </c>
      <c r="F14642" s="2" t="s">
        <v>12</v>
      </c>
    </row>
    <row r="14643" spans="1:6" ht="25.5">
      <c r="A14643" s="2">
        <v>14640</v>
      </c>
      <c r="B14643" s="2" t="s">
        <v>14714</v>
      </c>
      <c r="C14643" s="2" t="str">
        <f>"00777757"</f>
        <v>00777757</v>
      </c>
      <c r="D14643" s="2">
        <v>0.443</v>
      </c>
      <c r="E14643" s="2">
        <v>18</v>
      </c>
      <c r="F14643" s="2" t="s">
        <v>12</v>
      </c>
    </row>
    <row r="14644" spans="1:6" ht="25.5">
      <c r="A14644" s="2">
        <v>14641</v>
      </c>
      <c r="B14644" s="2" t="s">
        <v>14715</v>
      </c>
      <c r="C14644" s="2" t="str">
        <f>"09456945"</f>
        <v>09456945</v>
      </c>
      <c r="D14644" s="2">
        <v>0.1</v>
      </c>
      <c r="E14644" s="2">
        <v>1</v>
      </c>
      <c r="F14644" s="2" t="s">
        <v>12</v>
      </c>
    </row>
    <row r="14645" spans="1:6" ht="25.5">
      <c r="A14645" s="2">
        <v>14642</v>
      </c>
      <c r="B14645" s="2" t="s">
        <v>14716</v>
      </c>
      <c r="C14645" s="2" t="str">
        <f>"16129520"</f>
        <v>16129520</v>
      </c>
      <c r="D14645" s="2">
        <v>0.1</v>
      </c>
      <c r="E14645" s="2">
        <v>3</v>
      </c>
      <c r="F14645" s="2" t="s">
        <v>12</v>
      </c>
    </row>
    <row r="14646" spans="1:6" ht="25.5">
      <c r="A14646" s="2">
        <v>14643</v>
      </c>
      <c r="B14646" s="2" t="s">
        <v>14717</v>
      </c>
      <c r="C14646" s="2" t="str">
        <f>"00283754"</f>
        <v>00283754</v>
      </c>
      <c r="D14646" s="2">
        <v>0.114</v>
      </c>
      <c r="E14646" s="2">
        <v>3</v>
      </c>
      <c r="F14646" s="2" t="s">
        <v>751</v>
      </c>
    </row>
    <row r="14647" spans="1:6" ht="25.5">
      <c r="A14647" s="2">
        <v>14644</v>
      </c>
      <c r="B14647" s="2" t="s">
        <v>14718</v>
      </c>
      <c r="C14647" s="2" t="str">
        <f>"1530888X"</f>
        <v>1530888X</v>
      </c>
      <c r="D14647" s="2">
        <v>0.81100000000000005</v>
      </c>
      <c r="E14647" s="2">
        <v>105</v>
      </c>
      <c r="F14647" s="2" t="s">
        <v>6</v>
      </c>
    </row>
    <row r="14648" spans="1:6" ht="25.5">
      <c r="A14648" s="2">
        <v>14645</v>
      </c>
      <c r="B14648" s="2" t="s">
        <v>14719</v>
      </c>
      <c r="C14648" s="2" t="str">
        <f>"14333058"</f>
        <v>14333058</v>
      </c>
      <c r="D14648" s="2">
        <v>0.34399999999999997</v>
      </c>
      <c r="E14648" s="2">
        <v>25</v>
      </c>
      <c r="F14648" s="2" t="s">
        <v>16</v>
      </c>
    </row>
    <row r="14649" spans="1:6" ht="25.5">
      <c r="A14649" s="2">
        <v>14646</v>
      </c>
      <c r="B14649" s="2" t="s">
        <v>14720</v>
      </c>
      <c r="C14649" s="2" t="str">
        <f>"17498104"</f>
        <v>17498104</v>
      </c>
      <c r="D14649" s="2">
        <v>2.54</v>
      </c>
      <c r="E14649" s="2">
        <v>24</v>
      </c>
      <c r="F14649" s="2" t="s">
        <v>16</v>
      </c>
    </row>
    <row r="14650" spans="1:6" ht="25.5">
      <c r="A14650" s="2">
        <v>14647</v>
      </c>
      <c r="B14650" s="2" t="s">
        <v>14721</v>
      </c>
      <c r="C14650" s="2" t="str">
        <f>"08936080"</f>
        <v>08936080</v>
      </c>
      <c r="D14650" s="2">
        <v>0.91500000000000004</v>
      </c>
      <c r="E14650" s="2">
        <v>87</v>
      </c>
      <c r="F14650" s="2" t="s">
        <v>16</v>
      </c>
    </row>
    <row r="14651" spans="1:6" ht="25.5">
      <c r="A14651" s="2">
        <v>14648</v>
      </c>
      <c r="B14651" s="2" t="s">
        <v>14722</v>
      </c>
      <c r="C14651" s="2" t="str">
        <f>"12100552"</f>
        <v>12100552</v>
      </c>
      <c r="D14651" s="2">
        <v>0.37</v>
      </c>
      <c r="E14651" s="2">
        <v>16</v>
      </c>
      <c r="F14651" s="2" t="s">
        <v>208</v>
      </c>
    </row>
    <row r="14652" spans="1:6" ht="25.5">
      <c r="A14652" s="2">
        <v>14649</v>
      </c>
      <c r="B14652" s="2" t="s">
        <v>14723</v>
      </c>
      <c r="C14652" s="2" t="str">
        <f>"10615369"</f>
        <v>10615369</v>
      </c>
      <c r="D14652" s="2">
        <v>0.22800000000000001</v>
      </c>
      <c r="E14652" s="2">
        <v>7</v>
      </c>
      <c r="F14652" s="2" t="s">
        <v>6</v>
      </c>
    </row>
    <row r="14653" spans="1:6" ht="25.5">
      <c r="A14653" s="2">
        <v>14650</v>
      </c>
      <c r="B14653" s="2" t="s">
        <v>14724</v>
      </c>
      <c r="C14653" s="2" t="str">
        <f>"16875443"</f>
        <v>16875443</v>
      </c>
      <c r="D14653" s="2">
        <v>1.446</v>
      </c>
      <c r="E14653" s="2">
        <v>28</v>
      </c>
      <c r="F14653" s="2" t="s">
        <v>6</v>
      </c>
    </row>
    <row r="14654" spans="1:6" ht="25.5">
      <c r="A14654" s="2">
        <v>14651</v>
      </c>
      <c r="B14654" s="2" t="s">
        <v>14725</v>
      </c>
      <c r="C14654" s="2" t="str">
        <f>"1573773X"</f>
        <v>1573773X</v>
      </c>
      <c r="D14654" s="2">
        <v>0.56699999999999995</v>
      </c>
      <c r="E14654" s="2">
        <v>29</v>
      </c>
      <c r="F14654" s="2" t="s">
        <v>75</v>
      </c>
    </row>
    <row r="14655" spans="1:6" ht="25.5">
      <c r="A14655" s="2">
        <v>14652</v>
      </c>
      <c r="B14655" s="2" t="s">
        <v>14726</v>
      </c>
      <c r="C14655" s="2" t="str">
        <f>"16735374"</f>
        <v>16735374</v>
      </c>
      <c r="D14655" s="2">
        <v>0.13700000000000001</v>
      </c>
      <c r="E14655" s="2">
        <v>6</v>
      </c>
      <c r="F14655" s="2" t="s">
        <v>46</v>
      </c>
    </row>
    <row r="14656" spans="1:6" ht="25.5">
      <c r="A14656" s="2">
        <v>14653</v>
      </c>
      <c r="B14656" s="2" t="s">
        <v>14727</v>
      </c>
      <c r="C14656" s="2" t="str">
        <f>"13031783"</f>
        <v>13031783</v>
      </c>
      <c r="D14656" s="2">
        <v>0.16700000000000001</v>
      </c>
      <c r="E14656" s="2">
        <v>8</v>
      </c>
      <c r="F14656" s="2" t="s">
        <v>345</v>
      </c>
    </row>
    <row r="14657" spans="1:6" ht="25.5">
      <c r="A14657" s="2">
        <v>14654</v>
      </c>
      <c r="B14657" s="2" t="s">
        <v>14728</v>
      </c>
      <c r="C14657" s="2" t="str">
        <f>"11791497"</f>
        <v>11791497</v>
      </c>
      <c r="D14657" s="2">
        <v>0.22800000000000001</v>
      </c>
      <c r="E14657" s="2">
        <v>3</v>
      </c>
      <c r="F14657" s="2" t="s">
        <v>503</v>
      </c>
    </row>
    <row r="14658" spans="1:6" ht="25.5">
      <c r="A14658" s="2">
        <v>14655</v>
      </c>
      <c r="B14658" s="2" t="s">
        <v>14729</v>
      </c>
      <c r="C14658" s="2" t="str">
        <f>"01974580"</f>
        <v>01974580</v>
      </c>
      <c r="D14658" s="2">
        <v>2.1040000000000001</v>
      </c>
      <c r="E14658" s="2">
        <v>115</v>
      </c>
      <c r="F14658" s="2" t="s">
        <v>6</v>
      </c>
    </row>
    <row r="14659" spans="1:6" ht="25.5">
      <c r="A14659" s="2">
        <v>14656</v>
      </c>
      <c r="B14659" s="2" t="s">
        <v>14730</v>
      </c>
      <c r="C14659" s="2" t="str">
        <f>"1095953X"</f>
        <v>1095953X</v>
      </c>
      <c r="D14659" s="2">
        <v>2.3340000000000001</v>
      </c>
      <c r="E14659" s="2">
        <v>102</v>
      </c>
      <c r="F14659" s="2" t="s">
        <v>6</v>
      </c>
    </row>
    <row r="14660" spans="1:6" ht="25.5">
      <c r="A14660" s="2">
        <v>14657</v>
      </c>
      <c r="B14660" s="2" t="s">
        <v>14731</v>
      </c>
      <c r="C14660" s="2" t="str">
        <f>"10959564"</f>
        <v>10959564</v>
      </c>
      <c r="D14660" s="2">
        <v>1.726</v>
      </c>
      <c r="E14660" s="2">
        <v>74</v>
      </c>
      <c r="F14660" s="2" t="s">
        <v>6</v>
      </c>
    </row>
    <row r="14661" spans="1:6" ht="25.5">
      <c r="A14661" s="2">
        <v>14658</v>
      </c>
      <c r="B14661" s="2" t="s">
        <v>14732</v>
      </c>
      <c r="C14661" s="2" t="str">
        <f>"14653656"</f>
        <v>14653656</v>
      </c>
      <c r="D14661" s="2">
        <v>0.497</v>
      </c>
      <c r="E14661" s="2">
        <v>47</v>
      </c>
      <c r="F14661" s="2" t="s">
        <v>16</v>
      </c>
    </row>
    <row r="14662" spans="1:6" ht="25.5">
      <c r="A14662" s="2">
        <v>14659</v>
      </c>
      <c r="B14662" s="2" t="s">
        <v>14733</v>
      </c>
      <c r="C14662" s="2" t="str">
        <f>"18197132"</f>
        <v>18197132</v>
      </c>
      <c r="D14662" s="2">
        <v>0.124</v>
      </c>
      <c r="E14662" s="2">
        <v>4</v>
      </c>
      <c r="F14662" s="2" t="s">
        <v>129</v>
      </c>
    </row>
    <row r="14663" spans="1:6" ht="25.5">
      <c r="A14663" s="2">
        <v>14660</v>
      </c>
      <c r="B14663" s="2" t="s">
        <v>14734</v>
      </c>
      <c r="C14663" s="2" t="str">
        <f>"15736903"</f>
        <v>15736903</v>
      </c>
      <c r="D14663" s="2">
        <v>0.73199999999999998</v>
      </c>
      <c r="E14663" s="2">
        <v>80</v>
      </c>
      <c r="F14663" s="2" t="s">
        <v>6</v>
      </c>
    </row>
    <row r="14664" spans="1:6" ht="25.5">
      <c r="A14664" s="2">
        <v>14661</v>
      </c>
      <c r="B14664" s="2" t="s">
        <v>14735</v>
      </c>
      <c r="C14664" s="2" t="str">
        <f>"01970186"</f>
        <v>01970186</v>
      </c>
      <c r="D14664" s="2">
        <v>0.98</v>
      </c>
      <c r="E14664" s="2">
        <v>77</v>
      </c>
      <c r="F14664" s="2" t="s">
        <v>16</v>
      </c>
    </row>
    <row r="14665" spans="1:6" ht="25.5">
      <c r="A14665" s="2">
        <v>14662</v>
      </c>
      <c r="B14665" s="2" t="s">
        <v>14736</v>
      </c>
      <c r="C14665" s="2" t="str">
        <f>"00283770"</f>
        <v>00283770</v>
      </c>
      <c r="D14665" s="2">
        <v>0.19</v>
      </c>
      <c r="E14665" s="2">
        <v>20</v>
      </c>
      <c r="F14665" s="2" t="s">
        <v>66</v>
      </c>
    </row>
    <row r="14666" spans="1:6" ht="25.5">
      <c r="A14666" s="2">
        <v>14663</v>
      </c>
      <c r="B14666" s="2" t="s">
        <v>14737</v>
      </c>
      <c r="C14666" s="2" t="str">
        <f>"11301473"</f>
        <v>11301473</v>
      </c>
      <c r="D14666" s="2">
        <v>0.23899999999999999</v>
      </c>
      <c r="E14666" s="2">
        <v>13</v>
      </c>
      <c r="F14666" s="2" t="s">
        <v>351</v>
      </c>
    </row>
    <row r="14667" spans="1:6" ht="25.5">
      <c r="A14667" s="2">
        <v>14664</v>
      </c>
      <c r="B14667" s="2" t="s">
        <v>14738</v>
      </c>
      <c r="C14667" s="2" t="str">
        <f>"09252312"</f>
        <v>09252312</v>
      </c>
      <c r="D14667" s="2">
        <v>0.99</v>
      </c>
      <c r="E14667" s="2">
        <v>65</v>
      </c>
      <c r="F14667" s="2" t="s">
        <v>75</v>
      </c>
    </row>
    <row r="14668" spans="1:6" ht="25.5">
      <c r="A14668" s="2">
        <v>14665</v>
      </c>
      <c r="B14668" s="2" t="s">
        <v>14739</v>
      </c>
      <c r="C14668" s="2" t="str">
        <f>"15560961"</f>
        <v>15560961</v>
      </c>
      <c r="D14668" s="2">
        <v>1.1080000000000001</v>
      </c>
      <c r="E14668" s="2">
        <v>33</v>
      </c>
      <c r="F14668" s="2" t="s">
        <v>6</v>
      </c>
    </row>
    <row r="14669" spans="1:6" ht="25.5">
      <c r="A14669" s="2">
        <v>14666</v>
      </c>
      <c r="B14669" s="2" t="s">
        <v>14740</v>
      </c>
      <c r="C14669" s="2" t="str">
        <f>"16602862"</f>
        <v>16602862</v>
      </c>
      <c r="D14669" s="2">
        <v>1.044</v>
      </c>
      <c r="E14669" s="2">
        <v>32</v>
      </c>
      <c r="F14669" s="2" t="s">
        <v>31</v>
      </c>
    </row>
    <row r="14670" spans="1:6" ht="25.5">
      <c r="A14670" s="2">
        <v>14667</v>
      </c>
      <c r="B14670" s="2" t="s">
        <v>14741</v>
      </c>
      <c r="C14670" s="2" t="str">
        <f>"21646821"</f>
        <v>21646821</v>
      </c>
      <c r="D14670" s="2">
        <v>0.155</v>
      </c>
      <c r="E14670" s="2">
        <v>8</v>
      </c>
      <c r="F14670" s="2" t="s">
        <v>6</v>
      </c>
    </row>
    <row r="14671" spans="1:6" ht="25.5">
      <c r="A14671" s="2">
        <v>14668</v>
      </c>
      <c r="B14671" s="2" t="s">
        <v>14742</v>
      </c>
      <c r="C14671" s="2" t="str">
        <f>"14230194"</f>
        <v>14230194</v>
      </c>
      <c r="D14671" s="2">
        <v>0.98299999999999998</v>
      </c>
      <c r="E14671" s="2">
        <v>67</v>
      </c>
      <c r="F14671" s="2" t="s">
        <v>31</v>
      </c>
    </row>
    <row r="14672" spans="1:6" ht="25.5">
      <c r="A14672" s="2">
        <v>14669</v>
      </c>
      <c r="B14672" s="2" t="s">
        <v>14743</v>
      </c>
      <c r="C14672" s="2" t="str">
        <f>"0172780X"</f>
        <v>0172780X</v>
      </c>
      <c r="D14672" s="2">
        <v>0.40699999999999997</v>
      </c>
      <c r="E14672" s="2">
        <v>39</v>
      </c>
      <c r="F14672" s="2" t="s">
        <v>151</v>
      </c>
    </row>
    <row r="14673" spans="1:6" ht="25.5">
      <c r="A14673" s="2">
        <v>14670</v>
      </c>
      <c r="B14673" s="2" t="s">
        <v>14744</v>
      </c>
      <c r="C14673" s="2" t="str">
        <f>"14230208"</f>
        <v>14230208</v>
      </c>
      <c r="D14673" s="2">
        <v>0.96</v>
      </c>
      <c r="E14673" s="2">
        <v>52</v>
      </c>
      <c r="F14673" s="2" t="s">
        <v>31</v>
      </c>
    </row>
    <row r="14674" spans="1:6" ht="25.5">
      <c r="A14674" s="2">
        <v>14671</v>
      </c>
      <c r="B14674" s="2" t="s">
        <v>14745</v>
      </c>
      <c r="C14674" s="2" t="str">
        <f>"18745504"</f>
        <v>18745504</v>
      </c>
      <c r="D14674" s="2">
        <v>0.30299999999999999</v>
      </c>
      <c r="E14674" s="2">
        <v>7</v>
      </c>
      <c r="F14674" s="2" t="s">
        <v>75</v>
      </c>
    </row>
    <row r="14675" spans="1:6" ht="25.5">
      <c r="A14675" s="2">
        <v>14672</v>
      </c>
      <c r="B14675" s="2" t="s">
        <v>14746</v>
      </c>
      <c r="C14675" s="2" t="str">
        <f>"09470875"</f>
        <v>09470875</v>
      </c>
      <c r="D14675" s="2">
        <v>0.104</v>
      </c>
      <c r="E14675" s="2">
        <v>1</v>
      </c>
      <c r="F14675" s="2" t="s">
        <v>12</v>
      </c>
    </row>
    <row r="14676" spans="1:6" ht="25.5">
      <c r="A14676" s="2">
        <v>14673</v>
      </c>
      <c r="B14676" s="2" t="s">
        <v>14747</v>
      </c>
      <c r="C14676" s="2" t="str">
        <f>"13652982"</f>
        <v>13652982</v>
      </c>
      <c r="D14676" s="2">
        <v>1.0469999999999999</v>
      </c>
      <c r="E14676" s="2">
        <v>58</v>
      </c>
      <c r="F14676" s="2" t="s">
        <v>16</v>
      </c>
    </row>
    <row r="14677" spans="1:6" ht="25.5">
      <c r="A14677" s="2">
        <v>14674</v>
      </c>
      <c r="B14677" s="2" t="s">
        <v>14748</v>
      </c>
      <c r="C14677" s="2" t="str">
        <f>"13646753"</f>
        <v>13646753</v>
      </c>
      <c r="D14677" s="2">
        <v>1.365</v>
      </c>
      <c r="E14677" s="2">
        <v>41</v>
      </c>
      <c r="F14677" s="2" t="s">
        <v>12</v>
      </c>
    </row>
    <row r="14678" spans="1:6" ht="25.5">
      <c r="A14678" s="2">
        <v>14675</v>
      </c>
      <c r="B14678" s="2" t="s">
        <v>14749</v>
      </c>
      <c r="C14678" s="2" t="str">
        <f>"10959572"</f>
        <v>10959572</v>
      </c>
      <c r="D14678" s="2">
        <v>3.1640000000000001</v>
      </c>
      <c r="E14678" s="2">
        <v>197</v>
      </c>
      <c r="F14678" s="2" t="s">
        <v>6</v>
      </c>
    </row>
    <row r="14679" spans="1:6" ht="25.5">
      <c r="A14679" s="2">
        <v>14676</v>
      </c>
      <c r="B14679" s="2" t="s">
        <v>14750</v>
      </c>
      <c r="C14679" s="2" t="str">
        <f>"22131582"</f>
        <v>22131582</v>
      </c>
      <c r="D14679" s="2">
        <v>0</v>
      </c>
      <c r="E14679" s="2">
        <v>0</v>
      </c>
      <c r="F14679" s="2" t="s">
        <v>75</v>
      </c>
    </row>
    <row r="14680" spans="1:6" ht="25.5">
      <c r="A14680" s="2">
        <v>14677</v>
      </c>
      <c r="B14680" s="2" t="s">
        <v>14751</v>
      </c>
      <c r="C14680" s="2" t="str">
        <f>"10525149"</f>
        <v>10525149</v>
      </c>
      <c r="D14680" s="2">
        <v>0.55600000000000005</v>
      </c>
      <c r="E14680" s="2">
        <v>35</v>
      </c>
      <c r="F14680" s="2" t="s">
        <v>16</v>
      </c>
    </row>
    <row r="14681" spans="1:6" ht="25.5">
      <c r="A14681" s="2">
        <v>14678</v>
      </c>
      <c r="B14681" s="2" t="s">
        <v>14752</v>
      </c>
      <c r="C14681" s="2" t="str">
        <f>"14230216"</f>
        <v>14230216</v>
      </c>
      <c r="D14681" s="2">
        <v>0.64700000000000002</v>
      </c>
      <c r="E14681" s="2">
        <v>37</v>
      </c>
      <c r="F14681" s="2" t="s">
        <v>31</v>
      </c>
    </row>
    <row r="14682" spans="1:6" ht="25.5">
      <c r="A14682" s="2">
        <v>14679</v>
      </c>
      <c r="B14682" s="2" t="s">
        <v>14753</v>
      </c>
      <c r="C14682" s="2" t="str">
        <f>"15392791"</f>
        <v>15392791</v>
      </c>
      <c r="D14682" s="2">
        <v>1.163</v>
      </c>
      <c r="E14682" s="2">
        <v>30</v>
      </c>
      <c r="F14682" s="2" t="s">
        <v>6</v>
      </c>
    </row>
    <row r="14683" spans="1:6" ht="25.5">
      <c r="A14683" s="2">
        <v>14680</v>
      </c>
      <c r="B14683" s="2" t="s">
        <v>14754</v>
      </c>
      <c r="C14683" s="2" t="str">
        <f>"15781968"</f>
        <v>15781968</v>
      </c>
      <c r="D14683" s="2">
        <v>0.23899999999999999</v>
      </c>
      <c r="E14683" s="2">
        <v>21</v>
      </c>
      <c r="F14683" s="2" t="s">
        <v>75</v>
      </c>
    </row>
    <row r="14684" spans="1:6" ht="25.5">
      <c r="A14684" s="2">
        <v>14681</v>
      </c>
      <c r="B14684" s="2" t="s">
        <v>14755</v>
      </c>
      <c r="C14684" s="2" t="str">
        <f>"18530028"</f>
        <v>18530028</v>
      </c>
      <c r="D14684" s="2">
        <v>0.128</v>
      </c>
      <c r="E14684" s="2">
        <v>2</v>
      </c>
      <c r="F14684" s="2" t="s">
        <v>351</v>
      </c>
    </row>
    <row r="14685" spans="1:6" ht="25.5">
      <c r="A14685" s="2">
        <v>14682</v>
      </c>
      <c r="B14685" s="2" t="s">
        <v>14756</v>
      </c>
      <c r="C14685" s="2" t="str">
        <f>"03538842"</f>
        <v>03538842</v>
      </c>
      <c r="D14685" s="2">
        <v>0.12</v>
      </c>
      <c r="E14685" s="2">
        <v>4</v>
      </c>
      <c r="F14685" s="2" t="s">
        <v>149</v>
      </c>
    </row>
    <row r="14686" spans="1:6" ht="25.5">
      <c r="A14686" s="2">
        <v>14683</v>
      </c>
      <c r="B14686" s="2" t="s">
        <v>14757</v>
      </c>
      <c r="C14686" s="2" t="str">
        <f>"00283843"</f>
        <v>00283843</v>
      </c>
      <c r="D14686" s="2">
        <v>0.214</v>
      </c>
      <c r="E14686" s="2">
        <v>12</v>
      </c>
      <c r="F14686" s="2" t="s">
        <v>169</v>
      </c>
    </row>
    <row r="14687" spans="1:6" ht="25.5">
      <c r="A14687" s="2">
        <v>14684</v>
      </c>
      <c r="B14687" s="2" t="s">
        <v>14758</v>
      </c>
      <c r="C14687" s="2" t="str">
        <f>"04708105"</f>
        <v>04708105</v>
      </c>
      <c r="D14687" s="2">
        <v>0.32500000000000001</v>
      </c>
      <c r="E14687" s="2">
        <v>29</v>
      </c>
      <c r="F14687" s="2" t="s">
        <v>131</v>
      </c>
    </row>
    <row r="14688" spans="1:6" ht="25.5">
      <c r="A14688" s="2">
        <v>14685</v>
      </c>
      <c r="B14688" s="2" t="s">
        <v>14759</v>
      </c>
      <c r="C14688" s="2" t="str">
        <f>"00283851"</f>
        <v>00283851</v>
      </c>
      <c r="D14688" s="2">
        <v>0.10100000000000001</v>
      </c>
      <c r="E14688" s="2">
        <v>0</v>
      </c>
      <c r="F14688" s="2" t="s">
        <v>200</v>
      </c>
    </row>
    <row r="14689" spans="1:6" ht="25.5">
      <c r="A14689" s="2">
        <v>14686</v>
      </c>
      <c r="B14689" s="2" t="s">
        <v>14760</v>
      </c>
      <c r="C14689" s="2" t="str">
        <f>"01616412"</f>
        <v>01616412</v>
      </c>
      <c r="D14689" s="2">
        <v>0.45400000000000001</v>
      </c>
      <c r="E14689" s="2">
        <v>53</v>
      </c>
      <c r="F14689" s="2" t="s">
        <v>16</v>
      </c>
    </row>
    <row r="14690" spans="1:6" ht="25.5">
      <c r="A14690" s="2">
        <v>14687</v>
      </c>
      <c r="B14690" s="2" t="s">
        <v>14761</v>
      </c>
      <c r="C14690" s="2" t="str">
        <f>"15903478"</f>
        <v>15903478</v>
      </c>
      <c r="D14690" s="2">
        <v>0.45500000000000002</v>
      </c>
      <c r="E14690" s="2">
        <v>40</v>
      </c>
      <c r="F14690" s="2" t="s">
        <v>190</v>
      </c>
    </row>
    <row r="14691" spans="1:6" ht="25.5">
      <c r="A14691" s="2">
        <v>14688</v>
      </c>
      <c r="B14691" s="2" t="s">
        <v>14762</v>
      </c>
      <c r="C14691" s="2" t="str">
        <f>"03012603"</f>
        <v>03012603</v>
      </c>
      <c r="D14691" s="2">
        <v>0.16700000000000001</v>
      </c>
      <c r="E14691" s="2">
        <v>16</v>
      </c>
      <c r="F14691" s="2" t="s">
        <v>131</v>
      </c>
    </row>
    <row r="14692" spans="1:6" ht="25.5">
      <c r="A14692" s="2">
        <v>14689</v>
      </c>
      <c r="B14692" s="2" t="s">
        <v>14763</v>
      </c>
      <c r="C14692" s="2" t="str">
        <f>"07338619"</f>
        <v>07338619</v>
      </c>
      <c r="D14692" s="2">
        <v>0.65800000000000003</v>
      </c>
      <c r="E14692" s="2">
        <v>51</v>
      </c>
      <c r="F14692" s="2" t="s">
        <v>16</v>
      </c>
    </row>
    <row r="14693" spans="1:6" ht="25.5">
      <c r="A14693" s="2">
        <v>14690</v>
      </c>
      <c r="B14693" s="2" t="s">
        <v>14764</v>
      </c>
      <c r="C14693" s="2" t="str">
        <f>"09472177"</f>
        <v>09472177</v>
      </c>
      <c r="D14693" s="2">
        <v>0.16700000000000001</v>
      </c>
      <c r="E14693" s="2">
        <v>9</v>
      </c>
      <c r="F14693" s="2" t="s">
        <v>12</v>
      </c>
    </row>
    <row r="14694" spans="1:6" ht="25.5">
      <c r="A14694" s="2">
        <v>14691</v>
      </c>
      <c r="B14694" s="2" t="s">
        <v>14765</v>
      </c>
      <c r="C14694" s="2" t="str">
        <f>"10747931"</f>
        <v>10747931</v>
      </c>
      <c r="D14694" s="2">
        <v>0.45600000000000002</v>
      </c>
      <c r="E14694" s="2">
        <v>37</v>
      </c>
      <c r="F14694" s="2" t="s">
        <v>6</v>
      </c>
    </row>
    <row r="14695" spans="1:6" ht="25.5">
      <c r="A14695" s="2">
        <v>14692</v>
      </c>
      <c r="B14695" s="2" t="s">
        <v>14766</v>
      </c>
      <c r="C14695" s="2" t="str">
        <f>"1526632X"</f>
        <v>1526632X</v>
      </c>
      <c r="D14695" s="2">
        <v>2.58</v>
      </c>
      <c r="E14695" s="2">
        <v>240</v>
      </c>
      <c r="F14695" s="2" t="s">
        <v>6</v>
      </c>
    </row>
    <row r="14696" spans="1:6" ht="25.5">
      <c r="A14696" s="2">
        <v>14693</v>
      </c>
      <c r="B14696" s="2" t="s">
        <v>14767</v>
      </c>
      <c r="C14696" s="2" t="str">
        <f>"18236138"</f>
        <v>18236138</v>
      </c>
      <c r="D14696" s="2">
        <v>0.12</v>
      </c>
      <c r="E14696" s="2">
        <v>6</v>
      </c>
      <c r="F14696" s="2" t="s">
        <v>37</v>
      </c>
    </row>
    <row r="14697" spans="1:6" ht="25.5">
      <c r="A14697" s="2">
        <v>14694</v>
      </c>
      <c r="B14697" s="2" t="s">
        <v>14768</v>
      </c>
      <c r="C14697" s="2" t="str">
        <f>"00283886"</f>
        <v>00283886</v>
      </c>
      <c r="D14697" s="2">
        <v>0.316</v>
      </c>
      <c r="E14697" s="2">
        <v>25</v>
      </c>
      <c r="F14697" s="2" t="s">
        <v>488</v>
      </c>
    </row>
    <row r="14698" spans="1:6" ht="25.5">
      <c r="A14698" s="2">
        <v>14695</v>
      </c>
      <c r="B14698" s="2" t="s">
        <v>14769</v>
      </c>
      <c r="C14698" s="2" t="str">
        <f>"20358385"</f>
        <v>20358385</v>
      </c>
      <c r="D14698" s="2">
        <v>0.13500000000000001</v>
      </c>
      <c r="E14698" s="2">
        <v>1</v>
      </c>
      <c r="F14698" s="2" t="s">
        <v>190</v>
      </c>
    </row>
    <row r="14699" spans="1:6" ht="25.5">
      <c r="A14699" s="2">
        <v>14696</v>
      </c>
      <c r="B14699" s="2" t="s">
        <v>14770</v>
      </c>
      <c r="C14699" s="2" t="str">
        <f>"09419500"</f>
        <v>09419500</v>
      </c>
      <c r="D14699" s="2">
        <v>0.14799999999999999</v>
      </c>
      <c r="E14699" s="2">
        <v>12</v>
      </c>
      <c r="F14699" s="2" t="s">
        <v>12</v>
      </c>
    </row>
    <row r="14700" spans="1:6" ht="25.5">
      <c r="A14700" s="2">
        <v>14697</v>
      </c>
      <c r="B14700" s="2" t="s">
        <v>14771</v>
      </c>
      <c r="C14700" s="2" t="str">
        <f>"20901860"</f>
        <v>20901860</v>
      </c>
      <c r="D14700" s="2">
        <v>0</v>
      </c>
      <c r="E14700" s="2">
        <v>2</v>
      </c>
      <c r="F14700" s="2" t="s">
        <v>6</v>
      </c>
    </row>
    <row r="14701" spans="1:6" ht="25.5">
      <c r="A14701" s="2">
        <v>14698</v>
      </c>
      <c r="B14701" s="2" t="s">
        <v>14772</v>
      </c>
      <c r="C14701" s="2" t="str">
        <f>"19406045"</f>
        <v>19406045</v>
      </c>
      <c r="D14701" s="2">
        <v>0.13400000000000001</v>
      </c>
      <c r="E14701" s="2">
        <v>6</v>
      </c>
      <c r="F14701" s="2" t="s">
        <v>6</v>
      </c>
    </row>
    <row r="14702" spans="1:6" ht="25.5">
      <c r="A14702" s="2">
        <v>14699</v>
      </c>
      <c r="B14702" s="2" t="s">
        <v>14773</v>
      </c>
      <c r="C14702" s="2" t="str">
        <f>"15251403"</f>
        <v>15251403</v>
      </c>
      <c r="D14702" s="2">
        <v>0.26600000000000001</v>
      </c>
      <c r="E14702" s="2">
        <v>30</v>
      </c>
      <c r="F14702" s="2" t="s">
        <v>16</v>
      </c>
    </row>
    <row r="14703" spans="1:6" ht="25.5">
      <c r="A14703" s="2">
        <v>14700</v>
      </c>
      <c r="B14703" s="2" t="s">
        <v>14774</v>
      </c>
      <c r="C14703" s="2" t="str">
        <f>"15351084"</f>
        <v>15351084</v>
      </c>
      <c r="D14703" s="2">
        <v>1.5109999999999999</v>
      </c>
      <c r="E14703" s="2">
        <v>41</v>
      </c>
      <c r="F14703" s="2" t="s">
        <v>6</v>
      </c>
    </row>
    <row r="14704" spans="1:6" ht="25.5">
      <c r="A14704" s="2">
        <v>14701</v>
      </c>
      <c r="B14704" s="2" t="s">
        <v>14775</v>
      </c>
      <c r="C14704" s="2" t="str">
        <f>"09608966"</f>
        <v>09608966</v>
      </c>
      <c r="D14704" s="2">
        <v>1.1599999999999999</v>
      </c>
      <c r="E14704" s="2">
        <v>60</v>
      </c>
      <c r="F14704" s="2" t="s">
        <v>16</v>
      </c>
    </row>
    <row r="14705" spans="1:6" ht="25.5">
      <c r="A14705" s="2">
        <v>14702</v>
      </c>
      <c r="B14705" s="2" t="s">
        <v>14776</v>
      </c>
      <c r="C14705" s="2" t="str">
        <f>"08966273"</f>
        <v>08966273</v>
      </c>
      <c r="D14705" s="2">
        <v>9.3940000000000001</v>
      </c>
      <c r="E14705" s="2">
        <v>301</v>
      </c>
      <c r="F14705" s="2" t="s">
        <v>6</v>
      </c>
    </row>
    <row r="14706" spans="1:6" ht="25.5">
      <c r="A14706" s="2">
        <v>14703</v>
      </c>
      <c r="B14706" s="2" t="s">
        <v>14777</v>
      </c>
      <c r="C14706" s="2" t="str">
        <f>"17410533"</f>
        <v>17410533</v>
      </c>
      <c r="D14706" s="2">
        <v>0.874</v>
      </c>
      <c r="E14706" s="2">
        <v>20</v>
      </c>
      <c r="F14706" s="2" t="s">
        <v>16</v>
      </c>
    </row>
    <row r="14707" spans="1:6" ht="25.5">
      <c r="A14707" s="2">
        <v>14704</v>
      </c>
      <c r="B14707" s="2" t="s">
        <v>14778</v>
      </c>
      <c r="C14707" s="2" t="str">
        <f>"15228517"</f>
        <v>15228517</v>
      </c>
      <c r="D14707" s="2">
        <v>2.2389999999999999</v>
      </c>
      <c r="E14707" s="2">
        <v>54</v>
      </c>
      <c r="F14707" s="2" t="s">
        <v>16</v>
      </c>
    </row>
    <row r="14708" spans="1:6" ht="25.5">
      <c r="A14708" s="2">
        <v>14705</v>
      </c>
      <c r="B14708" s="2" t="s">
        <v>14779</v>
      </c>
      <c r="C14708" s="2" t="str">
        <f>"01658107"</f>
        <v>01658107</v>
      </c>
      <c r="D14708" s="2">
        <v>0.127</v>
      </c>
      <c r="E14708" s="2">
        <v>15</v>
      </c>
      <c r="F14708" s="2" t="s">
        <v>16</v>
      </c>
    </row>
    <row r="14709" spans="1:6" ht="25.5">
      <c r="A14709" s="2">
        <v>14706</v>
      </c>
      <c r="B14709" s="2" t="s">
        <v>14780</v>
      </c>
      <c r="C14709" s="2" t="str">
        <f>"02897024"</f>
        <v>02897024</v>
      </c>
      <c r="D14709" s="2">
        <v>0.1</v>
      </c>
      <c r="E14709" s="2">
        <v>3</v>
      </c>
      <c r="F14709" s="2" t="s">
        <v>131</v>
      </c>
    </row>
    <row r="14710" spans="1:6" ht="25.5">
      <c r="A14710" s="2">
        <v>14707</v>
      </c>
      <c r="B14710" s="2" t="s">
        <v>14781</v>
      </c>
      <c r="C14710" s="2" t="str">
        <f>"14401789"</f>
        <v>14401789</v>
      </c>
      <c r="D14710" s="2">
        <v>0.64600000000000002</v>
      </c>
      <c r="E14710" s="2">
        <v>35</v>
      </c>
      <c r="F14710" s="2" t="s">
        <v>16</v>
      </c>
    </row>
    <row r="14711" spans="1:6" ht="25.5">
      <c r="A14711" s="2">
        <v>14708</v>
      </c>
      <c r="B14711" s="2" t="s">
        <v>14782</v>
      </c>
      <c r="C14711" s="2" t="str">
        <f>"13652990"</f>
        <v>13652990</v>
      </c>
      <c r="D14711" s="2">
        <v>1.35</v>
      </c>
      <c r="E14711" s="2">
        <v>60</v>
      </c>
      <c r="F14711" s="2" t="s">
        <v>16</v>
      </c>
    </row>
    <row r="14712" spans="1:6" ht="25.5">
      <c r="A14712" s="2">
        <v>14709</v>
      </c>
      <c r="B14712" s="2" t="s">
        <v>14783</v>
      </c>
      <c r="C14712" s="2" t="str">
        <f>"14391899"</f>
        <v>14391899</v>
      </c>
      <c r="D14712" s="2">
        <v>0.504</v>
      </c>
      <c r="E14712" s="2">
        <v>47</v>
      </c>
      <c r="F14712" s="2" t="s">
        <v>12</v>
      </c>
    </row>
    <row r="14713" spans="1:6" ht="25.5">
      <c r="A14713" s="2">
        <v>14710</v>
      </c>
      <c r="B14713" s="2" t="s">
        <v>14784</v>
      </c>
      <c r="C14713" s="2" t="str">
        <f>"01434179"</f>
        <v>01434179</v>
      </c>
      <c r="D14713" s="2">
        <v>0.66600000000000004</v>
      </c>
      <c r="E14713" s="2">
        <v>50</v>
      </c>
      <c r="F14713" s="2" t="s">
        <v>6</v>
      </c>
    </row>
    <row r="14714" spans="1:6" ht="25.5">
      <c r="A14714" s="2">
        <v>14711</v>
      </c>
      <c r="B14714" s="2" t="s">
        <v>14785</v>
      </c>
      <c r="C14714" s="2" t="str">
        <f>"00283908"</f>
        <v>00283908</v>
      </c>
      <c r="D14714" s="2">
        <v>1.8720000000000001</v>
      </c>
      <c r="E14714" s="2">
        <v>108</v>
      </c>
      <c r="F14714" s="2" t="s">
        <v>16</v>
      </c>
    </row>
    <row r="14715" spans="1:6" ht="25.5">
      <c r="A14715" s="2">
        <v>14712</v>
      </c>
      <c r="B14715" s="2" t="s">
        <v>14786</v>
      </c>
      <c r="C14715" s="2" t="str">
        <f>"09877053"</f>
        <v>09877053</v>
      </c>
      <c r="D14715" s="2">
        <v>0.77900000000000003</v>
      </c>
      <c r="E14715" s="2">
        <v>37</v>
      </c>
      <c r="F14715" s="2" t="s">
        <v>66</v>
      </c>
    </row>
    <row r="14716" spans="1:6" ht="25.5">
      <c r="A14716" s="2">
        <v>14713</v>
      </c>
      <c r="B14716" s="2" t="s">
        <v>14787</v>
      </c>
      <c r="C14716" s="2" t="str">
        <f>"14394847"</f>
        <v>14394847</v>
      </c>
      <c r="D14716" s="2">
        <v>0.104</v>
      </c>
      <c r="E14716" s="2">
        <v>3</v>
      </c>
      <c r="F14716" s="2" t="s">
        <v>12</v>
      </c>
    </row>
    <row r="14717" spans="1:6" ht="25.5">
      <c r="A14717" s="2">
        <v>14714</v>
      </c>
      <c r="B14717" s="2" t="s">
        <v>14788</v>
      </c>
      <c r="C14717" s="2" t="str">
        <f>"15739007"</f>
        <v>15739007</v>
      </c>
      <c r="D14717" s="2">
        <v>0.13600000000000001</v>
      </c>
      <c r="E14717" s="2">
        <v>7</v>
      </c>
      <c r="F14717" s="2" t="s">
        <v>6</v>
      </c>
    </row>
    <row r="14718" spans="1:6" ht="25.5">
      <c r="A14718" s="2">
        <v>14715</v>
      </c>
      <c r="B14718" s="2" t="s">
        <v>14789</v>
      </c>
      <c r="C14718" s="2" t="str">
        <f>"18966764"</f>
        <v>18966764</v>
      </c>
      <c r="D14718" s="2">
        <v>0.107</v>
      </c>
      <c r="E14718" s="2">
        <v>2</v>
      </c>
      <c r="F14718" s="2" t="s">
        <v>169</v>
      </c>
    </row>
    <row r="14719" spans="1:6" ht="25.5">
      <c r="A14719" s="2">
        <v>14716</v>
      </c>
      <c r="B14719" s="2" t="s">
        <v>14790</v>
      </c>
      <c r="C14719" s="2" t="str">
        <f>"11766328"</f>
        <v>11766328</v>
      </c>
      <c r="D14719" s="2">
        <v>0.60699999999999998</v>
      </c>
      <c r="E14719" s="2">
        <v>18</v>
      </c>
      <c r="F14719" s="2" t="s">
        <v>503</v>
      </c>
    </row>
    <row r="14720" spans="1:6" ht="25.5">
      <c r="A14720" s="2">
        <v>14717</v>
      </c>
      <c r="B14720" s="2" t="s">
        <v>14791</v>
      </c>
      <c r="C14720" s="2" t="str">
        <f>"09486259"</f>
        <v>09486259</v>
      </c>
      <c r="D14720" s="2">
        <v>0.317</v>
      </c>
      <c r="E14720" s="2">
        <v>12</v>
      </c>
      <c r="F14720" s="2" t="s">
        <v>12</v>
      </c>
    </row>
    <row r="14721" spans="1:6" ht="25.5">
      <c r="A14721" s="2">
        <v>14718</v>
      </c>
      <c r="B14721" s="2" t="s">
        <v>14792</v>
      </c>
      <c r="C14721" s="2" t="str">
        <f>"02229617"</f>
        <v>02229617</v>
      </c>
      <c r="D14721" s="2">
        <v>0.17599999999999999</v>
      </c>
      <c r="E14721" s="2">
        <v>11</v>
      </c>
      <c r="F14721" s="2" t="s">
        <v>66</v>
      </c>
    </row>
    <row r="14722" spans="1:6" ht="25.5">
      <c r="A14722" s="2">
        <v>14719</v>
      </c>
      <c r="B14722" s="2" t="s">
        <v>14793</v>
      </c>
      <c r="C14722" s="2" t="str">
        <f>"04671066"</f>
        <v>04671066</v>
      </c>
      <c r="D14722" s="2">
        <v>0.17599999999999999</v>
      </c>
      <c r="E14722" s="2">
        <v>3</v>
      </c>
      <c r="F14722" s="2" t="s">
        <v>6</v>
      </c>
    </row>
    <row r="14723" spans="1:6" ht="25.5">
      <c r="A14723" s="2">
        <v>14720</v>
      </c>
      <c r="B14723" s="2" t="s">
        <v>14794</v>
      </c>
      <c r="C14723" s="2" t="str">
        <f>"14230224"</f>
        <v>14230224</v>
      </c>
      <c r="D14723" s="2">
        <v>0.88900000000000001</v>
      </c>
      <c r="E14723" s="2">
        <v>57</v>
      </c>
      <c r="F14723" s="2" t="s">
        <v>31</v>
      </c>
    </row>
    <row r="14724" spans="1:6" ht="25.5">
      <c r="A14724" s="2">
        <v>14721</v>
      </c>
      <c r="B14724" s="2" t="s">
        <v>14795</v>
      </c>
      <c r="C14724" s="2" t="str">
        <f>"00283932"</f>
        <v>00283932</v>
      </c>
      <c r="D14724" s="2">
        <v>2.0489999999999999</v>
      </c>
      <c r="E14724" s="2">
        <v>127</v>
      </c>
      <c r="F14724" s="2" t="s">
        <v>16</v>
      </c>
    </row>
    <row r="14725" spans="1:6" ht="25.5">
      <c r="A14725" s="2">
        <v>14722</v>
      </c>
      <c r="B14725" s="2" t="s">
        <v>14796</v>
      </c>
      <c r="C14725" s="2" t="str">
        <f>"14640694"</f>
        <v>14640694</v>
      </c>
      <c r="D14725" s="2">
        <v>0.64700000000000002</v>
      </c>
      <c r="E14725" s="2">
        <v>40</v>
      </c>
      <c r="F14725" s="2" t="s">
        <v>16</v>
      </c>
    </row>
    <row r="14726" spans="1:6" ht="25.5">
      <c r="A14726" s="2">
        <v>14723</v>
      </c>
      <c r="B14726" s="2" t="s">
        <v>14797</v>
      </c>
      <c r="C14726" s="2" t="str">
        <f>"08944105"</f>
        <v>08944105</v>
      </c>
      <c r="D14726" s="2">
        <v>1.649</v>
      </c>
      <c r="E14726" s="2">
        <v>79</v>
      </c>
      <c r="F14726" s="2" t="s">
        <v>6</v>
      </c>
    </row>
    <row r="14727" spans="1:6" ht="25.5">
      <c r="A14727" s="2">
        <v>14724</v>
      </c>
      <c r="B14727" s="2" t="s">
        <v>14798</v>
      </c>
      <c r="C14727" s="2" t="str">
        <f>"15736660"</f>
        <v>15736660</v>
      </c>
      <c r="D14727" s="2">
        <v>2.516</v>
      </c>
      <c r="E14727" s="2">
        <v>50</v>
      </c>
      <c r="F14727" s="2" t="s">
        <v>6</v>
      </c>
    </row>
    <row r="14728" spans="1:6" ht="25.5">
      <c r="A14728" s="2">
        <v>14725</v>
      </c>
      <c r="B14728" s="2" t="s">
        <v>14799</v>
      </c>
      <c r="C14728" s="2" t="str">
        <f>"14198711"</f>
        <v>14198711</v>
      </c>
      <c r="D14728" s="2">
        <v>0.13200000000000001</v>
      </c>
      <c r="E14728" s="2">
        <v>7</v>
      </c>
      <c r="F14728" s="2" t="s">
        <v>135</v>
      </c>
    </row>
    <row r="14729" spans="1:6" ht="25.5">
      <c r="A14729" s="2">
        <v>14726</v>
      </c>
      <c r="B14729" s="2" t="s">
        <v>14800</v>
      </c>
      <c r="C14729" s="2" t="str">
        <f>"1470634X"</f>
        <v>1470634X</v>
      </c>
      <c r="D14729" s="2">
        <v>3.6589999999999998</v>
      </c>
      <c r="E14729" s="2">
        <v>136</v>
      </c>
      <c r="F14729" s="2" t="s">
        <v>16</v>
      </c>
    </row>
    <row r="14730" spans="1:6" ht="25.5">
      <c r="A14730" s="2">
        <v>14727</v>
      </c>
      <c r="B14730" s="2" t="s">
        <v>14801</v>
      </c>
      <c r="C14730" s="2" t="str">
        <f>"13035150"</f>
        <v>13035150</v>
      </c>
      <c r="D14730" s="2">
        <v>0.221</v>
      </c>
      <c r="E14730" s="2">
        <v>9</v>
      </c>
      <c r="F14730" s="2" t="s">
        <v>345</v>
      </c>
    </row>
    <row r="14731" spans="1:6" ht="25.5">
      <c r="A14731" s="2">
        <v>14728</v>
      </c>
      <c r="B14731" s="2" t="s">
        <v>14802</v>
      </c>
      <c r="C14731" s="2" t="str">
        <f>"14321920"</f>
        <v>14321920</v>
      </c>
      <c r="D14731" s="2">
        <v>1.206</v>
      </c>
      <c r="E14731" s="2">
        <v>61</v>
      </c>
      <c r="F14731" s="2" t="s">
        <v>12</v>
      </c>
    </row>
    <row r="14732" spans="1:6">
      <c r="A14732" s="2">
        <v>14729</v>
      </c>
      <c r="B14732" s="2" t="s">
        <v>14803</v>
      </c>
      <c r="C14732" s="2" t="str">
        <f>"0"</f>
        <v>0</v>
      </c>
      <c r="D14732" s="2">
        <v>0.11899999999999999</v>
      </c>
      <c r="E14732" s="2">
        <v>14</v>
      </c>
      <c r="F14732" s="2" t="s">
        <v>190</v>
      </c>
    </row>
    <row r="14733" spans="1:6" ht="25.5">
      <c r="A14733" s="2">
        <v>14730</v>
      </c>
      <c r="B14733" s="2" t="s">
        <v>14804</v>
      </c>
      <c r="C14733" s="2" t="str">
        <f>"10538135"</f>
        <v>10538135</v>
      </c>
      <c r="D14733" s="2">
        <v>0.6</v>
      </c>
      <c r="E14733" s="2">
        <v>33</v>
      </c>
      <c r="F14733" s="2" t="s">
        <v>75</v>
      </c>
    </row>
    <row r="14734" spans="1:6" ht="25.5">
      <c r="A14734" s="2">
        <v>14731</v>
      </c>
      <c r="B14734" s="2" t="s">
        <v>14805</v>
      </c>
      <c r="C14734" s="2" t="str">
        <f>"15459683"</f>
        <v>15459683</v>
      </c>
      <c r="D14734" s="2">
        <v>2.577</v>
      </c>
      <c r="E14734" s="2">
        <v>50</v>
      </c>
      <c r="F14734" s="2" t="s">
        <v>6</v>
      </c>
    </row>
    <row r="14735" spans="1:6" ht="25.5">
      <c r="A14735" s="2">
        <v>14732</v>
      </c>
      <c r="B14735" s="2" t="s">
        <v>14806</v>
      </c>
      <c r="C14735" s="2" t="str">
        <f>"09594965"</f>
        <v>09594965</v>
      </c>
      <c r="D14735" s="2">
        <v>0.85</v>
      </c>
      <c r="E14735" s="2">
        <v>136</v>
      </c>
      <c r="F14735" s="2" t="s">
        <v>6</v>
      </c>
    </row>
    <row r="14736" spans="1:6" ht="25.5">
      <c r="A14736" s="2">
        <v>14733</v>
      </c>
      <c r="B14736" s="2" t="s">
        <v>14807</v>
      </c>
      <c r="C14736" s="2" t="str">
        <f>"03064522"</f>
        <v>03064522</v>
      </c>
      <c r="D14736" s="2">
        <v>1.498</v>
      </c>
      <c r="E14736" s="2">
        <v>145</v>
      </c>
      <c r="F14736" s="2" t="s">
        <v>16</v>
      </c>
    </row>
    <row r="14737" spans="1:6" ht="25.5">
      <c r="A14737" s="2">
        <v>14734</v>
      </c>
      <c r="B14737" s="2" t="s">
        <v>14808</v>
      </c>
      <c r="C14737" s="2" t="str">
        <f>"00970549"</f>
        <v>00970549</v>
      </c>
      <c r="D14737" s="2">
        <v>0.17899999999999999</v>
      </c>
      <c r="E14737" s="2">
        <v>20</v>
      </c>
      <c r="F14737" s="2" t="s">
        <v>6</v>
      </c>
    </row>
    <row r="14738" spans="1:6" ht="25.5">
      <c r="A14738" s="2">
        <v>14735</v>
      </c>
      <c r="B14738" s="2" t="s">
        <v>14809</v>
      </c>
      <c r="C14738" s="2" t="str">
        <f>"18737528"</f>
        <v>18737528</v>
      </c>
      <c r="D14738" s="2">
        <v>4.0129999999999999</v>
      </c>
      <c r="E14738" s="2">
        <v>133</v>
      </c>
      <c r="F14738" s="2" t="s">
        <v>16</v>
      </c>
    </row>
    <row r="14739" spans="1:6" ht="25.5">
      <c r="A14739" s="2">
        <v>14736</v>
      </c>
      <c r="B14739" s="2" t="s">
        <v>14810</v>
      </c>
      <c r="C14739" s="2" t="str">
        <f>"16737067"</f>
        <v>16737067</v>
      </c>
      <c r="D14739" s="2">
        <v>0.505</v>
      </c>
      <c r="E14739" s="2">
        <v>14</v>
      </c>
      <c r="F14739" s="2" t="s">
        <v>46</v>
      </c>
    </row>
    <row r="14740" spans="1:6" ht="25.5">
      <c r="A14740" s="2">
        <v>14737</v>
      </c>
      <c r="B14740" s="2" t="s">
        <v>14811</v>
      </c>
      <c r="C14740" s="2" t="str">
        <f>"03043940"</f>
        <v>03043940</v>
      </c>
      <c r="D14740" s="2">
        <v>0.81499999999999995</v>
      </c>
      <c r="E14740" s="2">
        <v>116</v>
      </c>
      <c r="F14740" s="2" t="s">
        <v>732</v>
      </c>
    </row>
    <row r="14741" spans="1:6" ht="25.5">
      <c r="A14741" s="2">
        <v>14738</v>
      </c>
      <c r="B14741" s="2" t="s">
        <v>14812</v>
      </c>
      <c r="C14741" s="2" t="str">
        <f>"01680102"</f>
        <v>01680102</v>
      </c>
      <c r="D14741" s="2">
        <v>1.0109999999999999</v>
      </c>
      <c r="E14741" s="2">
        <v>66</v>
      </c>
      <c r="F14741" s="2" t="s">
        <v>732</v>
      </c>
    </row>
    <row r="14742" spans="1:6" ht="25.5">
      <c r="A14742" s="2">
        <v>14739</v>
      </c>
      <c r="B14742" s="2" t="s">
        <v>14813</v>
      </c>
      <c r="C14742" s="2" t="str">
        <f>"13196138"</f>
        <v>13196138</v>
      </c>
      <c r="D14742" s="2">
        <v>0.13800000000000001</v>
      </c>
      <c r="E14742" s="2">
        <v>5</v>
      </c>
      <c r="F14742" s="2" t="s">
        <v>7417</v>
      </c>
    </row>
    <row r="14743" spans="1:6" ht="25.5">
      <c r="A14743" s="2">
        <v>14740</v>
      </c>
      <c r="B14743" s="2" t="s">
        <v>14814</v>
      </c>
      <c r="C14743" s="2" t="str">
        <f>"10738584"</f>
        <v>10738584</v>
      </c>
      <c r="D14743" s="2">
        <v>1.855</v>
      </c>
      <c r="E14743" s="2">
        <v>72</v>
      </c>
      <c r="F14743" s="2" t="s">
        <v>6</v>
      </c>
    </row>
    <row r="14744" spans="1:6" ht="25.5">
      <c r="A14744" s="2">
        <v>14741</v>
      </c>
      <c r="B14744" s="2" t="s">
        <v>14815</v>
      </c>
      <c r="C14744" s="2" t="str">
        <f>"14248638"</f>
        <v>14248638</v>
      </c>
      <c r="D14744" s="2">
        <v>0.96299999999999997</v>
      </c>
      <c r="E14744" s="2">
        <v>45</v>
      </c>
      <c r="F14744" s="2" t="s">
        <v>31</v>
      </c>
    </row>
    <row r="14745" spans="1:6" ht="25.5">
      <c r="A14745" s="2">
        <v>14742</v>
      </c>
      <c r="B14745" s="2" t="s">
        <v>14816</v>
      </c>
      <c r="C14745" s="2" t="str">
        <f>"15244040"</f>
        <v>15244040</v>
      </c>
      <c r="D14745" s="2">
        <v>1.1080000000000001</v>
      </c>
      <c r="E14745" s="2">
        <v>132</v>
      </c>
      <c r="F14745" s="2" t="s">
        <v>6</v>
      </c>
    </row>
    <row r="14746" spans="1:6" ht="25.5">
      <c r="A14746" s="2">
        <v>14743</v>
      </c>
      <c r="B14746" s="2" t="s">
        <v>14817</v>
      </c>
      <c r="C14746" s="2" t="str">
        <f>"10423680"</f>
        <v>10423680</v>
      </c>
      <c r="D14746" s="2">
        <v>0.64100000000000001</v>
      </c>
      <c r="E14746" s="2">
        <v>40</v>
      </c>
      <c r="F14746" s="2" t="s">
        <v>16</v>
      </c>
    </row>
    <row r="14747" spans="1:6" ht="25.5">
      <c r="A14747" s="2">
        <v>14744</v>
      </c>
      <c r="B14747" s="2" t="s">
        <v>14818</v>
      </c>
      <c r="C14747" s="2" t="str">
        <f>"15344916"</f>
        <v>15344916</v>
      </c>
      <c r="D14747" s="2">
        <v>0.128</v>
      </c>
      <c r="E14747" s="2">
        <v>12</v>
      </c>
      <c r="F14747" s="2" t="s">
        <v>6</v>
      </c>
    </row>
    <row r="14748" spans="1:6" ht="25.5">
      <c r="A14748" s="2">
        <v>14745</v>
      </c>
      <c r="B14748" s="2" t="s">
        <v>14819</v>
      </c>
      <c r="C14748" s="2" t="str">
        <f>"10920684"</f>
        <v>10920684</v>
      </c>
      <c r="D14748" s="2">
        <v>0.88400000000000001</v>
      </c>
      <c r="E14748" s="2">
        <v>42</v>
      </c>
      <c r="F14748" s="2" t="s">
        <v>6</v>
      </c>
    </row>
    <row r="14749" spans="1:6" ht="25.5">
      <c r="A14749" s="2">
        <v>14746</v>
      </c>
      <c r="B14749" s="2" t="s">
        <v>14820</v>
      </c>
      <c r="C14749" s="2" t="str">
        <f>"14372320"</f>
        <v>14372320</v>
      </c>
      <c r="D14749" s="2">
        <v>0.68899999999999995</v>
      </c>
      <c r="E14749" s="2">
        <v>34</v>
      </c>
      <c r="F14749" s="2" t="s">
        <v>12</v>
      </c>
    </row>
    <row r="14750" spans="1:6" ht="25.5">
      <c r="A14750" s="2">
        <v>14747</v>
      </c>
      <c r="B14750" s="2" t="s">
        <v>14821</v>
      </c>
      <c r="C14750" s="2" t="str">
        <f>"19337213"</f>
        <v>19337213</v>
      </c>
      <c r="D14750" s="2">
        <v>2.0720000000000001</v>
      </c>
      <c r="E14750" s="2">
        <v>59</v>
      </c>
      <c r="F14750" s="2" t="s">
        <v>6</v>
      </c>
    </row>
    <row r="14751" spans="1:6" ht="25.5">
      <c r="A14751" s="2">
        <v>14748</v>
      </c>
      <c r="B14751" s="2" t="s">
        <v>14822</v>
      </c>
      <c r="C14751" s="2" t="str">
        <f>"10298428"</f>
        <v>10298428</v>
      </c>
      <c r="D14751" s="2">
        <v>0.99399999999999999</v>
      </c>
      <c r="E14751" s="2">
        <v>39</v>
      </c>
      <c r="F14751" s="2" t="s">
        <v>6</v>
      </c>
    </row>
    <row r="14752" spans="1:6" ht="25.5">
      <c r="A14752" s="2">
        <v>14749</v>
      </c>
      <c r="B14752" s="2" t="s">
        <v>14823</v>
      </c>
      <c r="C14752" s="2" t="str">
        <f>"0161813X"</f>
        <v>0161813X</v>
      </c>
      <c r="D14752" s="2">
        <v>0.81100000000000005</v>
      </c>
      <c r="E14752" s="2">
        <v>67</v>
      </c>
      <c r="F14752" s="2" t="s">
        <v>75</v>
      </c>
    </row>
    <row r="14753" spans="1:6" ht="25.5">
      <c r="A14753" s="2">
        <v>14750</v>
      </c>
      <c r="B14753" s="2" t="s">
        <v>14824</v>
      </c>
      <c r="C14753" s="2" t="str">
        <f>"08920362"</f>
        <v>08920362</v>
      </c>
      <c r="D14753" s="2">
        <v>0.91</v>
      </c>
      <c r="E14753" s="2">
        <v>60</v>
      </c>
      <c r="F14753" s="2" t="s">
        <v>6</v>
      </c>
    </row>
    <row r="14754" spans="1:6" ht="25.5">
      <c r="A14754" s="2">
        <v>14751</v>
      </c>
      <c r="B14754" s="2" t="s">
        <v>14825</v>
      </c>
      <c r="C14754" s="2" t="str">
        <f>"15206777"</f>
        <v>15206777</v>
      </c>
      <c r="D14754" s="2">
        <v>0.997</v>
      </c>
      <c r="E14754" s="2">
        <v>55</v>
      </c>
      <c r="F14754" s="2" t="s">
        <v>6</v>
      </c>
    </row>
    <row r="14755" spans="1:6" ht="25.5">
      <c r="A14755" s="2">
        <v>14752</v>
      </c>
      <c r="B14755" s="2" t="s">
        <v>14826</v>
      </c>
      <c r="C14755" s="2" t="str">
        <f>"10448632"</f>
        <v>10448632</v>
      </c>
      <c r="D14755" s="2">
        <v>0.26100000000000001</v>
      </c>
      <c r="E14755" s="2">
        <v>2</v>
      </c>
      <c r="F14755" s="2" t="s">
        <v>46</v>
      </c>
    </row>
    <row r="14756" spans="1:6" ht="25.5">
      <c r="A14756" s="2">
        <v>14753</v>
      </c>
      <c r="B14756" s="2" t="s">
        <v>14827</v>
      </c>
      <c r="C14756" s="2" t="str">
        <f>"18200254"</f>
        <v>18200254</v>
      </c>
      <c r="D14756" s="2">
        <v>0.158</v>
      </c>
      <c r="E14756" s="2">
        <v>2</v>
      </c>
      <c r="F14756" s="2" t="s">
        <v>14828</v>
      </c>
    </row>
    <row r="14757" spans="1:6" ht="25.5">
      <c r="A14757" s="2">
        <v>14754</v>
      </c>
      <c r="B14757" s="2" t="s">
        <v>14829</v>
      </c>
      <c r="C14757" s="2" t="str">
        <f>"13841092"</f>
        <v>13841092</v>
      </c>
      <c r="D14757" s="2">
        <v>0.76400000000000001</v>
      </c>
      <c r="E14757" s="2">
        <v>52</v>
      </c>
      <c r="F14757" s="2" t="s">
        <v>75</v>
      </c>
    </row>
    <row r="14758" spans="1:6" ht="25.5">
      <c r="A14758" s="2">
        <v>14755</v>
      </c>
      <c r="B14758" s="2" t="s">
        <v>14830</v>
      </c>
      <c r="C14758" s="2" t="str">
        <f>"13876473"</f>
        <v>13876473</v>
      </c>
      <c r="D14758" s="2">
        <v>0.89700000000000002</v>
      </c>
      <c r="E14758" s="2">
        <v>38</v>
      </c>
      <c r="F14758" s="2" t="s">
        <v>75</v>
      </c>
    </row>
    <row r="14759" spans="1:6" ht="25.5">
      <c r="A14759" s="2">
        <v>14756</v>
      </c>
      <c r="B14759" s="2" t="s">
        <v>14831</v>
      </c>
      <c r="C14759" s="2" t="str">
        <f>"18716784"</f>
        <v>18716784</v>
      </c>
      <c r="D14759" s="2">
        <v>0.67900000000000005</v>
      </c>
      <c r="E14759" s="2">
        <v>50</v>
      </c>
      <c r="F14759" s="2" t="s">
        <v>75</v>
      </c>
    </row>
    <row r="14760" spans="1:6" ht="25.5">
      <c r="A14760" s="2">
        <v>14757</v>
      </c>
      <c r="B14760" s="2" t="s">
        <v>14832</v>
      </c>
      <c r="C14760" s="2" t="str">
        <f>"15273369"</f>
        <v>15273369</v>
      </c>
      <c r="D14760" s="2">
        <v>0.13800000000000001</v>
      </c>
      <c r="E14760" s="2">
        <v>9</v>
      </c>
      <c r="F14760" s="2" t="s">
        <v>16</v>
      </c>
    </row>
    <row r="14761" spans="1:6" ht="25.5">
      <c r="A14761" s="2">
        <v>14758</v>
      </c>
      <c r="B14761" s="2" t="s">
        <v>14833</v>
      </c>
      <c r="C14761" s="2" t="str">
        <f>"19334206"</f>
        <v>19334206</v>
      </c>
      <c r="D14761" s="2">
        <v>0.25</v>
      </c>
      <c r="E14761" s="2">
        <v>5</v>
      </c>
      <c r="F14761" s="2" t="s">
        <v>6</v>
      </c>
    </row>
    <row r="14762" spans="1:6" ht="25.5">
      <c r="A14762" s="2">
        <v>14759</v>
      </c>
      <c r="B14762" s="2" t="s">
        <v>14834</v>
      </c>
      <c r="C14762" s="2" t="str">
        <f>"14722674"</f>
        <v>14722674</v>
      </c>
      <c r="D14762" s="2">
        <v>0.1</v>
      </c>
      <c r="E14762" s="2">
        <v>1</v>
      </c>
      <c r="F14762" s="2" t="s">
        <v>16</v>
      </c>
    </row>
    <row r="14763" spans="1:6" ht="25.5">
      <c r="A14763" s="2">
        <v>14760</v>
      </c>
      <c r="B14763" s="2" t="s">
        <v>14835</v>
      </c>
      <c r="C14763" s="2" t="str">
        <f>"15348687"</f>
        <v>15348687</v>
      </c>
      <c r="D14763" s="2">
        <v>0.67300000000000004</v>
      </c>
      <c r="E14763" s="2">
        <v>24</v>
      </c>
      <c r="F14763" s="2" t="s">
        <v>6</v>
      </c>
    </row>
    <row r="14764" spans="1:6" ht="25.5">
      <c r="A14764" s="2">
        <v>14761</v>
      </c>
      <c r="B14764" s="2" t="s">
        <v>14836</v>
      </c>
      <c r="C14764" s="2" t="str">
        <f>"10976736"</f>
        <v>10976736</v>
      </c>
      <c r="D14764" s="2">
        <v>0.223</v>
      </c>
      <c r="E14764" s="2">
        <v>2</v>
      </c>
      <c r="F14764" s="2" t="s">
        <v>6</v>
      </c>
    </row>
    <row r="14765" spans="1:6" ht="25.5">
      <c r="A14765" s="2">
        <v>14762</v>
      </c>
      <c r="B14765" s="2" t="s">
        <v>14837</v>
      </c>
      <c r="C14765" s="2" t="str">
        <f>"02710633"</f>
        <v>02710633</v>
      </c>
      <c r="D14765" s="2">
        <v>0.112</v>
      </c>
      <c r="E14765" s="2">
        <v>8</v>
      </c>
      <c r="F14765" s="2" t="s">
        <v>6</v>
      </c>
    </row>
    <row r="14766" spans="1:6" ht="25.5">
      <c r="A14766" s="2">
        <v>14763</v>
      </c>
      <c r="B14766" s="2" t="s">
        <v>14838</v>
      </c>
      <c r="C14766" s="2" t="str">
        <f>"15375781"</f>
        <v>15375781</v>
      </c>
      <c r="D14766" s="2">
        <v>0.161</v>
      </c>
      <c r="E14766" s="2">
        <v>18</v>
      </c>
      <c r="F14766" s="2" t="s">
        <v>6</v>
      </c>
    </row>
    <row r="14767" spans="1:6" ht="25.5">
      <c r="A14767" s="2">
        <v>14764</v>
      </c>
      <c r="B14767" s="2" t="s">
        <v>14839</v>
      </c>
      <c r="C14767" s="2" t="str">
        <f>"17326729"</f>
        <v>17326729</v>
      </c>
      <c r="D14767" s="2">
        <v>0.22500000000000001</v>
      </c>
      <c r="E14767" s="2">
        <v>3</v>
      </c>
      <c r="F14767" s="2" t="s">
        <v>169</v>
      </c>
    </row>
    <row r="14768" spans="1:6" ht="25.5">
      <c r="A14768" s="2">
        <v>14765</v>
      </c>
      <c r="B14768" s="2" t="s">
        <v>14840</v>
      </c>
      <c r="C14768" s="2" t="str">
        <f>"15334406"</f>
        <v>15334406</v>
      </c>
      <c r="D14768" s="2">
        <v>10.16</v>
      </c>
      <c r="E14768" s="2">
        <v>651</v>
      </c>
      <c r="F14768" s="2" t="s">
        <v>6</v>
      </c>
    </row>
    <row r="14769" spans="1:6" ht="25.5">
      <c r="A14769" s="2">
        <v>14766</v>
      </c>
      <c r="B14769" s="2" t="s">
        <v>14841</v>
      </c>
      <c r="C14769" s="2" t="str">
        <f>"00284866"</f>
        <v>00284866</v>
      </c>
      <c r="D14769" s="2">
        <v>0.11</v>
      </c>
      <c r="E14769" s="2">
        <v>4</v>
      </c>
      <c r="F14769" s="2" t="s">
        <v>6</v>
      </c>
    </row>
    <row r="14770" spans="1:6" ht="25.5">
      <c r="A14770" s="2">
        <v>14767</v>
      </c>
      <c r="B14770" s="2" t="s">
        <v>14842</v>
      </c>
      <c r="C14770" s="2" t="str">
        <f>"10531297"</f>
        <v>10531297</v>
      </c>
      <c r="D14770" s="2">
        <v>0.1</v>
      </c>
      <c r="E14770" s="2">
        <v>1</v>
      </c>
      <c r="F14770" s="2" t="s">
        <v>6</v>
      </c>
    </row>
    <row r="14771" spans="1:6" ht="25.5">
      <c r="A14771" s="2">
        <v>14768</v>
      </c>
      <c r="B14771" s="2" t="s">
        <v>14843</v>
      </c>
      <c r="C14771" s="2" t="str">
        <f>"15735095"</f>
        <v>15735095</v>
      </c>
      <c r="D14771" s="2">
        <v>0.56399999999999995</v>
      </c>
      <c r="E14771" s="2">
        <v>30</v>
      </c>
      <c r="F14771" s="2" t="s">
        <v>75</v>
      </c>
    </row>
    <row r="14772" spans="1:6" ht="25.5">
      <c r="A14772" s="2">
        <v>14769</v>
      </c>
      <c r="B14772" s="2" t="s">
        <v>14844</v>
      </c>
      <c r="C14772" s="2" t="str">
        <f>"02883635"</f>
        <v>02883635</v>
      </c>
      <c r="D14772" s="2">
        <v>0.43099999999999999</v>
      </c>
      <c r="E14772" s="2">
        <v>16</v>
      </c>
      <c r="F14772" s="2" t="s">
        <v>131</v>
      </c>
    </row>
    <row r="14773" spans="1:6" ht="25.5">
      <c r="A14773" s="2">
        <v>14770</v>
      </c>
      <c r="B14773" s="2" t="s">
        <v>14845</v>
      </c>
      <c r="C14773" s="2" t="str">
        <f>"14699915"</f>
        <v>14699915</v>
      </c>
      <c r="D14773" s="2">
        <v>0.57499999999999996</v>
      </c>
      <c r="E14773" s="2">
        <v>16</v>
      </c>
      <c r="F14773" s="2" t="s">
        <v>16</v>
      </c>
    </row>
    <row r="14774" spans="1:6" ht="25.5">
      <c r="A14774" s="2">
        <v>14771</v>
      </c>
      <c r="B14774" s="2" t="s">
        <v>14846</v>
      </c>
      <c r="C14774" s="2" t="str">
        <f>"0094033X"</f>
        <v>0094033X</v>
      </c>
      <c r="D14774" s="2">
        <v>0.125</v>
      </c>
      <c r="E14774" s="2">
        <v>4</v>
      </c>
      <c r="F14774" s="2" t="s">
        <v>6</v>
      </c>
    </row>
    <row r="14775" spans="1:6" ht="25.5">
      <c r="A14775" s="2">
        <v>14772</v>
      </c>
      <c r="B14775" s="2" t="s">
        <v>14847</v>
      </c>
      <c r="C14775" s="2" t="str">
        <f>"18183352"</f>
        <v>18183352</v>
      </c>
      <c r="D14775" s="2">
        <v>0.17</v>
      </c>
      <c r="E14775" s="2">
        <v>2</v>
      </c>
      <c r="F14775" s="2" t="s">
        <v>46</v>
      </c>
    </row>
    <row r="14776" spans="1:6" ht="25.5">
      <c r="A14776" s="2">
        <v>14773</v>
      </c>
      <c r="B14776" s="2" t="s">
        <v>14848</v>
      </c>
      <c r="C14776" s="2" t="str">
        <f>"0732118X"</f>
        <v>0732118X</v>
      </c>
      <c r="D14776" s="2">
        <v>0.39</v>
      </c>
      <c r="E14776" s="2">
        <v>18</v>
      </c>
      <c r="F14776" s="2" t="s">
        <v>75</v>
      </c>
    </row>
    <row r="14777" spans="1:6" ht="25.5">
      <c r="A14777" s="2">
        <v>14774</v>
      </c>
      <c r="B14777" s="2" t="s">
        <v>14849</v>
      </c>
      <c r="C14777" s="2" t="str">
        <f>"1998037X"</f>
        <v>1998037X</v>
      </c>
      <c r="D14777" s="2">
        <v>0.1</v>
      </c>
      <c r="E14777" s="2">
        <v>1</v>
      </c>
      <c r="F14777" s="2" t="s">
        <v>1628</v>
      </c>
    </row>
    <row r="14778" spans="1:6" ht="25.5">
      <c r="A14778" s="2">
        <v>14775</v>
      </c>
      <c r="B14778" s="2" t="s">
        <v>14850</v>
      </c>
      <c r="C14778" s="2" t="str">
        <f>"01964895"</f>
        <v>01964895</v>
      </c>
      <c r="D14778" s="2">
        <v>0.10199999999999999</v>
      </c>
      <c r="E14778" s="2">
        <v>2</v>
      </c>
      <c r="F14778" s="2" t="s">
        <v>6</v>
      </c>
    </row>
    <row r="14779" spans="1:6" ht="25.5">
      <c r="A14779" s="2">
        <v>14776</v>
      </c>
      <c r="B14779" s="2" t="s">
        <v>14851</v>
      </c>
      <c r="C14779" s="2" t="str">
        <f>"13699261"</f>
        <v>13699261</v>
      </c>
      <c r="D14779" s="2">
        <v>1.056</v>
      </c>
      <c r="E14779" s="2">
        <v>78</v>
      </c>
      <c r="F14779" s="2" t="s">
        <v>16</v>
      </c>
    </row>
    <row r="14780" spans="1:6" ht="25.5">
      <c r="A14780" s="2">
        <v>14777</v>
      </c>
      <c r="B14780" s="2" t="s">
        <v>14852</v>
      </c>
      <c r="C14780" s="2" t="str">
        <f>"13672630"</f>
        <v>13672630</v>
      </c>
      <c r="D14780" s="2">
        <v>2.4129999999999998</v>
      </c>
      <c r="E14780" s="2">
        <v>77</v>
      </c>
      <c r="F14780" s="2" t="s">
        <v>16</v>
      </c>
    </row>
    <row r="14781" spans="1:6" ht="25.5">
      <c r="A14781" s="2">
        <v>14778</v>
      </c>
      <c r="B14781" s="2" t="s">
        <v>14853</v>
      </c>
      <c r="C14781" s="2" t="str">
        <f>"00286060"</f>
        <v>00286060</v>
      </c>
      <c r="D14781" s="2">
        <v>0.58699999999999997</v>
      </c>
      <c r="E14781" s="2">
        <v>31</v>
      </c>
      <c r="F14781" s="2" t="s">
        <v>16</v>
      </c>
    </row>
    <row r="14782" spans="1:6" ht="25.5">
      <c r="A14782" s="2">
        <v>14779</v>
      </c>
      <c r="B14782" s="2" t="s">
        <v>14854</v>
      </c>
      <c r="C14782" s="2" t="str">
        <f>"03074803"</f>
        <v>03074803</v>
      </c>
      <c r="D14782" s="2">
        <v>0.84499999999999997</v>
      </c>
      <c r="E14782" s="2">
        <v>11</v>
      </c>
      <c r="F14782" s="2" t="s">
        <v>16</v>
      </c>
    </row>
    <row r="14783" spans="1:6" ht="25.5">
      <c r="A14783" s="2">
        <v>14780</v>
      </c>
      <c r="B14783" s="2" t="s">
        <v>14855</v>
      </c>
      <c r="C14783" s="2" t="str">
        <f>"1080661X"</f>
        <v>1080661X</v>
      </c>
      <c r="D14783" s="2">
        <v>0.41599999999999998</v>
      </c>
      <c r="E14783" s="2">
        <v>9</v>
      </c>
      <c r="F14783" s="2" t="s">
        <v>6</v>
      </c>
    </row>
    <row r="14784" spans="1:6" ht="25.5">
      <c r="A14784" s="2">
        <v>14781</v>
      </c>
      <c r="B14784" s="2" t="s">
        <v>14856</v>
      </c>
      <c r="C14784" s="2" t="str">
        <f>"17930057"</f>
        <v>17930057</v>
      </c>
      <c r="D14784" s="2">
        <v>0</v>
      </c>
      <c r="E14784" s="2">
        <v>0</v>
      </c>
      <c r="F14784" s="2" t="s">
        <v>6</v>
      </c>
    </row>
    <row r="14785" spans="1:6" ht="25.5">
      <c r="A14785" s="2">
        <v>14782</v>
      </c>
      <c r="B14785" s="2" t="s">
        <v>14857</v>
      </c>
      <c r="C14785" s="2" t="str">
        <f>"14614448"</f>
        <v>14614448</v>
      </c>
      <c r="D14785" s="2">
        <v>2.3820000000000001</v>
      </c>
      <c r="E14785" s="2">
        <v>38</v>
      </c>
      <c r="F14785" s="2" t="s">
        <v>16</v>
      </c>
    </row>
    <row r="14786" spans="1:6" ht="25.5">
      <c r="A14786" s="2">
        <v>14783</v>
      </c>
      <c r="B14786" s="2" t="s">
        <v>14858</v>
      </c>
      <c r="C14786" s="2" t="str">
        <f>"15945685"</f>
        <v>15945685</v>
      </c>
      <c r="D14786" s="2">
        <v>0.19700000000000001</v>
      </c>
      <c r="E14786" s="2">
        <v>3</v>
      </c>
      <c r="F14786" s="2" t="s">
        <v>190</v>
      </c>
    </row>
    <row r="14787" spans="1:6" ht="25.5">
      <c r="A14787" s="2">
        <v>14784</v>
      </c>
      <c r="B14787" s="2" t="s">
        <v>14859</v>
      </c>
      <c r="C14787" s="2" t="str">
        <f>"0196948X"</f>
        <v>0196948X</v>
      </c>
      <c r="D14787" s="2">
        <v>0.17399999999999999</v>
      </c>
      <c r="E14787" s="2">
        <v>5</v>
      </c>
      <c r="F14787" s="2" t="s">
        <v>6</v>
      </c>
    </row>
    <row r="14788" spans="1:6" ht="25.5">
      <c r="A14788" s="2">
        <v>14785</v>
      </c>
      <c r="B14788" s="2" t="s">
        <v>14860</v>
      </c>
      <c r="C14788" s="2" t="str">
        <f>"00286206"</f>
        <v>00286206</v>
      </c>
      <c r="D14788" s="2">
        <v>0.113</v>
      </c>
      <c r="E14788" s="2">
        <v>4</v>
      </c>
      <c r="F14788" s="2" t="s">
        <v>6</v>
      </c>
    </row>
    <row r="14789" spans="1:6" ht="25.5">
      <c r="A14789" s="2">
        <v>14786</v>
      </c>
      <c r="B14789" s="2" t="s">
        <v>14861</v>
      </c>
      <c r="C14789" s="2" t="str">
        <f>"11217138"</f>
        <v>11217138</v>
      </c>
      <c r="D14789" s="2">
        <v>0.48199999999999998</v>
      </c>
      <c r="E14789" s="2">
        <v>21</v>
      </c>
      <c r="F14789" s="2" t="s">
        <v>190</v>
      </c>
    </row>
    <row r="14790" spans="1:6" ht="25.5">
      <c r="A14790" s="2">
        <v>14787</v>
      </c>
      <c r="B14790" s="2" t="s">
        <v>14862</v>
      </c>
      <c r="C14790" s="2" t="str">
        <f>"00286400"</f>
        <v>00286400</v>
      </c>
      <c r="D14790" s="2">
        <v>0.10100000000000001</v>
      </c>
      <c r="E14790" s="2">
        <v>1</v>
      </c>
      <c r="F14790" s="2" t="s">
        <v>6</v>
      </c>
    </row>
    <row r="14791" spans="1:6" ht="25.5">
      <c r="A14791" s="2">
        <v>14788</v>
      </c>
      <c r="B14791" s="2" t="s">
        <v>14863</v>
      </c>
      <c r="C14791" s="2" t="str">
        <f>"08966346"</f>
        <v>08966346</v>
      </c>
      <c r="D14791" s="2">
        <v>0.61899999999999999</v>
      </c>
      <c r="E14791" s="2">
        <v>6</v>
      </c>
      <c r="F14791" s="2" t="s">
        <v>6</v>
      </c>
    </row>
    <row r="14792" spans="1:6" ht="25.5">
      <c r="A14792" s="2">
        <v>14789</v>
      </c>
      <c r="B14792" s="2" t="s">
        <v>14864</v>
      </c>
      <c r="C14792" s="2" t="str">
        <f>"14698137"</f>
        <v>14698137</v>
      </c>
      <c r="D14792" s="2">
        <v>2.65</v>
      </c>
      <c r="E14792" s="2">
        <v>128</v>
      </c>
      <c r="F14792" s="2" t="s">
        <v>16</v>
      </c>
    </row>
    <row r="14793" spans="1:6" ht="25.5">
      <c r="A14793" s="2">
        <v>14790</v>
      </c>
      <c r="B14793" s="2" t="s">
        <v>14865</v>
      </c>
      <c r="C14793" s="2" t="str">
        <f>"14699923"</f>
        <v>14699923</v>
      </c>
      <c r="D14793" s="2">
        <v>0.72799999999999998</v>
      </c>
      <c r="E14793" s="2">
        <v>22</v>
      </c>
      <c r="F14793" s="2" t="s">
        <v>16</v>
      </c>
    </row>
    <row r="14794" spans="1:6" ht="25.5">
      <c r="A14794" s="2">
        <v>14791</v>
      </c>
      <c r="B14794" s="2" t="s">
        <v>14866</v>
      </c>
      <c r="C14794" s="2" t="str">
        <f>"07393148"</f>
        <v>07393148</v>
      </c>
      <c r="D14794" s="2">
        <v>0.20300000000000001</v>
      </c>
      <c r="E14794" s="2">
        <v>2</v>
      </c>
      <c r="F14794" s="2" t="s">
        <v>16</v>
      </c>
    </row>
    <row r="14795" spans="1:6" ht="25.5">
      <c r="A14795" s="2">
        <v>14792</v>
      </c>
      <c r="B14795" s="2" t="s">
        <v>14867</v>
      </c>
      <c r="C14795" s="2" t="str">
        <f>"00286583"</f>
        <v>00286583</v>
      </c>
      <c r="D14795" s="2">
        <v>0.106</v>
      </c>
      <c r="E14795" s="2">
        <v>6</v>
      </c>
      <c r="F14795" s="2" t="s">
        <v>6</v>
      </c>
    </row>
    <row r="14796" spans="1:6" ht="25.5">
      <c r="A14796" s="2">
        <v>14793</v>
      </c>
      <c r="B14796" s="2" t="s">
        <v>14868</v>
      </c>
      <c r="C14796" s="2" t="str">
        <f>"17400309"</f>
        <v>17400309</v>
      </c>
      <c r="D14796" s="2">
        <v>0.13900000000000001</v>
      </c>
      <c r="E14796" s="2">
        <v>2</v>
      </c>
      <c r="F14796" s="2" t="s">
        <v>16</v>
      </c>
    </row>
    <row r="14797" spans="1:6" ht="25.5">
      <c r="A14797" s="2">
        <v>14794</v>
      </c>
      <c r="B14797" s="2" t="s">
        <v>14869</v>
      </c>
      <c r="C14797" s="2" t="str">
        <f>"17407842"</f>
        <v>17407842</v>
      </c>
      <c r="D14797" s="2">
        <v>0.32800000000000001</v>
      </c>
      <c r="E14797" s="2">
        <v>18</v>
      </c>
      <c r="F14797" s="2" t="s">
        <v>16</v>
      </c>
    </row>
    <row r="14798" spans="1:6" ht="25.5">
      <c r="A14798" s="2">
        <v>14795</v>
      </c>
      <c r="B14798" s="2" t="s">
        <v>14870</v>
      </c>
      <c r="C14798" s="2" t="str">
        <f>"17407869"</f>
        <v>17407869</v>
      </c>
      <c r="D14798" s="2">
        <v>0.25800000000000001</v>
      </c>
      <c r="E14798" s="2">
        <v>7</v>
      </c>
      <c r="F14798" s="2" t="s">
        <v>16</v>
      </c>
    </row>
    <row r="14799" spans="1:6" ht="25.5">
      <c r="A14799" s="2">
        <v>14796</v>
      </c>
      <c r="B14799" s="2" t="s">
        <v>14871</v>
      </c>
      <c r="C14799" s="2" t="str">
        <f>"13648500"</f>
        <v>13648500</v>
      </c>
      <c r="D14799" s="2">
        <v>0.106</v>
      </c>
      <c r="E14799" s="2">
        <v>12</v>
      </c>
      <c r="F14799" s="2" t="s">
        <v>6</v>
      </c>
    </row>
    <row r="14800" spans="1:6" ht="25.5">
      <c r="A14800" s="2">
        <v>14797</v>
      </c>
      <c r="B14800" s="2" t="s">
        <v>14872</v>
      </c>
      <c r="C14800" s="2" t="str">
        <f>"00780421"</f>
        <v>00780421</v>
      </c>
      <c r="D14800" s="2">
        <v>1.006</v>
      </c>
      <c r="E14800" s="2">
        <v>19</v>
      </c>
      <c r="F14800" s="2" t="s">
        <v>12</v>
      </c>
    </row>
    <row r="14801" spans="1:6" ht="25.5">
      <c r="A14801" s="2">
        <v>14798</v>
      </c>
      <c r="B14801" s="2" t="s">
        <v>14873</v>
      </c>
      <c r="C14801" s="2" t="str">
        <f>"15413772"</f>
        <v>15413772</v>
      </c>
      <c r="D14801" s="2">
        <v>0.128</v>
      </c>
      <c r="E14801" s="2">
        <v>4</v>
      </c>
      <c r="F14801" s="2" t="s">
        <v>6</v>
      </c>
    </row>
    <row r="14802" spans="1:6" ht="25.5">
      <c r="A14802" s="2">
        <v>14799</v>
      </c>
      <c r="B14802" s="2" t="s">
        <v>14874</v>
      </c>
      <c r="C14802" s="2" t="str">
        <f>"10347674"</f>
        <v>10347674</v>
      </c>
      <c r="D14802" s="2">
        <v>0.30099999999999999</v>
      </c>
      <c r="E14802" s="2">
        <v>11</v>
      </c>
      <c r="F14802" s="2" t="s">
        <v>127</v>
      </c>
    </row>
    <row r="14803" spans="1:6" ht="25.5">
      <c r="A14803" s="2">
        <v>14800</v>
      </c>
      <c r="B14803" s="2" t="s">
        <v>14875</v>
      </c>
      <c r="C14803" s="2" t="str">
        <f>"1468005X"</f>
        <v>1468005X</v>
      </c>
      <c r="D14803" s="2">
        <v>0.495</v>
      </c>
      <c r="E14803" s="2">
        <v>22</v>
      </c>
      <c r="F14803" s="2" t="s">
        <v>16</v>
      </c>
    </row>
    <row r="14804" spans="1:6" ht="25.5">
      <c r="A14804" s="2">
        <v>14801</v>
      </c>
      <c r="B14804" s="2" t="s">
        <v>14876</v>
      </c>
      <c r="C14804" s="2" t="str">
        <f>"14698145"</f>
        <v>14698145</v>
      </c>
      <c r="D14804" s="2">
        <v>0.214</v>
      </c>
      <c r="E14804" s="2">
        <v>7</v>
      </c>
      <c r="F14804" s="2" t="s">
        <v>16</v>
      </c>
    </row>
    <row r="14805" spans="1:6" ht="25.5">
      <c r="A14805" s="2">
        <v>14802</v>
      </c>
      <c r="B14805" s="2" t="s">
        <v>14877</v>
      </c>
      <c r="C14805" s="2" t="str">
        <f>"0266464X"</f>
        <v>0266464X</v>
      </c>
      <c r="D14805" s="2">
        <v>0.123</v>
      </c>
      <c r="E14805" s="2">
        <v>5</v>
      </c>
      <c r="F14805" s="2" t="s">
        <v>16</v>
      </c>
    </row>
    <row r="14806" spans="1:6" ht="25.5">
      <c r="A14806" s="2">
        <v>14803</v>
      </c>
      <c r="B14806" s="2" t="s">
        <v>14878</v>
      </c>
      <c r="C14806" s="2" t="str">
        <f>"18195644"</f>
        <v>18195644</v>
      </c>
      <c r="D14806" s="2">
        <v>0.106</v>
      </c>
      <c r="E14806" s="2">
        <v>0</v>
      </c>
      <c r="F14806" s="2" t="s">
        <v>732</v>
      </c>
    </row>
    <row r="14807" spans="1:6" ht="25.5">
      <c r="A14807" s="2">
        <v>14804</v>
      </c>
      <c r="B14807" s="2" t="s">
        <v>14879</v>
      </c>
      <c r="C14807" s="2" t="str">
        <f>"13822373"</f>
        <v>13822373</v>
      </c>
      <c r="D14807" s="2">
        <v>0</v>
      </c>
      <c r="E14807" s="2">
        <v>1</v>
      </c>
      <c r="F14807" s="2" t="s">
        <v>75</v>
      </c>
    </row>
    <row r="14808" spans="1:6" ht="25.5">
      <c r="A14808" s="2">
        <v>14805</v>
      </c>
      <c r="B14808" s="2" t="s">
        <v>14880</v>
      </c>
      <c r="C14808" s="2" t="str">
        <f>"0028792X"</f>
        <v>0028792X</v>
      </c>
      <c r="D14808" s="2">
        <v>0.185</v>
      </c>
      <c r="E14808" s="2">
        <v>6</v>
      </c>
      <c r="F14808" s="2" t="s">
        <v>6</v>
      </c>
    </row>
    <row r="14809" spans="1:6" ht="25.5">
      <c r="A14809" s="2">
        <v>14806</v>
      </c>
      <c r="B14809" s="2" t="s">
        <v>14881</v>
      </c>
      <c r="C14809" s="2" t="str">
        <f>"10769803"</f>
        <v>10769803</v>
      </c>
      <c r="D14809" s="2">
        <v>0.46800000000000003</v>
      </c>
      <c r="E14809" s="2">
        <v>15</v>
      </c>
      <c r="F14809" s="2" t="s">
        <v>6</v>
      </c>
    </row>
    <row r="14810" spans="1:6" ht="25.5">
      <c r="A14810" s="2">
        <v>14807</v>
      </c>
      <c r="B14810" s="2" t="s">
        <v>14882</v>
      </c>
      <c r="C14810" s="2" t="str">
        <f>"00287504"</f>
        <v>00287504</v>
      </c>
      <c r="D14810" s="2">
        <v>0.11799999999999999</v>
      </c>
      <c r="E14810" s="2">
        <v>8</v>
      </c>
      <c r="F14810" s="2" t="s">
        <v>6</v>
      </c>
    </row>
    <row r="14811" spans="1:6" ht="25.5">
      <c r="A14811" s="2">
        <v>14808</v>
      </c>
      <c r="B14811" s="2" t="s">
        <v>14883</v>
      </c>
      <c r="C14811" s="2" t="str">
        <f>"00287571"</f>
        <v>00287571</v>
      </c>
      <c r="D14811" s="2">
        <v>0.14299999999999999</v>
      </c>
      <c r="E14811" s="2">
        <v>12</v>
      </c>
      <c r="F14811" s="2" t="s">
        <v>6</v>
      </c>
    </row>
    <row r="14812" spans="1:6" ht="25.5">
      <c r="A14812" s="2">
        <v>14809</v>
      </c>
      <c r="B14812" s="2" t="s">
        <v>14884</v>
      </c>
      <c r="C14812" s="2" t="str">
        <f>"00287881"</f>
        <v>00287881</v>
      </c>
      <c r="D14812" s="2">
        <v>1.1180000000000001</v>
      </c>
      <c r="E14812" s="2">
        <v>21</v>
      </c>
      <c r="F14812" s="2" t="s">
        <v>6</v>
      </c>
    </row>
    <row r="14813" spans="1:6" ht="25.5">
      <c r="A14813" s="2">
        <v>14810</v>
      </c>
      <c r="B14813" s="2" t="s">
        <v>14885</v>
      </c>
      <c r="C14813" s="2" t="str">
        <f>"00288047"</f>
        <v>00288047</v>
      </c>
      <c r="D14813" s="2">
        <v>0.13600000000000001</v>
      </c>
      <c r="E14813" s="2">
        <v>13</v>
      </c>
      <c r="F14813" s="2" t="s">
        <v>503</v>
      </c>
    </row>
    <row r="14814" spans="1:6" ht="25.5">
      <c r="A14814" s="2">
        <v>14811</v>
      </c>
      <c r="B14814" s="2" t="s">
        <v>14886</v>
      </c>
      <c r="C14814" s="2" t="str">
        <f>"19434863"</f>
        <v>19434863</v>
      </c>
      <c r="D14814" s="2">
        <v>0.154</v>
      </c>
      <c r="E14814" s="2">
        <v>2</v>
      </c>
      <c r="F14814" s="2" t="s">
        <v>6</v>
      </c>
    </row>
    <row r="14815" spans="1:6" ht="25.5">
      <c r="A14815" s="2">
        <v>14812</v>
      </c>
      <c r="B14815" s="2" t="s">
        <v>14887</v>
      </c>
      <c r="C14815" s="2" t="str">
        <f>"00779962"</f>
        <v>00779962</v>
      </c>
      <c r="D14815" s="2">
        <v>0.32500000000000001</v>
      </c>
      <c r="E14815" s="2">
        <v>4</v>
      </c>
      <c r="F14815" s="2" t="s">
        <v>503</v>
      </c>
    </row>
    <row r="14816" spans="1:6" ht="25.5">
      <c r="A14816" s="2">
        <v>14813</v>
      </c>
      <c r="B14816" s="2" t="s">
        <v>14888</v>
      </c>
      <c r="C14816" s="2" t="str">
        <f>"17457939"</f>
        <v>17457939</v>
      </c>
      <c r="D14816" s="2">
        <v>0.17</v>
      </c>
      <c r="E14816" s="2">
        <v>12</v>
      </c>
      <c r="F14816" s="2" t="s">
        <v>16</v>
      </c>
    </row>
    <row r="14817" spans="1:6" ht="25.5">
      <c r="A14817" s="2">
        <v>14814</v>
      </c>
      <c r="B14817" s="2" t="s">
        <v>14889</v>
      </c>
      <c r="C14817" s="2" t="str">
        <f>"00288233"</f>
        <v>00288233</v>
      </c>
      <c r="D14817" s="2">
        <v>0.376</v>
      </c>
      <c r="E14817" s="2">
        <v>28</v>
      </c>
      <c r="F14817" s="2" t="s">
        <v>16</v>
      </c>
    </row>
    <row r="14818" spans="1:6" ht="25.5">
      <c r="A14818" s="2">
        <v>14815</v>
      </c>
      <c r="B14818" s="2" t="s">
        <v>14890</v>
      </c>
      <c r="C14818" s="2" t="str">
        <f>"0028825X"</f>
        <v>0028825X</v>
      </c>
      <c r="D14818" s="2">
        <v>0.41299999999999998</v>
      </c>
      <c r="E14818" s="2">
        <v>26</v>
      </c>
      <c r="F14818" s="2" t="s">
        <v>16</v>
      </c>
    </row>
    <row r="14819" spans="1:6" ht="25.5">
      <c r="A14819" s="2">
        <v>14816</v>
      </c>
      <c r="B14819" s="2" t="s">
        <v>14891</v>
      </c>
      <c r="C14819" s="2" t="str">
        <f>"01140671"</f>
        <v>01140671</v>
      </c>
      <c r="D14819" s="2">
        <v>0.28000000000000003</v>
      </c>
      <c r="E14819" s="2">
        <v>19</v>
      </c>
      <c r="F14819" s="2" t="s">
        <v>16</v>
      </c>
    </row>
    <row r="14820" spans="1:6" ht="25.5">
      <c r="A14820" s="2">
        <v>14817</v>
      </c>
      <c r="B14820" s="2" t="s">
        <v>14892</v>
      </c>
      <c r="C14820" s="2" t="str">
        <f>"01106465"</f>
        <v>01106465</v>
      </c>
      <c r="D14820" s="2">
        <v>0.88200000000000001</v>
      </c>
      <c r="E14820" s="2">
        <v>28</v>
      </c>
      <c r="F14820" s="2" t="s">
        <v>503</v>
      </c>
    </row>
    <row r="14821" spans="1:6" ht="25.5">
      <c r="A14821" s="2">
        <v>14818</v>
      </c>
      <c r="B14821" s="2" t="s">
        <v>14893</v>
      </c>
      <c r="C14821" s="2" t="str">
        <f>"00288276"</f>
        <v>00288276</v>
      </c>
      <c r="D14821" s="2">
        <v>0.10199999999999999</v>
      </c>
      <c r="E14821" s="2">
        <v>9</v>
      </c>
      <c r="F14821" s="2" t="s">
        <v>503</v>
      </c>
    </row>
    <row r="14822" spans="1:6" ht="25.5">
      <c r="A14822" s="2">
        <v>14819</v>
      </c>
      <c r="B14822" s="2" t="s">
        <v>14894</v>
      </c>
      <c r="C14822" s="2" t="str">
        <f>"11747986"</f>
        <v>11747986</v>
      </c>
      <c r="D14822" s="2">
        <v>0.14099999999999999</v>
      </c>
      <c r="E14822" s="2">
        <v>10</v>
      </c>
      <c r="F14822" s="2" t="s">
        <v>503</v>
      </c>
    </row>
    <row r="14823" spans="1:6" ht="25.5">
      <c r="A14823" s="2">
        <v>14820</v>
      </c>
      <c r="B14823" s="2" t="s">
        <v>14895</v>
      </c>
      <c r="C14823" s="2" t="str">
        <f>"00480134"</f>
        <v>00480134</v>
      </c>
      <c r="D14823" s="2">
        <v>0.30399999999999999</v>
      </c>
      <c r="E14823" s="2">
        <v>17</v>
      </c>
      <c r="F14823" s="2" t="s">
        <v>503</v>
      </c>
    </row>
    <row r="14824" spans="1:6" ht="25.5">
      <c r="A14824" s="2">
        <v>14821</v>
      </c>
      <c r="B14824" s="2" t="s">
        <v>14896</v>
      </c>
      <c r="C14824" s="2" t="str">
        <f>"00288306"</f>
        <v>00288306</v>
      </c>
      <c r="D14824" s="2">
        <v>0.29199999999999998</v>
      </c>
      <c r="E14824" s="2">
        <v>35</v>
      </c>
      <c r="F14824" s="2" t="s">
        <v>503</v>
      </c>
    </row>
    <row r="14825" spans="1:6" ht="25.5">
      <c r="A14825" s="2">
        <v>14822</v>
      </c>
      <c r="B14825" s="2" t="s">
        <v>14897</v>
      </c>
      <c r="C14825" s="2" t="str">
        <f>"00288322"</f>
        <v>00288322</v>
      </c>
      <c r="D14825" s="2">
        <v>0.10100000000000001</v>
      </c>
      <c r="E14825" s="2">
        <v>5</v>
      </c>
      <c r="F14825" s="2" t="s">
        <v>503</v>
      </c>
    </row>
    <row r="14826" spans="1:6" ht="25.5">
      <c r="A14826" s="2">
        <v>14823</v>
      </c>
      <c r="B14826" s="2" t="s">
        <v>14898</v>
      </c>
      <c r="C14826" s="2" t="str">
        <f>"00288330"</f>
        <v>00288330</v>
      </c>
      <c r="D14826" s="2">
        <v>0.43</v>
      </c>
      <c r="E14826" s="2">
        <v>39</v>
      </c>
      <c r="F14826" s="2" t="s">
        <v>503</v>
      </c>
    </row>
    <row r="14827" spans="1:6" ht="25.5">
      <c r="A14827" s="2">
        <v>14824</v>
      </c>
      <c r="B14827" s="2" t="s">
        <v>14899</v>
      </c>
      <c r="C14827" s="2" t="str">
        <f>"11710195"</f>
        <v>11710195</v>
      </c>
      <c r="D14827" s="2">
        <v>0.16500000000000001</v>
      </c>
      <c r="E14827" s="2">
        <v>5</v>
      </c>
      <c r="F14827" s="2" t="s">
        <v>503</v>
      </c>
    </row>
    <row r="14828" spans="1:6" ht="25.5">
      <c r="A14828" s="2">
        <v>14825</v>
      </c>
      <c r="B14828" s="2" t="s">
        <v>14900</v>
      </c>
      <c r="C14828" s="2" t="str">
        <f>"0112109X"</f>
        <v>0112109X</v>
      </c>
      <c r="D14828" s="2">
        <v>0.187</v>
      </c>
      <c r="E14828" s="2">
        <v>18</v>
      </c>
      <c r="F14828" s="2" t="s">
        <v>503</v>
      </c>
    </row>
    <row r="14829" spans="1:6" ht="25.5">
      <c r="A14829" s="2">
        <v>14826</v>
      </c>
      <c r="B14829" s="2" t="s">
        <v>14901</v>
      </c>
      <c r="C14829" s="2" t="str">
        <f>"03014223"</f>
        <v>03014223</v>
      </c>
      <c r="D14829" s="2">
        <v>0.46800000000000003</v>
      </c>
      <c r="E14829" s="2">
        <v>24</v>
      </c>
      <c r="F14829" s="2" t="s">
        <v>503</v>
      </c>
    </row>
    <row r="14830" spans="1:6" ht="25.5">
      <c r="A14830" s="2">
        <v>14827</v>
      </c>
      <c r="B14830" s="2" t="s">
        <v>14902</v>
      </c>
      <c r="C14830" s="2" t="str">
        <f>"00288446"</f>
        <v>00288446</v>
      </c>
      <c r="D14830" s="2">
        <v>0.26400000000000001</v>
      </c>
      <c r="E14830" s="2">
        <v>33</v>
      </c>
      <c r="F14830" s="2" t="s">
        <v>503</v>
      </c>
    </row>
    <row r="14831" spans="1:6" ht="25.5">
      <c r="A14831" s="2">
        <v>14828</v>
      </c>
      <c r="B14831" s="2" t="s">
        <v>14903</v>
      </c>
      <c r="C14831" s="2" t="str">
        <f>"11759003"</f>
        <v>11759003</v>
      </c>
      <c r="D14831" s="2">
        <v>0.48799999999999999</v>
      </c>
      <c r="E14831" s="2">
        <v>8</v>
      </c>
      <c r="F14831" s="2" t="s">
        <v>503</v>
      </c>
    </row>
    <row r="14832" spans="1:6" ht="25.5">
      <c r="A14832" s="2">
        <v>14829</v>
      </c>
      <c r="B14832" s="2" t="s">
        <v>14904</v>
      </c>
      <c r="C14832" s="2" t="str">
        <f>"11762888"</f>
        <v>11762888</v>
      </c>
      <c r="D14832" s="2">
        <v>0.11600000000000001</v>
      </c>
      <c r="E14832" s="2">
        <v>1</v>
      </c>
      <c r="F14832" s="2" t="s">
        <v>503</v>
      </c>
    </row>
    <row r="14833" spans="1:6" ht="25.5">
      <c r="A14833" s="2">
        <v>14830</v>
      </c>
      <c r="B14833" s="2" t="s">
        <v>14905</v>
      </c>
      <c r="C14833" s="2" t="str">
        <f>"0112921X"</f>
        <v>0112921X</v>
      </c>
      <c r="D14833" s="2">
        <v>0.108</v>
      </c>
      <c r="E14833" s="2">
        <v>2</v>
      </c>
      <c r="F14833" s="2" t="s">
        <v>503</v>
      </c>
    </row>
    <row r="14834" spans="1:6" ht="25.5">
      <c r="A14834" s="2">
        <v>14831</v>
      </c>
      <c r="B14834" s="2" t="s">
        <v>14906</v>
      </c>
      <c r="C14834" s="2" t="str">
        <f>"11760710"</f>
        <v>11760710</v>
      </c>
      <c r="D14834" s="2">
        <v>0.58099999999999996</v>
      </c>
      <c r="E14834" s="2">
        <v>31</v>
      </c>
      <c r="F14834" s="2" t="s">
        <v>503</v>
      </c>
    </row>
    <row r="14835" spans="1:6" ht="25.5">
      <c r="A14835" s="2">
        <v>14832</v>
      </c>
      <c r="B14835" s="2" t="s">
        <v>14907</v>
      </c>
      <c r="C14835" s="2" t="str">
        <f>"15224600"</f>
        <v>15224600</v>
      </c>
      <c r="D14835" s="2">
        <v>0.223</v>
      </c>
      <c r="E14835" s="2">
        <v>5</v>
      </c>
      <c r="F14835" s="2" t="s">
        <v>6</v>
      </c>
    </row>
    <row r="14836" spans="1:6" ht="25.5">
      <c r="A14836" s="2">
        <v>14833</v>
      </c>
      <c r="B14836" s="2" t="s">
        <v>14908</v>
      </c>
      <c r="C14836" s="2" t="str">
        <f>"15240754"</f>
        <v>15240754</v>
      </c>
      <c r="D14836" s="2">
        <v>0.21199999999999999</v>
      </c>
      <c r="E14836" s="2">
        <v>2</v>
      </c>
      <c r="F14836" s="2" t="s">
        <v>6</v>
      </c>
    </row>
    <row r="14837" spans="1:6" ht="25.5">
      <c r="A14837" s="2">
        <v>14834</v>
      </c>
      <c r="B14837" s="2" t="s">
        <v>14909</v>
      </c>
      <c r="C14837" s="2" t="str">
        <f>"1469994X"</f>
        <v>1469994X</v>
      </c>
      <c r="D14837" s="2">
        <v>1.2330000000000001</v>
      </c>
      <c r="E14837" s="2">
        <v>64</v>
      </c>
      <c r="F14837" s="2" t="s">
        <v>16</v>
      </c>
    </row>
    <row r="14838" spans="1:6" ht="25.5">
      <c r="A14838" s="2">
        <v>14835</v>
      </c>
      <c r="B14838" s="2" t="s">
        <v>14910</v>
      </c>
      <c r="C14838" s="2" t="str">
        <f>"03005224"</f>
        <v>03005224</v>
      </c>
      <c r="D14838" s="2">
        <v>0.11700000000000001</v>
      </c>
      <c r="E14838" s="2">
        <v>7</v>
      </c>
      <c r="F14838" s="2" t="s">
        <v>12</v>
      </c>
    </row>
    <row r="14839" spans="1:6" ht="25.5">
      <c r="A14839" s="2">
        <v>14836</v>
      </c>
      <c r="B14839" s="2" t="s">
        <v>14911</v>
      </c>
      <c r="C14839" s="2" t="str">
        <f>"03421422"</f>
        <v>03421422</v>
      </c>
      <c r="D14839" s="2">
        <v>0.10199999999999999</v>
      </c>
      <c r="E14839" s="2">
        <v>1</v>
      </c>
      <c r="F14839" s="2" t="s">
        <v>12</v>
      </c>
    </row>
    <row r="14840" spans="1:6" ht="25.5">
      <c r="A14840" s="2">
        <v>14837</v>
      </c>
      <c r="B14840" s="2" t="s">
        <v>14912</v>
      </c>
      <c r="C14840" s="2" t="str">
        <f>"11193077"</f>
        <v>11193077</v>
      </c>
      <c r="D14840" s="2">
        <v>0.20399999999999999</v>
      </c>
      <c r="E14840" s="2">
        <v>9</v>
      </c>
      <c r="F14840" s="2" t="s">
        <v>692</v>
      </c>
    </row>
    <row r="14841" spans="1:6" ht="25.5">
      <c r="A14841" s="2">
        <v>14838</v>
      </c>
      <c r="B14841" s="2" t="s">
        <v>14913</v>
      </c>
      <c r="C14841" s="2" t="str">
        <f>"11152613"</f>
        <v>11152613</v>
      </c>
      <c r="D14841" s="2">
        <v>0.13500000000000001</v>
      </c>
      <c r="E14841" s="2">
        <v>13</v>
      </c>
      <c r="F14841" s="2" t="s">
        <v>692</v>
      </c>
    </row>
    <row r="14842" spans="1:6" ht="25.5">
      <c r="A14842" s="2">
        <v>14839</v>
      </c>
      <c r="B14842" s="2" t="s">
        <v>14914</v>
      </c>
      <c r="C14842" s="2" t="str">
        <f>"11171936"</f>
        <v>11171936</v>
      </c>
      <c r="D14842" s="2">
        <v>0.128</v>
      </c>
      <c r="E14842" s="2">
        <v>11</v>
      </c>
      <c r="F14842" s="2" t="s">
        <v>692</v>
      </c>
    </row>
    <row r="14843" spans="1:6" ht="25.5">
      <c r="A14843" s="2">
        <v>14840</v>
      </c>
      <c r="B14843" s="2" t="s">
        <v>14915</v>
      </c>
      <c r="C14843" s="2" t="str">
        <f>"01892657"</f>
        <v>01892657</v>
      </c>
      <c r="D14843" s="2">
        <v>0.125</v>
      </c>
      <c r="E14843" s="2">
        <v>6</v>
      </c>
      <c r="F14843" s="2" t="s">
        <v>692</v>
      </c>
    </row>
    <row r="14844" spans="1:6" ht="25.5">
      <c r="A14844" s="2">
        <v>14841</v>
      </c>
      <c r="B14844" s="2" t="s">
        <v>14916</v>
      </c>
      <c r="C14844" s="2" t="str">
        <f>"09168753"</f>
        <v>09168753</v>
      </c>
      <c r="D14844" s="2">
        <v>0.182</v>
      </c>
      <c r="E14844" s="2">
        <v>11</v>
      </c>
      <c r="F14844" s="2" t="s">
        <v>131</v>
      </c>
    </row>
    <row r="14845" spans="1:6" ht="25.5">
      <c r="A14845" s="2">
        <v>14842</v>
      </c>
      <c r="B14845" s="2" t="s">
        <v>14917</v>
      </c>
      <c r="C14845" s="2" t="str">
        <f>"05493323"</f>
        <v>05493323</v>
      </c>
      <c r="D14845" s="2">
        <v>0.1</v>
      </c>
      <c r="E14845" s="2">
        <v>2</v>
      </c>
      <c r="F14845" s="2" t="s">
        <v>131</v>
      </c>
    </row>
    <row r="14846" spans="1:6" ht="25.5">
      <c r="A14846" s="2">
        <v>14843</v>
      </c>
      <c r="B14846" s="2" t="s">
        <v>14918</v>
      </c>
      <c r="C14846" s="2" t="str">
        <f>"03875008"</f>
        <v>03875008</v>
      </c>
      <c r="D14846" s="2">
        <v>0.13200000000000001</v>
      </c>
      <c r="E14846" s="2">
        <v>14</v>
      </c>
      <c r="F14846" s="2" t="s">
        <v>131</v>
      </c>
    </row>
    <row r="14847" spans="1:6" ht="25.5">
      <c r="A14847" s="2">
        <v>14844</v>
      </c>
      <c r="B14847" s="2" t="s">
        <v>14919</v>
      </c>
      <c r="C14847" s="2" t="str">
        <f>"03875016"</f>
        <v>03875016</v>
      </c>
      <c r="D14847" s="2">
        <v>0.106</v>
      </c>
      <c r="E14847" s="2">
        <v>11</v>
      </c>
      <c r="F14847" s="2" t="s">
        <v>131</v>
      </c>
    </row>
    <row r="14848" spans="1:6" ht="25.5">
      <c r="A14848" s="2">
        <v>14845</v>
      </c>
      <c r="B14848" s="2" t="s">
        <v>14920</v>
      </c>
      <c r="C14848" s="2" t="str">
        <f>"00215384"</f>
        <v>00215384</v>
      </c>
      <c r="D14848" s="2">
        <v>0.10199999999999999</v>
      </c>
      <c r="E14848" s="2">
        <v>5</v>
      </c>
      <c r="F14848" s="2" t="s">
        <v>131</v>
      </c>
    </row>
    <row r="14849" spans="1:6" ht="25.5">
      <c r="A14849" s="2">
        <v>14846</v>
      </c>
      <c r="B14849" s="2" t="s">
        <v>14921</v>
      </c>
      <c r="C14849" s="2" t="str">
        <f>"03871533"</f>
        <v>03871533</v>
      </c>
      <c r="D14849" s="2">
        <v>0.29299999999999998</v>
      </c>
      <c r="E14849" s="2">
        <v>10</v>
      </c>
      <c r="F14849" s="2" t="s">
        <v>131</v>
      </c>
    </row>
    <row r="14850" spans="1:6" ht="25.5">
      <c r="A14850" s="2">
        <v>14847</v>
      </c>
      <c r="B14850" s="2" t="s">
        <v>14922</v>
      </c>
      <c r="C14850" s="2" t="str">
        <f>"0021485X"</f>
        <v>0021485X</v>
      </c>
      <c r="D14850" s="2">
        <v>0.13</v>
      </c>
      <c r="E14850" s="2">
        <v>9</v>
      </c>
      <c r="F14850" s="2" t="s">
        <v>131</v>
      </c>
    </row>
    <row r="14851" spans="1:6" ht="25.5">
      <c r="A14851" s="2">
        <v>14848</v>
      </c>
      <c r="B14851" s="2" t="s">
        <v>14923</v>
      </c>
      <c r="C14851" s="2" t="str">
        <f>"09114300"</f>
        <v>09114300</v>
      </c>
      <c r="D14851" s="2">
        <v>0.189</v>
      </c>
      <c r="E14851" s="2">
        <v>9</v>
      </c>
      <c r="F14851" s="2" t="s">
        <v>131</v>
      </c>
    </row>
    <row r="14852" spans="1:6" ht="25.5">
      <c r="A14852" s="2">
        <v>14849</v>
      </c>
      <c r="B14852" s="2" t="s">
        <v>14924</v>
      </c>
      <c r="C14852" s="2" t="str">
        <f>"13465597"</f>
        <v>13465597</v>
      </c>
      <c r="D14852" s="2">
        <v>0.10100000000000001</v>
      </c>
      <c r="E14852" s="2">
        <v>0</v>
      </c>
      <c r="F14852" s="2" t="s">
        <v>131</v>
      </c>
    </row>
    <row r="14853" spans="1:6" ht="25.5">
      <c r="A14853" s="2">
        <v>14850</v>
      </c>
      <c r="B14853" s="2" t="s">
        <v>14925</v>
      </c>
      <c r="C14853" s="2" t="str">
        <f>"08905495"</f>
        <v>08905495</v>
      </c>
      <c r="D14853" s="2">
        <v>0.13600000000000001</v>
      </c>
      <c r="E14853" s="2">
        <v>5</v>
      </c>
      <c r="F14853" s="2" t="s">
        <v>16</v>
      </c>
    </row>
    <row r="14854" spans="1:6" ht="25.5">
      <c r="A14854" s="2">
        <v>14851</v>
      </c>
      <c r="B14854" s="2" t="s">
        <v>14926</v>
      </c>
      <c r="C14854" s="2" t="str">
        <f>"15360172"</f>
        <v>15360172</v>
      </c>
      <c r="D14854" s="2">
        <v>0.1</v>
      </c>
      <c r="E14854" s="2">
        <v>3</v>
      </c>
      <c r="F14854" s="2" t="s">
        <v>6</v>
      </c>
    </row>
    <row r="14855" spans="1:6" ht="25.5">
      <c r="A14855" s="2">
        <v>14852</v>
      </c>
      <c r="B14855" s="2" t="s">
        <v>14927</v>
      </c>
      <c r="C14855" s="2" t="str">
        <f>"10678352"</f>
        <v>10678352</v>
      </c>
      <c r="D14855" s="2">
        <v>0.128</v>
      </c>
      <c r="E14855" s="2">
        <v>6</v>
      </c>
      <c r="F14855" s="2" t="s">
        <v>6</v>
      </c>
    </row>
    <row r="14856" spans="1:6" ht="25.5">
      <c r="A14856" s="2">
        <v>14853</v>
      </c>
      <c r="B14856" s="2" t="s">
        <v>14928</v>
      </c>
      <c r="C14856" s="2" t="str">
        <f>"15338606"</f>
        <v>15338606</v>
      </c>
      <c r="D14856" s="2">
        <v>0.14399999999999999</v>
      </c>
      <c r="E14856" s="2">
        <v>8</v>
      </c>
      <c r="F14856" s="2" t="s">
        <v>6</v>
      </c>
    </row>
    <row r="14857" spans="1:6" ht="25.5">
      <c r="A14857" s="2">
        <v>14854</v>
      </c>
      <c r="B14857" s="2" t="s">
        <v>14929</v>
      </c>
      <c r="C14857" s="2" t="str">
        <f>"10520406"</f>
        <v>10520406</v>
      </c>
      <c r="D14857" s="2">
        <v>0.10100000000000001</v>
      </c>
      <c r="E14857" s="2">
        <v>2</v>
      </c>
      <c r="F14857" s="2" t="s">
        <v>6</v>
      </c>
    </row>
    <row r="14858" spans="1:6" ht="25.5">
      <c r="A14858" s="2">
        <v>14855</v>
      </c>
      <c r="B14858" s="2" t="s">
        <v>14930</v>
      </c>
      <c r="C14858" s="2" t="str">
        <f>"03014894"</f>
        <v>03014894</v>
      </c>
      <c r="D14858" s="2">
        <v>0.10299999999999999</v>
      </c>
      <c r="E14858" s="2">
        <v>11</v>
      </c>
      <c r="F14858" s="2" t="s">
        <v>131</v>
      </c>
    </row>
    <row r="14859" spans="1:6" ht="25.5">
      <c r="A14859" s="2">
        <v>14856</v>
      </c>
      <c r="B14859" s="2" t="s">
        <v>14931</v>
      </c>
      <c r="C14859" s="2" t="str">
        <f>"03694305"</f>
        <v>03694305</v>
      </c>
      <c r="D14859" s="2">
        <v>0.11</v>
      </c>
      <c r="E14859" s="2">
        <v>8</v>
      </c>
      <c r="F14859" s="2" t="s">
        <v>131</v>
      </c>
    </row>
    <row r="14860" spans="1:6" ht="25.5">
      <c r="A14860" s="2">
        <v>14857</v>
      </c>
      <c r="B14860" s="2" t="s">
        <v>14932</v>
      </c>
      <c r="C14860" s="2" t="str">
        <f>"03875024"</f>
        <v>03875024</v>
      </c>
      <c r="D14860" s="2">
        <v>0.11</v>
      </c>
      <c r="E14860" s="2">
        <v>10</v>
      </c>
      <c r="F14860" s="2" t="s">
        <v>131</v>
      </c>
    </row>
    <row r="14861" spans="1:6" ht="25.5">
      <c r="A14861" s="2">
        <v>14858</v>
      </c>
      <c r="B14861" s="2" t="s">
        <v>14933</v>
      </c>
      <c r="C14861" s="2" t="str">
        <f>"18806880"</f>
        <v>18806880</v>
      </c>
      <c r="D14861" s="2">
        <v>0.27600000000000002</v>
      </c>
      <c r="E14861" s="2">
        <v>23</v>
      </c>
      <c r="F14861" s="2" t="s">
        <v>131</v>
      </c>
    </row>
    <row r="14862" spans="1:6" ht="25.5">
      <c r="A14862" s="2">
        <v>14859</v>
      </c>
      <c r="B14862" s="2" t="s">
        <v>14934</v>
      </c>
      <c r="C14862" s="2" t="str">
        <f>"05461766"</f>
        <v>05461766</v>
      </c>
      <c r="D14862" s="2">
        <v>0.13200000000000001</v>
      </c>
      <c r="E14862" s="2">
        <v>11</v>
      </c>
      <c r="F14862" s="2" t="s">
        <v>131</v>
      </c>
    </row>
    <row r="14863" spans="1:6" ht="25.5">
      <c r="A14863" s="2">
        <v>14860</v>
      </c>
      <c r="B14863" s="2" t="s">
        <v>14935</v>
      </c>
      <c r="C14863" s="2" t="str">
        <f>"00471852"</f>
        <v>00471852</v>
      </c>
      <c r="D14863" s="2">
        <v>0.11</v>
      </c>
      <c r="E14863" s="2">
        <v>14</v>
      </c>
      <c r="F14863" s="2" t="s">
        <v>131</v>
      </c>
    </row>
    <row r="14864" spans="1:6" ht="25.5">
      <c r="A14864" s="2">
        <v>14861</v>
      </c>
      <c r="B14864" s="2" t="s">
        <v>14936</v>
      </c>
      <c r="C14864" s="2" t="str">
        <f>"00319341"</f>
        <v>00319341</v>
      </c>
      <c r="D14864" s="2">
        <v>0.104</v>
      </c>
      <c r="E14864" s="2">
        <v>3</v>
      </c>
      <c r="F14864" s="2" t="s">
        <v>131</v>
      </c>
    </row>
    <row r="14865" spans="1:6" ht="25.5">
      <c r="A14865" s="2">
        <v>14862</v>
      </c>
      <c r="B14865" s="2" t="s">
        <v>14937</v>
      </c>
      <c r="C14865" s="2" t="str">
        <f>"18820743"</f>
        <v>18820743</v>
      </c>
      <c r="D14865" s="2">
        <v>0.46899999999999997</v>
      </c>
      <c r="E14865" s="2">
        <v>35</v>
      </c>
      <c r="F14865" s="2" t="s">
        <v>131</v>
      </c>
    </row>
    <row r="14866" spans="1:6" ht="25.5">
      <c r="A14866" s="2">
        <v>14863</v>
      </c>
      <c r="B14866" s="2" t="s">
        <v>14938</v>
      </c>
      <c r="C14866" s="2" t="str">
        <f>"1341027X"</f>
        <v>1341027X</v>
      </c>
      <c r="D14866" s="2">
        <v>0.13100000000000001</v>
      </c>
      <c r="E14866" s="2">
        <v>15</v>
      </c>
      <c r="F14866" s="2" t="s">
        <v>131</v>
      </c>
    </row>
    <row r="14867" spans="1:6" ht="25.5">
      <c r="A14867" s="2">
        <v>14864</v>
      </c>
      <c r="B14867" s="2" t="s">
        <v>14939</v>
      </c>
      <c r="C14867" s="2" t="str">
        <f>"0300306X"</f>
        <v>0300306X</v>
      </c>
      <c r="D14867" s="2">
        <v>0.1</v>
      </c>
      <c r="E14867" s="2">
        <v>4</v>
      </c>
      <c r="F14867" s="2" t="s">
        <v>131</v>
      </c>
    </row>
    <row r="14868" spans="1:6" ht="25.5">
      <c r="A14868" s="2">
        <v>14865</v>
      </c>
      <c r="B14868" s="2" t="s">
        <v>14940</v>
      </c>
      <c r="C14868" s="2" t="str">
        <f>"1349998X"</f>
        <v>1349998X</v>
      </c>
      <c r="D14868" s="2">
        <v>0.124</v>
      </c>
      <c r="E14868" s="2">
        <v>15</v>
      </c>
      <c r="F14868" s="2" t="s">
        <v>131</v>
      </c>
    </row>
    <row r="14869" spans="1:6" ht="25.5">
      <c r="A14869" s="2">
        <v>14866</v>
      </c>
      <c r="B14869" s="2" t="s">
        <v>14941</v>
      </c>
      <c r="C14869" s="2" t="str">
        <f>"03869784"</f>
        <v>03869784</v>
      </c>
      <c r="D14869" s="2">
        <v>0.1</v>
      </c>
      <c r="E14869" s="2">
        <v>4</v>
      </c>
      <c r="F14869" s="2" t="s">
        <v>131</v>
      </c>
    </row>
    <row r="14870" spans="1:6" ht="25.5">
      <c r="A14870" s="2">
        <v>14867</v>
      </c>
      <c r="B14870" s="2" t="s">
        <v>14942</v>
      </c>
      <c r="C14870" s="2" t="str">
        <f>"00290726"</f>
        <v>00290726</v>
      </c>
      <c r="D14870" s="2">
        <v>0.1</v>
      </c>
      <c r="E14870" s="2">
        <v>4</v>
      </c>
      <c r="F14870" s="2" t="s">
        <v>131</v>
      </c>
    </row>
    <row r="14871" spans="1:6" ht="25.5">
      <c r="A14871" s="2">
        <v>14868</v>
      </c>
      <c r="B14871" s="2" t="s">
        <v>14943</v>
      </c>
      <c r="C14871" s="2" t="str">
        <f>"1048776X"</f>
        <v>1048776X</v>
      </c>
      <c r="D14871" s="2">
        <v>0.1</v>
      </c>
      <c r="E14871" s="2">
        <v>2</v>
      </c>
      <c r="F14871" s="2" t="s">
        <v>6</v>
      </c>
    </row>
    <row r="14872" spans="1:6" ht="25.5">
      <c r="A14872" s="2">
        <v>14869</v>
      </c>
      <c r="B14872" s="2" t="s">
        <v>14944</v>
      </c>
      <c r="C14872" s="2" t="str">
        <f>"10898611"</f>
        <v>10898611</v>
      </c>
      <c r="D14872" s="2">
        <v>1.0189999999999999</v>
      </c>
      <c r="E14872" s="2">
        <v>59</v>
      </c>
      <c r="F14872" s="2" t="s">
        <v>6</v>
      </c>
    </row>
    <row r="14873" spans="1:6" ht="25.5">
      <c r="A14873" s="2">
        <v>14870</v>
      </c>
      <c r="B14873" s="2" t="s">
        <v>14945</v>
      </c>
      <c r="C14873" s="2" t="str">
        <f>"11740043"</f>
        <v>11740043</v>
      </c>
      <c r="D14873" s="2">
        <v>0.34799999999999998</v>
      </c>
      <c r="E14873" s="2">
        <v>8</v>
      </c>
      <c r="F14873" s="2" t="s">
        <v>503</v>
      </c>
    </row>
    <row r="14874" spans="1:6" ht="25.5">
      <c r="A14874" s="2">
        <v>14871</v>
      </c>
      <c r="B14874" s="2" t="s">
        <v>14946</v>
      </c>
      <c r="C14874" s="2" t="str">
        <f>"15735214"</f>
        <v>15735214</v>
      </c>
      <c r="D14874" s="2">
        <v>0.44500000000000001</v>
      </c>
      <c r="E14874" s="2">
        <v>16</v>
      </c>
      <c r="F14874" s="2" t="s">
        <v>75</v>
      </c>
    </row>
    <row r="14875" spans="1:6" ht="25.5">
      <c r="A14875" s="2">
        <v>14872</v>
      </c>
      <c r="B14875" s="2" t="s">
        <v>14947</v>
      </c>
      <c r="C14875" s="2" t="str">
        <f>"10991492"</f>
        <v>10991492</v>
      </c>
      <c r="D14875" s="2">
        <v>1.385</v>
      </c>
      <c r="E14875" s="2">
        <v>73</v>
      </c>
      <c r="F14875" s="2" t="s">
        <v>16</v>
      </c>
    </row>
    <row r="14876" spans="1:6" ht="25.5">
      <c r="A14876" s="2">
        <v>14873</v>
      </c>
      <c r="B14876" s="2" t="s">
        <v>14948</v>
      </c>
      <c r="C14876" s="2" t="str">
        <f>"13052381"</f>
        <v>13052381</v>
      </c>
      <c r="D14876" s="2">
        <v>0.113</v>
      </c>
      <c r="E14876" s="2">
        <v>3</v>
      </c>
      <c r="F14876" s="2" t="s">
        <v>345</v>
      </c>
    </row>
    <row r="14877" spans="1:6" ht="25.5">
      <c r="A14877" s="2">
        <v>14874</v>
      </c>
      <c r="B14877" s="2" t="s">
        <v>14949</v>
      </c>
      <c r="C14877" s="2" t="str">
        <f>"19984030"</f>
        <v>19984030</v>
      </c>
      <c r="D14877" s="2">
        <v>0.70799999999999996</v>
      </c>
      <c r="E14877" s="2">
        <v>22</v>
      </c>
      <c r="F14877" s="2" t="s">
        <v>488</v>
      </c>
    </row>
    <row r="14878" spans="1:6" ht="25.5">
      <c r="A14878" s="2">
        <v>14875</v>
      </c>
      <c r="B14878" s="2" t="s">
        <v>14950</v>
      </c>
      <c r="C14878" s="2" t="str">
        <f>"09574565"</f>
        <v>09574565</v>
      </c>
      <c r="D14878" s="2">
        <v>0.14399999999999999</v>
      </c>
      <c r="E14878" s="2">
        <v>7</v>
      </c>
      <c r="F14878" s="2" t="s">
        <v>16</v>
      </c>
    </row>
    <row r="14879" spans="1:6" ht="25.5">
      <c r="A14879" s="2">
        <v>14876</v>
      </c>
      <c r="B14879" s="2" t="s">
        <v>14951</v>
      </c>
      <c r="C14879" s="2" t="str">
        <f>"07362501"</f>
        <v>07362501</v>
      </c>
      <c r="D14879" s="2">
        <v>0.31</v>
      </c>
      <c r="E14879" s="2">
        <v>17</v>
      </c>
      <c r="F14879" s="2" t="s">
        <v>6</v>
      </c>
    </row>
    <row r="14880" spans="1:6" ht="25.5">
      <c r="A14880" s="2">
        <v>14877</v>
      </c>
      <c r="B14880" s="2" t="s">
        <v>14952</v>
      </c>
      <c r="C14880" s="2" t="str">
        <f>"08227942"</f>
        <v>08227942</v>
      </c>
      <c r="D14880" s="2">
        <v>0.154</v>
      </c>
      <c r="E14880" s="2">
        <v>6</v>
      </c>
      <c r="F14880" s="2" t="s">
        <v>6</v>
      </c>
    </row>
    <row r="14881" spans="1:6" ht="25.5">
      <c r="A14881" s="2">
        <v>14878</v>
      </c>
      <c r="B14881" s="2" t="s">
        <v>14953</v>
      </c>
      <c r="C14881" s="2" t="str">
        <f>"14772671"</f>
        <v>14772671</v>
      </c>
      <c r="D14881" s="2">
        <v>0.314</v>
      </c>
      <c r="E14881" s="2">
        <v>13</v>
      </c>
      <c r="F14881" s="2" t="s">
        <v>16</v>
      </c>
    </row>
    <row r="14882" spans="1:6" ht="25.5">
      <c r="A14882" s="2">
        <v>14879</v>
      </c>
      <c r="B14882" s="2" t="s">
        <v>14954</v>
      </c>
      <c r="C14882" s="2" t="str">
        <f>"10026819"</f>
        <v>10026819</v>
      </c>
      <c r="D14882" s="2">
        <v>0.28999999999999998</v>
      </c>
      <c r="E14882" s="2">
        <v>20</v>
      </c>
      <c r="F14882" s="2" t="s">
        <v>46</v>
      </c>
    </row>
    <row r="14883" spans="1:6" ht="25.5">
      <c r="A14883" s="2">
        <v>14880</v>
      </c>
      <c r="B14883" s="2" t="s">
        <v>14955</v>
      </c>
      <c r="C14883" s="2" t="str">
        <f>"10001298"</f>
        <v>10001298</v>
      </c>
      <c r="D14883" s="2">
        <v>0.35899999999999999</v>
      </c>
      <c r="E14883" s="2">
        <v>16</v>
      </c>
      <c r="F14883" s="2" t="s">
        <v>46</v>
      </c>
    </row>
    <row r="14884" spans="1:6" ht="25.5">
      <c r="A14884" s="2">
        <v>14881</v>
      </c>
      <c r="B14884" s="2" t="s">
        <v>14956</v>
      </c>
      <c r="C14884" s="2" t="str">
        <f>"1751570X"</f>
        <v>1751570X</v>
      </c>
      <c r="D14884" s="2">
        <v>1.3049999999999999</v>
      </c>
      <c r="E14884" s="2">
        <v>20</v>
      </c>
      <c r="F14884" s="2" t="s">
        <v>75</v>
      </c>
    </row>
    <row r="14885" spans="1:6" ht="25.5">
      <c r="A14885" s="2">
        <v>14882</v>
      </c>
      <c r="B14885" s="2" t="s">
        <v>14957</v>
      </c>
      <c r="C14885" s="2" t="str">
        <f>"13925113"</f>
        <v>13925113</v>
      </c>
      <c r="D14885" s="2">
        <v>0.48199999999999998</v>
      </c>
      <c r="E14885" s="2">
        <v>7</v>
      </c>
      <c r="F14885" s="2" t="s">
        <v>274</v>
      </c>
    </row>
    <row r="14886" spans="1:6" ht="25.5">
      <c r="A14886" s="2">
        <v>14883</v>
      </c>
      <c r="B14886" s="2" t="s">
        <v>14958</v>
      </c>
      <c r="C14886" s="2" t="str">
        <f>"14681218"</f>
        <v>14681218</v>
      </c>
      <c r="D14886" s="2">
        <v>1.712</v>
      </c>
      <c r="E14886" s="2">
        <v>38</v>
      </c>
      <c r="F14886" s="2" t="s">
        <v>75</v>
      </c>
    </row>
    <row r="14887" spans="1:6" ht="25.5">
      <c r="A14887" s="2">
        <v>14884</v>
      </c>
      <c r="B14887" s="2" t="s">
        <v>14959</v>
      </c>
      <c r="C14887" s="2" t="str">
        <f>"0362546X"</f>
        <v>0362546X</v>
      </c>
      <c r="D14887" s="2">
        <v>1.6910000000000001</v>
      </c>
      <c r="E14887" s="2">
        <v>62</v>
      </c>
      <c r="F14887" s="2" t="s">
        <v>16</v>
      </c>
    </row>
    <row r="14888" spans="1:6" ht="25.5">
      <c r="A14888" s="2">
        <v>14885</v>
      </c>
      <c r="B14888" s="2" t="s">
        <v>14960</v>
      </c>
      <c r="C14888" s="2" t="str">
        <f>"17534631"</f>
        <v>17534631</v>
      </c>
      <c r="D14888" s="2">
        <v>0.39900000000000002</v>
      </c>
      <c r="E14888" s="2">
        <v>7</v>
      </c>
      <c r="F14888" s="2" t="s">
        <v>16</v>
      </c>
    </row>
    <row r="14889" spans="1:6" ht="25.5">
      <c r="A14889" s="2">
        <v>14886</v>
      </c>
      <c r="B14889" s="2" t="s">
        <v>14961</v>
      </c>
      <c r="C14889" s="2" t="str">
        <f>"14209004"</f>
        <v>14209004</v>
      </c>
      <c r="D14889" s="2">
        <v>0.88200000000000001</v>
      </c>
      <c r="E14889" s="2">
        <v>21</v>
      </c>
      <c r="F14889" s="2" t="s">
        <v>31</v>
      </c>
    </row>
    <row r="14890" spans="1:6" ht="25.5">
      <c r="A14890" s="2">
        <v>14887</v>
      </c>
      <c r="B14890" s="2" t="s">
        <v>14962</v>
      </c>
      <c r="C14890" s="2" t="str">
        <f>"0924090X"</f>
        <v>0924090X</v>
      </c>
      <c r="D14890" s="2">
        <v>0.871</v>
      </c>
      <c r="E14890" s="2">
        <v>50</v>
      </c>
      <c r="F14890" s="2" t="s">
        <v>75</v>
      </c>
    </row>
    <row r="14891" spans="1:6" ht="25.5">
      <c r="A14891" s="2">
        <v>14888</v>
      </c>
      <c r="B14891" s="2" t="s">
        <v>14963</v>
      </c>
      <c r="C14891" s="2" t="str">
        <f>"15628353"</f>
        <v>15628353</v>
      </c>
      <c r="D14891" s="2">
        <v>0.41099999999999998</v>
      </c>
      <c r="E14891" s="2">
        <v>7</v>
      </c>
      <c r="F14891" s="2" t="s">
        <v>438</v>
      </c>
    </row>
    <row r="14892" spans="1:6" ht="25.5">
      <c r="A14892" s="2">
        <v>14889</v>
      </c>
      <c r="B14892" s="2" t="s">
        <v>14964</v>
      </c>
      <c r="C14892" s="2" t="str">
        <f>"10900578"</f>
        <v>10900578</v>
      </c>
      <c r="D14892" s="2">
        <v>0.29599999999999999</v>
      </c>
      <c r="E14892" s="2">
        <v>13</v>
      </c>
      <c r="F14892" s="2" t="s">
        <v>6</v>
      </c>
    </row>
    <row r="14893" spans="1:6" ht="25.5">
      <c r="A14893" s="2">
        <v>14890</v>
      </c>
      <c r="B14893" s="2" t="s">
        <v>14965</v>
      </c>
      <c r="C14893" s="2" t="str">
        <f>"13616544"</f>
        <v>13616544</v>
      </c>
      <c r="D14893" s="2">
        <v>1.575</v>
      </c>
      <c r="E14893" s="2">
        <v>49</v>
      </c>
      <c r="F14893" s="2" t="s">
        <v>16</v>
      </c>
    </row>
    <row r="14894" spans="1:6" ht="25.5">
      <c r="A14894" s="2">
        <v>14891</v>
      </c>
      <c r="B14894" s="2" t="s">
        <v>14966</v>
      </c>
      <c r="C14894" s="2" t="str">
        <f>"15430537"</f>
        <v>15430537</v>
      </c>
      <c r="D14894" s="2">
        <v>0.20599999999999999</v>
      </c>
      <c r="E14894" s="2">
        <v>16</v>
      </c>
      <c r="F14894" s="2" t="s">
        <v>6</v>
      </c>
    </row>
    <row r="14895" spans="1:6" ht="25.5">
      <c r="A14895" s="2">
        <v>14892</v>
      </c>
      <c r="B14895" s="2" t="s">
        <v>14967</v>
      </c>
      <c r="C14895" s="2" t="str">
        <f>"15360059"</f>
        <v>15360059</v>
      </c>
      <c r="D14895" s="2">
        <v>0.20599999999999999</v>
      </c>
      <c r="E14895" s="2">
        <v>4</v>
      </c>
      <c r="F14895" s="2" t="s">
        <v>6</v>
      </c>
    </row>
    <row r="14896" spans="1:6" ht="25.5">
      <c r="A14896" s="2">
        <v>14893</v>
      </c>
      <c r="B14896" s="2" t="s">
        <v>14968</v>
      </c>
      <c r="C14896" s="2" t="str">
        <f>"10235809"</f>
        <v>10235809</v>
      </c>
      <c r="D14896" s="2">
        <v>0.66600000000000004</v>
      </c>
      <c r="E14896" s="2">
        <v>34</v>
      </c>
      <c r="F14896" s="2" t="s">
        <v>12</v>
      </c>
    </row>
    <row r="14897" spans="1:6" ht="25.5">
      <c r="A14897" s="2">
        <v>14894</v>
      </c>
      <c r="B14897" s="2" t="s">
        <v>14969</v>
      </c>
      <c r="C14897" s="2" t="str">
        <f>"21534373"</f>
        <v>21534373</v>
      </c>
      <c r="D14897" s="2">
        <v>0.309</v>
      </c>
      <c r="E14897" s="2">
        <v>3</v>
      </c>
      <c r="F14897" s="2" t="s">
        <v>16</v>
      </c>
    </row>
    <row r="14898" spans="1:6" ht="25.5">
      <c r="A14898" s="2">
        <v>14895</v>
      </c>
      <c r="B14898" s="2" t="s">
        <v>14970</v>
      </c>
      <c r="C14898" s="2" t="str">
        <f>"08997640"</f>
        <v>08997640</v>
      </c>
      <c r="D14898" s="2">
        <v>0.68200000000000005</v>
      </c>
      <c r="E14898" s="2">
        <v>34</v>
      </c>
      <c r="F14898" s="2" t="s">
        <v>6</v>
      </c>
    </row>
    <row r="14899" spans="1:6" ht="25.5">
      <c r="A14899" s="2">
        <v>14896</v>
      </c>
      <c r="B14899" s="2" t="s">
        <v>14971</v>
      </c>
      <c r="C14899" s="2" t="str">
        <f>"15427854"</f>
        <v>15427854</v>
      </c>
      <c r="D14899" s="2">
        <v>0.11799999999999999</v>
      </c>
      <c r="E14899" s="2">
        <v>1</v>
      </c>
      <c r="F14899" s="2" t="s">
        <v>6</v>
      </c>
    </row>
    <row r="14900" spans="1:6" ht="25.5">
      <c r="A14900" s="2">
        <v>14897</v>
      </c>
      <c r="B14900" s="2" t="s">
        <v>14972</v>
      </c>
      <c r="C14900" s="2" t="str">
        <f>"10736700"</f>
        <v>10736700</v>
      </c>
      <c r="D14900" s="2">
        <v>0.28399999999999997</v>
      </c>
      <c r="E14900" s="2">
        <v>4</v>
      </c>
      <c r="F14900" s="2" t="s">
        <v>16</v>
      </c>
    </row>
    <row r="14901" spans="1:6" ht="25.5">
      <c r="A14901" s="2">
        <v>14898</v>
      </c>
      <c r="B14901" s="2" t="s">
        <v>14973</v>
      </c>
      <c r="C14901" s="2" t="str">
        <f>"08038740"</f>
        <v>08038740</v>
      </c>
      <c r="D14901" s="2">
        <v>0.27400000000000002</v>
      </c>
      <c r="E14901" s="2">
        <v>3</v>
      </c>
      <c r="F14901" s="2" t="s">
        <v>16</v>
      </c>
    </row>
    <row r="14902" spans="1:6" ht="25.5">
      <c r="A14902" s="2">
        <v>14899</v>
      </c>
      <c r="B14902" s="2" t="s">
        <v>14974</v>
      </c>
      <c r="C14902" s="2" t="str">
        <f>"12382086"</f>
        <v>12382086</v>
      </c>
      <c r="D14902" s="2">
        <v>0.10100000000000001</v>
      </c>
      <c r="E14902" s="2">
        <v>3</v>
      </c>
      <c r="F14902" s="2" t="s">
        <v>751</v>
      </c>
    </row>
    <row r="14903" spans="1:6" ht="25.5">
      <c r="A14903" s="2">
        <v>14900</v>
      </c>
      <c r="B14903" s="2" t="s">
        <v>14975</v>
      </c>
      <c r="C14903" s="2" t="str">
        <f>"0107055X"</f>
        <v>0107055X</v>
      </c>
      <c r="D14903" s="2">
        <v>0.30499999999999999</v>
      </c>
      <c r="E14903" s="2">
        <v>22</v>
      </c>
      <c r="F14903" s="2" t="s">
        <v>16</v>
      </c>
    </row>
    <row r="14904" spans="1:6" ht="25.5">
      <c r="A14904" s="2">
        <v>14901</v>
      </c>
      <c r="B14904" s="2" t="s">
        <v>14976</v>
      </c>
      <c r="C14904" s="2" t="str">
        <f>"15027694"</f>
        <v>15027694</v>
      </c>
      <c r="D14904" s="2">
        <v>0.17499999999999999</v>
      </c>
      <c r="E14904" s="2">
        <v>1</v>
      </c>
      <c r="F14904" s="2" t="s">
        <v>2637</v>
      </c>
    </row>
    <row r="14905" spans="1:6" ht="25.5">
      <c r="A14905" s="2">
        <v>14902</v>
      </c>
      <c r="B14905" s="2" t="s">
        <v>14977</v>
      </c>
      <c r="C14905" s="2" t="str">
        <f>"15718107"</f>
        <v>15718107</v>
      </c>
      <c r="D14905" s="2">
        <v>0.26600000000000001</v>
      </c>
      <c r="E14905" s="2">
        <v>3</v>
      </c>
      <c r="F14905" s="2" t="s">
        <v>75</v>
      </c>
    </row>
    <row r="14906" spans="1:6" ht="25.5">
      <c r="A14906" s="2">
        <v>14903</v>
      </c>
      <c r="B14906" s="2" t="s">
        <v>14978</v>
      </c>
      <c r="C14906" s="2" t="str">
        <f>"15024717"</f>
        <v>15024717</v>
      </c>
      <c r="D14906" s="2">
        <v>0.255</v>
      </c>
      <c r="E14906" s="2">
        <v>3</v>
      </c>
      <c r="F14906" s="2" t="s">
        <v>16</v>
      </c>
    </row>
    <row r="14907" spans="1:6" ht="25.5">
      <c r="A14907" s="2">
        <v>14904</v>
      </c>
      <c r="B14907" s="2" t="s">
        <v>14979</v>
      </c>
      <c r="C14907" s="2" t="str">
        <f>"08098131"</f>
        <v>08098131</v>
      </c>
      <c r="D14907" s="2">
        <v>0.36099999999999999</v>
      </c>
      <c r="E14907" s="2">
        <v>4</v>
      </c>
      <c r="F14907" s="2" t="s">
        <v>16</v>
      </c>
    </row>
    <row r="14908" spans="1:6" ht="25.5">
      <c r="A14908" s="2">
        <v>14905</v>
      </c>
      <c r="B14908" s="2" t="s">
        <v>14980</v>
      </c>
      <c r="C14908" s="2" t="str">
        <f>"15024725"</f>
        <v>15024725</v>
      </c>
      <c r="D14908" s="2">
        <v>0.52100000000000002</v>
      </c>
      <c r="E14908" s="2">
        <v>31</v>
      </c>
      <c r="F14908" s="2" t="s">
        <v>16</v>
      </c>
    </row>
    <row r="14909" spans="1:6" ht="25.5">
      <c r="A14909" s="2">
        <v>14906</v>
      </c>
      <c r="B14909" s="2" t="s">
        <v>14981</v>
      </c>
      <c r="C14909" s="2" t="str">
        <f>"18907008"</f>
        <v>18907008</v>
      </c>
      <c r="D14909" s="2">
        <v>0.112</v>
      </c>
      <c r="E14909" s="2">
        <v>1</v>
      </c>
      <c r="F14909" s="2" t="s">
        <v>2637</v>
      </c>
    </row>
    <row r="14910" spans="1:6" ht="25.5">
      <c r="A14910" s="2">
        <v>14907</v>
      </c>
      <c r="B14910" s="2" t="s">
        <v>14982</v>
      </c>
      <c r="C14910" s="2" t="str">
        <f>"14031108"</f>
        <v>14031108</v>
      </c>
      <c r="D14910" s="2">
        <v>0.18</v>
      </c>
      <c r="E14910" s="2">
        <v>2</v>
      </c>
      <c r="F14910" s="2" t="s">
        <v>151</v>
      </c>
    </row>
    <row r="14911" spans="1:6" ht="25.5">
      <c r="A14911" s="2">
        <v>14908</v>
      </c>
      <c r="B14911" s="2" t="s">
        <v>14983</v>
      </c>
      <c r="C14911" s="2" t="str">
        <f>"19012276"</f>
        <v>19012276</v>
      </c>
      <c r="D14911" s="2">
        <v>0.184</v>
      </c>
      <c r="E14911" s="2">
        <v>6</v>
      </c>
      <c r="F14911" s="2" t="s">
        <v>163</v>
      </c>
    </row>
    <row r="14912" spans="1:6" ht="25.5">
      <c r="A14912" s="2">
        <v>14909</v>
      </c>
      <c r="B14912" s="2" t="s">
        <v>14984</v>
      </c>
      <c r="C14912" s="2" t="str">
        <f>"02832631"</f>
        <v>02832631</v>
      </c>
      <c r="D14912" s="2">
        <v>0.438</v>
      </c>
      <c r="E14912" s="2">
        <v>34</v>
      </c>
      <c r="F14912" s="2" t="s">
        <v>151</v>
      </c>
    </row>
    <row r="14913" spans="1:6" ht="25.5">
      <c r="A14913" s="2">
        <v>14910</v>
      </c>
      <c r="B14913" s="2" t="s">
        <v>14985</v>
      </c>
      <c r="C14913" s="2" t="str">
        <f>"09046380"</f>
        <v>09046380</v>
      </c>
      <c r="D14913" s="2">
        <v>0.104</v>
      </c>
      <c r="E14913" s="2">
        <v>0</v>
      </c>
      <c r="F14913" s="2" t="s">
        <v>163</v>
      </c>
    </row>
    <row r="14914" spans="1:6" ht="25.5">
      <c r="A14914" s="2">
        <v>14911</v>
      </c>
      <c r="B14914" s="2" t="s">
        <v>14986</v>
      </c>
      <c r="C14914" s="2" t="str">
        <f>"13000667"</f>
        <v>13000667</v>
      </c>
      <c r="D14914" s="2">
        <v>0.15</v>
      </c>
      <c r="E14914" s="2">
        <v>2</v>
      </c>
      <c r="F14914" s="2" t="s">
        <v>345</v>
      </c>
    </row>
    <row r="14915" spans="1:6" ht="25.5">
      <c r="A14915" s="2">
        <v>14912</v>
      </c>
      <c r="B14915" s="2" t="s">
        <v>14987</v>
      </c>
      <c r="C14915" s="2" t="str">
        <f>"15042898"</f>
        <v>15042898</v>
      </c>
      <c r="D14915" s="2">
        <v>0.112</v>
      </c>
      <c r="E14915" s="2">
        <v>1</v>
      </c>
      <c r="F14915" s="2" t="s">
        <v>2637</v>
      </c>
    </row>
    <row r="14916" spans="1:6" ht="25.5">
      <c r="A14916" s="2">
        <v>14913</v>
      </c>
      <c r="B14916" s="2" t="s">
        <v>14988</v>
      </c>
      <c r="C14916" s="2" t="str">
        <f>"08032491"</f>
        <v>08032491</v>
      </c>
      <c r="D14916" s="2">
        <v>0.17599999999999999</v>
      </c>
      <c r="E14916" s="2">
        <v>7</v>
      </c>
      <c r="F14916" s="2" t="s">
        <v>2637</v>
      </c>
    </row>
    <row r="14917" spans="1:6" ht="25.5">
      <c r="A14917" s="2">
        <v>14914</v>
      </c>
      <c r="B14917" s="2" t="s">
        <v>14989</v>
      </c>
      <c r="C14917" s="2" t="str">
        <f>"15025292"</f>
        <v>15025292</v>
      </c>
      <c r="D14917" s="2">
        <v>0.23899999999999999</v>
      </c>
      <c r="E14917" s="2">
        <v>20</v>
      </c>
      <c r="F14917" s="2" t="s">
        <v>151</v>
      </c>
    </row>
    <row r="14918" spans="1:6" ht="25.5">
      <c r="A14918" s="2">
        <v>14915</v>
      </c>
      <c r="B14918" s="2" t="s">
        <v>14990</v>
      </c>
      <c r="C14918" s="2" t="str">
        <f>"08014736"</f>
        <v>08014736</v>
      </c>
      <c r="D14918" s="2">
        <v>0.40300000000000002</v>
      </c>
      <c r="E14918" s="2">
        <v>26</v>
      </c>
      <c r="F14918" s="2" t="s">
        <v>2637</v>
      </c>
    </row>
    <row r="14919" spans="1:6" ht="25.5">
      <c r="A14919" s="2">
        <v>14916</v>
      </c>
      <c r="B14919" s="2" t="s">
        <v>14991</v>
      </c>
      <c r="C14919" s="2" t="str">
        <f>"00292176"</f>
        <v>00292176</v>
      </c>
      <c r="D14919" s="2">
        <v>0.10199999999999999</v>
      </c>
      <c r="E14919" s="2">
        <v>0</v>
      </c>
      <c r="F14919" s="2" t="s">
        <v>2637</v>
      </c>
    </row>
    <row r="14920" spans="1:6" ht="25.5">
      <c r="A14920" s="2">
        <v>14917</v>
      </c>
      <c r="B14920" s="2" t="s">
        <v>14992</v>
      </c>
      <c r="C14920" s="2" t="str">
        <f>"10920277"</f>
        <v>10920277</v>
      </c>
      <c r="D14920" s="2">
        <v>0.92100000000000004</v>
      </c>
      <c r="E14920" s="2">
        <v>16</v>
      </c>
      <c r="F14920" s="2" t="s">
        <v>6</v>
      </c>
    </row>
    <row r="14921" spans="1:6" ht="25.5">
      <c r="A14921" s="2">
        <v>14918</v>
      </c>
      <c r="B14921" s="2" t="s">
        <v>14993</v>
      </c>
      <c r="C14921" s="2" t="str">
        <f>"15413543"</f>
        <v>15413543</v>
      </c>
      <c r="D14921" s="2">
        <v>0.182</v>
      </c>
      <c r="E14921" s="2">
        <v>5</v>
      </c>
      <c r="F14921" s="2" t="s">
        <v>6</v>
      </c>
    </row>
    <row r="14922" spans="1:6" ht="25.5">
      <c r="A14922" s="2">
        <v>14919</v>
      </c>
      <c r="B14922" s="2" t="s">
        <v>14994</v>
      </c>
      <c r="C14922" s="2" t="str">
        <f>"1937786X"</f>
        <v>1937786X</v>
      </c>
      <c r="D14922" s="2">
        <v>0.14099999999999999</v>
      </c>
      <c r="E14922" s="2">
        <v>2</v>
      </c>
      <c r="F14922" s="2" t="s">
        <v>6</v>
      </c>
    </row>
    <row r="14923" spans="1:6" ht="25.5">
      <c r="A14923" s="2">
        <v>14920</v>
      </c>
      <c r="B14923" s="2" t="s">
        <v>14995</v>
      </c>
      <c r="C14923" s="2" t="str">
        <f>"15222055"</f>
        <v>15222055</v>
      </c>
      <c r="D14923" s="2">
        <v>0.4</v>
      </c>
      <c r="E14923" s="2">
        <v>26</v>
      </c>
      <c r="F14923" s="2" t="s">
        <v>6</v>
      </c>
    </row>
    <row r="14924" spans="1:6" ht="25.5">
      <c r="A14924" s="2">
        <v>14921</v>
      </c>
      <c r="B14924" s="2" t="s">
        <v>14996</v>
      </c>
      <c r="C14924" s="2" t="str">
        <f>"10629408"</f>
        <v>10629408</v>
      </c>
      <c r="D14924" s="2">
        <v>0.56799999999999995</v>
      </c>
      <c r="E14924" s="2">
        <v>18</v>
      </c>
      <c r="F14924" s="2" t="s">
        <v>6</v>
      </c>
    </row>
    <row r="14925" spans="1:6" ht="25.5">
      <c r="A14925" s="2">
        <v>14922</v>
      </c>
      <c r="B14925" s="2" t="s">
        <v>14997</v>
      </c>
      <c r="C14925" s="2" t="str">
        <f>"15488675"</f>
        <v>15488675</v>
      </c>
      <c r="D14925" s="2">
        <v>0.72299999999999998</v>
      </c>
      <c r="E14925" s="2">
        <v>43</v>
      </c>
      <c r="F14925" s="2" t="s">
        <v>6</v>
      </c>
    </row>
    <row r="14926" spans="1:6" ht="25.5">
      <c r="A14926" s="2">
        <v>14923</v>
      </c>
      <c r="B14926" s="2" t="s">
        <v>14998</v>
      </c>
      <c r="C14926" s="2" t="str">
        <f>"15277143"</f>
        <v>15277143</v>
      </c>
      <c r="D14926" s="2">
        <v>0.193</v>
      </c>
      <c r="E14926" s="2">
        <v>10</v>
      </c>
      <c r="F14926" s="2" t="s">
        <v>6</v>
      </c>
    </row>
    <row r="14927" spans="1:6" ht="25.5">
      <c r="A14927" s="2">
        <v>14924</v>
      </c>
      <c r="B14927" s="2" t="s">
        <v>14999</v>
      </c>
      <c r="C14927" s="2" t="str">
        <f>"00292397"</f>
        <v>00292397</v>
      </c>
      <c r="D14927" s="2">
        <v>0.10100000000000001</v>
      </c>
      <c r="E14927" s="2">
        <v>0</v>
      </c>
      <c r="F14927" s="2" t="s">
        <v>6</v>
      </c>
    </row>
    <row r="14928" spans="1:6" ht="25.5">
      <c r="A14928" s="2">
        <v>14925</v>
      </c>
      <c r="B14928" s="2" t="s">
        <v>15000</v>
      </c>
      <c r="C14928" s="2" t="str">
        <f>"00292559"</f>
        <v>00292559</v>
      </c>
      <c r="D14928" s="2">
        <v>0.157</v>
      </c>
      <c r="E14928" s="2">
        <v>13</v>
      </c>
      <c r="F14928" s="2" t="s">
        <v>6</v>
      </c>
    </row>
    <row r="14929" spans="1:6">
      <c r="A14929" s="2">
        <v>14926</v>
      </c>
      <c r="B14929" s="2" t="s">
        <v>15001</v>
      </c>
      <c r="C14929" s="2" t="str">
        <f>"0"</f>
        <v>0</v>
      </c>
      <c r="D14929" s="2">
        <v>0</v>
      </c>
      <c r="E14929" s="2">
        <v>0</v>
      </c>
      <c r="F14929" s="2" t="s">
        <v>6</v>
      </c>
    </row>
    <row r="14930" spans="1:6" ht="25.5">
      <c r="A14930" s="2">
        <v>14927</v>
      </c>
      <c r="B14930" s="2" t="s">
        <v>15002</v>
      </c>
      <c r="C14930" s="2" t="str">
        <f>"15356574"</f>
        <v>15356574</v>
      </c>
      <c r="D14930" s="2">
        <v>0.105</v>
      </c>
      <c r="E14930" s="2">
        <v>3</v>
      </c>
      <c r="F14930" s="2" t="s">
        <v>6</v>
      </c>
    </row>
    <row r="14931" spans="1:6" ht="25.5">
      <c r="A14931" s="2">
        <v>14928</v>
      </c>
      <c r="B14931" s="2" t="s">
        <v>15003</v>
      </c>
      <c r="C14931" s="2" t="str">
        <f>"10926194"</f>
        <v>10926194</v>
      </c>
      <c r="D14931" s="2">
        <v>0.25700000000000001</v>
      </c>
      <c r="E14931" s="2">
        <v>17</v>
      </c>
      <c r="F14931" s="2" t="s">
        <v>6</v>
      </c>
    </row>
    <row r="14932" spans="1:6">
      <c r="A14932" s="2">
        <v>14929</v>
      </c>
      <c r="B14932" s="2" t="s">
        <v>15004</v>
      </c>
      <c r="C14932" s="2" t="str">
        <f>"0"</f>
        <v>0</v>
      </c>
      <c r="D14932" s="2">
        <v>0</v>
      </c>
      <c r="E14932" s="2">
        <v>0</v>
      </c>
      <c r="F14932" s="2" t="s">
        <v>6</v>
      </c>
    </row>
    <row r="14933" spans="1:6" ht="25.5">
      <c r="A14933" s="2">
        <v>14930</v>
      </c>
      <c r="B14933" s="2" t="s">
        <v>15005</v>
      </c>
      <c r="C14933" s="2" t="str">
        <f>"0078172X"</f>
        <v>0078172X</v>
      </c>
      <c r="D14933" s="2">
        <v>0.121</v>
      </c>
      <c r="E14933" s="2">
        <v>4</v>
      </c>
      <c r="F14933" s="2" t="s">
        <v>16</v>
      </c>
    </row>
    <row r="14934" spans="1:6" ht="25.5">
      <c r="A14934" s="2">
        <v>14931</v>
      </c>
      <c r="B14934" s="2" t="s">
        <v>15006</v>
      </c>
      <c r="C14934" s="2" t="str">
        <f>"07426348"</f>
        <v>07426348</v>
      </c>
      <c r="D14934" s="2">
        <v>0.50600000000000001</v>
      </c>
      <c r="E14934" s="2">
        <v>18</v>
      </c>
      <c r="F14934" s="2" t="s">
        <v>6</v>
      </c>
    </row>
    <row r="14935" spans="1:6" ht="25.5">
      <c r="A14935" s="2">
        <v>14932</v>
      </c>
      <c r="B14935" s="2" t="s">
        <v>15007</v>
      </c>
      <c r="C14935" s="2" t="str">
        <f>"15512789"</f>
        <v>15512789</v>
      </c>
      <c r="D14935" s="2">
        <v>0.20599999999999999</v>
      </c>
      <c r="E14935" s="2">
        <v>3</v>
      </c>
      <c r="F14935" s="2" t="s">
        <v>6</v>
      </c>
    </row>
    <row r="14936" spans="1:6" ht="25.5">
      <c r="A14936" s="2">
        <v>14933</v>
      </c>
      <c r="B14936" s="2" t="s">
        <v>15008</v>
      </c>
      <c r="C14936" s="2" t="str">
        <f>"00292915"</f>
        <v>00292915</v>
      </c>
      <c r="D14936" s="2">
        <v>0.106</v>
      </c>
      <c r="E14936" s="2">
        <v>6</v>
      </c>
      <c r="F14936" s="2" t="s">
        <v>6</v>
      </c>
    </row>
    <row r="14937" spans="1:6" ht="25.5">
      <c r="A14937" s="2">
        <v>14934</v>
      </c>
      <c r="B14937" s="2" t="s">
        <v>15009</v>
      </c>
      <c r="C14937" s="2" t="str">
        <f>"10096248"</f>
        <v>10096248</v>
      </c>
      <c r="D14937" s="2">
        <v>0.224</v>
      </c>
      <c r="E14937" s="2">
        <v>10</v>
      </c>
      <c r="F14937" s="2" t="s">
        <v>46</v>
      </c>
    </row>
    <row r="14938" spans="1:6" ht="25.5">
      <c r="A14938" s="2">
        <v>14935</v>
      </c>
      <c r="B14938" s="2" t="s">
        <v>15010</v>
      </c>
      <c r="C14938" s="2" t="str">
        <f>"15849074"</f>
        <v>15849074</v>
      </c>
      <c r="D14938" s="2">
        <v>0.32300000000000001</v>
      </c>
      <c r="E14938" s="2">
        <v>9</v>
      </c>
      <c r="F14938" s="2" t="s">
        <v>19</v>
      </c>
    </row>
    <row r="14939" spans="1:6" ht="25.5">
      <c r="A14939" s="2">
        <v>14936</v>
      </c>
      <c r="B14939" s="2" t="s">
        <v>15011</v>
      </c>
      <c r="C14939" s="2" t="str">
        <f>"00293571"</f>
        <v>00293571</v>
      </c>
      <c r="D14939" s="2">
        <v>0.95199999999999996</v>
      </c>
      <c r="E14939" s="2">
        <v>18</v>
      </c>
      <c r="F14939" s="2" t="s">
        <v>6</v>
      </c>
    </row>
    <row r="14940" spans="1:6" ht="25.5">
      <c r="A14940" s="2">
        <v>14937</v>
      </c>
      <c r="B14940" s="2" t="s">
        <v>15012</v>
      </c>
      <c r="C14940" s="2" t="str">
        <f>"0029344X"</f>
        <v>0029344X</v>
      </c>
      <c r="D14940" s="2">
        <v>0.28599999999999998</v>
      </c>
      <c r="E14940" s="2">
        <v>26</v>
      </c>
      <c r="F14940" s="2" t="s">
        <v>6</v>
      </c>
    </row>
    <row r="14941" spans="1:6" ht="25.5">
      <c r="A14941" s="2">
        <v>14938</v>
      </c>
      <c r="B14941" s="2" t="s">
        <v>15013</v>
      </c>
      <c r="C14941" s="2" t="str">
        <f>"00293652"</f>
        <v>00293652</v>
      </c>
      <c r="D14941" s="2">
        <v>0.20599999999999999</v>
      </c>
      <c r="E14941" s="2">
        <v>6</v>
      </c>
      <c r="F14941" s="2" t="s">
        <v>151</v>
      </c>
    </row>
    <row r="14942" spans="1:6" ht="25.5">
      <c r="A14942" s="2">
        <v>14939</v>
      </c>
      <c r="B14942" s="2" t="s">
        <v>15014</v>
      </c>
      <c r="C14942" s="2" t="str">
        <f>"03427536"</f>
        <v>03427536</v>
      </c>
      <c r="D14942" s="2">
        <v>0.28699999999999998</v>
      </c>
      <c r="E14942" s="2">
        <v>9</v>
      </c>
      <c r="F14942" s="2" t="s">
        <v>12</v>
      </c>
    </row>
    <row r="14943" spans="1:6" ht="25.5">
      <c r="A14943" s="2">
        <v>14940</v>
      </c>
      <c r="B14943" s="2" t="s">
        <v>15015</v>
      </c>
      <c r="C14943" s="2" t="str">
        <f>"01772309"</f>
        <v>01772309</v>
      </c>
      <c r="D14943" s="2">
        <v>0.128</v>
      </c>
      <c r="E14943" s="2">
        <v>7</v>
      </c>
      <c r="F14943" s="2" t="s">
        <v>12</v>
      </c>
    </row>
    <row r="14944" spans="1:6" ht="25.5">
      <c r="A14944" s="2">
        <v>14941</v>
      </c>
      <c r="B14944" s="2" t="s">
        <v>15016</v>
      </c>
      <c r="C14944" s="2" t="str">
        <f>"1534150X"</f>
        <v>1534150X</v>
      </c>
      <c r="D14944" s="2">
        <v>0.16900000000000001</v>
      </c>
      <c r="E14944" s="2">
        <v>4</v>
      </c>
      <c r="F14944" s="2" t="s">
        <v>6</v>
      </c>
    </row>
    <row r="14945" spans="1:6" ht="25.5">
      <c r="A14945" s="2">
        <v>14942</v>
      </c>
      <c r="B14945" s="2" t="s">
        <v>15017</v>
      </c>
      <c r="C14945" s="2" t="str">
        <f>"14716941"</f>
        <v>14716941</v>
      </c>
      <c r="D14945" s="2">
        <v>0.11700000000000001</v>
      </c>
      <c r="E14945" s="2">
        <v>4</v>
      </c>
      <c r="F14945" s="2" t="s">
        <v>16</v>
      </c>
    </row>
    <row r="14946" spans="1:6" ht="25.5">
      <c r="A14946" s="2">
        <v>14943</v>
      </c>
      <c r="B14946" s="2" t="s">
        <v>15018</v>
      </c>
      <c r="C14946" s="2" t="str">
        <f>"00359149"</f>
        <v>00359149</v>
      </c>
      <c r="D14946" s="2">
        <v>0.14799999999999999</v>
      </c>
      <c r="E14946" s="2">
        <v>7</v>
      </c>
      <c r="F14946" s="2" t="s">
        <v>16</v>
      </c>
    </row>
    <row r="14947" spans="1:6" ht="25.5">
      <c r="A14947" s="2">
        <v>14944</v>
      </c>
      <c r="B14947" s="2" t="s">
        <v>15019</v>
      </c>
      <c r="C14947" s="2" t="str">
        <f>"01799614"</f>
        <v>01799614</v>
      </c>
      <c r="D14947" s="2">
        <v>0.19500000000000001</v>
      </c>
      <c r="E14947" s="2">
        <v>7</v>
      </c>
      <c r="F14947" s="2" t="s">
        <v>12</v>
      </c>
    </row>
    <row r="14948" spans="1:6" ht="25.5">
      <c r="A14948" s="2">
        <v>14945</v>
      </c>
      <c r="B14948" s="2" t="s">
        <v>15020</v>
      </c>
      <c r="C14948" s="2" t="str">
        <f>"14346222"</f>
        <v>14346222</v>
      </c>
      <c r="D14948" s="2">
        <v>0.17699999999999999</v>
      </c>
      <c r="E14948" s="2">
        <v>13</v>
      </c>
      <c r="F14948" s="2" t="s">
        <v>12</v>
      </c>
    </row>
    <row r="14949" spans="1:6" ht="25.5">
      <c r="A14949" s="2">
        <v>14946</v>
      </c>
      <c r="B14949" s="2" t="s">
        <v>15021</v>
      </c>
      <c r="C14949" s="2" t="str">
        <f>"00029920"</f>
        <v>00029920</v>
      </c>
      <c r="D14949" s="2">
        <v>0.54700000000000004</v>
      </c>
      <c r="E14949" s="2">
        <v>16</v>
      </c>
      <c r="F14949" s="2" t="s">
        <v>6</v>
      </c>
    </row>
    <row r="14950" spans="1:6" ht="25.5">
      <c r="A14950" s="2">
        <v>14947</v>
      </c>
      <c r="B14950" s="2" t="s">
        <v>15022</v>
      </c>
      <c r="C14950" s="2" t="str">
        <f>"00290831"</f>
        <v>00290831</v>
      </c>
      <c r="D14950" s="2">
        <v>0.13900000000000001</v>
      </c>
      <c r="E14950" s="2">
        <v>10</v>
      </c>
      <c r="F14950" s="2" t="s">
        <v>131</v>
      </c>
    </row>
    <row r="14951" spans="1:6" ht="25.5">
      <c r="A14951" s="2">
        <v>14948</v>
      </c>
      <c r="B14951" s="2" t="s">
        <v>15023</v>
      </c>
      <c r="C14951" s="2" t="str">
        <f>"00294470"</f>
        <v>00294470</v>
      </c>
      <c r="D14951" s="2">
        <v>0.28699999999999998</v>
      </c>
      <c r="E14951" s="2">
        <v>13</v>
      </c>
      <c r="F14951" s="2" t="s">
        <v>503</v>
      </c>
    </row>
    <row r="14952" spans="1:6" ht="25.5">
      <c r="A14952" s="2">
        <v>14949</v>
      </c>
      <c r="B14952" s="2" t="s">
        <v>15024</v>
      </c>
      <c r="C14952" s="2" t="str">
        <f>"00294527"</f>
        <v>00294527</v>
      </c>
      <c r="D14952" s="2">
        <v>0.51800000000000002</v>
      </c>
      <c r="E14952" s="2">
        <v>9</v>
      </c>
      <c r="F14952" s="2" t="s">
        <v>6</v>
      </c>
    </row>
    <row r="14953" spans="1:6" ht="25.5">
      <c r="A14953" s="2">
        <v>14950</v>
      </c>
      <c r="B14953" s="2" t="s">
        <v>15025</v>
      </c>
      <c r="C14953" s="2" t="str">
        <f>"07453515"</f>
        <v>07453515</v>
      </c>
      <c r="D14953" s="2">
        <v>0.82499999999999996</v>
      </c>
      <c r="E14953" s="2">
        <v>14</v>
      </c>
      <c r="F14953" s="2" t="s">
        <v>6</v>
      </c>
    </row>
    <row r="14954" spans="1:6" ht="25.5">
      <c r="A14954" s="2">
        <v>14951</v>
      </c>
      <c r="B14954" s="2" t="s">
        <v>15026</v>
      </c>
      <c r="C14954" s="2" t="str">
        <f>"00294586"</f>
        <v>00294586</v>
      </c>
      <c r="D14954" s="2">
        <v>0.1</v>
      </c>
      <c r="E14954" s="2">
        <v>3</v>
      </c>
      <c r="F14954" s="2" t="s">
        <v>16</v>
      </c>
    </row>
    <row r="14955" spans="1:6" ht="25.5">
      <c r="A14955" s="2">
        <v>14952</v>
      </c>
      <c r="B14955" s="2" t="s">
        <v>15027</v>
      </c>
      <c r="C14955" s="2" t="str">
        <f>"18424309"</f>
        <v>18424309</v>
      </c>
      <c r="D14955" s="2">
        <v>0.28899999999999998</v>
      </c>
      <c r="E14955" s="2">
        <v>7</v>
      </c>
      <c r="F14955" s="2" t="s">
        <v>6</v>
      </c>
    </row>
    <row r="14956" spans="1:6" ht="25.5">
      <c r="A14956" s="2">
        <v>14953</v>
      </c>
      <c r="B14956" s="2" t="s">
        <v>15028</v>
      </c>
      <c r="C14956" s="2" t="str">
        <f>"14680068"</f>
        <v>14680068</v>
      </c>
      <c r="D14956" s="2">
        <v>1.339</v>
      </c>
      <c r="E14956" s="2">
        <v>24</v>
      </c>
      <c r="F14956" s="2" t="s">
        <v>16</v>
      </c>
    </row>
    <row r="14957" spans="1:6" ht="25.5">
      <c r="A14957" s="2">
        <v>14954</v>
      </c>
      <c r="B14957" s="2" t="s">
        <v>15029</v>
      </c>
      <c r="C14957" s="2" t="str">
        <f>"15336077"</f>
        <v>15336077</v>
      </c>
      <c r="D14957" s="2">
        <v>0.17399999999999999</v>
      </c>
      <c r="E14957" s="2">
        <v>1</v>
      </c>
      <c r="F14957" s="2" t="s">
        <v>12</v>
      </c>
    </row>
    <row r="14958" spans="1:6" ht="25.5">
      <c r="A14958" s="2">
        <v>14955</v>
      </c>
      <c r="B14958" s="2" t="s">
        <v>15030</v>
      </c>
      <c r="C14958" s="2" t="str">
        <f>"00294802"</f>
        <v>00294802</v>
      </c>
      <c r="D14958" s="2">
        <v>0.1</v>
      </c>
      <c r="E14958" s="2">
        <v>1</v>
      </c>
      <c r="F14958" s="2" t="s">
        <v>66</v>
      </c>
    </row>
    <row r="14959" spans="1:6" ht="25.5">
      <c r="A14959" s="2">
        <v>14956</v>
      </c>
      <c r="B14959" s="2" t="s">
        <v>15031</v>
      </c>
      <c r="C14959" s="2" t="str">
        <f>"07525370"</f>
        <v>07525370</v>
      </c>
      <c r="D14959" s="2">
        <v>0.105</v>
      </c>
      <c r="E14959" s="2">
        <v>6</v>
      </c>
      <c r="F14959" s="2" t="s">
        <v>66</v>
      </c>
    </row>
    <row r="14960" spans="1:6" ht="25.5">
      <c r="A14960" s="2">
        <v>14957</v>
      </c>
      <c r="B14960" s="2" t="s">
        <v>15032</v>
      </c>
      <c r="C14960" s="2" t="str">
        <f>"02484951"</f>
        <v>02484951</v>
      </c>
      <c r="D14960" s="2">
        <v>0.1</v>
      </c>
      <c r="E14960" s="2">
        <v>4</v>
      </c>
      <c r="F14960" s="2" t="s">
        <v>31</v>
      </c>
    </row>
    <row r="14961" spans="1:6" ht="25.5">
      <c r="A14961" s="2">
        <v>14958</v>
      </c>
      <c r="B14961" s="2" t="s">
        <v>15033</v>
      </c>
      <c r="C14961" s="2" t="str">
        <f>"01036351"</f>
        <v>01036351</v>
      </c>
      <c r="D14961" s="2">
        <v>0.16600000000000001</v>
      </c>
      <c r="E14961" s="2">
        <v>3</v>
      </c>
      <c r="F14961" s="2" t="s">
        <v>159</v>
      </c>
    </row>
    <row r="14962" spans="1:6" ht="25.5">
      <c r="A14962" s="2">
        <v>14959</v>
      </c>
      <c r="B14962" s="2" t="s">
        <v>15034</v>
      </c>
      <c r="C14962" s="2" t="str">
        <f>"14389134"</f>
        <v>14389134</v>
      </c>
      <c r="D14962" s="2">
        <v>0.33400000000000002</v>
      </c>
      <c r="E14962" s="2">
        <v>25</v>
      </c>
      <c r="F14962" s="2" t="s">
        <v>12</v>
      </c>
    </row>
    <row r="14963" spans="1:6" ht="25.5">
      <c r="A14963" s="2">
        <v>14960</v>
      </c>
      <c r="B14963" s="2" t="s">
        <v>15035</v>
      </c>
      <c r="C14963" s="2" t="str">
        <f>"18458815"</f>
        <v>18458815</v>
      </c>
      <c r="D14963" s="2">
        <v>0.16500000000000001</v>
      </c>
      <c r="E14963" s="2">
        <v>3</v>
      </c>
      <c r="F14963" s="2" t="s">
        <v>149</v>
      </c>
    </row>
    <row r="14964" spans="1:6" ht="25.5">
      <c r="A14964" s="2">
        <v>14961</v>
      </c>
      <c r="B14964" s="2" t="s">
        <v>15036</v>
      </c>
      <c r="C14964" s="2" t="str">
        <f>"13342312"</f>
        <v>13342312</v>
      </c>
      <c r="D14964" s="2">
        <v>0.1</v>
      </c>
      <c r="E14964" s="2">
        <v>1</v>
      </c>
      <c r="F14964" s="2" t="s">
        <v>149</v>
      </c>
    </row>
    <row r="14965" spans="1:6" ht="25.5">
      <c r="A14965" s="2">
        <v>14962</v>
      </c>
      <c r="B14965" s="2" t="s">
        <v>15037</v>
      </c>
      <c r="C14965" s="2" t="str">
        <f>"15418480"</f>
        <v>15418480</v>
      </c>
      <c r="D14965" s="2">
        <v>0.186</v>
      </c>
      <c r="E14965" s="2">
        <v>2</v>
      </c>
      <c r="F14965" s="2" t="s">
        <v>6</v>
      </c>
    </row>
    <row r="14966" spans="1:6" ht="25.5">
      <c r="A14966" s="2">
        <v>14963</v>
      </c>
      <c r="B14966" s="2" t="s">
        <v>15038</v>
      </c>
      <c r="C14966" s="2" t="str">
        <f>"00295132"</f>
        <v>00295132</v>
      </c>
      <c r="D14966" s="2">
        <v>0.17</v>
      </c>
      <c r="E14966" s="2">
        <v>4</v>
      </c>
      <c r="F14966" s="2" t="s">
        <v>6</v>
      </c>
    </row>
    <row r="14967" spans="1:6" ht="25.5">
      <c r="A14967" s="2">
        <v>14964</v>
      </c>
      <c r="B14967" s="2" t="s">
        <v>15039</v>
      </c>
      <c r="C14967" s="2" t="str">
        <f>"14505444"</f>
        <v>14505444</v>
      </c>
      <c r="D14967" s="2">
        <v>0.10100000000000001</v>
      </c>
      <c r="E14967" s="2">
        <v>1</v>
      </c>
      <c r="F14967" s="2" t="s">
        <v>212</v>
      </c>
    </row>
    <row r="14968" spans="1:6" ht="25.5">
      <c r="A14968" s="2">
        <v>14965</v>
      </c>
      <c r="B14968" s="2" t="s">
        <v>15040</v>
      </c>
      <c r="C14968" s="2" t="str">
        <f>"10553177"</f>
        <v>10553177</v>
      </c>
      <c r="D14968" s="2">
        <v>0.308</v>
      </c>
      <c r="E14968" s="2">
        <v>15</v>
      </c>
      <c r="F14968" s="2" t="s">
        <v>6</v>
      </c>
    </row>
    <row r="14969" spans="1:6" ht="25.5">
      <c r="A14969" s="2">
        <v>14966</v>
      </c>
      <c r="B14969" s="2" t="s">
        <v>15041</v>
      </c>
      <c r="C14969" s="2" t="str">
        <f>"19805403"</f>
        <v>19805403</v>
      </c>
      <c r="D14969" s="2">
        <v>0.20399999999999999</v>
      </c>
      <c r="E14969" s="2">
        <v>4</v>
      </c>
      <c r="F14969" s="2" t="s">
        <v>159</v>
      </c>
    </row>
    <row r="14970" spans="1:6" ht="25.5">
      <c r="A14970" s="2">
        <v>14967</v>
      </c>
      <c r="B14970" s="2" t="s">
        <v>15042</v>
      </c>
      <c r="C14970" s="2" t="str">
        <f>"15685365"</f>
        <v>15685365</v>
      </c>
      <c r="D14970" s="2">
        <v>0.13900000000000001</v>
      </c>
      <c r="E14970" s="2">
        <v>3</v>
      </c>
      <c r="F14970" s="2" t="s">
        <v>75</v>
      </c>
    </row>
    <row r="14971" spans="1:6" ht="25.5">
      <c r="A14971" s="2">
        <v>14968</v>
      </c>
      <c r="B14971" s="2" t="s">
        <v>15043</v>
      </c>
      <c r="C14971" s="2" t="str">
        <f>"09008675"</f>
        <v>09008675</v>
      </c>
      <c r="D14971" s="2">
        <v>0.10299999999999999</v>
      </c>
      <c r="E14971" s="2">
        <v>0</v>
      </c>
      <c r="F14971" s="2" t="s">
        <v>163</v>
      </c>
    </row>
    <row r="14972" spans="1:6" ht="25.5">
      <c r="A14972" s="2">
        <v>14969</v>
      </c>
      <c r="B14972" s="2" t="s">
        <v>15044</v>
      </c>
      <c r="C14972" s="2" t="str">
        <f>"0029540X"</f>
        <v>0029540X</v>
      </c>
      <c r="D14972" s="2">
        <v>0.11899999999999999</v>
      </c>
      <c r="E14972" s="2">
        <v>6</v>
      </c>
      <c r="F14972" s="2" t="s">
        <v>169</v>
      </c>
    </row>
    <row r="14973" spans="1:6" ht="25.5">
      <c r="A14973" s="2">
        <v>14970</v>
      </c>
      <c r="B14973" s="2" t="s">
        <v>15045</v>
      </c>
      <c r="C14973" s="2" t="str">
        <f>"18844057"</f>
        <v>18844057</v>
      </c>
      <c r="D14973" s="2">
        <v>3.7469999999999999</v>
      </c>
      <c r="E14973" s="2">
        <v>12</v>
      </c>
      <c r="F14973" s="2" t="s">
        <v>6</v>
      </c>
    </row>
    <row r="14974" spans="1:6" ht="25.5">
      <c r="A14974" s="2">
        <v>14971</v>
      </c>
      <c r="B14974" s="2" t="s">
        <v>15046</v>
      </c>
      <c r="C14974" s="2" t="str">
        <f>"16274830"</f>
        <v>16274830</v>
      </c>
      <c r="D14974" s="2">
        <v>0.14099999999999999</v>
      </c>
      <c r="E14974" s="2">
        <v>3</v>
      </c>
      <c r="F14974" s="2" t="s">
        <v>66</v>
      </c>
    </row>
    <row r="14975" spans="1:6">
      <c r="A14975" s="2">
        <v>14972</v>
      </c>
      <c r="B14975" s="2" t="s">
        <v>15047</v>
      </c>
      <c r="C14975" s="2" t="str">
        <f>"0"</f>
        <v>0</v>
      </c>
      <c r="D14975" s="2">
        <v>0.1</v>
      </c>
      <c r="E14975" s="2">
        <v>0</v>
      </c>
      <c r="F14975" s="2" t="s">
        <v>6</v>
      </c>
    </row>
    <row r="14976" spans="1:6">
      <c r="A14976" s="2">
        <v>14973</v>
      </c>
      <c r="B14976" s="2" t="s">
        <v>15048</v>
      </c>
      <c r="C14976" s="2" t="str">
        <f>"0"</f>
        <v>0</v>
      </c>
      <c r="D14976" s="2">
        <v>0.10100000000000001</v>
      </c>
      <c r="E14976" s="2">
        <v>0</v>
      </c>
      <c r="F14976" s="2" t="s">
        <v>6</v>
      </c>
    </row>
    <row r="14977" spans="1:6" ht="25.5">
      <c r="A14977" s="2">
        <v>14974</v>
      </c>
      <c r="B14977" s="2" t="s">
        <v>15049</v>
      </c>
      <c r="C14977" s="2" t="str">
        <f>"14209144"</f>
        <v>14209144</v>
      </c>
      <c r="D14977" s="2">
        <v>0.14199999999999999</v>
      </c>
      <c r="E14977" s="2">
        <v>3</v>
      </c>
      <c r="F14977" s="2" t="s">
        <v>31</v>
      </c>
    </row>
    <row r="14978" spans="1:6" ht="25.5">
      <c r="A14978" s="2">
        <v>14975</v>
      </c>
      <c r="B14978" s="2" t="s">
        <v>15050</v>
      </c>
      <c r="C14978" s="2" t="str">
        <f>"13483447"</f>
        <v>13483447</v>
      </c>
      <c r="D14978" s="2">
        <v>0.22</v>
      </c>
      <c r="E14978" s="2">
        <v>10</v>
      </c>
      <c r="F14978" s="2" t="s">
        <v>131</v>
      </c>
    </row>
    <row r="14979" spans="1:6" ht="25.5">
      <c r="A14979" s="2">
        <v>14976</v>
      </c>
      <c r="B14979" s="2" t="s">
        <v>15051</v>
      </c>
      <c r="C14979" s="2" t="str">
        <f>"10959904"</f>
        <v>10959904</v>
      </c>
      <c r="D14979" s="2">
        <v>2.1829999999999998</v>
      </c>
      <c r="E14979" s="2">
        <v>28</v>
      </c>
      <c r="F14979" s="2" t="s">
        <v>6</v>
      </c>
    </row>
    <row r="14980" spans="1:6" ht="25.5">
      <c r="A14980" s="2">
        <v>14977</v>
      </c>
      <c r="B14980" s="2" t="s">
        <v>15052</v>
      </c>
      <c r="C14980" s="2" t="str">
        <f>"00295493"</f>
        <v>00295493</v>
      </c>
      <c r="D14980" s="2">
        <v>0.752</v>
      </c>
      <c r="E14980" s="2">
        <v>47</v>
      </c>
      <c r="F14980" s="2" t="s">
        <v>75</v>
      </c>
    </row>
    <row r="14981" spans="1:6" ht="25.5">
      <c r="A14981" s="2">
        <v>14978</v>
      </c>
      <c r="B14981" s="2" t="s">
        <v>15053</v>
      </c>
      <c r="C14981" s="2" t="str">
        <f>"17385733"</f>
        <v>17385733</v>
      </c>
      <c r="D14981" s="2">
        <v>0.56100000000000005</v>
      </c>
      <c r="E14981" s="2">
        <v>9</v>
      </c>
      <c r="F14981" s="2" t="s">
        <v>274</v>
      </c>
    </row>
    <row r="14982" spans="1:6" ht="25.5">
      <c r="A14982" s="2">
        <v>14979</v>
      </c>
      <c r="B14982" s="2" t="s">
        <v>15054</v>
      </c>
      <c r="C14982" s="2" t="str">
        <f>"17414326"</f>
        <v>17414326</v>
      </c>
      <c r="D14982" s="2">
        <v>1.198</v>
      </c>
      <c r="E14982" s="2">
        <v>72</v>
      </c>
      <c r="F14982" s="2" t="s">
        <v>16</v>
      </c>
    </row>
    <row r="14983" spans="1:6" ht="25.5">
      <c r="A14983" s="2">
        <v>14980</v>
      </c>
      <c r="B14983" s="2" t="s">
        <v>15055</v>
      </c>
      <c r="C14983" s="2" t="str">
        <f>"17452058"</f>
        <v>17452058</v>
      </c>
      <c r="D14983" s="2">
        <v>0.14099999999999999</v>
      </c>
      <c r="E14983" s="2">
        <v>3</v>
      </c>
      <c r="F14983" s="2" t="s">
        <v>16</v>
      </c>
    </row>
    <row r="14984" spans="1:6" ht="25.5">
      <c r="A14984" s="2">
        <v>14981</v>
      </c>
      <c r="B14984" s="2" t="s">
        <v>15056</v>
      </c>
      <c r="C14984" s="2" t="str">
        <f>"01689002"</f>
        <v>01689002</v>
      </c>
      <c r="D14984" s="2">
        <v>0.73499999999999999</v>
      </c>
      <c r="E14984" s="2">
        <v>102</v>
      </c>
      <c r="F14984" s="2" t="s">
        <v>75</v>
      </c>
    </row>
    <row r="14985" spans="1:6" ht="25.5">
      <c r="A14985" s="2">
        <v>14982</v>
      </c>
      <c r="B14985" s="2" t="s">
        <v>15057</v>
      </c>
      <c r="C14985" s="2" t="str">
        <f>"0168583X"</f>
        <v>0168583X</v>
      </c>
      <c r="D14985" s="2">
        <v>0.59299999999999997</v>
      </c>
      <c r="E14985" s="2">
        <v>78</v>
      </c>
      <c r="F14985" s="2" t="s">
        <v>75</v>
      </c>
    </row>
    <row r="14986" spans="1:6" ht="25.5">
      <c r="A14986" s="2">
        <v>14983</v>
      </c>
      <c r="B14986" s="2" t="s">
        <v>15058</v>
      </c>
      <c r="C14986" s="2" t="str">
        <f>"03059804"</f>
        <v>03059804</v>
      </c>
      <c r="D14986" s="2">
        <v>0.14399999999999999</v>
      </c>
      <c r="E14986" s="2">
        <v>1</v>
      </c>
      <c r="F14986" s="2" t="s">
        <v>16</v>
      </c>
    </row>
    <row r="14987" spans="1:6" ht="25.5">
      <c r="A14987" s="2">
        <v>14984</v>
      </c>
      <c r="B14987" s="2" t="s">
        <v>15059</v>
      </c>
      <c r="C14987" s="2" t="str">
        <f>"09698051"</f>
        <v>09698051</v>
      </c>
      <c r="D14987" s="2">
        <v>0.79700000000000004</v>
      </c>
      <c r="E14987" s="2">
        <v>63</v>
      </c>
      <c r="F14987" s="2" t="s">
        <v>6</v>
      </c>
    </row>
    <row r="14988" spans="1:6" ht="25.5">
      <c r="A14988" s="2">
        <v>14985</v>
      </c>
      <c r="B14988" s="2" t="s">
        <v>15060</v>
      </c>
      <c r="C14988" s="2" t="str">
        <f>"18693482"</f>
        <v>18693482</v>
      </c>
      <c r="D14988" s="2">
        <v>0.22800000000000001</v>
      </c>
      <c r="E14988" s="2">
        <v>5</v>
      </c>
      <c r="F14988" s="2" t="s">
        <v>12</v>
      </c>
    </row>
    <row r="14989" spans="1:6" ht="25.5">
      <c r="A14989" s="2">
        <v>14986</v>
      </c>
      <c r="B14989" s="2" t="s">
        <v>15061</v>
      </c>
      <c r="C14989" s="2" t="str">
        <f>"01433636"</f>
        <v>01433636</v>
      </c>
      <c r="D14989" s="2">
        <v>0.56899999999999995</v>
      </c>
      <c r="E14989" s="2">
        <v>47</v>
      </c>
      <c r="F14989" s="2" t="s">
        <v>6</v>
      </c>
    </row>
    <row r="14990" spans="1:6" ht="25.5">
      <c r="A14990" s="2">
        <v>14987</v>
      </c>
      <c r="B14990" s="2" t="s">
        <v>15062</v>
      </c>
      <c r="C14990" s="2" t="str">
        <f>"16444345"</f>
        <v>16444345</v>
      </c>
      <c r="D14990" s="2">
        <v>0.152</v>
      </c>
      <c r="E14990" s="2">
        <v>10</v>
      </c>
      <c r="F14990" s="2" t="s">
        <v>169</v>
      </c>
    </row>
    <row r="14991" spans="1:6" ht="25.5">
      <c r="A14991" s="2">
        <v>14988</v>
      </c>
      <c r="B14991" s="2" t="s">
        <v>15063</v>
      </c>
      <c r="C14991" s="2" t="str">
        <f>"03759474"</f>
        <v>03759474</v>
      </c>
      <c r="D14991" s="2">
        <v>1.1060000000000001</v>
      </c>
      <c r="E14991" s="2">
        <v>112</v>
      </c>
      <c r="F14991" s="2" t="s">
        <v>75</v>
      </c>
    </row>
    <row r="14992" spans="1:6" ht="25.5">
      <c r="A14992" s="2">
        <v>14989</v>
      </c>
      <c r="B14992" s="2" t="s">
        <v>15064</v>
      </c>
      <c r="C14992" s="2" t="str">
        <f>"1818331X"</f>
        <v>1818331X</v>
      </c>
      <c r="D14992" s="2">
        <v>0.14799999999999999</v>
      </c>
      <c r="E14992" s="2">
        <v>3</v>
      </c>
      <c r="F14992" s="2" t="s">
        <v>438</v>
      </c>
    </row>
    <row r="14993" spans="1:6" ht="25.5">
      <c r="A14993" s="2">
        <v>14990</v>
      </c>
      <c r="B14993" s="2" t="s">
        <v>15065</v>
      </c>
      <c r="C14993" s="2" t="str">
        <f>"05503213"</f>
        <v>05503213</v>
      </c>
      <c r="D14993" s="2">
        <v>2.5150000000000001</v>
      </c>
      <c r="E14993" s="2">
        <v>186</v>
      </c>
      <c r="F14993" s="2" t="s">
        <v>75</v>
      </c>
    </row>
    <row r="14994" spans="1:6" ht="25.5">
      <c r="A14994" s="2">
        <v>14991</v>
      </c>
      <c r="B14994" s="2" t="s">
        <v>15066</v>
      </c>
      <c r="C14994" s="2" t="str">
        <f>"09205632"</f>
        <v>09205632</v>
      </c>
      <c r="D14994" s="2">
        <v>0.32100000000000001</v>
      </c>
      <c r="E14994" s="2">
        <v>55</v>
      </c>
      <c r="F14994" s="2" t="s">
        <v>75</v>
      </c>
    </row>
    <row r="14995" spans="1:6" ht="25.5">
      <c r="A14995" s="2">
        <v>14992</v>
      </c>
      <c r="B14995" s="2" t="s">
        <v>15067</v>
      </c>
      <c r="C14995" s="2" t="str">
        <f>"15507629"</f>
        <v>15507629</v>
      </c>
      <c r="D14995" s="2">
        <v>4.1719999999999997</v>
      </c>
      <c r="E14995" s="2">
        <v>21</v>
      </c>
      <c r="F14995" s="2" t="s">
        <v>6</v>
      </c>
    </row>
    <row r="14996" spans="1:6" ht="25.5">
      <c r="A14996" s="2">
        <v>14993</v>
      </c>
      <c r="B14996" s="2" t="s">
        <v>15068</v>
      </c>
      <c r="C14996" s="2" t="str">
        <f>"00295639"</f>
        <v>00295639</v>
      </c>
      <c r="D14996" s="2">
        <v>0.72</v>
      </c>
      <c r="E14996" s="2">
        <v>34</v>
      </c>
      <c r="F14996" s="2" t="s">
        <v>6</v>
      </c>
    </row>
    <row r="14997" spans="1:6" ht="25.5">
      <c r="A14997" s="2">
        <v>14994</v>
      </c>
      <c r="B14997" s="2" t="s">
        <v>15069</v>
      </c>
      <c r="C14997" s="2" t="str">
        <f>"00295450"</f>
        <v>00295450</v>
      </c>
      <c r="D14997" s="2">
        <v>0.35899999999999999</v>
      </c>
      <c r="E14997" s="2">
        <v>29</v>
      </c>
      <c r="F14997" s="2" t="s">
        <v>6</v>
      </c>
    </row>
    <row r="14998" spans="1:6" ht="25.5">
      <c r="A14998" s="2">
        <v>14995</v>
      </c>
      <c r="B14998" s="2" t="s">
        <v>15070</v>
      </c>
      <c r="C14998" s="2" t="str">
        <f>"14513994"</f>
        <v>14513994</v>
      </c>
      <c r="D14998" s="2">
        <v>0.32400000000000001</v>
      </c>
      <c r="E14998" s="2">
        <v>6</v>
      </c>
      <c r="F14998" s="2" t="s">
        <v>212</v>
      </c>
    </row>
    <row r="14999" spans="1:6" ht="25.5">
      <c r="A14999" s="2">
        <v>14996</v>
      </c>
      <c r="B14999" s="2" t="s">
        <v>15071</v>
      </c>
      <c r="C14999" s="2" t="str">
        <f>"13624962"</f>
        <v>13624962</v>
      </c>
      <c r="D14999" s="2">
        <v>5.125</v>
      </c>
      <c r="E14999" s="2">
        <v>299</v>
      </c>
      <c r="F14999" s="2" t="s">
        <v>16</v>
      </c>
    </row>
    <row r="15000" spans="1:6" ht="25.5">
      <c r="A15000" s="2">
        <v>14997</v>
      </c>
      <c r="B15000" s="2" t="s">
        <v>15072</v>
      </c>
      <c r="C15000" s="2" t="str">
        <f>"21593345"</f>
        <v>21593345</v>
      </c>
      <c r="D15000" s="2">
        <v>0.752</v>
      </c>
      <c r="E15000" s="2">
        <v>48</v>
      </c>
      <c r="F15000" s="2" t="s">
        <v>6</v>
      </c>
    </row>
    <row r="15001" spans="1:6" ht="25.5">
      <c r="A15001" s="2">
        <v>14998</v>
      </c>
      <c r="B15001" s="2" t="s">
        <v>15073</v>
      </c>
      <c r="C15001" s="2" t="str">
        <f>"15257770"</f>
        <v>15257770</v>
      </c>
      <c r="D15001" s="2">
        <v>0.23899999999999999</v>
      </c>
      <c r="E15001" s="2">
        <v>34</v>
      </c>
      <c r="F15001" s="2" t="s">
        <v>16</v>
      </c>
    </row>
    <row r="15002" spans="1:6" ht="25.5">
      <c r="A15002" s="2">
        <v>14999</v>
      </c>
      <c r="B15002" s="2" t="s">
        <v>15074</v>
      </c>
      <c r="C15002" s="2" t="str">
        <f>"19491042"</f>
        <v>19491042</v>
      </c>
      <c r="D15002" s="2">
        <v>1.2</v>
      </c>
      <c r="E15002" s="2">
        <v>4</v>
      </c>
      <c r="F15002" s="2" t="s">
        <v>6</v>
      </c>
    </row>
    <row r="15003" spans="1:6" ht="25.5">
      <c r="A15003" s="2">
        <v>15000</v>
      </c>
      <c r="B15003" s="2" t="s">
        <v>15075</v>
      </c>
      <c r="C15003" s="2" t="str">
        <f>"00295566"</f>
        <v>00295566</v>
      </c>
      <c r="D15003" s="2">
        <v>0.53100000000000003</v>
      </c>
      <c r="E15003" s="2">
        <v>26</v>
      </c>
      <c r="F15003" s="2" t="s">
        <v>12</v>
      </c>
    </row>
    <row r="15004" spans="1:6" ht="25.5">
      <c r="A15004" s="2">
        <v>15001</v>
      </c>
      <c r="B15004" s="2" t="s">
        <v>15076</v>
      </c>
      <c r="C15004" s="2" t="str">
        <f>"15085791"</f>
        <v>15085791</v>
      </c>
      <c r="D15004" s="2">
        <v>0.28999999999999998</v>
      </c>
      <c r="E15004" s="2">
        <v>13</v>
      </c>
      <c r="F15004" s="2" t="s">
        <v>169</v>
      </c>
    </row>
    <row r="15005" spans="1:6" ht="25.5">
      <c r="A15005" s="2">
        <v>15002</v>
      </c>
      <c r="B15005" s="2" t="s">
        <v>15077</v>
      </c>
      <c r="C15005" s="2" t="str">
        <f>"15685276"</f>
        <v>15685276</v>
      </c>
      <c r="D15005" s="2">
        <v>0.10299999999999999</v>
      </c>
      <c r="E15005" s="2">
        <v>4</v>
      </c>
      <c r="F15005" s="2" t="s">
        <v>75</v>
      </c>
    </row>
    <row r="15006" spans="1:6" ht="25.5">
      <c r="A15006" s="2">
        <v>15003</v>
      </c>
      <c r="B15006" s="2" t="s">
        <v>15078</v>
      </c>
      <c r="C15006" s="2" t="str">
        <f>"10171398"</f>
        <v>10171398</v>
      </c>
      <c r="D15006" s="2">
        <v>0.96899999999999997</v>
      </c>
      <c r="E15006" s="2">
        <v>30</v>
      </c>
      <c r="F15006" s="2" t="s">
        <v>75</v>
      </c>
    </row>
    <row r="15007" spans="1:6" ht="25.5">
      <c r="A15007" s="2">
        <v>15004</v>
      </c>
      <c r="B15007" s="2" t="s">
        <v>15079</v>
      </c>
      <c r="C15007" s="2" t="str">
        <f>"19954247"</f>
        <v>19954247</v>
      </c>
      <c r="D15007" s="2">
        <v>0.152</v>
      </c>
      <c r="E15007" s="2">
        <v>3</v>
      </c>
      <c r="F15007" s="2" t="s">
        <v>129</v>
      </c>
    </row>
    <row r="15008" spans="1:6" ht="25.5">
      <c r="A15008" s="2">
        <v>15005</v>
      </c>
      <c r="B15008" s="2" t="s">
        <v>15080</v>
      </c>
      <c r="C15008" s="2" t="str">
        <f>"15322467"</f>
        <v>15322467</v>
      </c>
      <c r="D15008" s="2">
        <v>0.71599999999999997</v>
      </c>
      <c r="E15008" s="2">
        <v>26</v>
      </c>
      <c r="F15008" s="2" t="s">
        <v>16</v>
      </c>
    </row>
    <row r="15009" spans="1:6" ht="25.5">
      <c r="A15009" s="2">
        <v>15006</v>
      </c>
      <c r="B15009" s="2" t="s">
        <v>15081</v>
      </c>
      <c r="C15009" s="2" t="str">
        <f>"10407782"</f>
        <v>10407782</v>
      </c>
      <c r="D15009" s="2">
        <v>1.534</v>
      </c>
      <c r="E15009" s="2">
        <v>42</v>
      </c>
      <c r="F15009" s="2" t="s">
        <v>16</v>
      </c>
    </row>
    <row r="15010" spans="1:6" ht="25.5">
      <c r="A15010" s="2">
        <v>15007</v>
      </c>
      <c r="B15010" s="2" t="s">
        <v>15082</v>
      </c>
      <c r="C15010" s="2" t="str">
        <f>"15210626"</f>
        <v>15210626</v>
      </c>
      <c r="D15010" s="2">
        <v>1.204</v>
      </c>
      <c r="E15010" s="2">
        <v>35</v>
      </c>
      <c r="F15010" s="2" t="s">
        <v>16</v>
      </c>
    </row>
    <row r="15011" spans="1:6" ht="25.5">
      <c r="A15011" s="2">
        <v>15008</v>
      </c>
      <c r="B15011" s="2" t="s">
        <v>15083</v>
      </c>
      <c r="C15011" s="2" t="str">
        <f>"10705325"</f>
        <v>10705325</v>
      </c>
      <c r="D15011" s="2">
        <v>0.78</v>
      </c>
      <c r="E15011" s="2">
        <v>27</v>
      </c>
      <c r="F15011" s="2" t="s">
        <v>16</v>
      </c>
    </row>
    <row r="15012" spans="1:6" ht="25.5">
      <c r="A15012" s="2">
        <v>15009</v>
      </c>
      <c r="B15012" s="2" t="s">
        <v>15084</v>
      </c>
      <c r="C15012" s="2" t="str">
        <f>"10048979"</f>
        <v>10048979</v>
      </c>
      <c r="D15012" s="2">
        <v>0.621</v>
      </c>
      <c r="E15012" s="2">
        <v>4</v>
      </c>
      <c r="F15012" s="2" t="s">
        <v>46</v>
      </c>
    </row>
    <row r="15013" spans="1:6" ht="25.5">
      <c r="A15013" s="2">
        <v>15010</v>
      </c>
      <c r="B15013" s="2" t="s">
        <v>15085</v>
      </c>
      <c r="C15013" s="2" t="str">
        <f>"10982426"</f>
        <v>10982426</v>
      </c>
      <c r="D15013" s="2">
        <v>1.036</v>
      </c>
      <c r="E15013" s="2">
        <v>30</v>
      </c>
      <c r="F15013" s="2" t="s">
        <v>6</v>
      </c>
    </row>
    <row r="15014" spans="1:6" ht="25.5">
      <c r="A15014" s="2">
        <v>15011</v>
      </c>
      <c r="B15014" s="2" t="s">
        <v>15086</v>
      </c>
      <c r="C15014" s="2" t="str">
        <f>"09453245"</f>
        <v>09453245</v>
      </c>
      <c r="D15014" s="2">
        <v>1.6259999999999999</v>
      </c>
      <c r="E15014" s="2">
        <v>50</v>
      </c>
      <c r="F15014" s="2" t="s">
        <v>6</v>
      </c>
    </row>
    <row r="15015" spans="1:6" ht="25.5">
      <c r="A15015" s="2">
        <v>15012</v>
      </c>
      <c r="B15015" s="2" t="s">
        <v>15087</v>
      </c>
      <c r="C15015" s="2" t="str">
        <f>"00782696"</f>
        <v>00782696</v>
      </c>
      <c r="D15015" s="2">
        <v>0.105</v>
      </c>
      <c r="E15015" s="2">
        <v>4</v>
      </c>
      <c r="F15015" s="2" t="s">
        <v>16</v>
      </c>
    </row>
    <row r="15016" spans="1:6" ht="25.5">
      <c r="A15016" s="2">
        <v>15013</v>
      </c>
      <c r="B15016" s="2" t="s">
        <v>15088</v>
      </c>
      <c r="C15016" s="2" t="str">
        <f>"03947394"</f>
        <v>03947394</v>
      </c>
      <c r="D15016" s="2">
        <v>0.1</v>
      </c>
      <c r="E15016" s="2">
        <v>4</v>
      </c>
      <c r="F15016" s="2" t="s">
        <v>75</v>
      </c>
    </row>
    <row r="15017" spans="1:6" ht="25.5">
      <c r="A15017" s="2">
        <v>15014</v>
      </c>
      <c r="B15017" s="2" t="s">
        <v>15089</v>
      </c>
      <c r="C15017" s="2" t="str">
        <f>"00296228"</f>
        <v>00296228</v>
      </c>
      <c r="D15017" s="2">
        <v>0.1</v>
      </c>
      <c r="E15017" s="2">
        <v>1</v>
      </c>
      <c r="F15017" s="2" t="s">
        <v>190</v>
      </c>
    </row>
    <row r="15018" spans="1:6" ht="25.5">
      <c r="A15018" s="2">
        <v>15015</v>
      </c>
      <c r="B15018" s="2" t="s">
        <v>15090</v>
      </c>
      <c r="C15018" s="2" t="str">
        <f>"00296236"</f>
        <v>00296236</v>
      </c>
      <c r="D15018" s="2">
        <v>0.1</v>
      </c>
      <c r="E15018" s="2">
        <v>2</v>
      </c>
      <c r="F15018" s="2" t="s">
        <v>190</v>
      </c>
    </row>
    <row r="15019" spans="1:6" ht="25.5">
      <c r="A15019" s="2">
        <v>15016</v>
      </c>
      <c r="B15019" s="2" t="s">
        <v>15091</v>
      </c>
      <c r="C15019" s="2" t="str">
        <f>"11241896"</f>
        <v>11241896</v>
      </c>
      <c r="D15019" s="2">
        <v>0.14199999999999999</v>
      </c>
      <c r="E15019" s="2">
        <v>15</v>
      </c>
      <c r="F15019" s="2" t="s">
        <v>190</v>
      </c>
    </row>
    <row r="15020" spans="1:6" ht="25.5">
      <c r="A15020" s="2">
        <v>15017</v>
      </c>
      <c r="B15020" s="2" t="s">
        <v>15092</v>
      </c>
      <c r="C15020" s="2" t="str">
        <f>"18735223"</f>
        <v>18735223</v>
      </c>
      <c r="D15020" s="2">
        <v>0.69699999999999995</v>
      </c>
      <c r="E15020" s="2">
        <v>19</v>
      </c>
      <c r="F15020" s="2" t="s">
        <v>16</v>
      </c>
    </row>
    <row r="15021" spans="1:6" ht="25.5">
      <c r="A15021" s="2">
        <v>15018</v>
      </c>
      <c r="B15021" s="2" t="s">
        <v>15093</v>
      </c>
      <c r="C15021" s="2" t="str">
        <f>"15322793"</f>
        <v>15322793</v>
      </c>
      <c r="D15021" s="2">
        <v>0.86499999999999999</v>
      </c>
      <c r="E15021" s="2">
        <v>37</v>
      </c>
      <c r="F15021" s="2" t="s">
        <v>16</v>
      </c>
    </row>
    <row r="15022" spans="1:6" ht="25.5">
      <c r="A15022" s="2">
        <v>15019</v>
      </c>
      <c r="B15022" s="2" t="s">
        <v>15094</v>
      </c>
      <c r="C15022" s="2" t="str">
        <f>"03633624"</f>
        <v>03633624</v>
      </c>
      <c r="D15022" s="2">
        <v>0.504</v>
      </c>
      <c r="E15022" s="2">
        <v>26</v>
      </c>
      <c r="F15022" s="2" t="s">
        <v>6</v>
      </c>
    </row>
    <row r="15023" spans="1:6" ht="25.5">
      <c r="A15023" s="2">
        <v>15020</v>
      </c>
      <c r="B15023" s="2" t="s">
        <v>15095</v>
      </c>
      <c r="C15023" s="2" t="str">
        <f>"15414620"</f>
        <v>15414620</v>
      </c>
      <c r="D15023" s="2">
        <v>0.22900000000000001</v>
      </c>
      <c r="E15023" s="2">
        <v>7</v>
      </c>
      <c r="F15023" s="2" t="s">
        <v>6</v>
      </c>
    </row>
    <row r="15024" spans="1:6" ht="25.5">
      <c r="A15024" s="2">
        <v>15021</v>
      </c>
      <c r="B15024" s="2" t="s">
        <v>15096</v>
      </c>
      <c r="C15024" s="2" t="str">
        <f>"15388662"</f>
        <v>15388662</v>
      </c>
      <c r="D15024" s="2">
        <v>0.121</v>
      </c>
      <c r="E15024" s="2">
        <v>15</v>
      </c>
      <c r="F15024" s="2" t="s">
        <v>6</v>
      </c>
    </row>
    <row r="15025" spans="1:6" ht="25.5">
      <c r="A15025" s="2">
        <v>15022</v>
      </c>
      <c r="B15025" s="2" t="s">
        <v>15097</v>
      </c>
      <c r="C15025" s="2" t="str">
        <f>"13515578"</f>
        <v>13515578</v>
      </c>
      <c r="D15025" s="2">
        <v>0.35499999999999998</v>
      </c>
      <c r="E15025" s="2">
        <v>19</v>
      </c>
      <c r="F15025" s="2" t="s">
        <v>16</v>
      </c>
    </row>
    <row r="15026" spans="1:6" ht="25.5">
      <c r="A15026" s="2">
        <v>15023</v>
      </c>
      <c r="B15026" s="2" t="s">
        <v>15098</v>
      </c>
      <c r="C15026" s="2" t="str">
        <f>"15388689"</f>
        <v>15388689</v>
      </c>
      <c r="D15026" s="2">
        <v>0.127</v>
      </c>
      <c r="E15026" s="2">
        <v>11</v>
      </c>
      <c r="F15026" s="2" t="s">
        <v>6</v>
      </c>
    </row>
    <row r="15027" spans="1:6" ht="25.5">
      <c r="A15027" s="2">
        <v>15024</v>
      </c>
      <c r="B15027" s="2" t="s">
        <v>15099</v>
      </c>
      <c r="C15027" s="2" t="str">
        <f>"15505103"</f>
        <v>15505103</v>
      </c>
      <c r="D15027" s="2">
        <v>0.55000000000000004</v>
      </c>
      <c r="E15027" s="2">
        <v>21</v>
      </c>
      <c r="F15027" s="2" t="s">
        <v>6</v>
      </c>
    </row>
    <row r="15028" spans="1:6" ht="25.5">
      <c r="A15028" s="2">
        <v>15025</v>
      </c>
      <c r="B15028" s="2" t="s">
        <v>15100</v>
      </c>
      <c r="C15028" s="2" t="str">
        <f>"14422018"</f>
        <v>14422018</v>
      </c>
      <c r="D15028" s="2">
        <v>0.36899999999999999</v>
      </c>
      <c r="E15028" s="2">
        <v>24</v>
      </c>
      <c r="F15028" s="2" t="s">
        <v>16</v>
      </c>
    </row>
    <row r="15029" spans="1:6" ht="25.5">
      <c r="A15029" s="2">
        <v>15026</v>
      </c>
      <c r="B15029" s="2" t="s">
        <v>15101</v>
      </c>
      <c r="C15029" s="2" t="str">
        <f>"20462344"</f>
        <v>20462344</v>
      </c>
      <c r="D15029" s="2">
        <v>0.16</v>
      </c>
      <c r="E15029" s="2">
        <v>12</v>
      </c>
      <c r="F15029" s="2" t="s">
        <v>16</v>
      </c>
    </row>
    <row r="15030" spans="1:6" ht="25.5">
      <c r="A15030" s="2">
        <v>15027</v>
      </c>
      <c r="B15030" s="2" t="s">
        <v>15102</v>
      </c>
      <c r="C15030" s="2" t="str">
        <f>"00296465"</f>
        <v>00296465</v>
      </c>
      <c r="D15030" s="2">
        <v>0.28100000000000003</v>
      </c>
      <c r="E15030" s="2">
        <v>20</v>
      </c>
      <c r="F15030" s="2" t="s">
        <v>16</v>
      </c>
    </row>
    <row r="15031" spans="1:6" ht="25.5">
      <c r="A15031" s="2">
        <v>15028</v>
      </c>
      <c r="B15031" s="2" t="s">
        <v>15103</v>
      </c>
      <c r="C15031" s="2" t="str">
        <f>"1558447X"</f>
        <v>1558447X</v>
      </c>
      <c r="D15031" s="2">
        <v>0</v>
      </c>
      <c r="E15031" s="2">
        <v>0</v>
      </c>
      <c r="F15031" s="2" t="s">
        <v>6</v>
      </c>
    </row>
    <row r="15032" spans="1:6" ht="25.5">
      <c r="A15032" s="2">
        <v>15029</v>
      </c>
      <c r="B15032" s="2" t="s">
        <v>15104</v>
      </c>
      <c r="C15032" s="2" t="str">
        <f>"07461739"</f>
        <v>07461739</v>
      </c>
      <c r="D15032" s="2">
        <v>0.78700000000000003</v>
      </c>
      <c r="E15032" s="2">
        <v>29</v>
      </c>
      <c r="F15032" s="2" t="s">
        <v>6</v>
      </c>
    </row>
    <row r="15033" spans="1:6" ht="25.5">
      <c r="A15033" s="2">
        <v>15030</v>
      </c>
      <c r="B15033" s="2" t="s">
        <v>15105</v>
      </c>
      <c r="C15033" s="2" t="str">
        <f>"15365026"</f>
        <v>15365026</v>
      </c>
      <c r="D15033" s="2">
        <v>1.0109999999999999</v>
      </c>
      <c r="E15033" s="2">
        <v>26</v>
      </c>
      <c r="F15033" s="2" t="s">
        <v>6</v>
      </c>
    </row>
    <row r="15034" spans="1:6" ht="25.5">
      <c r="A15034" s="2">
        <v>15031</v>
      </c>
      <c r="B15034" s="2" t="s">
        <v>15106</v>
      </c>
      <c r="C15034" s="2" t="str">
        <f>"14770989"</f>
        <v>14770989</v>
      </c>
      <c r="D15034" s="2">
        <v>0.65700000000000003</v>
      </c>
      <c r="E15034" s="2">
        <v>30</v>
      </c>
      <c r="F15034" s="2" t="s">
        <v>16</v>
      </c>
    </row>
    <row r="15035" spans="1:6" ht="25.5">
      <c r="A15035" s="2">
        <v>15032</v>
      </c>
      <c r="B15035" s="2" t="s">
        <v>15107</v>
      </c>
      <c r="C15035" s="2" t="str">
        <f>"00296473"</f>
        <v>00296473</v>
      </c>
      <c r="D15035" s="2">
        <v>0.32800000000000001</v>
      </c>
      <c r="E15035" s="2">
        <v>18</v>
      </c>
      <c r="F15035" s="2" t="s">
        <v>6</v>
      </c>
    </row>
    <row r="15036" spans="1:6" ht="25.5">
      <c r="A15036" s="2">
        <v>15033</v>
      </c>
      <c r="B15036" s="2" t="s">
        <v>15108</v>
      </c>
      <c r="C15036" s="2" t="str">
        <f>"1751486X"</f>
        <v>1751486X</v>
      </c>
      <c r="D15036" s="2">
        <v>0.14499999999999999</v>
      </c>
      <c r="E15036" s="2">
        <v>9</v>
      </c>
      <c r="F15036" s="2" t="s">
        <v>6</v>
      </c>
    </row>
    <row r="15037" spans="1:6" ht="25.5">
      <c r="A15037" s="2">
        <v>15034</v>
      </c>
      <c r="B15037" s="2" t="s">
        <v>15109</v>
      </c>
      <c r="C15037" s="2" t="str">
        <f>"10628061"</f>
        <v>10628061</v>
      </c>
      <c r="D15037" s="2">
        <v>0.11700000000000001</v>
      </c>
      <c r="E15037" s="2">
        <v>7</v>
      </c>
      <c r="F15037" s="2" t="s">
        <v>6</v>
      </c>
    </row>
    <row r="15038" spans="1:6" ht="25.5">
      <c r="A15038" s="2">
        <v>15035</v>
      </c>
      <c r="B15038" s="2" t="s">
        <v>15110</v>
      </c>
      <c r="C15038" s="2" t="str">
        <f>"14785153"</f>
        <v>14785153</v>
      </c>
      <c r="D15038" s="2">
        <v>0.49</v>
      </c>
      <c r="E15038" s="2">
        <v>20</v>
      </c>
      <c r="F15038" s="2" t="s">
        <v>16</v>
      </c>
    </row>
    <row r="15039" spans="1:6" ht="25.5">
      <c r="A15039" s="2">
        <v>15036</v>
      </c>
      <c r="B15039" s="2" t="s">
        <v>15111</v>
      </c>
      <c r="C15039" s="2" t="str">
        <f>"14401800"</f>
        <v>14401800</v>
      </c>
      <c r="D15039" s="2">
        <v>0.373</v>
      </c>
      <c r="E15039" s="2">
        <v>29</v>
      </c>
      <c r="F15039" s="2" t="s">
        <v>16</v>
      </c>
    </row>
    <row r="15040" spans="1:6" ht="25.5">
      <c r="A15040" s="2">
        <v>15037</v>
      </c>
      <c r="B15040" s="2" t="s">
        <v>15112</v>
      </c>
      <c r="C15040" s="2" t="str">
        <f>"00296503"</f>
        <v>00296503</v>
      </c>
      <c r="D15040" s="2">
        <v>0.1</v>
      </c>
      <c r="E15040" s="2">
        <v>3</v>
      </c>
      <c r="F15040" s="2" t="s">
        <v>488</v>
      </c>
    </row>
    <row r="15041" spans="1:6" ht="25.5">
      <c r="A15041" s="2">
        <v>15038</v>
      </c>
      <c r="B15041" s="2" t="s">
        <v>15113</v>
      </c>
      <c r="C15041" s="2" t="str">
        <f>"1528848X"</f>
        <v>1528848X</v>
      </c>
      <c r="D15041" s="2">
        <v>0.1</v>
      </c>
      <c r="E15041" s="2">
        <v>1</v>
      </c>
      <c r="F15041" s="2" t="s">
        <v>6</v>
      </c>
    </row>
    <row r="15042" spans="1:6" ht="25.5">
      <c r="A15042" s="2">
        <v>15039</v>
      </c>
      <c r="B15042" s="2" t="s">
        <v>15114</v>
      </c>
      <c r="C15042" s="2" t="str">
        <f>"1910622X"</f>
        <v>1910622X</v>
      </c>
      <c r="D15042" s="2">
        <v>0.26100000000000001</v>
      </c>
      <c r="E15042" s="2">
        <v>16</v>
      </c>
      <c r="F15042" s="2" t="s">
        <v>64</v>
      </c>
    </row>
    <row r="15043" spans="1:6" ht="25.5">
      <c r="A15043" s="2">
        <v>15040</v>
      </c>
      <c r="B15043" s="2" t="s">
        <v>15115</v>
      </c>
      <c r="C15043" s="2" t="str">
        <f>"15522032"</f>
        <v>15522032</v>
      </c>
      <c r="D15043" s="2">
        <v>0.126</v>
      </c>
      <c r="E15043" s="2">
        <v>2</v>
      </c>
      <c r="F15043" s="2" t="s">
        <v>6</v>
      </c>
    </row>
    <row r="15044" spans="1:6" ht="25.5">
      <c r="A15044" s="2">
        <v>15041</v>
      </c>
      <c r="B15044" s="2" t="s">
        <v>15116</v>
      </c>
      <c r="C15044" s="2" t="str">
        <f>"15388670"</f>
        <v>15388670</v>
      </c>
      <c r="D15044" s="2">
        <v>0.20799999999999999</v>
      </c>
      <c r="E15044" s="2">
        <v>16</v>
      </c>
      <c r="F15044" s="2" t="s">
        <v>6</v>
      </c>
    </row>
    <row r="15045" spans="1:6" ht="25.5">
      <c r="A15045" s="2">
        <v>15042</v>
      </c>
      <c r="B15045" s="2" t="s">
        <v>15117</v>
      </c>
      <c r="C15045" s="2" t="str">
        <f>"11732032"</f>
        <v>11732032</v>
      </c>
      <c r="D15045" s="2">
        <v>0.11</v>
      </c>
      <c r="E15045" s="2">
        <v>4</v>
      </c>
      <c r="F15045" s="2" t="s">
        <v>503</v>
      </c>
    </row>
    <row r="15046" spans="1:6" ht="25.5">
      <c r="A15046" s="2">
        <v>15043</v>
      </c>
      <c r="B15046" s="2" t="s">
        <v>15118</v>
      </c>
      <c r="C15046" s="2" t="str">
        <f>"15283968"</f>
        <v>15283968</v>
      </c>
      <c r="D15046" s="2">
        <v>0.94399999999999995</v>
      </c>
      <c r="E15046" s="2">
        <v>28</v>
      </c>
      <c r="F15046" s="2" t="s">
        <v>6</v>
      </c>
    </row>
    <row r="15047" spans="1:6" ht="25.5">
      <c r="A15047" s="2">
        <v>15044</v>
      </c>
      <c r="B15047" s="2" t="s">
        <v>15119</v>
      </c>
      <c r="C15047" s="2" t="str">
        <f>"1466769X"</f>
        <v>1466769X</v>
      </c>
      <c r="D15047" s="2">
        <v>0.55900000000000005</v>
      </c>
      <c r="E15047" s="2">
        <v>16</v>
      </c>
      <c r="F15047" s="2" t="s">
        <v>16</v>
      </c>
    </row>
    <row r="15048" spans="1:6" ht="25.5">
      <c r="A15048" s="2">
        <v>15045</v>
      </c>
      <c r="B15048" s="2" t="s">
        <v>15120</v>
      </c>
      <c r="C15048" s="2" t="str">
        <f>"01127438"</f>
        <v>01127438</v>
      </c>
      <c r="D15048" s="2">
        <v>0.16900000000000001</v>
      </c>
      <c r="E15048" s="2">
        <v>7</v>
      </c>
      <c r="F15048" s="2" t="s">
        <v>503</v>
      </c>
    </row>
    <row r="15049" spans="1:6" ht="25.5">
      <c r="A15049" s="2">
        <v>15046</v>
      </c>
      <c r="B15049" s="2" t="s">
        <v>15121</v>
      </c>
      <c r="C15049" s="2" t="str">
        <f>"15389847"</f>
        <v>15389847</v>
      </c>
      <c r="D15049" s="2">
        <v>0.76300000000000001</v>
      </c>
      <c r="E15049" s="2">
        <v>58</v>
      </c>
      <c r="F15049" s="2" t="s">
        <v>6</v>
      </c>
    </row>
    <row r="15050" spans="1:6" ht="25.5">
      <c r="A15050" s="2">
        <v>15047</v>
      </c>
      <c r="B15050" s="2" t="s">
        <v>15122</v>
      </c>
      <c r="C15050" s="2" t="str">
        <f>"15527409"</f>
        <v>15527409</v>
      </c>
      <c r="D15050" s="2">
        <v>0.34799999999999998</v>
      </c>
      <c r="E15050" s="2">
        <v>25</v>
      </c>
      <c r="F15050" s="2" t="s">
        <v>6</v>
      </c>
    </row>
    <row r="15051" spans="1:6" ht="25.5">
      <c r="A15051" s="2">
        <v>15048</v>
      </c>
      <c r="B15051" s="2" t="s">
        <v>15123</v>
      </c>
      <c r="C15051" s="2" t="str">
        <f>"00296570"</f>
        <v>00296570</v>
      </c>
      <c r="D15051" s="2">
        <v>0.13500000000000001</v>
      </c>
      <c r="E15051" s="2">
        <v>27</v>
      </c>
      <c r="F15051" s="2" t="s">
        <v>16</v>
      </c>
    </row>
    <row r="15052" spans="1:6" ht="25.5">
      <c r="A15052" s="2">
        <v>15049</v>
      </c>
      <c r="B15052" s="2" t="s">
        <v>15124</v>
      </c>
      <c r="C15052" s="2" t="str">
        <f>"09547762"</f>
        <v>09547762</v>
      </c>
      <c r="D15052" s="2">
        <v>0.14000000000000001</v>
      </c>
      <c r="E15052" s="2">
        <v>16</v>
      </c>
      <c r="F15052" s="2" t="s">
        <v>16</v>
      </c>
    </row>
    <row r="15053" spans="1:6" ht="25.5">
      <c r="A15053" s="2">
        <v>15050</v>
      </c>
      <c r="B15053" s="2" t="s">
        <v>15125</v>
      </c>
      <c r="C15053" s="2" t="str">
        <f>"02116057"</f>
        <v>02116057</v>
      </c>
      <c r="D15053" s="2">
        <v>0.11899999999999999</v>
      </c>
      <c r="E15053" s="2">
        <v>4</v>
      </c>
      <c r="F15053" s="2" t="s">
        <v>351</v>
      </c>
    </row>
    <row r="15054" spans="1:6" ht="25.5">
      <c r="A15054" s="2">
        <v>15051</v>
      </c>
      <c r="B15054" s="2" t="s">
        <v>15126</v>
      </c>
      <c r="C15054" s="2" t="str">
        <f>"16995198"</f>
        <v>16995198</v>
      </c>
      <c r="D15054" s="2">
        <v>0.32300000000000001</v>
      </c>
      <c r="E15054" s="2">
        <v>23</v>
      </c>
      <c r="F15054" s="2" t="s">
        <v>351</v>
      </c>
    </row>
    <row r="15055" spans="1:6" ht="25.5">
      <c r="A15055" s="2">
        <v>15052</v>
      </c>
      <c r="B15055" s="2" t="s">
        <v>15127</v>
      </c>
      <c r="C15055" s="2" t="str">
        <f>"13851314"</f>
        <v>13851314</v>
      </c>
      <c r="D15055" s="2">
        <v>0.754</v>
      </c>
      <c r="E15055" s="2">
        <v>54</v>
      </c>
      <c r="F15055" s="2" t="s">
        <v>75</v>
      </c>
    </row>
    <row r="15056" spans="1:6" ht="25.5">
      <c r="A15056" s="2">
        <v>15053</v>
      </c>
      <c r="B15056" s="2" t="s">
        <v>15128</v>
      </c>
      <c r="C15056" s="2" t="str">
        <f>"20726643"</f>
        <v>20726643</v>
      </c>
      <c r="D15056" s="2">
        <v>0.54100000000000004</v>
      </c>
      <c r="E15056" s="2">
        <v>8</v>
      </c>
      <c r="F15056" s="2" t="s">
        <v>31</v>
      </c>
    </row>
    <row r="15057" spans="1:6" ht="25.5">
      <c r="A15057" s="2">
        <v>15054</v>
      </c>
      <c r="B15057" s="2" t="s">
        <v>15129</v>
      </c>
      <c r="C15057" s="2" t="str">
        <f>"08999007"</f>
        <v>08999007</v>
      </c>
      <c r="D15057" s="2">
        <v>0.88400000000000001</v>
      </c>
      <c r="E15057" s="2">
        <v>89</v>
      </c>
      <c r="F15057" s="2" t="s">
        <v>6</v>
      </c>
    </row>
    <row r="15058" spans="1:6" ht="25.5">
      <c r="A15058" s="2">
        <v>15055</v>
      </c>
      <c r="B15058" s="2" t="s">
        <v>15130</v>
      </c>
      <c r="C15058" s="2" t="str">
        <f>"14768305"</f>
        <v>14768305</v>
      </c>
      <c r="D15058" s="2">
        <v>0.55200000000000005</v>
      </c>
      <c r="E15058" s="2">
        <v>32</v>
      </c>
      <c r="F15058" s="2" t="s">
        <v>16</v>
      </c>
    </row>
    <row r="15059" spans="1:6" ht="25.5">
      <c r="A15059" s="2">
        <v>15056</v>
      </c>
      <c r="B15059" s="2" t="s">
        <v>15131</v>
      </c>
      <c r="C15059" s="2" t="str">
        <f>"18286232"</f>
        <v>18286232</v>
      </c>
      <c r="D15059" s="2">
        <v>0.114</v>
      </c>
      <c r="E15059" s="2">
        <v>6</v>
      </c>
      <c r="F15059" s="2" t="s">
        <v>190</v>
      </c>
    </row>
    <row r="15060" spans="1:6" ht="25.5">
      <c r="A15060" s="2">
        <v>15057</v>
      </c>
      <c r="B15060" s="2" t="s">
        <v>15132</v>
      </c>
      <c r="C15060" s="2" t="str">
        <f>"15327914"</f>
        <v>15327914</v>
      </c>
      <c r="D15060" s="2">
        <v>0.91300000000000003</v>
      </c>
      <c r="E15060" s="2">
        <v>79</v>
      </c>
      <c r="F15060" s="2" t="s">
        <v>16</v>
      </c>
    </row>
    <row r="15061" spans="1:6" ht="25.5">
      <c r="A15061" s="2">
        <v>15058</v>
      </c>
      <c r="B15061" s="2" t="s">
        <v>15133</v>
      </c>
      <c r="C15061" s="2" t="str">
        <f>"14466368"</f>
        <v>14466368</v>
      </c>
      <c r="D15061" s="2">
        <v>0.27600000000000002</v>
      </c>
      <c r="E15061" s="2">
        <v>12</v>
      </c>
      <c r="F15061" s="2" t="s">
        <v>16</v>
      </c>
    </row>
    <row r="15062" spans="1:6" ht="25.5">
      <c r="A15062" s="2">
        <v>15059</v>
      </c>
      <c r="B15062" s="2" t="s">
        <v>15134</v>
      </c>
      <c r="C15062" s="2" t="str">
        <f>"00346659"</f>
        <v>00346659</v>
      </c>
      <c r="D15062" s="2">
        <v>0.19800000000000001</v>
      </c>
      <c r="E15062" s="2">
        <v>8</v>
      </c>
      <c r="F15062" s="2" t="s">
        <v>16</v>
      </c>
    </row>
    <row r="15063" spans="1:6" ht="25.5">
      <c r="A15063" s="2">
        <v>15060</v>
      </c>
      <c r="B15063" s="2" t="s">
        <v>15135</v>
      </c>
      <c r="C15063" s="2" t="str">
        <f>"02601060"</f>
        <v>02601060</v>
      </c>
      <c r="D15063" s="2">
        <v>0.23799999999999999</v>
      </c>
      <c r="E15063" s="2">
        <v>17</v>
      </c>
      <c r="F15063" s="2" t="s">
        <v>16</v>
      </c>
    </row>
    <row r="15064" spans="1:6" ht="25.5">
      <c r="A15064" s="2">
        <v>15061</v>
      </c>
      <c r="B15064" s="2" t="s">
        <v>15136</v>
      </c>
      <c r="C15064" s="2" t="str">
        <f>"17437075"</f>
        <v>17437075</v>
      </c>
      <c r="D15064" s="2">
        <v>0.98699999999999999</v>
      </c>
      <c r="E15064" s="2">
        <v>33</v>
      </c>
      <c r="F15064" s="2" t="s">
        <v>16</v>
      </c>
    </row>
    <row r="15065" spans="1:6" ht="25.5">
      <c r="A15065" s="2">
        <v>15062</v>
      </c>
      <c r="B15065" s="2" t="s">
        <v>15137</v>
      </c>
      <c r="C15065" s="2" t="str">
        <f>"02169363"</f>
        <v>02169363</v>
      </c>
      <c r="D15065" s="2">
        <v>0.27700000000000002</v>
      </c>
      <c r="E15065" s="2">
        <v>20</v>
      </c>
      <c r="F15065" s="2" t="s">
        <v>297</v>
      </c>
    </row>
    <row r="15066" spans="1:6" ht="25.5">
      <c r="A15066" s="2">
        <v>15063</v>
      </c>
      <c r="B15066" s="2" t="s">
        <v>15138</v>
      </c>
      <c r="C15066" s="2" t="str">
        <f>"17683092"</f>
        <v>17683092</v>
      </c>
      <c r="D15066" s="2">
        <v>0.13500000000000001</v>
      </c>
      <c r="E15066" s="2">
        <v>10</v>
      </c>
      <c r="F15066" s="2" t="s">
        <v>66</v>
      </c>
    </row>
    <row r="15067" spans="1:6" ht="25.5">
      <c r="A15067" s="2">
        <v>15064</v>
      </c>
      <c r="B15067" s="2" t="s">
        <v>15139</v>
      </c>
      <c r="C15067" s="2" t="str">
        <f>"08845336"</f>
        <v>08845336</v>
      </c>
      <c r="D15067" s="2">
        <v>0.47399999999999998</v>
      </c>
      <c r="E15067" s="2">
        <v>34</v>
      </c>
      <c r="F15067" s="2" t="s">
        <v>16</v>
      </c>
    </row>
    <row r="15068" spans="1:6" ht="25.5">
      <c r="A15068" s="2">
        <v>15065</v>
      </c>
      <c r="B15068" s="2" t="s">
        <v>15140</v>
      </c>
      <c r="C15068" s="2" t="str">
        <f>"14752891"</f>
        <v>14752891</v>
      </c>
      <c r="D15068" s="2">
        <v>0.871</v>
      </c>
      <c r="E15068" s="2">
        <v>33</v>
      </c>
      <c r="F15068" s="2" t="s">
        <v>16</v>
      </c>
    </row>
    <row r="15069" spans="1:6" ht="25.5">
      <c r="A15069" s="2">
        <v>15066</v>
      </c>
      <c r="B15069" s="2" t="s">
        <v>15141</v>
      </c>
      <c r="C15069" s="2" t="str">
        <f>"15903729"</f>
        <v>15903729</v>
      </c>
      <c r="D15069" s="2">
        <v>1.2470000000000001</v>
      </c>
      <c r="E15069" s="2">
        <v>46</v>
      </c>
      <c r="F15069" s="2" t="s">
        <v>75</v>
      </c>
    </row>
    <row r="15070" spans="1:6" ht="25.5">
      <c r="A15070" s="2">
        <v>15067</v>
      </c>
      <c r="B15070" s="2" t="s">
        <v>15142</v>
      </c>
      <c r="C15070" s="2" t="str">
        <f>"18790739"</f>
        <v>18790739</v>
      </c>
      <c r="D15070" s="2">
        <v>0.70699999999999996</v>
      </c>
      <c r="E15070" s="2">
        <v>50</v>
      </c>
      <c r="F15070" s="2" t="s">
        <v>6</v>
      </c>
    </row>
    <row r="15071" spans="1:6" ht="25.5">
      <c r="A15071" s="2">
        <v>15068</v>
      </c>
      <c r="B15071" s="2" t="s">
        <v>15143</v>
      </c>
      <c r="C15071" s="2" t="str">
        <f>"20056168"</f>
        <v>20056168</v>
      </c>
      <c r="D15071" s="2">
        <v>0.26700000000000002</v>
      </c>
      <c r="E15071" s="2">
        <v>5</v>
      </c>
      <c r="F15071" s="2" t="s">
        <v>274</v>
      </c>
    </row>
    <row r="15072" spans="1:6" ht="25.5">
      <c r="A15072" s="2">
        <v>15069</v>
      </c>
      <c r="B15072" s="2" t="s">
        <v>15144</v>
      </c>
      <c r="C15072" s="2" t="str">
        <f>"14752700"</f>
        <v>14752700</v>
      </c>
      <c r="D15072" s="2">
        <v>1.871</v>
      </c>
      <c r="E15072" s="2">
        <v>43</v>
      </c>
      <c r="F15072" s="2" t="s">
        <v>16</v>
      </c>
    </row>
    <row r="15073" spans="1:6" ht="25.5">
      <c r="A15073" s="2">
        <v>15070</v>
      </c>
      <c r="B15073" s="2" t="s">
        <v>15145</v>
      </c>
      <c r="C15073" s="2" t="str">
        <f>"00296643"</f>
        <v>00296643</v>
      </c>
      <c r="D15073" s="2">
        <v>1.5780000000000001</v>
      </c>
      <c r="E15073" s="2">
        <v>83</v>
      </c>
      <c r="F15073" s="2" t="s">
        <v>16</v>
      </c>
    </row>
    <row r="15074" spans="1:6" ht="25.5">
      <c r="A15074" s="2">
        <v>15071</v>
      </c>
      <c r="B15074" s="2" t="s">
        <v>15146</v>
      </c>
      <c r="C15074" s="2" t="str">
        <f>"15389839"</f>
        <v>15389839</v>
      </c>
      <c r="D15074" s="2">
        <v>0.14699999999999999</v>
      </c>
      <c r="E15074" s="2">
        <v>6</v>
      </c>
      <c r="F15074" s="2" t="s">
        <v>6</v>
      </c>
    </row>
    <row r="15075" spans="1:6" ht="25.5">
      <c r="A15075" s="2">
        <v>15072</v>
      </c>
      <c r="B15075" s="2" t="s">
        <v>15147</v>
      </c>
      <c r="C15075" s="2" t="str">
        <f>"00854417"</f>
        <v>00854417</v>
      </c>
      <c r="D15075" s="2">
        <v>0.19600000000000001</v>
      </c>
      <c r="E15075" s="2">
        <v>3</v>
      </c>
      <c r="F15075" s="2" t="s">
        <v>127</v>
      </c>
    </row>
    <row r="15076" spans="1:6" ht="25.5">
      <c r="A15076" s="2">
        <v>15073</v>
      </c>
      <c r="B15076" s="2" t="s">
        <v>15148</v>
      </c>
      <c r="C15076" s="2" t="str">
        <f>"18626599"</f>
        <v>18626599</v>
      </c>
      <c r="D15076" s="2">
        <v>0.121</v>
      </c>
      <c r="E15076" s="2">
        <v>3</v>
      </c>
      <c r="F15076" s="2" t="s">
        <v>12</v>
      </c>
    </row>
    <row r="15077" spans="1:6" ht="25.5">
      <c r="A15077" s="2">
        <v>15074</v>
      </c>
      <c r="B15077" s="2" t="s">
        <v>15149</v>
      </c>
      <c r="C15077" s="2" t="str">
        <f>"19516002"</f>
        <v>19516002</v>
      </c>
      <c r="D15077" s="2">
        <v>0.108</v>
      </c>
      <c r="E15077" s="2">
        <v>4</v>
      </c>
      <c r="F15077" s="2" t="s">
        <v>66</v>
      </c>
    </row>
    <row r="15078" spans="1:6" ht="25.5">
      <c r="A15078" s="2">
        <v>15075</v>
      </c>
      <c r="B15078" s="2" t="s">
        <v>15150</v>
      </c>
      <c r="C15078" s="2" t="str">
        <f>"19307381"</f>
        <v>19307381</v>
      </c>
      <c r="D15078" s="2">
        <v>1.716</v>
      </c>
      <c r="E15078" s="2">
        <v>117</v>
      </c>
      <c r="F15078" s="2" t="s">
        <v>16</v>
      </c>
    </row>
    <row r="15079" spans="1:6" ht="25.5">
      <c r="A15079" s="2">
        <v>15076</v>
      </c>
      <c r="B15079" s="2" t="s">
        <v>15151</v>
      </c>
      <c r="C15079" s="2" t="str">
        <f>"16624033"</f>
        <v>16624033</v>
      </c>
      <c r="D15079" s="2">
        <v>0.55600000000000005</v>
      </c>
      <c r="E15079" s="2">
        <v>14</v>
      </c>
      <c r="F15079" s="2" t="s">
        <v>31</v>
      </c>
    </row>
    <row r="15080" spans="1:6" ht="25.5">
      <c r="A15080" s="2">
        <v>15077</v>
      </c>
      <c r="B15080" s="2" t="s">
        <v>15152</v>
      </c>
      <c r="C15080" s="2" t="str">
        <f>"1871403X"</f>
        <v>1871403X</v>
      </c>
      <c r="D15080" s="2">
        <v>0.189</v>
      </c>
      <c r="E15080" s="2">
        <v>8</v>
      </c>
      <c r="F15080" s="2" t="s">
        <v>75</v>
      </c>
    </row>
    <row r="15081" spans="1:6" ht="25.5">
      <c r="A15081" s="2">
        <v>15078</v>
      </c>
      <c r="B15081" s="2" t="s">
        <v>15153</v>
      </c>
      <c r="C15081" s="2" t="str">
        <f>"14677881"</f>
        <v>14677881</v>
      </c>
      <c r="D15081" s="2">
        <v>2.621</v>
      </c>
      <c r="E15081" s="2">
        <v>76</v>
      </c>
      <c r="F15081" s="2" t="s">
        <v>16</v>
      </c>
    </row>
    <row r="15082" spans="1:6" ht="25.5">
      <c r="A15082" s="2">
        <v>15079</v>
      </c>
      <c r="B15082" s="2" t="s">
        <v>15154</v>
      </c>
      <c r="C15082" s="2" t="str">
        <f>"09608923"</f>
        <v>09608923</v>
      </c>
      <c r="D15082" s="2">
        <v>1.33</v>
      </c>
      <c r="E15082" s="2">
        <v>89</v>
      </c>
      <c r="F15082" s="2" t="s">
        <v>6</v>
      </c>
    </row>
    <row r="15083" spans="1:6" ht="25.5">
      <c r="A15083" s="2">
        <v>15080</v>
      </c>
      <c r="B15083" s="2" t="s">
        <v>15155</v>
      </c>
      <c r="C15083" s="2" t="str">
        <f>"03513947"</f>
        <v>03513947</v>
      </c>
      <c r="D15083" s="2">
        <v>0.10100000000000001</v>
      </c>
      <c r="E15083" s="2">
        <v>1</v>
      </c>
      <c r="F15083" s="2" t="s">
        <v>149</v>
      </c>
    </row>
    <row r="15084" spans="1:6" ht="25.5">
      <c r="A15084" s="2">
        <v>15081</v>
      </c>
      <c r="B15084" s="2" t="s">
        <v>15156</v>
      </c>
      <c r="C15084" s="2" t="str">
        <f>"11330481"</f>
        <v>11330481</v>
      </c>
      <c r="D15084" s="2">
        <v>0</v>
      </c>
      <c r="E15084" s="2">
        <v>0</v>
      </c>
      <c r="F15084" s="2" t="s">
        <v>351</v>
      </c>
    </row>
    <row r="15085" spans="1:6" ht="25.5">
      <c r="A15085" s="2">
        <v>15082</v>
      </c>
      <c r="B15085" s="2" t="s">
        <v>15157</v>
      </c>
      <c r="C15085" s="2" t="str">
        <f>"16465954"</f>
        <v>16465954</v>
      </c>
      <c r="D15085" s="2">
        <v>0.123</v>
      </c>
      <c r="E15085" s="2">
        <v>1</v>
      </c>
      <c r="F15085" s="2" t="s">
        <v>306</v>
      </c>
    </row>
    <row r="15086" spans="1:6" ht="25.5">
      <c r="A15086" s="2">
        <v>15083</v>
      </c>
      <c r="B15086" s="2" t="s">
        <v>15158</v>
      </c>
      <c r="C15086" s="2" t="str">
        <f>"00297704"</f>
        <v>00297704</v>
      </c>
      <c r="D15086" s="2">
        <v>0.16800000000000001</v>
      </c>
      <c r="E15086" s="2">
        <v>10</v>
      </c>
      <c r="F15086" s="2" t="s">
        <v>16</v>
      </c>
    </row>
    <row r="15087" spans="1:6" ht="25.5">
      <c r="A15087" s="2">
        <v>15084</v>
      </c>
      <c r="B15087" s="2" t="s">
        <v>15159</v>
      </c>
      <c r="C15087" s="2" t="str">
        <f>"00297828"</f>
        <v>00297828</v>
      </c>
      <c r="D15087" s="2">
        <v>0.72499999999999998</v>
      </c>
      <c r="E15087" s="2">
        <v>53</v>
      </c>
      <c r="F15087" s="2" t="s">
        <v>6</v>
      </c>
    </row>
    <row r="15088" spans="1:6" ht="25.5">
      <c r="A15088" s="2">
        <v>15085</v>
      </c>
      <c r="B15088" s="2" t="s">
        <v>15160</v>
      </c>
      <c r="C15088" s="2" t="str">
        <f>"12205532"</f>
        <v>12205532</v>
      </c>
      <c r="D15088" s="2">
        <v>0.1</v>
      </c>
      <c r="E15088" s="2">
        <v>1</v>
      </c>
      <c r="F15088" s="2" t="s">
        <v>19</v>
      </c>
    </row>
    <row r="15089" spans="1:6" ht="25.5">
      <c r="A15089" s="2">
        <v>15086</v>
      </c>
      <c r="B15089" s="2" t="s">
        <v>15161</v>
      </c>
      <c r="C15089" s="2" t="str">
        <f>"10291962"</f>
        <v>10291962</v>
      </c>
      <c r="D15089" s="2">
        <v>0.1</v>
      </c>
      <c r="E15089" s="2">
        <v>1</v>
      </c>
      <c r="F15089" s="2" t="s">
        <v>410</v>
      </c>
    </row>
    <row r="15090" spans="1:6" ht="25.5">
      <c r="A15090" s="2">
        <v>15087</v>
      </c>
      <c r="B15090" s="2" t="s">
        <v>15162</v>
      </c>
      <c r="C15090" s="2" t="str">
        <f>"00297844"</f>
        <v>00297844</v>
      </c>
      <c r="D15090" s="2">
        <v>1.905</v>
      </c>
      <c r="E15090" s="2">
        <v>136</v>
      </c>
      <c r="F15090" s="2" t="s">
        <v>6</v>
      </c>
    </row>
    <row r="15091" spans="1:6" ht="25.5">
      <c r="A15091" s="2">
        <v>15088</v>
      </c>
      <c r="B15091" s="2" t="s">
        <v>15163</v>
      </c>
      <c r="C15091" s="2" t="str">
        <f>"08898545"</f>
        <v>08898545</v>
      </c>
      <c r="D15091" s="2">
        <v>0.64300000000000002</v>
      </c>
      <c r="E15091" s="2">
        <v>38</v>
      </c>
      <c r="F15091" s="2" t="s">
        <v>16</v>
      </c>
    </row>
    <row r="15092" spans="1:6" ht="25.5">
      <c r="A15092" s="2">
        <v>15089</v>
      </c>
      <c r="B15092" s="2" t="s">
        <v>15164</v>
      </c>
      <c r="C15092" s="2" t="str">
        <f>"17517214"</f>
        <v>17517214</v>
      </c>
      <c r="D15092" s="2">
        <v>0.151</v>
      </c>
      <c r="E15092" s="2">
        <v>10</v>
      </c>
      <c r="F15092" s="2" t="s">
        <v>16</v>
      </c>
    </row>
    <row r="15093" spans="1:6" ht="25.5">
      <c r="A15093" s="2">
        <v>15090</v>
      </c>
      <c r="B15093" s="2" t="s">
        <v>15165</v>
      </c>
      <c r="C15093" s="2" t="str">
        <f>"05766370"</f>
        <v>05766370</v>
      </c>
      <c r="D15093" s="2">
        <v>0.105</v>
      </c>
      <c r="E15093" s="2">
        <v>6</v>
      </c>
      <c r="F15093" s="2" t="s">
        <v>64</v>
      </c>
    </row>
    <row r="15094" spans="1:6" ht="25.5">
      <c r="A15094" s="2">
        <v>15091</v>
      </c>
      <c r="B15094" s="2" t="s">
        <v>15166</v>
      </c>
      <c r="C15094" s="2" t="str">
        <f>"14707926"</f>
        <v>14707926</v>
      </c>
      <c r="D15094" s="2">
        <v>1.3640000000000001</v>
      </c>
      <c r="E15094" s="2">
        <v>89</v>
      </c>
      <c r="F15094" s="2" t="s">
        <v>16</v>
      </c>
    </row>
    <row r="15095" spans="1:6" ht="25.5">
      <c r="A15095" s="2">
        <v>15092</v>
      </c>
      <c r="B15095" s="2" t="s">
        <v>15167</v>
      </c>
      <c r="C15095" s="2" t="str">
        <f>"13599364"</f>
        <v>13599364</v>
      </c>
      <c r="D15095" s="2">
        <v>0.13600000000000001</v>
      </c>
      <c r="E15095" s="2">
        <v>10</v>
      </c>
      <c r="F15095" s="2" t="s">
        <v>75</v>
      </c>
    </row>
    <row r="15096" spans="1:6" ht="25.5">
      <c r="A15096" s="2">
        <v>15093</v>
      </c>
      <c r="B15096" s="2" t="s">
        <v>15168</v>
      </c>
      <c r="C15096" s="2" t="str">
        <f>"03624064"</f>
        <v>03624064</v>
      </c>
      <c r="D15096" s="2">
        <v>0.10100000000000001</v>
      </c>
      <c r="E15096" s="2">
        <v>6</v>
      </c>
      <c r="F15096" s="2" t="s">
        <v>6</v>
      </c>
    </row>
    <row r="15097" spans="1:6" ht="25.5">
      <c r="A15097" s="2">
        <v>15094</v>
      </c>
      <c r="B15097" s="2" t="s">
        <v>15169</v>
      </c>
      <c r="C15097" s="2" t="str">
        <f>"14718405"</f>
        <v>14718405</v>
      </c>
      <c r="D15097" s="2">
        <v>0.57799999999999996</v>
      </c>
      <c r="E15097" s="2">
        <v>47</v>
      </c>
      <c r="F15097" s="2" t="s">
        <v>16</v>
      </c>
    </row>
    <row r="15098" spans="1:6" ht="25.5">
      <c r="A15098" s="2">
        <v>15095</v>
      </c>
      <c r="B15098" s="2" t="s">
        <v>15170</v>
      </c>
      <c r="C15098" s="2" t="str">
        <f>"15413098"</f>
        <v>15413098</v>
      </c>
      <c r="D15098" s="2">
        <v>0.29599999999999999</v>
      </c>
      <c r="E15098" s="2">
        <v>11</v>
      </c>
      <c r="F15098" s="2" t="s">
        <v>16</v>
      </c>
    </row>
    <row r="15099" spans="1:6" ht="25.5">
      <c r="A15099" s="2">
        <v>15096</v>
      </c>
      <c r="B15099" s="2" t="s">
        <v>15171</v>
      </c>
      <c r="C15099" s="2" t="str">
        <f>"15413101"</f>
        <v>15413101</v>
      </c>
      <c r="D15099" s="2">
        <v>0.19500000000000001</v>
      </c>
      <c r="E15099" s="2">
        <v>9</v>
      </c>
      <c r="F15099" s="2" t="s">
        <v>16</v>
      </c>
    </row>
    <row r="15100" spans="1:6" ht="25.5">
      <c r="A15100" s="2">
        <v>15097</v>
      </c>
      <c r="B15100" s="2" t="s">
        <v>15172</v>
      </c>
      <c r="C15100" s="2" t="str">
        <f>"09667903"</f>
        <v>09667903</v>
      </c>
      <c r="D15100" s="2">
        <v>0.35599999999999998</v>
      </c>
      <c r="E15100" s="2">
        <v>20</v>
      </c>
      <c r="F15100" s="2" t="s">
        <v>16</v>
      </c>
    </row>
    <row r="15101" spans="1:6" ht="25.5">
      <c r="A15101" s="2">
        <v>15098</v>
      </c>
      <c r="B15101" s="2" t="s">
        <v>15173</v>
      </c>
      <c r="C15101" s="2" t="str">
        <f>"14815532"</f>
        <v>14815532</v>
      </c>
      <c r="D15101" s="2">
        <v>0.182</v>
      </c>
      <c r="E15101" s="2">
        <v>4</v>
      </c>
      <c r="F15101" s="2" t="s">
        <v>64</v>
      </c>
    </row>
    <row r="15102" spans="1:6" ht="25.5">
      <c r="A15102" s="2">
        <v>15099</v>
      </c>
      <c r="B15102" s="2" t="s">
        <v>15174</v>
      </c>
      <c r="C15102" s="2" t="str">
        <f>"09645691"</f>
        <v>09645691</v>
      </c>
      <c r="D15102" s="2">
        <v>0.58699999999999997</v>
      </c>
      <c r="E15102" s="2">
        <v>37</v>
      </c>
      <c r="F15102" s="2" t="s">
        <v>75</v>
      </c>
    </row>
    <row r="15103" spans="1:6" ht="25.5">
      <c r="A15103" s="2">
        <v>15100</v>
      </c>
      <c r="B15103" s="2" t="s">
        <v>15175</v>
      </c>
      <c r="C15103" s="2" t="str">
        <f>"1598141X"</f>
        <v>1598141X</v>
      </c>
      <c r="D15103" s="2">
        <v>0.14299999999999999</v>
      </c>
      <c r="E15103" s="2">
        <v>9</v>
      </c>
      <c r="F15103" s="2" t="s">
        <v>274</v>
      </c>
    </row>
    <row r="15104" spans="1:6" ht="25.5">
      <c r="A15104" s="2">
        <v>15101</v>
      </c>
      <c r="B15104" s="2" t="s">
        <v>15176</v>
      </c>
      <c r="C15104" s="2" t="str">
        <f>"15210642"</f>
        <v>15210642</v>
      </c>
      <c r="D15104" s="2">
        <v>0.53600000000000003</v>
      </c>
      <c r="E15104" s="2">
        <v>12</v>
      </c>
      <c r="F15104" s="2" t="s">
        <v>16</v>
      </c>
    </row>
    <row r="15105" spans="1:6" ht="25.5">
      <c r="A15105" s="2">
        <v>15102</v>
      </c>
      <c r="B15105" s="2" t="s">
        <v>15177</v>
      </c>
      <c r="C15105" s="2" t="str">
        <f>"16167341"</f>
        <v>16167341</v>
      </c>
      <c r="D15105" s="2">
        <v>0.94699999999999995</v>
      </c>
      <c r="E15105" s="2">
        <v>23</v>
      </c>
      <c r="F15105" s="2" t="s">
        <v>12</v>
      </c>
    </row>
    <row r="15106" spans="1:6" ht="25.5">
      <c r="A15106" s="2">
        <v>15103</v>
      </c>
      <c r="B15106" s="2" t="s">
        <v>15178</v>
      </c>
      <c r="C15106" s="2" t="str">
        <f>"00298018"</f>
        <v>00298018</v>
      </c>
      <c r="D15106" s="2">
        <v>1.071</v>
      </c>
      <c r="E15106" s="2">
        <v>39</v>
      </c>
      <c r="F15106" s="2" t="s">
        <v>75</v>
      </c>
    </row>
    <row r="15107" spans="1:6" ht="25.5">
      <c r="A15107" s="2">
        <v>15104</v>
      </c>
      <c r="B15107" s="2" t="s">
        <v>15179</v>
      </c>
      <c r="C15107" s="2" t="str">
        <f>"00298077"</f>
        <v>00298077</v>
      </c>
      <c r="D15107" s="2">
        <v>0.314</v>
      </c>
      <c r="E15107" s="2">
        <v>12</v>
      </c>
      <c r="F15107" s="2" t="s">
        <v>127</v>
      </c>
    </row>
    <row r="15108" spans="1:6" ht="25.5">
      <c r="A15108" s="2">
        <v>15105</v>
      </c>
      <c r="B15108" s="2" t="s">
        <v>15180</v>
      </c>
      <c r="C15108" s="2" t="str">
        <f>"00298115"</f>
        <v>00298115</v>
      </c>
      <c r="D15108" s="2">
        <v>0.23300000000000001</v>
      </c>
      <c r="E15108" s="2">
        <v>9</v>
      </c>
      <c r="F15108" s="2" t="s">
        <v>6</v>
      </c>
    </row>
    <row r="15109" spans="1:6" ht="25.5">
      <c r="A15109" s="2">
        <v>15106</v>
      </c>
      <c r="B15109" s="2" t="s">
        <v>15181</v>
      </c>
      <c r="C15109" s="2" t="str">
        <f>"14635011"</f>
        <v>14635011</v>
      </c>
      <c r="D15109" s="2">
        <v>1.681</v>
      </c>
      <c r="E15109" s="2">
        <v>41</v>
      </c>
      <c r="F15109" s="2" t="s">
        <v>75</v>
      </c>
    </row>
    <row r="15110" spans="1:6" ht="25.5">
      <c r="A15110" s="2">
        <v>15107</v>
      </c>
      <c r="B15110" s="2" t="s">
        <v>15182</v>
      </c>
      <c r="C15110" s="2" t="str">
        <f>"10428275"</f>
        <v>10428275</v>
      </c>
      <c r="D15110" s="2">
        <v>1.4410000000000001</v>
      </c>
      <c r="E15110" s="2">
        <v>42</v>
      </c>
      <c r="F15110" s="2" t="s">
        <v>6</v>
      </c>
    </row>
    <row r="15111" spans="1:6" ht="25.5">
      <c r="A15111" s="2">
        <v>15108</v>
      </c>
      <c r="B15111" s="2" t="s">
        <v>15183</v>
      </c>
      <c r="C15111" s="2" t="str">
        <f>"00783218"</f>
        <v>00783218</v>
      </c>
      <c r="D15111" s="2">
        <v>1.5569999999999999</v>
      </c>
      <c r="E15111" s="2">
        <v>32</v>
      </c>
      <c r="F15111" s="2" t="s">
        <v>16</v>
      </c>
    </row>
    <row r="15112" spans="1:6" ht="25.5">
      <c r="A15112" s="2">
        <v>15109</v>
      </c>
      <c r="B15112" s="2" t="s">
        <v>15184</v>
      </c>
      <c r="C15112" s="2" t="str">
        <f>"00783234"</f>
        <v>00783234</v>
      </c>
      <c r="D15112" s="2">
        <v>0.48399999999999999</v>
      </c>
      <c r="E15112" s="2">
        <v>24</v>
      </c>
      <c r="F15112" s="2" t="s">
        <v>169</v>
      </c>
    </row>
    <row r="15113" spans="1:6" ht="25.5">
      <c r="A15113" s="2">
        <v>15110</v>
      </c>
      <c r="B15113" s="2" t="s">
        <v>15185</v>
      </c>
      <c r="C15113" s="2" t="str">
        <f>"1730413X"</f>
        <v>1730413X</v>
      </c>
      <c r="D15113" s="2">
        <v>0.245</v>
      </c>
      <c r="E15113" s="2">
        <v>10</v>
      </c>
      <c r="F15113" s="2" t="s">
        <v>12</v>
      </c>
    </row>
    <row r="15114" spans="1:6" ht="25.5">
      <c r="A15114" s="2">
        <v>15111</v>
      </c>
      <c r="B15114" s="2" t="s">
        <v>15186</v>
      </c>
      <c r="C15114" s="2" t="str">
        <f>"00014370"</f>
        <v>00014370</v>
      </c>
      <c r="D15114" s="2">
        <v>0.255</v>
      </c>
      <c r="E15114" s="2">
        <v>12</v>
      </c>
      <c r="F15114" s="2" t="s">
        <v>129</v>
      </c>
    </row>
    <row r="15115" spans="1:6" ht="25.5">
      <c r="A15115" s="2">
        <v>15112</v>
      </c>
      <c r="B15115" s="2" t="s">
        <v>15187</v>
      </c>
      <c r="C15115" s="2" t="str">
        <f>"18120792"</f>
        <v>18120792</v>
      </c>
      <c r="D15115" s="2">
        <v>1.3109999999999999</v>
      </c>
      <c r="E15115" s="2">
        <v>17</v>
      </c>
      <c r="F15115" s="2" t="s">
        <v>12</v>
      </c>
    </row>
    <row r="15116" spans="1:6" ht="25.5">
      <c r="A15116" s="2">
        <v>15113</v>
      </c>
      <c r="B15116" s="2" t="s">
        <v>15188</v>
      </c>
      <c r="C15116" s="2" t="str">
        <f>"17385261"</f>
        <v>17385261</v>
      </c>
      <c r="D15116" s="2">
        <v>0.36899999999999999</v>
      </c>
      <c r="E15116" s="2">
        <v>6</v>
      </c>
      <c r="F15116" s="2" t="s">
        <v>274</v>
      </c>
    </row>
    <row r="15117" spans="1:6" ht="25.5">
      <c r="A15117" s="2">
        <v>15114</v>
      </c>
      <c r="B15117" s="2" t="s">
        <v>15189</v>
      </c>
      <c r="C15117" s="2" t="str">
        <f>"00298182"</f>
        <v>00298182</v>
      </c>
      <c r="D15117" s="2">
        <v>0.10199999999999999</v>
      </c>
      <c r="E15117" s="2">
        <v>2</v>
      </c>
      <c r="F15117" s="2" t="s">
        <v>6</v>
      </c>
    </row>
    <row r="15118" spans="1:6" ht="25.5">
      <c r="A15118" s="2">
        <v>15115</v>
      </c>
      <c r="B15118" s="2" t="s">
        <v>15190</v>
      </c>
      <c r="C15118" s="2" t="str">
        <f>"12306169"</f>
        <v>12306169</v>
      </c>
      <c r="D15118" s="2">
        <v>0.26200000000000001</v>
      </c>
      <c r="E15118" s="2">
        <v>7</v>
      </c>
      <c r="F15118" s="2" t="s">
        <v>169</v>
      </c>
    </row>
    <row r="15119" spans="1:6" ht="25.5">
      <c r="A15119" s="2">
        <v>15116</v>
      </c>
      <c r="B15119" s="2" t="s">
        <v>15191</v>
      </c>
      <c r="C15119" s="2" t="str">
        <f>"15245012"</f>
        <v>15245012</v>
      </c>
      <c r="D15119" s="2">
        <v>0.16800000000000001</v>
      </c>
      <c r="E15119" s="2">
        <v>5</v>
      </c>
      <c r="F15119" s="2" t="s">
        <v>6</v>
      </c>
    </row>
    <row r="15120" spans="1:6" ht="25.5">
      <c r="A15120" s="2">
        <v>15117</v>
      </c>
      <c r="B15120" s="2" t="s">
        <v>15192</v>
      </c>
      <c r="C15120" s="2" t="str">
        <f>"1065075X"</f>
        <v>1065075X</v>
      </c>
      <c r="D15120" s="2">
        <v>0.246</v>
      </c>
      <c r="E15120" s="2">
        <v>10</v>
      </c>
      <c r="F15120" s="2" t="s">
        <v>16</v>
      </c>
    </row>
    <row r="15121" spans="1:6" ht="25.5">
      <c r="A15121" s="2">
        <v>15118</v>
      </c>
      <c r="B15121" s="2" t="s">
        <v>15193</v>
      </c>
      <c r="C15121" s="2" t="str">
        <f>"12588210"</f>
        <v>12588210</v>
      </c>
      <c r="D15121" s="2">
        <v>0.17699999999999999</v>
      </c>
      <c r="E15121" s="2">
        <v>12</v>
      </c>
      <c r="F15121" s="2" t="s">
        <v>66</v>
      </c>
    </row>
    <row r="15122" spans="1:6" ht="25.5">
      <c r="A15122" s="2">
        <v>15119</v>
      </c>
      <c r="B15122" s="2" t="s">
        <v>15194</v>
      </c>
      <c r="C15122" s="2" t="str">
        <f>"1885446X"</f>
        <v>1885446X</v>
      </c>
      <c r="D15122" s="2">
        <v>0.10100000000000001</v>
      </c>
      <c r="E15122" s="2">
        <v>1</v>
      </c>
      <c r="F15122" s="2" t="s">
        <v>351</v>
      </c>
    </row>
    <row r="15123" spans="1:6" ht="25.5">
      <c r="A15123" s="2">
        <v>15120</v>
      </c>
      <c r="B15123" s="2" t="s">
        <v>15195</v>
      </c>
      <c r="C15123" s="2" t="str">
        <f>"1536013X"</f>
        <v>1536013X</v>
      </c>
      <c r="D15123" s="2">
        <v>0.11799999999999999</v>
      </c>
      <c r="E15123" s="2">
        <v>4</v>
      </c>
      <c r="F15123" s="2" t="s">
        <v>6</v>
      </c>
    </row>
    <row r="15124" spans="1:6" ht="25.5">
      <c r="A15124" s="2">
        <v>15121</v>
      </c>
      <c r="B15124" s="2" t="s">
        <v>15196</v>
      </c>
      <c r="C15124" s="2" t="str">
        <f>"09273948"</f>
        <v>09273948</v>
      </c>
      <c r="D15124" s="2">
        <v>0.67400000000000004</v>
      </c>
      <c r="E15124" s="2">
        <v>32</v>
      </c>
      <c r="F15124" s="2" t="s">
        <v>16</v>
      </c>
    </row>
    <row r="15125" spans="1:6" ht="25.5">
      <c r="A15125" s="2">
        <v>15122</v>
      </c>
      <c r="B15125" s="2" t="s">
        <v>15197</v>
      </c>
      <c r="C15125" s="2" t="str">
        <f>"15420124"</f>
        <v>15420124</v>
      </c>
      <c r="D15125" s="2">
        <v>0.88800000000000001</v>
      </c>
      <c r="E15125" s="2">
        <v>25</v>
      </c>
      <c r="F15125" s="2" t="s">
        <v>6</v>
      </c>
    </row>
    <row r="15126" spans="1:6" ht="25.5">
      <c r="A15126" s="2">
        <v>15123</v>
      </c>
      <c r="B15126" s="2" t="s">
        <v>15198</v>
      </c>
      <c r="C15126" s="2" t="str">
        <f>"18461204"</f>
        <v>18461204</v>
      </c>
      <c r="D15126" s="2">
        <v>0.20699999999999999</v>
      </c>
      <c r="E15126" s="2">
        <v>2</v>
      </c>
      <c r="F15126" s="2" t="s">
        <v>149</v>
      </c>
    </row>
    <row r="15127" spans="1:6" ht="25.5">
      <c r="A15127" s="2">
        <v>15124</v>
      </c>
      <c r="B15127" s="2" t="s">
        <v>15199</v>
      </c>
      <c r="C15127" s="2" t="str">
        <f>"03750183"</f>
        <v>03750183</v>
      </c>
      <c r="D15127" s="2">
        <v>0.41599999999999998</v>
      </c>
      <c r="E15127" s="2">
        <v>14</v>
      </c>
      <c r="F15127" s="2" t="s">
        <v>75</v>
      </c>
    </row>
    <row r="15128" spans="1:6" ht="25.5">
      <c r="A15128" s="2">
        <v>15125</v>
      </c>
      <c r="B15128" s="2" t="s">
        <v>15200</v>
      </c>
      <c r="C15128" s="2" t="str">
        <f>"16181255"</f>
        <v>16181255</v>
      </c>
      <c r="D15128" s="2">
        <v>0.44800000000000001</v>
      </c>
      <c r="E15128" s="2">
        <v>14</v>
      </c>
      <c r="F15128" s="2" t="s">
        <v>131</v>
      </c>
    </row>
    <row r="15129" spans="1:6" ht="25.5">
      <c r="A15129" s="2">
        <v>15126</v>
      </c>
      <c r="B15129" s="2" t="s">
        <v>15201</v>
      </c>
      <c r="C15129" s="2" t="str">
        <f>"0251172X"</f>
        <v>0251172X</v>
      </c>
      <c r="D15129" s="2">
        <v>0.13200000000000001</v>
      </c>
      <c r="E15129" s="2">
        <v>7</v>
      </c>
      <c r="F15129" s="2" t="s">
        <v>66</v>
      </c>
    </row>
    <row r="15130" spans="1:6" ht="25.5">
      <c r="A15130" s="2">
        <v>15127</v>
      </c>
      <c r="B15130" s="2" t="s">
        <v>15202</v>
      </c>
      <c r="C15130" s="2" t="str">
        <f>"15615529"</f>
        <v>15615529</v>
      </c>
      <c r="D15130" s="2">
        <v>0.10199999999999999</v>
      </c>
      <c r="E15130" s="2">
        <v>7</v>
      </c>
      <c r="F15130" s="2" t="s">
        <v>66</v>
      </c>
    </row>
    <row r="15131" spans="1:6" ht="25.5">
      <c r="A15131" s="2">
        <v>15128</v>
      </c>
      <c r="B15131" s="2" t="s">
        <v>15203</v>
      </c>
      <c r="C15131" s="2" t="str">
        <f>"14321939"</f>
        <v>14321939</v>
      </c>
      <c r="D15131" s="2">
        <v>1.601</v>
      </c>
      <c r="E15131" s="2">
        <v>121</v>
      </c>
      <c r="F15131" s="2" t="s">
        <v>12</v>
      </c>
    </row>
    <row r="15132" spans="1:6" ht="25.5">
      <c r="A15132" s="2">
        <v>15129</v>
      </c>
      <c r="B15132" s="2" t="s">
        <v>15204</v>
      </c>
      <c r="C15132" s="2" t="str">
        <f>"21776199"</f>
        <v>21776199</v>
      </c>
      <c r="D15132" s="2">
        <v>0.218</v>
      </c>
      <c r="E15132" s="2">
        <v>5</v>
      </c>
      <c r="F15132" s="2" t="s">
        <v>159</v>
      </c>
    </row>
    <row r="15133" spans="1:6" ht="25.5">
      <c r="A15133" s="2">
        <v>15130</v>
      </c>
      <c r="B15133" s="2" t="s">
        <v>15205</v>
      </c>
      <c r="C15133" s="2" t="str">
        <f>"0029862X"</f>
        <v>0029862X</v>
      </c>
      <c r="D15133" s="2">
        <v>0.1</v>
      </c>
      <c r="E15133" s="2">
        <v>0</v>
      </c>
      <c r="F15133" s="2" t="s">
        <v>66</v>
      </c>
    </row>
    <row r="15134" spans="1:6" ht="25.5">
      <c r="A15134" s="2">
        <v>15131</v>
      </c>
      <c r="B15134" s="2" t="s">
        <v>15206</v>
      </c>
      <c r="C15134" s="2" t="str">
        <f>"02570505"</f>
        <v>02570505</v>
      </c>
      <c r="D15134" s="2">
        <v>0.10199999999999999</v>
      </c>
      <c r="E15134" s="2">
        <v>0</v>
      </c>
      <c r="F15134" s="2" t="s">
        <v>12</v>
      </c>
    </row>
    <row r="15135" spans="1:6" ht="25.5">
      <c r="A15135" s="2">
        <v>15132</v>
      </c>
      <c r="B15135" s="2" t="s">
        <v>15207</v>
      </c>
      <c r="C15135" s="2" t="str">
        <f>"00300608"</f>
        <v>00300608</v>
      </c>
      <c r="D15135" s="2">
        <v>0.10199999999999999</v>
      </c>
      <c r="E15135" s="2">
        <v>6</v>
      </c>
      <c r="F15135" s="2" t="s">
        <v>6</v>
      </c>
    </row>
    <row r="15136" spans="1:6" ht="25.5">
      <c r="A15136" s="2">
        <v>15133</v>
      </c>
      <c r="B15136" s="2" t="s">
        <v>15208</v>
      </c>
      <c r="C15136" s="2" t="str">
        <f>"03912612"</f>
        <v>03912612</v>
      </c>
      <c r="D15136" s="2">
        <v>0.71099999999999997</v>
      </c>
      <c r="E15136" s="2">
        <v>21</v>
      </c>
      <c r="F15136" s="2" t="s">
        <v>190</v>
      </c>
    </row>
    <row r="15137" spans="1:6" ht="25.5">
      <c r="A15137" s="2">
        <v>15134</v>
      </c>
      <c r="B15137" s="2" t="s">
        <v>15209</v>
      </c>
      <c r="C15137" s="2" t="str">
        <f>"12200875"</f>
        <v>12200875</v>
      </c>
      <c r="D15137" s="2">
        <v>0.112</v>
      </c>
      <c r="E15137" s="2">
        <v>6</v>
      </c>
      <c r="F15137" s="2" t="s">
        <v>19</v>
      </c>
    </row>
    <row r="15138" spans="1:6" ht="25.5">
      <c r="A15138" s="2">
        <v>15135</v>
      </c>
      <c r="B15138" s="2" t="s">
        <v>15210</v>
      </c>
      <c r="C15138" s="2" t="str">
        <f>"00300934"</f>
        <v>00300934</v>
      </c>
      <c r="D15138" s="2">
        <v>0.104</v>
      </c>
      <c r="E15138" s="2">
        <v>0</v>
      </c>
      <c r="F15138" s="2" t="s">
        <v>6</v>
      </c>
    </row>
    <row r="15139" spans="1:6" ht="25.5">
      <c r="A15139" s="2">
        <v>15136</v>
      </c>
      <c r="B15139" s="2" t="s">
        <v>15211</v>
      </c>
      <c r="C15139" s="2" t="str">
        <f>"00300950"</f>
        <v>00300950</v>
      </c>
      <c r="D15139" s="2">
        <v>0.14399999999999999</v>
      </c>
      <c r="E15139" s="2">
        <v>11</v>
      </c>
      <c r="F15139" s="2" t="s">
        <v>6</v>
      </c>
    </row>
    <row r="15140" spans="1:6" ht="25.5">
      <c r="A15140" s="2">
        <v>15137</v>
      </c>
      <c r="B15140" s="2" t="s">
        <v>15212</v>
      </c>
      <c r="C15140" s="2" t="str">
        <f>"00300993"</f>
        <v>00300993</v>
      </c>
      <c r="D15140" s="2">
        <v>0.10100000000000001</v>
      </c>
      <c r="E15140" s="2">
        <v>2</v>
      </c>
      <c r="F15140" s="2" t="s">
        <v>6</v>
      </c>
    </row>
    <row r="15141" spans="1:6" ht="25.5">
      <c r="A15141" s="2">
        <v>15138</v>
      </c>
      <c r="B15141" s="2" t="s">
        <v>15213</v>
      </c>
      <c r="C15141" s="2" t="str">
        <f>"02531933"</f>
        <v>02531933</v>
      </c>
      <c r="D15141" s="2">
        <v>0.436</v>
      </c>
      <c r="E15141" s="2">
        <v>50</v>
      </c>
      <c r="F15141" s="2" t="s">
        <v>66</v>
      </c>
    </row>
    <row r="15142" spans="1:6" ht="25.5">
      <c r="A15142" s="2">
        <v>15139</v>
      </c>
      <c r="B15142" s="2" t="s">
        <v>15214</v>
      </c>
      <c r="C15142" s="2" t="str">
        <f>"16000706"</f>
        <v>16000706</v>
      </c>
      <c r="D15142" s="2">
        <v>1.91</v>
      </c>
      <c r="E15142" s="2">
        <v>114</v>
      </c>
      <c r="F15142" s="2" t="s">
        <v>16</v>
      </c>
    </row>
    <row r="15143" spans="1:6" ht="25.5">
      <c r="A15143" s="2">
        <v>15140</v>
      </c>
      <c r="B15143" s="2" t="s">
        <v>15215</v>
      </c>
      <c r="C15143" s="2" t="str">
        <f>"12944475"</f>
        <v>12944475</v>
      </c>
      <c r="D15143" s="2">
        <v>0.47799999999999998</v>
      </c>
      <c r="E15143" s="2">
        <v>32</v>
      </c>
      <c r="F15143" s="2" t="s">
        <v>66</v>
      </c>
    </row>
    <row r="15144" spans="1:6" ht="25.5">
      <c r="A15144" s="2">
        <v>15141</v>
      </c>
      <c r="B15144" s="2" t="s">
        <v>15216</v>
      </c>
      <c r="C15144" s="2" t="str">
        <f>"10004092"</f>
        <v>10004092</v>
      </c>
      <c r="D15144" s="2">
        <v>0.13700000000000001</v>
      </c>
      <c r="E15144" s="2">
        <v>6</v>
      </c>
      <c r="F15144" s="2" t="s">
        <v>46</v>
      </c>
    </row>
    <row r="15145" spans="1:6" ht="25.5">
      <c r="A15145" s="2">
        <v>15142</v>
      </c>
      <c r="B15145" s="2" t="s">
        <v>15217</v>
      </c>
      <c r="C15145" s="2" t="str">
        <f>"09231730"</f>
        <v>09231730</v>
      </c>
      <c r="D15145" s="2">
        <v>0.39500000000000002</v>
      </c>
      <c r="E15145" s="2">
        <v>15</v>
      </c>
      <c r="F15145" s="2" t="s">
        <v>66</v>
      </c>
    </row>
    <row r="15146" spans="1:6" ht="25.5">
      <c r="A15146" s="2">
        <v>15143</v>
      </c>
      <c r="B15146" s="2" t="s">
        <v>15218</v>
      </c>
      <c r="C15146" s="2" t="str">
        <f>"0208189X"</f>
        <v>0208189X</v>
      </c>
      <c r="D15146" s="2">
        <v>0.33400000000000002</v>
      </c>
      <c r="E15146" s="2">
        <v>14</v>
      </c>
      <c r="F15146" s="2" t="s">
        <v>265</v>
      </c>
    </row>
    <row r="15147" spans="1:6" ht="25.5">
      <c r="A15147" s="2">
        <v>15144</v>
      </c>
      <c r="B15147" s="2" t="s">
        <v>15219</v>
      </c>
      <c r="C15147" s="2" t="str">
        <f>"0030154X"</f>
        <v>0030154X</v>
      </c>
      <c r="D15147" s="2">
        <v>0.216</v>
      </c>
      <c r="E15147" s="2">
        <v>12</v>
      </c>
      <c r="F15147" s="2" t="s">
        <v>131</v>
      </c>
    </row>
    <row r="15148" spans="1:6" ht="25.5">
      <c r="A15148" s="2">
        <v>15145</v>
      </c>
      <c r="B15148" s="2" t="s">
        <v>15220</v>
      </c>
      <c r="C15148" s="2" t="str">
        <f>"00301787"</f>
        <v>00301787</v>
      </c>
      <c r="D15148" s="2">
        <v>0.11</v>
      </c>
      <c r="E15148" s="2">
        <v>2</v>
      </c>
      <c r="F15148" s="2" t="s">
        <v>6</v>
      </c>
    </row>
    <row r="15149" spans="1:6">
      <c r="A15149" s="2">
        <v>15146</v>
      </c>
      <c r="B15149" s="2" t="s">
        <v>15221</v>
      </c>
      <c r="C15149" s="2" t="str">
        <f>"0"</f>
        <v>0</v>
      </c>
      <c r="D15149" s="2">
        <v>0</v>
      </c>
      <c r="E15149" s="2">
        <v>0</v>
      </c>
      <c r="F15149" s="2" t="s">
        <v>6</v>
      </c>
    </row>
    <row r="15150" spans="1:6">
      <c r="A15150" s="2">
        <v>15147</v>
      </c>
      <c r="B15150" s="2" t="s">
        <v>15222</v>
      </c>
      <c r="C15150" s="2" t="str">
        <f>"0"</f>
        <v>0</v>
      </c>
      <c r="D15150" s="2">
        <v>0</v>
      </c>
      <c r="E15150" s="2">
        <v>0</v>
      </c>
      <c r="F15150" s="2" t="s">
        <v>6</v>
      </c>
    </row>
    <row r="15151" spans="1:6" ht="25.5">
      <c r="A15151" s="2">
        <v>15148</v>
      </c>
      <c r="B15151" s="2" t="s">
        <v>15223</v>
      </c>
      <c r="C15151" s="2" t="str">
        <f>"03412660"</f>
        <v>03412660</v>
      </c>
      <c r="D15151" s="2">
        <v>0.1</v>
      </c>
      <c r="E15151" s="2">
        <v>4</v>
      </c>
      <c r="F15151" s="2" t="s">
        <v>12</v>
      </c>
    </row>
    <row r="15152" spans="1:6" ht="25.5">
      <c r="A15152" s="2">
        <v>15149</v>
      </c>
      <c r="B15152" s="2" t="s">
        <v>15224</v>
      </c>
      <c r="C15152" s="2" t="str">
        <f>"20705204"</f>
        <v>20705204</v>
      </c>
      <c r="D15152" s="2">
        <v>0.11700000000000001</v>
      </c>
      <c r="E15152" s="2">
        <v>2</v>
      </c>
      <c r="F15152" s="2" t="s">
        <v>10911</v>
      </c>
    </row>
    <row r="15153" spans="1:6" ht="25.5">
      <c r="A15153" s="2">
        <v>15150</v>
      </c>
      <c r="B15153" s="2" t="s">
        <v>15225</v>
      </c>
      <c r="C15153" s="2" t="str">
        <f>"03050483"</f>
        <v>03050483</v>
      </c>
      <c r="D15153" s="2">
        <v>3.1619999999999999</v>
      </c>
      <c r="E15153" s="2">
        <v>64</v>
      </c>
      <c r="F15153" s="2" t="s">
        <v>75</v>
      </c>
    </row>
    <row r="15154" spans="1:6" ht="25.5">
      <c r="A15154" s="2">
        <v>15151</v>
      </c>
      <c r="B15154" s="2" t="s">
        <v>15226</v>
      </c>
      <c r="C15154" s="2" t="str">
        <f>"15413764"</f>
        <v>15413764</v>
      </c>
      <c r="D15154" s="2">
        <v>0.45</v>
      </c>
      <c r="E15154" s="2">
        <v>13</v>
      </c>
      <c r="F15154" s="2" t="s">
        <v>6</v>
      </c>
    </row>
    <row r="15155" spans="1:6" ht="25.5">
      <c r="A15155" s="2">
        <v>15152</v>
      </c>
      <c r="B15155" s="2" t="s">
        <v>15227</v>
      </c>
      <c r="C15155" s="2" t="str">
        <f>"15362310"</f>
        <v>15362310</v>
      </c>
      <c r="D15155" s="2">
        <v>0.86699999999999999</v>
      </c>
      <c r="E15155" s="2">
        <v>33</v>
      </c>
      <c r="F15155" s="2" t="s">
        <v>6</v>
      </c>
    </row>
    <row r="15156" spans="1:6" ht="25.5">
      <c r="A15156" s="2">
        <v>15153</v>
      </c>
      <c r="B15156" s="2" t="s">
        <v>15228</v>
      </c>
      <c r="C15156" s="2" t="str">
        <f>"01047809"</f>
        <v>01047809</v>
      </c>
      <c r="D15156" s="2">
        <v>0.128</v>
      </c>
      <c r="E15156" s="2">
        <v>1</v>
      </c>
      <c r="F15156" s="2" t="s">
        <v>159</v>
      </c>
    </row>
    <row r="15157" spans="1:6" ht="25.5">
      <c r="A15157" s="2">
        <v>15154</v>
      </c>
      <c r="B15157" s="2" t="s">
        <v>15229</v>
      </c>
      <c r="C15157" s="2" t="str">
        <f>"09509232"</f>
        <v>09509232</v>
      </c>
      <c r="D15157" s="2">
        <v>3.5579999999999998</v>
      </c>
      <c r="E15157" s="2">
        <v>228</v>
      </c>
      <c r="F15157" s="2" t="s">
        <v>16</v>
      </c>
    </row>
    <row r="15158" spans="1:6" ht="25.5">
      <c r="A15158" s="2">
        <v>15155</v>
      </c>
      <c r="B15158" s="2" t="s">
        <v>15230</v>
      </c>
      <c r="C15158" s="2" t="str">
        <f>"21579024"</f>
        <v>21579024</v>
      </c>
      <c r="D15158" s="2">
        <v>0</v>
      </c>
      <c r="E15158" s="2">
        <v>1</v>
      </c>
      <c r="F15158" s="2" t="s">
        <v>6</v>
      </c>
    </row>
    <row r="15159" spans="1:6" ht="25.5">
      <c r="A15159" s="2">
        <v>15156</v>
      </c>
      <c r="B15159" s="2" t="s">
        <v>15231</v>
      </c>
      <c r="C15159" s="2" t="str">
        <f>"12923818"</f>
        <v>12923818</v>
      </c>
      <c r="D15159" s="2">
        <v>0.11</v>
      </c>
      <c r="E15159" s="2">
        <v>6</v>
      </c>
      <c r="F15159" s="2" t="s">
        <v>66</v>
      </c>
    </row>
    <row r="15160" spans="1:6" ht="25.5">
      <c r="A15160" s="2">
        <v>15157</v>
      </c>
      <c r="B15160" s="2" t="s">
        <v>15232</v>
      </c>
      <c r="C15160" s="2" t="str">
        <f>"1549490X"</f>
        <v>1549490X</v>
      </c>
      <c r="D15160" s="2">
        <v>1.829</v>
      </c>
      <c r="E15160" s="2">
        <v>93</v>
      </c>
      <c r="F15160" s="2" t="s">
        <v>6</v>
      </c>
    </row>
    <row r="15161" spans="1:6" ht="25.5">
      <c r="A15161" s="2">
        <v>15158</v>
      </c>
      <c r="B15161" s="2" t="s">
        <v>15233</v>
      </c>
      <c r="C15161" s="2" t="str">
        <f>"08909091"</f>
        <v>08909091</v>
      </c>
      <c r="D15161" s="2">
        <v>0.36599999999999999</v>
      </c>
      <c r="E15161" s="2">
        <v>53</v>
      </c>
      <c r="F15161" s="2" t="s">
        <v>6</v>
      </c>
    </row>
    <row r="15162" spans="1:6" ht="25.5">
      <c r="A15162" s="2">
        <v>15159</v>
      </c>
      <c r="B15162" s="2" t="s">
        <v>15233</v>
      </c>
      <c r="C15162" s="2" t="str">
        <f>"14230232"</f>
        <v>14230232</v>
      </c>
      <c r="D15162" s="2">
        <v>0.94099999999999995</v>
      </c>
      <c r="E15162" s="2">
        <v>67</v>
      </c>
      <c r="F15162" s="2" t="s">
        <v>31</v>
      </c>
    </row>
    <row r="15163" spans="1:6" ht="25.5">
      <c r="A15163" s="2">
        <v>15160</v>
      </c>
      <c r="B15163" s="2" t="s">
        <v>15234</v>
      </c>
      <c r="C15163" s="2" t="str">
        <f>"17921082"</f>
        <v>17921082</v>
      </c>
      <c r="D15163" s="2">
        <v>0.14499999999999999</v>
      </c>
      <c r="E15163" s="2">
        <v>4</v>
      </c>
      <c r="F15163" s="2" t="s">
        <v>313</v>
      </c>
    </row>
    <row r="15164" spans="1:6" ht="25.5">
      <c r="A15164" s="2">
        <v>15161</v>
      </c>
      <c r="B15164" s="2" t="s">
        <v>15235</v>
      </c>
      <c r="C15164" s="2" t="str">
        <f>"0190535X"</f>
        <v>0190535X</v>
      </c>
      <c r="D15164" s="2">
        <v>0.75900000000000001</v>
      </c>
      <c r="E15164" s="2">
        <v>58</v>
      </c>
      <c r="F15164" s="2" t="s">
        <v>6</v>
      </c>
    </row>
    <row r="15165" spans="1:6" ht="25.5">
      <c r="A15165" s="2">
        <v>15162</v>
      </c>
      <c r="B15165" s="2" t="s">
        <v>15236</v>
      </c>
      <c r="C15165" s="2" t="str">
        <f>"15485323"</f>
        <v>15485323</v>
      </c>
      <c r="D15165" s="2">
        <v>0.1</v>
      </c>
      <c r="E15165" s="2">
        <v>1</v>
      </c>
      <c r="F15165" s="2" t="s">
        <v>75</v>
      </c>
    </row>
    <row r="15166" spans="1:6" ht="25.5">
      <c r="A15166" s="2">
        <v>15163</v>
      </c>
      <c r="B15166" s="2" t="s">
        <v>15237</v>
      </c>
      <c r="C15166" s="2" t="str">
        <f>"1021335X"</f>
        <v>1021335X</v>
      </c>
      <c r="D15166" s="2">
        <v>0.77400000000000002</v>
      </c>
      <c r="E15166" s="2">
        <v>53</v>
      </c>
      <c r="F15166" s="2" t="s">
        <v>313</v>
      </c>
    </row>
    <row r="15167" spans="1:6" ht="25.5">
      <c r="A15167" s="2">
        <v>15164</v>
      </c>
      <c r="B15167" s="2" t="s">
        <v>15238</v>
      </c>
      <c r="C15167" s="2" t="str">
        <f>"09650407"</f>
        <v>09650407</v>
      </c>
      <c r="D15167" s="2">
        <v>0.57099999999999995</v>
      </c>
      <c r="E15167" s="2">
        <v>42</v>
      </c>
      <c r="F15167" s="2" t="s">
        <v>6</v>
      </c>
    </row>
    <row r="15168" spans="1:6" ht="25.5">
      <c r="A15168" s="2">
        <v>15165</v>
      </c>
      <c r="B15168" s="2" t="s">
        <v>15239</v>
      </c>
      <c r="C15168" s="2" t="str">
        <f>"19705557"</f>
        <v>19705557</v>
      </c>
      <c r="D15168" s="2">
        <v>0.156</v>
      </c>
      <c r="E15168" s="2">
        <v>4</v>
      </c>
      <c r="F15168" s="2" t="s">
        <v>190</v>
      </c>
    </row>
    <row r="15169" spans="1:6" ht="25.5">
      <c r="A15169" s="2">
        <v>15166</v>
      </c>
      <c r="B15169" s="2" t="s">
        <v>15240</v>
      </c>
      <c r="C15169" s="2" t="str">
        <f>"19492553"</f>
        <v>19492553</v>
      </c>
      <c r="D15169" s="2">
        <v>2.0249999999999999</v>
      </c>
      <c r="E15169" s="2">
        <v>21</v>
      </c>
      <c r="F15169" s="2" t="s">
        <v>6</v>
      </c>
    </row>
    <row r="15170" spans="1:6" ht="25.5">
      <c r="A15170" s="2">
        <v>15167</v>
      </c>
      <c r="B15170" s="2" t="s">
        <v>15241</v>
      </c>
      <c r="C15170" s="2" t="str">
        <f>"11786930"</f>
        <v>11786930</v>
      </c>
      <c r="D15170" s="2">
        <v>0.66400000000000003</v>
      </c>
      <c r="E15170" s="2">
        <v>7</v>
      </c>
      <c r="F15170" s="2" t="s">
        <v>503</v>
      </c>
    </row>
    <row r="15171" spans="1:6" ht="25.5">
      <c r="A15171" s="2">
        <v>15168</v>
      </c>
      <c r="B15171" s="2" t="s">
        <v>15242</v>
      </c>
      <c r="C15171" s="2" t="str">
        <f>"22190635"</f>
        <v>22190635</v>
      </c>
      <c r="D15171" s="2">
        <v>0.17699999999999999</v>
      </c>
      <c r="E15171" s="2">
        <v>23</v>
      </c>
      <c r="F15171" s="2" t="s">
        <v>410</v>
      </c>
    </row>
    <row r="15172" spans="1:6" ht="25.5">
      <c r="A15172" s="2">
        <v>15169</v>
      </c>
      <c r="B15172" s="2" t="s">
        <v>15243</v>
      </c>
      <c r="C15172" s="2" t="str">
        <f>"13002996"</f>
        <v>13002996</v>
      </c>
      <c r="D15172" s="2">
        <v>0.10100000000000001</v>
      </c>
      <c r="E15172" s="2">
        <v>3</v>
      </c>
      <c r="F15172" s="2" t="s">
        <v>345</v>
      </c>
    </row>
    <row r="15173" spans="1:6" ht="25.5">
      <c r="A15173" s="2">
        <v>15170</v>
      </c>
      <c r="B15173" s="2" t="s">
        <v>15244</v>
      </c>
      <c r="C15173" s="2" t="str">
        <f>"14330415"</f>
        <v>14330415</v>
      </c>
      <c r="D15173" s="2">
        <v>0.127</v>
      </c>
      <c r="E15173" s="2">
        <v>10</v>
      </c>
      <c r="F15173" s="2" t="s">
        <v>12</v>
      </c>
    </row>
    <row r="15174" spans="1:6" ht="25.5">
      <c r="A15174" s="2">
        <v>15171</v>
      </c>
      <c r="B15174" s="2" t="s">
        <v>15245</v>
      </c>
      <c r="C15174" s="2" t="str">
        <f>"18968961"</f>
        <v>18968961</v>
      </c>
      <c r="D15174" s="2">
        <v>0.10100000000000001</v>
      </c>
      <c r="E15174" s="2">
        <v>0</v>
      </c>
      <c r="F15174" s="2" t="s">
        <v>169</v>
      </c>
    </row>
    <row r="15175" spans="1:6" ht="25.5">
      <c r="A15175" s="2">
        <v>15172</v>
      </c>
      <c r="B15175" s="2" t="s">
        <v>15246</v>
      </c>
      <c r="C15175" s="2" t="str">
        <f>"15056732"</f>
        <v>15056732</v>
      </c>
      <c r="D15175" s="2">
        <v>0.10100000000000001</v>
      </c>
      <c r="E15175" s="2">
        <v>5</v>
      </c>
      <c r="F15175" s="2" t="s">
        <v>169</v>
      </c>
    </row>
    <row r="15176" spans="1:6" ht="25.5">
      <c r="A15176" s="2">
        <v>15173</v>
      </c>
      <c r="B15176" s="2" t="s">
        <v>15247</v>
      </c>
      <c r="C15176" s="2" t="str">
        <f>"14230240"</f>
        <v>14230240</v>
      </c>
      <c r="D15176" s="2">
        <v>0.26700000000000002</v>
      </c>
      <c r="E15176" s="2">
        <v>32</v>
      </c>
      <c r="F15176" s="2" t="s">
        <v>31</v>
      </c>
    </row>
    <row r="15177" spans="1:6" ht="25.5">
      <c r="A15177" s="2">
        <v>15174</v>
      </c>
      <c r="B15177" s="2" t="s">
        <v>15248</v>
      </c>
      <c r="C15177" s="2" t="str">
        <f>"16764285"</f>
        <v>16764285</v>
      </c>
      <c r="D15177" s="2">
        <v>0.14599999999999999</v>
      </c>
      <c r="E15177" s="2">
        <v>5</v>
      </c>
      <c r="F15177" s="2" t="s">
        <v>159</v>
      </c>
    </row>
    <row r="15178" spans="1:6" ht="25.5">
      <c r="A15178" s="2">
        <v>15175</v>
      </c>
      <c r="B15178" s="2" t="s">
        <v>15249</v>
      </c>
      <c r="C15178" s="2" t="str">
        <f>"14684535"</f>
        <v>14684535</v>
      </c>
      <c r="D15178" s="2">
        <v>0.58899999999999997</v>
      </c>
      <c r="E15178" s="2">
        <v>25</v>
      </c>
      <c r="F15178" s="2" t="s">
        <v>16</v>
      </c>
    </row>
    <row r="15179" spans="1:6" ht="25.5">
      <c r="A15179" s="2">
        <v>15176</v>
      </c>
      <c r="B15179" s="2" t="s">
        <v>15250</v>
      </c>
      <c r="C15179" s="2" t="str">
        <f>"16084217"</f>
        <v>16084217</v>
      </c>
      <c r="D15179" s="2">
        <v>0.13500000000000001</v>
      </c>
      <c r="E15179" s="2">
        <v>4</v>
      </c>
      <c r="F15179" s="2" t="s">
        <v>6</v>
      </c>
    </row>
    <row r="15180" spans="1:6" ht="25.5">
      <c r="A15180" s="2">
        <v>15177</v>
      </c>
      <c r="B15180" s="2" t="s">
        <v>15251</v>
      </c>
      <c r="C15180" s="2" t="str">
        <f>"09725997"</f>
        <v>09725997</v>
      </c>
      <c r="D15180" s="2">
        <v>0.13300000000000001</v>
      </c>
      <c r="E15180" s="2">
        <v>6</v>
      </c>
      <c r="F15180" s="2" t="s">
        <v>488</v>
      </c>
    </row>
    <row r="15181" spans="1:6" ht="25.5">
      <c r="A15181" s="2">
        <v>15178</v>
      </c>
      <c r="B15181" s="2" t="s">
        <v>15252</v>
      </c>
      <c r="C15181" s="2" t="str">
        <f>"10913734"</f>
        <v>10913734</v>
      </c>
      <c r="D15181" s="2">
        <v>0.29799999999999999</v>
      </c>
      <c r="E15181" s="2">
        <v>16</v>
      </c>
      <c r="F15181" s="2" t="s">
        <v>6</v>
      </c>
    </row>
    <row r="15182" spans="1:6" ht="25.5">
      <c r="A15182" s="2">
        <v>15179</v>
      </c>
      <c r="B15182" s="2" t="s">
        <v>15253</v>
      </c>
      <c r="C15182" s="2" t="str">
        <f>"10899758"</f>
        <v>10899758</v>
      </c>
      <c r="D15182" s="2">
        <v>0.26400000000000001</v>
      </c>
      <c r="E15182" s="2">
        <v>6</v>
      </c>
      <c r="F15182" s="2" t="s">
        <v>6</v>
      </c>
    </row>
    <row r="15183" spans="1:6" ht="25.5">
      <c r="A15183" s="2">
        <v>15180</v>
      </c>
      <c r="B15183" s="2" t="s">
        <v>15254</v>
      </c>
      <c r="C15183" s="2" t="str">
        <f>"07185758"</f>
        <v>07185758</v>
      </c>
      <c r="D15183" s="2">
        <v>0.14399999999999999</v>
      </c>
      <c r="E15183" s="2">
        <v>1</v>
      </c>
      <c r="F15183" s="2" t="s">
        <v>182</v>
      </c>
    </row>
    <row r="15184" spans="1:6" ht="25.5">
      <c r="A15184" s="2">
        <v>15181</v>
      </c>
      <c r="B15184" s="2" t="s">
        <v>15255</v>
      </c>
      <c r="C15184" s="2" t="str">
        <f>"19351623"</f>
        <v>19351623</v>
      </c>
      <c r="D15184" s="2">
        <v>0.112</v>
      </c>
      <c r="E15184" s="2">
        <v>4</v>
      </c>
      <c r="F15184" s="2" t="s">
        <v>6</v>
      </c>
    </row>
    <row r="15185" spans="1:6" ht="25.5">
      <c r="A15185" s="2">
        <v>15182</v>
      </c>
      <c r="B15185" s="2" t="s">
        <v>15256</v>
      </c>
      <c r="C15185" s="2" t="str">
        <f>"17831652"</f>
        <v>17831652</v>
      </c>
      <c r="D15185" s="2">
        <v>0.10100000000000001</v>
      </c>
      <c r="E15185" s="2">
        <v>4</v>
      </c>
      <c r="F15185" s="2" t="s">
        <v>161</v>
      </c>
    </row>
    <row r="15186" spans="1:6" ht="25.5">
      <c r="A15186" s="2">
        <v>15183</v>
      </c>
      <c r="B15186" s="2" t="s">
        <v>15257</v>
      </c>
      <c r="C15186" s="2" t="str">
        <f>"19157398"</f>
        <v>19157398</v>
      </c>
      <c r="D15186" s="2">
        <v>0.104</v>
      </c>
      <c r="E15186" s="2">
        <v>1</v>
      </c>
      <c r="F15186" s="2" t="s">
        <v>64</v>
      </c>
    </row>
    <row r="15187" spans="1:6" ht="25.5">
      <c r="A15187" s="2">
        <v>15184</v>
      </c>
      <c r="B15187" s="2" t="s">
        <v>15258</v>
      </c>
      <c r="C15187" s="2" t="str">
        <f>"10748121"</f>
        <v>10748121</v>
      </c>
      <c r="D15187" s="2">
        <v>0.39400000000000002</v>
      </c>
      <c r="E15187" s="2">
        <v>10</v>
      </c>
      <c r="F15187" s="2" t="s">
        <v>16</v>
      </c>
    </row>
    <row r="15188" spans="1:6" ht="25.5">
      <c r="A15188" s="2">
        <v>15185</v>
      </c>
      <c r="B15188" s="2" t="s">
        <v>15259</v>
      </c>
      <c r="C15188" s="2" t="str">
        <f>"04751450"</f>
        <v>04751450</v>
      </c>
      <c r="D15188" s="2">
        <v>0.124</v>
      </c>
      <c r="E15188" s="2">
        <v>8</v>
      </c>
      <c r="F15188" s="2" t="s">
        <v>129</v>
      </c>
    </row>
    <row r="15189" spans="1:6" ht="25.5">
      <c r="A15189" s="2">
        <v>15186</v>
      </c>
      <c r="B15189" s="2" t="s">
        <v>15260</v>
      </c>
      <c r="C15189" s="2" t="str">
        <f>"10121587"</f>
        <v>10121587</v>
      </c>
      <c r="D15189" s="2">
        <v>0.1</v>
      </c>
      <c r="E15189" s="2">
        <v>2</v>
      </c>
      <c r="F15189" s="2" t="s">
        <v>40</v>
      </c>
    </row>
    <row r="15190" spans="1:6" ht="25.5">
      <c r="A15190" s="2">
        <v>15187</v>
      </c>
      <c r="B15190" s="2" t="s">
        <v>15261</v>
      </c>
      <c r="C15190" s="2" t="str">
        <f>"11791500"</f>
        <v>11791500</v>
      </c>
      <c r="D15190" s="2">
        <v>0.25900000000000001</v>
      </c>
      <c r="E15190" s="2">
        <v>3</v>
      </c>
      <c r="F15190" s="2" t="s">
        <v>503</v>
      </c>
    </row>
    <row r="15191" spans="1:6" ht="25.5">
      <c r="A15191" s="2">
        <v>15188</v>
      </c>
      <c r="B15191" s="2" t="s">
        <v>15262</v>
      </c>
      <c r="C15191" s="2" t="str">
        <f>"11791519"</f>
        <v>11791519</v>
      </c>
      <c r="D15191" s="2">
        <v>0.16500000000000001</v>
      </c>
      <c r="E15191" s="2">
        <v>2</v>
      </c>
      <c r="F15191" s="2" t="s">
        <v>503</v>
      </c>
    </row>
    <row r="15192" spans="1:6" ht="25.5">
      <c r="A15192" s="2">
        <v>15189</v>
      </c>
      <c r="B15192" s="2" t="s">
        <v>15263</v>
      </c>
      <c r="C15192" s="2" t="str">
        <f>"11791551"</f>
        <v>11791551</v>
      </c>
      <c r="D15192" s="2">
        <v>0.11700000000000001</v>
      </c>
      <c r="E15192" s="2">
        <v>3</v>
      </c>
      <c r="F15192" s="2" t="s">
        <v>503</v>
      </c>
    </row>
    <row r="15193" spans="1:6" ht="25.5">
      <c r="A15193" s="2">
        <v>15190</v>
      </c>
      <c r="B15193" s="2" t="s">
        <v>15264</v>
      </c>
      <c r="C15193" s="2" t="str">
        <f>"1179156X"</f>
        <v>1179156X</v>
      </c>
      <c r="D15193" s="2">
        <v>0.13200000000000001</v>
      </c>
      <c r="E15193" s="2">
        <v>3</v>
      </c>
      <c r="F15193" s="2" t="s">
        <v>6</v>
      </c>
    </row>
    <row r="15194" spans="1:6" ht="25.5">
      <c r="A15194" s="2">
        <v>15191</v>
      </c>
      <c r="B15194" s="2" t="s">
        <v>15265</v>
      </c>
      <c r="C15194" s="2" t="str">
        <f>"18746136"</f>
        <v>18746136</v>
      </c>
      <c r="D15194" s="2">
        <v>0.29699999999999999</v>
      </c>
      <c r="E15194" s="2">
        <v>3</v>
      </c>
      <c r="F15194" s="2" t="s">
        <v>75</v>
      </c>
    </row>
    <row r="15195" spans="1:6" ht="25.5">
      <c r="A15195" s="2">
        <v>15192</v>
      </c>
      <c r="B15195" s="2" t="s">
        <v>15266</v>
      </c>
      <c r="C15195" s="2" t="str">
        <f>"18748384"</f>
        <v>18748384</v>
      </c>
      <c r="D15195" s="2">
        <v>0.31900000000000001</v>
      </c>
      <c r="E15195" s="2">
        <v>2</v>
      </c>
      <c r="F15195" s="2" t="s">
        <v>75</v>
      </c>
    </row>
    <row r="15196" spans="1:6" ht="25.5">
      <c r="A15196" s="2">
        <v>15193</v>
      </c>
      <c r="B15196" s="2" t="s">
        <v>15267</v>
      </c>
      <c r="C15196" s="2" t="str">
        <f>"18743218"</f>
        <v>18743218</v>
      </c>
      <c r="D15196" s="2">
        <v>0.10299999999999999</v>
      </c>
      <c r="E15196" s="2">
        <v>1</v>
      </c>
      <c r="F15196" s="2" t="s">
        <v>75</v>
      </c>
    </row>
    <row r="15197" spans="1:6" ht="25.5">
      <c r="A15197" s="2">
        <v>15194</v>
      </c>
      <c r="B15197" s="2" t="s">
        <v>15268</v>
      </c>
      <c r="C15197" s="2" t="str">
        <f>"18741142"</f>
        <v>18741142</v>
      </c>
      <c r="D15197" s="2">
        <v>0.113</v>
      </c>
      <c r="E15197" s="2">
        <v>0</v>
      </c>
      <c r="F15197" s="2" t="s">
        <v>1467</v>
      </c>
    </row>
    <row r="15198" spans="1:6" ht="25.5">
      <c r="A15198" s="2">
        <v>15195</v>
      </c>
      <c r="B15198" s="2" t="s">
        <v>15269</v>
      </c>
      <c r="C15198" s="2" t="str">
        <f>"18765394"</f>
        <v>18765394</v>
      </c>
      <c r="D15198" s="2">
        <v>0.126</v>
      </c>
      <c r="E15198" s="2">
        <v>0</v>
      </c>
      <c r="F15198" s="2" t="s">
        <v>75</v>
      </c>
    </row>
    <row r="15199" spans="1:6" ht="25.5">
      <c r="A15199" s="2">
        <v>15196</v>
      </c>
      <c r="B15199" s="2" t="s">
        <v>15270</v>
      </c>
      <c r="C15199" s="2" t="str">
        <f>"18768946"</f>
        <v>18768946</v>
      </c>
      <c r="D15199" s="2">
        <v>0.109</v>
      </c>
      <c r="E15199" s="2">
        <v>0</v>
      </c>
      <c r="F15199" s="2" t="s">
        <v>75</v>
      </c>
    </row>
    <row r="15200" spans="1:6" ht="25.5">
      <c r="A15200" s="2">
        <v>15197</v>
      </c>
      <c r="B15200" s="2" t="s">
        <v>15271</v>
      </c>
      <c r="C15200" s="2" t="str">
        <f>"18744443"</f>
        <v>18744443</v>
      </c>
      <c r="D15200" s="2">
        <v>0.215</v>
      </c>
      <c r="E15200" s="2">
        <v>3</v>
      </c>
      <c r="F15200" s="2" t="s">
        <v>1467</v>
      </c>
    </row>
    <row r="15201" spans="1:6" ht="25.5">
      <c r="A15201" s="2">
        <v>15198</v>
      </c>
      <c r="B15201" s="2" t="s">
        <v>15272</v>
      </c>
      <c r="C15201" s="2" t="str">
        <f>"20462441"</f>
        <v>20462441</v>
      </c>
      <c r="D15201" s="2">
        <v>1.9079999999999999</v>
      </c>
      <c r="E15201" s="2">
        <v>4</v>
      </c>
      <c r="F15201" s="2" t="s">
        <v>16</v>
      </c>
    </row>
    <row r="15202" spans="1:6" ht="25.5">
      <c r="A15202" s="2">
        <v>15199</v>
      </c>
      <c r="B15202" s="2" t="s">
        <v>15273</v>
      </c>
      <c r="C15202" s="2" t="str">
        <f>"18753183"</f>
        <v>18753183</v>
      </c>
      <c r="D15202" s="2">
        <v>0.109</v>
      </c>
      <c r="E15202" s="2">
        <v>2</v>
      </c>
      <c r="F15202" s="2" t="s">
        <v>75</v>
      </c>
    </row>
    <row r="15203" spans="1:6" ht="25.5">
      <c r="A15203" s="2">
        <v>15200</v>
      </c>
      <c r="B15203" s="2" t="s">
        <v>15274</v>
      </c>
      <c r="C15203" s="2" t="str">
        <f>"18741207"</f>
        <v>18741207</v>
      </c>
      <c r="D15203" s="2">
        <v>0.188</v>
      </c>
      <c r="E15203" s="2">
        <v>5</v>
      </c>
      <c r="F15203" s="2" t="s">
        <v>75</v>
      </c>
    </row>
    <row r="15204" spans="1:6" ht="25.5">
      <c r="A15204" s="2">
        <v>15201</v>
      </c>
      <c r="B15204" s="2" t="s">
        <v>15275</v>
      </c>
      <c r="C15204" s="2" t="str">
        <f>"18740707"</f>
        <v>18740707</v>
      </c>
      <c r="D15204" s="2">
        <v>0.157</v>
      </c>
      <c r="E15204" s="2">
        <v>3</v>
      </c>
      <c r="F15204" s="2" t="s">
        <v>75</v>
      </c>
    </row>
    <row r="15205" spans="1:6" ht="25.5">
      <c r="A15205" s="2">
        <v>15202</v>
      </c>
      <c r="B15205" s="2" t="s">
        <v>15276</v>
      </c>
      <c r="C15205" s="2" t="str">
        <f>"18764010"</f>
        <v>18764010</v>
      </c>
      <c r="D15205" s="2">
        <v>0.12</v>
      </c>
      <c r="E15205" s="2">
        <v>1</v>
      </c>
      <c r="F15205" s="2" t="s">
        <v>75</v>
      </c>
    </row>
    <row r="15206" spans="1:6" ht="25.5">
      <c r="A15206" s="2">
        <v>15203</v>
      </c>
      <c r="B15206" s="2" t="s">
        <v>15277</v>
      </c>
      <c r="C15206" s="2" t="str">
        <f>"18740790"</f>
        <v>18740790</v>
      </c>
      <c r="D15206" s="2">
        <v>0.28299999999999997</v>
      </c>
      <c r="E15206" s="2">
        <v>3</v>
      </c>
      <c r="F15206" s="2" t="s">
        <v>75</v>
      </c>
    </row>
    <row r="15207" spans="1:6" ht="25.5">
      <c r="A15207" s="2">
        <v>15204</v>
      </c>
      <c r="B15207" s="2" t="s">
        <v>15278</v>
      </c>
      <c r="C15207" s="2" t="str">
        <f>"18741924"</f>
        <v>18741924</v>
      </c>
      <c r="D15207" s="2">
        <v>0.38900000000000001</v>
      </c>
      <c r="E15207" s="2">
        <v>8</v>
      </c>
      <c r="F15207" s="2" t="s">
        <v>75</v>
      </c>
    </row>
    <row r="15208" spans="1:6" ht="25.5">
      <c r="A15208" s="2">
        <v>15205</v>
      </c>
      <c r="B15208" s="2" t="s">
        <v>15279</v>
      </c>
      <c r="C15208" s="2" t="str">
        <f>"1876214X"</f>
        <v>1876214X</v>
      </c>
      <c r="D15208" s="2">
        <v>0.21299999999999999</v>
      </c>
      <c r="E15208" s="2">
        <v>3</v>
      </c>
      <c r="F15208" s="2" t="s">
        <v>1467</v>
      </c>
    </row>
    <row r="15209" spans="1:6" ht="25.5">
      <c r="A15209" s="2">
        <v>15206</v>
      </c>
      <c r="B15209" s="2" t="s">
        <v>15280</v>
      </c>
      <c r="C15209" s="2" t="str">
        <f>"18750389"</f>
        <v>18750389</v>
      </c>
      <c r="D15209" s="2">
        <v>0.109</v>
      </c>
      <c r="E15209" s="2">
        <v>0</v>
      </c>
      <c r="F15209" s="2" t="s">
        <v>1467</v>
      </c>
    </row>
    <row r="15210" spans="1:6" ht="25.5">
      <c r="A15210" s="2">
        <v>15207</v>
      </c>
      <c r="B15210" s="2" t="s">
        <v>15281</v>
      </c>
      <c r="C15210" s="2" t="str">
        <f>"18741231"</f>
        <v>18741231</v>
      </c>
      <c r="D15210" s="2">
        <v>0.28699999999999998</v>
      </c>
      <c r="E15210" s="2">
        <v>5</v>
      </c>
      <c r="F15210" s="2" t="s">
        <v>75</v>
      </c>
    </row>
    <row r="15211" spans="1:6" ht="25.5">
      <c r="A15211" s="2">
        <v>15208</v>
      </c>
      <c r="B15211" s="2" t="s">
        <v>15282</v>
      </c>
      <c r="C15211" s="2" t="str">
        <f>"18741495"</f>
        <v>18741495</v>
      </c>
      <c r="D15211" s="2">
        <v>0.109</v>
      </c>
      <c r="E15211" s="2">
        <v>1</v>
      </c>
      <c r="F15211" s="2" t="s">
        <v>75</v>
      </c>
    </row>
    <row r="15212" spans="1:6" ht="25.5">
      <c r="A15212" s="2">
        <v>15209</v>
      </c>
      <c r="B15212" s="2" t="s">
        <v>15283</v>
      </c>
      <c r="C15212" s="2" t="str">
        <f>"18741894"</f>
        <v>18741894</v>
      </c>
      <c r="D15212" s="2">
        <v>0.121</v>
      </c>
      <c r="E15212" s="2">
        <v>2</v>
      </c>
      <c r="F15212" s="2" t="s">
        <v>75</v>
      </c>
    </row>
    <row r="15213" spans="1:6" ht="25.5">
      <c r="A15213" s="2">
        <v>15210</v>
      </c>
      <c r="B15213" s="2" t="s">
        <v>15284</v>
      </c>
      <c r="C15213" s="2" t="str">
        <f>"18742416"</f>
        <v>18742416</v>
      </c>
      <c r="D15213" s="2">
        <v>0.17699999999999999</v>
      </c>
      <c r="E15213" s="2">
        <v>3</v>
      </c>
      <c r="F15213" s="2" t="s">
        <v>75</v>
      </c>
    </row>
    <row r="15214" spans="1:6" ht="25.5">
      <c r="A15214" s="2">
        <v>15211</v>
      </c>
      <c r="B15214" s="2" t="s">
        <v>15285</v>
      </c>
      <c r="C15214" s="2" t="str">
        <f>"18748368"</f>
        <v>18748368</v>
      </c>
      <c r="D15214" s="2">
        <v>0.113</v>
      </c>
      <c r="E15214" s="2">
        <v>2</v>
      </c>
      <c r="F15214" s="2" t="s">
        <v>75</v>
      </c>
    </row>
    <row r="15215" spans="1:6" ht="25.5">
      <c r="A15215" s="2">
        <v>15212</v>
      </c>
      <c r="B15215" s="2" t="s">
        <v>15286</v>
      </c>
      <c r="C15215" s="2" t="str">
        <f>"18748287"</f>
        <v>18748287</v>
      </c>
      <c r="D15215" s="2">
        <v>0.107</v>
      </c>
      <c r="E15215" s="2">
        <v>1</v>
      </c>
      <c r="F15215" s="2" t="s">
        <v>75</v>
      </c>
    </row>
    <row r="15216" spans="1:6" ht="25.5">
      <c r="A15216" s="2">
        <v>15213</v>
      </c>
      <c r="B15216" s="2" t="s">
        <v>15287</v>
      </c>
      <c r="C15216" s="2" t="str">
        <f>"1874110X"</f>
        <v>1874110X</v>
      </c>
      <c r="D15216" s="2">
        <v>0.105</v>
      </c>
      <c r="E15216" s="2">
        <v>0</v>
      </c>
      <c r="F15216" s="2" t="s">
        <v>75</v>
      </c>
    </row>
    <row r="15217" spans="1:6" ht="25.5">
      <c r="A15217" s="2">
        <v>15214</v>
      </c>
      <c r="B15217" s="2" t="s">
        <v>15288</v>
      </c>
      <c r="C15217" s="2" t="str">
        <f>"18742106"</f>
        <v>18742106</v>
      </c>
      <c r="D15217" s="2">
        <v>0.23499999999999999</v>
      </c>
      <c r="E15217" s="2">
        <v>3</v>
      </c>
      <c r="F15217" s="2" t="s">
        <v>1467</v>
      </c>
    </row>
    <row r="15218" spans="1:6" ht="25.5">
      <c r="A15218" s="2">
        <v>15215</v>
      </c>
      <c r="B15218" s="2" t="s">
        <v>15289</v>
      </c>
      <c r="C15218" s="2" t="str">
        <f>"18743722"</f>
        <v>18743722</v>
      </c>
      <c r="D15218" s="2">
        <v>0.113</v>
      </c>
      <c r="E15218" s="2">
        <v>2</v>
      </c>
      <c r="F15218" s="2" t="s">
        <v>75</v>
      </c>
    </row>
    <row r="15219" spans="1:6" ht="25.5">
      <c r="A15219" s="2">
        <v>15216</v>
      </c>
      <c r="B15219" s="2" t="s">
        <v>15290</v>
      </c>
      <c r="C15219" s="2" t="str">
        <f>"18765246"</f>
        <v>18765246</v>
      </c>
      <c r="D15219" s="2">
        <v>0.129</v>
      </c>
      <c r="E15219" s="2">
        <v>2</v>
      </c>
      <c r="F15219" s="2" t="s">
        <v>75</v>
      </c>
    </row>
    <row r="15220" spans="1:6" ht="25.5">
      <c r="A15220" s="2">
        <v>15217</v>
      </c>
      <c r="B15220" s="2" t="s">
        <v>15291</v>
      </c>
      <c r="C15220" s="2" t="str">
        <f>"18740731"</f>
        <v>18740731</v>
      </c>
      <c r="D15220" s="2">
        <v>0.13500000000000001</v>
      </c>
      <c r="E15220" s="2">
        <v>2</v>
      </c>
      <c r="F15220" s="2" t="s">
        <v>75</v>
      </c>
    </row>
    <row r="15221" spans="1:6" ht="25.5">
      <c r="A15221" s="2">
        <v>15218</v>
      </c>
      <c r="B15221" s="2" t="s">
        <v>15292</v>
      </c>
      <c r="C15221" s="2" t="str">
        <f>"18742130"</f>
        <v>18742130</v>
      </c>
      <c r="D15221" s="2">
        <v>1.4530000000000001</v>
      </c>
      <c r="E15221" s="2">
        <v>7</v>
      </c>
      <c r="F15221" s="2" t="s">
        <v>75</v>
      </c>
    </row>
    <row r="15222" spans="1:6" ht="25.5">
      <c r="A15222" s="2">
        <v>15219</v>
      </c>
      <c r="B15222" s="2" t="s">
        <v>15293</v>
      </c>
      <c r="C15222" s="2" t="str">
        <f>"1573708X"</f>
        <v>1573708X</v>
      </c>
      <c r="D15222" s="2">
        <v>0.39800000000000002</v>
      </c>
      <c r="E15222" s="2">
        <v>16</v>
      </c>
      <c r="F15222" s="2" t="s">
        <v>75</v>
      </c>
    </row>
    <row r="15223" spans="1:6" ht="25.5">
      <c r="A15223" s="2">
        <v>15220</v>
      </c>
      <c r="B15223" s="2" t="s">
        <v>15294</v>
      </c>
      <c r="C15223" s="2" t="str">
        <f>"18741290"</f>
        <v>18741290</v>
      </c>
      <c r="D15223" s="2">
        <v>0.17499999999999999</v>
      </c>
      <c r="E15223" s="2">
        <v>2</v>
      </c>
      <c r="F15223" s="2" t="s">
        <v>75</v>
      </c>
    </row>
    <row r="15224" spans="1:6" ht="25.5">
      <c r="A15224" s="2">
        <v>15221</v>
      </c>
      <c r="B15224" s="2" t="s">
        <v>15295</v>
      </c>
      <c r="C15224" s="2" t="str">
        <f>"18749402"</f>
        <v>18749402</v>
      </c>
      <c r="D15224" s="2">
        <v>0.14799999999999999</v>
      </c>
      <c r="E15224" s="2">
        <v>1</v>
      </c>
      <c r="F15224" s="2" t="s">
        <v>75</v>
      </c>
    </row>
    <row r="15225" spans="1:6" ht="25.5">
      <c r="A15225" s="2">
        <v>15222</v>
      </c>
      <c r="B15225" s="2" t="s">
        <v>15296</v>
      </c>
      <c r="C15225" s="2" t="str">
        <f>"1876973X"</f>
        <v>1876973X</v>
      </c>
      <c r="D15225" s="2">
        <v>0.28000000000000003</v>
      </c>
      <c r="E15225" s="2">
        <v>3</v>
      </c>
      <c r="F15225" s="2" t="s">
        <v>75</v>
      </c>
    </row>
    <row r="15226" spans="1:6" ht="25.5">
      <c r="A15226" s="2">
        <v>15223</v>
      </c>
      <c r="B15226" s="2" t="s">
        <v>15297</v>
      </c>
      <c r="C15226" s="2" t="str">
        <f>"18750370"</f>
        <v>18750370</v>
      </c>
      <c r="D15226" s="2">
        <v>0.19500000000000001</v>
      </c>
      <c r="E15226" s="2">
        <v>2</v>
      </c>
      <c r="F15226" s="2" t="s">
        <v>75</v>
      </c>
    </row>
    <row r="15227" spans="1:6" ht="25.5">
      <c r="A15227" s="2">
        <v>15224</v>
      </c>
      <c r="B15227" s="2" t="s">
        <v>15298</v>
      </c>
      <c r="C15227" s="2" t="str">
        <f>"1875693X"</f>
        <v>1875693X</v>
      </c>
      <c r="D15227" s="2">
        <v>0.14399999999999999</v>
      </c>
      <c r="E15227" s="2">
        <v>1</v>
      </c>
      <c r="F15227" s="2" t="s">
        <v>75</v>
      </c>
    </row>
    <row r="15228" spans="1:6" ht="25.5">
      <c r="A15228" s="2">
        <v>15225</v>
      </c>
      <c r="B15228" s="2" t="s">
        <v>15299</v>
      </c>
      <c r="C15228" s="2" t="str">
        <f>"18753981"</f>
        <v>18753981</v>
      </c>
      <c r="D15228" s="2">
        <v>0.126</v>
      </c>
      <c r="E15228" s="2">
        <v>0</v>
      </c>
      <c r="F15228" s="2" t="s">
        <v>1467</v>
      </c>
    </row>
    <row r="15229" spans="1:6" ht="25.5">
      <c r="A15229" s="2">
        <v>15226</v>
      </c>
      <c r="B15229" s="2" t="s">
        <v>15300</v>
      </c>
      <c r="C15229" s="2" t="str">
        <f>"18742769"</f>
        <v>18742769</v>
      </c>
      <c r="D15229" s="2">
        <v>0.153</v>
      </c>
      <c r="E15229" s="2">
        <v>2</v>
      </c>
      <c r="F15229" s="2" t="s">
        <v>75</v>
      </c>
    </row>
    <row r="15230" spans="1:6" ht="25.5">
      <c r="A15230" s="2">
        <v>15227</v>
      </c>
      <c r="B15230" s="2" t="s">
        <v>15301</v>
      </c>
      <c r="C15230" s="2" t="str">
        <f>"01682601"</f>
        <v>01682601</v>
      </c>
      <c r="D15230" s="2">
        <v>0.191</v>
      </c>
      <c r="E15230" s="2">
        <v>3</v>
      </c>
      <c r="F15230" s="2" t="s">
        <v>16</v>
      </c>
    </row>
    <row r="15231" spans="1:6" ht="25.5">
      <c r="A15231" s="2">
        <v>15228</v>
      </c>
      <c r="B15231" s="2" t="s">
        <v>15302</v>
      </c>
      <c r="C15231" s="2" t="str">
        <f>"18765262"</f>
        <v>18765262</v>
      </c>
      <c r="D15231" s="2">
        <v>0.105</v>
      </c>
      <c r="E15231" s="2">
        <v>0</v>
      </c>
      <c r="F15231" s="2" t="s">
        <v>75</v>
      </c>
    </row>
    <row r="15232" spans="1:6" ht="25.5">
      <c r="A15232" s="2">
        <v>15229</v>
      </c>
      <c r="B15232" s="2" t="s">
        <v>15303</v>
      </c>
      <c r="C15232" s="2" t="str">
        <f>"18742262"</f>
        <v>18742262</v>
      </c>
      <c r="D15232" s="2">
        <v>0.14399999999999999</v>
      </c>
      <c r="E15232" s="2">
        <v>2</v>
      </c>
      <c r="F15232" s="2" t="s">
        <v>75</v>
      </c>
    </row>
    <row r="15233" spans="1:6" ht="25.5">
      <c r="A15233" s="2">
        <v>15230</v>
      </c>
      <c r="B15233" s="2" t="s">
        <v>15304</v>
      </c>
      <c r="C15233" s="2" t="str">
        <f>"18742793"</f>
        <v>18742793</v>
      </c>
      <c r="D15233" s="2">
        <v>0.158</v>
      </c>
      <c r="E15233" s="2">
        <v>2</v>
      </c>
      <c r="F15233" s="2" t="s">
        <v>75</v>
      </c>
    </row>
    <row r="15234" spans="1:6" ht="25.5">
      <c r="A15234" s="2">
        <v>15231</v>
      </c>
      <c r="B15234" s="2" t="s">
        <v>15305</v>
      </c>
      <c r="C15234" s="2" t="str">
        <f>"02680513"</f>
        <v>02680513</v>
      </c>
      <c r="D15234" s="2">
        <v>0.442</v>
      </c>
      <c r="E15234" s="2">
        <v>4</v>
      </c>
      <c r="F15234" s="2" t="s">
        <v>16</v>
      </c>
    </row>
    <row r="15235" spans="1:6" ht="25.5">
      <c r="A15235" s="2">
        <v>15232</v>
      </c>
      <c r="B15235" s="2" t="s">
        <v>15306</v>
      </c>
      <c r="C15235" s="2" t="str">
        <f>"1874088X"</f>
        <v>1874088X</v>
      </c>
      <c r="D15235" s="2">
        <v>0.218</v>
      </c>
      <c r="E15235" s="2">
        <v>3</v>
      </c>
      <c r="F15235" s="2" t="s">
        <v>75</v>
      </c>
    </row>
    <row r="15236" spans="1:6" ht="25.5">
      <c r="A15236" s="2">
        <v>15233</v>
      </c>
      <c r="B15236" s="2" t="s">
        <v>15307</v>
      </c>
      <c r="C15236" s="2" t="str">
        <f>"18741177"</f>
        <v>18741177</v>
      </c>
      <c r="D15236" s="2">
        <v>0.113</v>
      </c>
      <c r="E15236" s="2">
        <v>0</v>
      </c>
      <c r="F15236" s="2" t="s">
        <v>1467</v>
      </c>
    </row>
    <row r="15237" spans="1:6" ht="25.5">
      <c r="A15237" s="2">
        <v>15234</v>
      </c>
      <c r="B15237" s="2" t="s">
        <v>15308</v>
      </c>
      <c r="C15237" s="2" t="str">
        <f>"1874155X"</f>
        <v>1874155X</v>
      </c>
      <c r="D15237" s="2">
        <v>0.17</v>
      </c>
      <c r="E15237" s="2">
        <v>2</v>
      </c>
      <c r="F15237" s="2" t="s">
        <v>75</v>
      </c>
    </row>
    <row r="15238" spans="1:6" ht="25.5">
      <c r="A15238" s="2">
        <v>15235</v>
      </c>
      <c r="B15238" s="2" t="s">
        <v>15309</v>
      </c>
      <c r="C15238" s="2" t="str">
        <f>"18741584"</f>
        <v>18741584</v>
      </c>
      <c r="D15238" s="2">
        <v>0.46400000000000002</v>
      </c>
      <c r="E15238" s="2">
        <v>4</v>
      </c>
      <c r="F15238" s="2" t="s">
        <v>1467</v>
      </c>
    </row>
    <row r="15239" spans="1:6" ht="25.5">
      <c r="A15239" s="2">
        <v>15236</v>
      </c>
      <c r="B15239" s="2" t="s">
        <v>15310</v>
      </c>
      <c r="C15239" s="2" t="str">
        <f>"18751814"</f>
        <v>18751814</v>
      </c>
      <c r="D15239" s="2">
        <v>0.113</v>
      </c>
      <c r="E15239" s="2">
        <v>0</v>
      </c>
      <c r="F15239" s="2" t="s">
        <v>1467</v>
      </c>
    </row>
    <row r="15240" spans="1:6" ht="25.5">
      <c r="A15240" s="2">
        <v>15237</v>
      </c>
      <c r="B15240" s="2" t="s">
        <v>15311</v>
      </c>
      <c r="C15240" s="2" t="str">
        <f>"18741045"</f>
        <v>18741045</v>
      </c>
      <c r="D15240" s="2">
        <v>1.0009999999999999</v>
      </c>
      <c r="E15240" s="2">
        <v>7</v>
      </c>
      <c r="F15240" s="2" t="s">
        <v>75</v>
      </c>
    </row>
    <row r="15241" spans="1:6" ht="25.5">
      <c r="A15241" s="2">
        <v>15238</v>
      </c>
      <c r="B15241" s="2" t="s">
        <v>15312</v>
      </c>
      <c r="C15241" s="2" t="str">
        <f>"19112092"</f>
        <v>19112092</v>
      </c>
      <c r="D15241" s="2">
        <v>0.55700000000000005</v>
      </c>
      <c r="E15241" s="2">
        <v>9</v>
      </c>
      <c r="F15241" s="2" t="s">
        <v>64</v>
      </c>
    </row>
    <row r="15242" spans="1:6" ht="25.5">
      <c r="A15242" s="2">
        <v>15239</v>
      </c>
      <c r="B15242" s="2" t="s">
        <v>15313</v>
      </c>
      <c r="C15242" s="2" t="str">
        <f>"1874205X"</f>
        <v>1874205X</v>
      </c>
      <c r="D15242" s="2">
        <v>0.19</v>
      </c>
      <c r="E15242" s="2">
        <v>2</v>
      </c>
      <c r="F15242" s="2" t="s">
        <v>75</v>
      </c>
    </row>
    <row r="15243" spans="1:6" ht="25.5">
      <c r="A15243" s="2">
        <v>15240</v>
      </c>
      <c r="B15243" s="2" t="s">
        <v>15314</v>
      </c>
      <c r="C15243" s="2" t="str">
        <f>"18765238"</f>
        <v>18765238</v>
      </c>
      <c r="D15243" s="2">
        <v>0.156</v>
      </c>
      <c r="E15243" s="2">
        <v>3</v>
      </c>
      <c r="F15243" s="2" t="s">
        <v>75</v>
      </c>
    </row>
    <row r="15244" spans="1:6" ht="25.5">
      <c r="A15244" s="2">
        <v>15241</v>
      </c>
      <c r="B15244" s="2" t="s">
        <v>15315</v>
      </c>
      <c r="C15244" s="2" t="str">
        <f>"18740820"</f>
        <v>18740820</v>
      </c>
      <c r="D15244" s="2">
        <v>0.13600000000000001</v>
      </c>
      <c r="E15244" s="2">
        <v>1</v>
      </c>
      <c r="F15244" s="2" t="s">
        <v>1467</v>
      </c>
    </row>
    <row r="15245" spans="1:6" ht="25.5">
      <c r="A15245" s="2">
        <v>15242</v>
      </c>
      <c r="B15245" s="2" t="s">
        <v>15316</v>
      </c>
      <c r="C15245" s="2" t="str">
        <f>"18744532"</f>
        <v>18744532</v>
      </c>
      <c r="D15245" s="2">
        <v>0.10299999999999999</v>
      </c>
      <c r="E15245" s="2">
        <v>1</v>
      </c>
      <c r="F15245" s="2" t="s">
        <v>75</v>
      </c>
    </row>
    <row r="15246" spans="1:6" ht="25.5">
      <c r="A15246" s="2">
        <v>15243</v>
      </c>
      <c r="B15246" s="2" t="s">
        <v>15317</v>
      </c>
      <c r="C15246" s="2" t="str">
        <f>"18763863"</f>
        <v>18763863</v>
      </c>
      <c r="D15246" s="2">
        <v>0.156</v>
      </c>
      <c r="E15246" s="2">
        <v>2</v>
      </c>
      <c r="F15246" s="2" t="s">
        <v>75</v>
      </c>
    </row>
    <row r="15247" spans="1:6" ht="25.5">
      <c r="A15247" s="2">
        <v>15244</v>
      </c>
      <c r="B15247" s="2" t="s">
        <v>15318</v>
      </c>
      <c r="C15247" s="2" t="str">
        <f>"18748341"</f>
        <v>18748341</v>
      </c>
      <c r="D15247" s="2">
        <v>0.114</v>
      </c>
      <c r="E15247" s="2">
        <v>1</v>
      </c>
      <c r="F15247" s="2" t="s">
        <v>75</v>
      </c>
    </row>
    <row r="15248" spans="1:6" ht="25.5">
      <c r="A15248" s="2">
        <v>15245</v>
      </c>
      <c r="B15248" s="2" t="s">
        <v>15319</v>
      </c>
      <c r="C15248" s="2" t="str">
        <f>"18741436"</f>
        <v>18741436</v>
      </c>
      <c r="D15248" s="2">
        <v>0.19800000000000001</v>
      </c>
      <c r="E15248" s="2">
        <v>3</v>
      </c>
      <c r="F15248" s="2" t="s">
        <v>75</v>
      </c>
    </row>
    <row r="15249" spans="1:6" ht="25.5">
      <c r="A15249" s="2">
        <v>15246</v>
      </c>
      <c r="B15249" s="2" t="s">
        <v>15320</v>
      </c>
      <c r="C15249" s="2" t="str">
        <f>"18750397"</f>
        <v>18750397</v>
      </c>
      <c r="D15249" s="2">
        <v>0.17799999999999999</v>
      </c>
      <c r="E15249" s="2">
        <v>1</v>
      </c>
      <c r="F15249" s="2" t="s">
        <v>75</v>
      </c>
    </row>
    <row r="15250" spans="1:6" ht="25.5">
      <c r="A15250" s="2">
        <v>15247</v>
      </c>
      <c r="B15250" s="2" t="s">
        <v>15321</v>
      </c>
      <c r="C15250" s="2" t="str">
        <f>"18743064"</f>
        <v>18743064</v>
      </c>
      <c r="D15250" s="2">
        <v>0.48599999999999999</v>
      </c>
      <c r="E15250" s="2">
        <v>6</v>
      </c>
      <c r="F15250" s="2" t="s">
        <v>75</v>
      </c>
    </row>
    <row r="15251" spans="1:6" ht="25.5">
      <c r="A15251" s="2">
        <v>15248</v>
      </c>
      <c r="B15251" s="2" t="s">
        <v>15322</v>
      </c>
      <c r="C15251" s="2" t="str">
        <f>"18743129"</f>
        <v>18743129</v>
      </c>
      <c r="D15251" s="2">
        <v>0.23799999999999999</v>
      </c>
      <c r="E15251" s="2">
        <v>3</v>
      </c>
      <c r="F15251" s="2" t="s">
        <v>75</v>
      </c>
    </row>
    <row r="15252" spans="1:6" ht="25.5">
      <c r="A15252" s="2">
        <v>15249</v>
      </c>
      <c r="B15252" s="2" t="s">
        <v>15323</v>
      </c>
      <c r="C15252" s="2" t="str">
        <f>"18768253"</f>
        <v>18768253</v>
      </c>
      <c r="D15252" s="2">
        <v>0.113</v>
      </c>
      <c r="E15252" s="2">
        <v>0</v>
      </c>
      <c r="F15252" s="2" t="s">
        <v>75</v>
      </c>
    </row>
    <row r="15253" spans="1:6" ht="25.5">
      <c r="A15253" s="2">
        <v>15250</v>
      </c>
      <c r="B15253" s="2" t="s">
        <v>15324</v>
      </c>
      <c r="C15253" s="2" t="str">
        <f>"18765327"</f>
        <v>18765327</v>
      </c>
      <c r="D15253" s="2">
        <v>0.104</v>
      </c>
      <c r="E15253" s="2">
        <v>0</v>
      </c>
      <c r="F15253" s="2" t="s">
        <v>75</v>
      </c>
    </row>
    <row r="15254" spans="1:6" ht="25.5">
      <c r="A15254" s="2">
        <v>15251</v>
      </c>
      <c r="B15254" s="2" t="s">
        <v>15325</v>
      </c>
      <c r="C15254" s="2" t="str">
        <f>"18765041"</f>
        <v>18765041</v>
      </c>
      <c r="D15254" s="2">
        <v>0.106</v>
      </c>
      <c r="E15254" s="2">
        <v>0</v>
      </c>
      <c r="F15254" s="2" t="s">
        <v>75</v>
      </c>
    </row>
    <row r="15255" spans="1:6" ht="25.5">
      <c r="A15255" s="2">
        <v>15252</v>
      </c>
      <c r="B15255" s="2" t="s">
        <v>15326</v>
      </c>
      <c r="C15255" s="2" t="str">
        <f>"15731324"</f>
        <v>15731324</v>
      </c>
      <c r="D15255" s="2">
        <v>0.48599999999999999</v>
      </c>
      <c r="E15255" s="2">
        <v>20</v>
      </c>
      <c r="F15255" s="2" t="s">
        <v>75</v>
      </c>
    </row>
    <row r="15256" spans="1:6" ht="25.5">
      <c r="A15256" s="2">
        <v>15253</v>
      </c>
      <c r="B15256" s="2" t="s">
        <v>15327</v>
      </c>
      <c r="C15256" s="2" t="str">
        <f>"18750435"</f>
        <v>18750435</v>
      </c>
      <c r="D15256" s="2">
        <v>0.18</v>
      </c>
      <c r="E15256" s="2">
        <v>3</v>
      </c>
      <c r="F15256" s="2" t="s">
        <v>75</v>
      </c>
    </row>
    <row r="15257" spans="1:6" ht="25.5">
      <c r="A15257" s="2">
        <v>15254</v>
      </c>
      <c r="B15257" s="2" t="s">
        <v>15328</v>
      </c>
      <c r="C15257" s="2" t="str">
        <f>"18743404"</f>
        <v>18743404</v>
      </c>
      <c r="D15257" s="2">
        <v>0.11</v>
      </c>
      <c r="E15257" s="2">
        <v>2</v>
      </c>
      <c r="F15257" s="2" t="s">
        <v>75</v>
      </c>
    </row>
    <row r="15258" spans="1:6" ht="25.5">
      <c r="A15258" s="2">
        <v>15255</v>
      </c>
      <c r="B15258" s="2" t="s">
        <v>15329</v>
      </c>
      <c r="C15258" s="2" t="str">
        <f>"18754147"</f>
        <v>18754147</v>
      </c>
      <c r="D15258" s="2">
        <v>0.152</v>
      </c>
      <c r="E15258" s="2">
        <v>1</v>
      </c>
      <c r="F15258" s="2" t="s">
        <v>1467</v>
      </c>
    </row>
    <row r="15259" spans="1:6" ht="25.5">
      <c r="A15259" s="2">
        <v>15256</v>
      </c>
      <c r="B15259" s="2" t="s">
        <v>15330</v>
      </c>
      <c r="C15259" s="2" t="str">
        <f>"18763995"</f>
        <v>18763995</v>
      </c>
      <c r="D15259" s="2">
        <v>0.183</v>
      </c>
      <c r="E15259" s="2">
        <v>1</v>
      </c>
      <c r="F15259" s="2" t="s">
        <v>75</v>
      </c>
    </row>
    <row r="15260" spans="1:6" ht="25.5">
      <c r="A15260" s="2">
        <v>15257</v>
      </c>
      <c r="B15260" s="2" t="s">
        <v>15331</v>
      </c>
      <c r="C15260" s="2" t="str">
        <f>"18744478"</f>
        <v>18744478</v>
      </c>
      <c r="D15260" s="2">
        <v>0</v>
      </c>
      <c r="E15260" s="2">
        <v>0</v>
      </c>
      <c r="F15260" s="2" t="s">
        <v>1467</v>
      </c>
    </row>
    <row r="15261" spans="1:6" ht="25.5">
      <c r="A15261" s="2">
        <v>15258</v>
      </c>
      <c r="B15261" s="2" t="s">
        <v>15332</v>
      </c>
      <c r="C15261" s="2" t="str">
        <f>"18777295"</f>
        <v>18777295</v>
      </c>
      <c r="D15261" s="2">
        <v>0.24199999999999999</v>
      </c>
      <c r="E15261" s="2">
        <v>3</v>
      </c>
      <c r="F15261" s="2" t="s">
        <v>1467</v>
      </c>
    </row>
    <row r="15262" spans="1:6" ht="25.5">
      <c r="A15262" s="2">
        <v>15259</v>
      </c>
      <c r="B15262" s="2" t="s">
        <v>15333</v>
      </c>
      <c r="C15262" s="2" t="str">
        <f>"18743153"</f>
        <v>18743153</v>
      </c>
      <c r="D15262" s="2">
        <v>0.13300000000000001</v>
      </c>
      <c r="E15262" s="2">
        <v>2</v>
      </c>
      <c r="F15262" s="2" t="s">
        <v>75</v>
      </c>
    </row>
    <row r="15263" spans="1:6" ht="25.5">
      <c r="A15263" s="2">
        <v>15260</v>
      </c>
      <c r="B15263" s="2" t="s">
        <v>15334</v>
      </c>
      <c r="C15263" s="2" t="str">
        <f>"18750354"</f>
        <v>18750354</v>
      </c>
      <c r="D15263" s="2">
        <v>0.218</v>
      </c>
      <c r="E15263" s="2">
        <v>4</v>
      </c>
      <c r="F15263" s="2" t="s">
        <v>75</v>
      </c>
    </row>
    <row r="15264" spans="1:6" ht="25.5">
      <c r="A15264" s="2">
        <v>15261</v>
      </c>
      <c r="B15264" s="2" t="s">
        <v>15335</v>
      </c>
      <c r="C15264" s="2" t="str">
        <f>"18742912"</f>
        <v>18742912</v>
      </c>
      <c r="D15264" s="2">
        <v>0.106</v>
      </c>
      <c r="E15264" s="2">
        <v>1</v>
      </c>
      <c r="F15264" s="2" t="s">
        <v>75</v>
      </c>
    </row>
    <row r="15265" spans="1:6" ht="25.5">
      <c r="A15265" s="2">
        <v>15262</v>
      </c>
      <c r="B15265" s="2" t="s">
        <v>15336</v>
      </c>
      <c r="C15265" s="2" t="str">
        <f>"00303526"</f>
        <v>00303526</v>
      </c>
      <c r="D15265" s="2">
        <v>0.1</v>
      </c>
      <c r="E15265" s="2">
        <v>1</v>
      </c>
      <c r="F15265" s="2" t="s">
        <v>16</v>
      </c>
    </row>
    <row r="15266" spans="1:6" ht="25.5">
      <c r="A15266" s="2">
        <v>15263</v>
      </c>
      <c r="B15266" s="2" t="s">
        <v>15337</v>
      </c>
      <c r="C15266" s="2" t="str">
        <f>"14762870"</f>
        <v>14762870</v>
      </c>
      <c r="D15266" s="2">
        <v>0.113</v>
      </c>
      <c r="E15266" s="2">
        <v>3</v>
      </c>
      <c r="F15266" s="2" t="s">
        <v>6</v>
      </c>
    </row>
    <row r="15267" spans="1:6" ht="25.5">
      <c r="A15267" s="2">
        <v>15264</v>
      </c>
      <c r="B15267" s="2" t="s">
        <v>15338</v>
      </c>
      <c r="C15267" s="2" t="str">
        <f>"18661505"</f>
        <v>18661505</v>
      </c>
      <c r="D15267" s="2">
        <v>0.25800000000000001</v>
      </c>
      <c r="E15267" s="2">
        <v>5</v>
      </c>
      <c r="F15267" s="2" t="s">
        <v>12</v>
      </c>
    </row>
    <row r="15268" spans="1:6" ht="25.5">
      <c r="A15268" s="2">
        <v>15265</v>
      </c>
      <c r="B15268" s="2" t="s">
        <v>15339</v>
      </c>
      <c r="C15268" s="2" t="str">
        <f>"19369743"</f>
        <v>19369743</v>
      </c>
      <c r="D15268" s="2">
        <v>0.69499999999999995</v>
      </c>
      <c r="E15268" s="2">
        <v>6</v>
      </c>
      <c r="F15268" s="2" t="s">
        <v>6</v>
      </c>
    </row>
    <row r="15269" spans="1:6" ht="25.5">
      <c r="A15269" s="2">
        <v>15266</v>
      </c>
      <c r="B15269" s="2" t="s">
        <v>15340</v>
      </c>
      <c r="C15269" s="2" t="str">
        <f>"15265463"</f>
        <v>15265463</v>
      </c>
      <c r="D15269" s="2">
        <v>3.9249999999999998</v>
      </c>
      <c r="E15269" s="2">
        <v>75</v>
      </c>
      <c r="F15269" s="2" t="s">
        <v>6</v>
      </c>
    </row>
    <row r="15270" spans="1:6" ht="25.5">
      <c r="A15270" s="2">
        <v>15267</v>
      </c>
      <c r="B15270" s="2" t="s">
        <v>15341</v>
      </c>
      <c r="C15270" s="2" t="str">
        <f>"1387666X"</f>
        <v>1387666X</v>
      </c>
      <c r="D15270" s="2">
        <v>0.13300000000000001</v>
      </c>
      <c r="E15270" s="2">
        <v>1</v>
      </c>
      <c r="F15270" s="2" t="s">
        <v>6</v>
      </c>
    </row>
    <row r="15271" spans="1:6" ht="25.5">
      <c r="A15271" s="2">
        <v>15268</v>
      </c>
      <c r="B15271" s="2" t="s">
        <v>15342</v>
      </c>
      <c r="C15271" s="2" t="str">
        <f>"22116923"</f>
        <v>22116923</v>
      </c>
      <c r="D15271" s="2">
        <v>0</v>
      </c>
      <c r="E15271" s="2">
        <v>1</v>
      </c>
      <c r="F15271" s="2" t="s">
        <v>16</v>
      </c>
    </row>
    <row r="15272" spans="1:6" ht="25.5">
      <c r="A15272" s="2">
        <v>15269</v>
      </c>
      <c r="B15272" s="2" t="s">
        <v>15343</v>
      </c>
      <c r="C15272" s="2" t="str">
        <f>"01676377"</f>
        <v>01676377</v>
      </c>
      <c r="D15272" s="2">
        <v>0.92500000000000004</v>
      </c>
      <c r="E15272" s="2">
        <v>42</v>
      </c>
      <c r="F15272" s="2" t="s">
        <v>75</v>
      </c>
    </row>
    <row r="15273" spans="1:6" ht="25.5">
      <c r="A15273" s="2">
        <v>15270</v>
      </c>
      <c r="B15273" s="2" t="s">
        <v>15344</v>
      </c>
      <c r="C15273" s="2" t="str">
        <f>"14366304"</f>
        <v>14366304</v>
      </c>
      <c r="D15273" s="2">
        <v>1.986</v>
      </c>
      <c r="E15273" s="2">
        <v>34</v>
      </c>
      <c r="F15273" s="2" t="s">
        <v>12</v>
      </c>
    </row>
    <row r="15274" spans="1:6" ht="25.5">
      <c r="A15274" s="2">
        <v>15271</v>
      </c>
      <c r="B15274" s="2" t="s">
        <v>15345</v>
      </c>
      <c r="C15274" s="2" t="str">
        <f>"03617734"</f>
        <v>03617734</v>
      </c>
      <c r="D15274" s="2">
        <v>0.67300000000000004</v>
      </c>
      <c r="E15274" s="2">
        <v>52</v>
      </c>
      <c r="F15274" s="2" t="s">
        <v>6</v>
      </c>
    </row>
    <row r="15275" spans="1:6" ht="25.5">
      <c r="A15275" s="2">
        <v>15272</v>
      </c>
      <c r="B15275" s="2" t="s">
        <v>15346</v>
      </c>
      <c r="C15275" s="2" t="str">
        <f>"09346694"</f>
        <v>09346694</v>
      </c>
      <c r="D15275" s="2">
        <v>0.31900000000000001</v>
      </c>
      <c r="E15275" s="2">
        <v>15</v>
      </c>
      <c r="F15275" s="2" t="s">
        <v>12</v>
      </c>
    </row>
    <row r="15276" spans="1:6" ht="25.5">
      <c r="A15276" s="2">
        <v>15273</v>
      </c>
      <c r="B15276" s="2" t="s">
        <v>15347</v>
      </c>
      <c r="C15276" s="2" t="str">
        <f>"10486666"</f>
        <v>10486666</v>
      </c>
      <c r="D15276" s="2">
        <v>0.16800000000000001</v>
      </c>
      <c r="E15276" s="2">
        <v>21</v>
      </c>
      <c r="F15276" s="2" t="s">
        <v>16</v>
      </c>
    </row>
    <row r="15277" spans="1:6" ht="25.5">
      <c r="A15277" s="2">
        <v>15274</v>
      </c>
      <c r="B15277" s="2" t="s">
        <v>15348</v>
      </c>
      <c r="C15277" s="2" t="str">
        <f>"10431810"</f>
        <v>10431810</v>
      </c>
      <c r="D15277" s="2">
        <v>0.221</v>
      </c>
      <c r="E15277" s="2">
        <v>12</v>
      </c>
      <c r="F15277" s="2" t="s">
        <v>16</v>
      </c>
    </row>
    <row r="15278" spans="1:6" ht="25.5">
      <c r="A15278" s="2">
        <v>15275</v>
      </c>
      <c r="B15278" s="2" t="s">
        <v>15349</v>
      </c>
      <c r="C15278" s="2" t="str">
        <f>"10601872"</f>
        <v>10601872</v>
      </c>
      <c r="D15278" s="2">
        <v>0.19400000000000001</v>
      </c>
      <c r="E15278" s="2">
        <v>19</v>
      </c>
      <c r="F15278" s="2" t="s">
        <v>16</v>
      </c>
    </row>
    <row r="15279" spans="1:6" ht="25.5">
      <c r="A15279" s="2">
        <v>15276</v>
      </c>
      <c r="B15279" s="2" t="s">
        <v>15350</v>
      </c>
      <c r="C15279" s="2" t="str">
        <f>"15222942"</f>
        <v>15222942</v>
      </c>
      <c r="D15279" s="2">
        <v>0.24099999999999999</v>
      </c>
      <c r="E15279" s="2">
        <v>9</v>
      </c>
      <c r="F15279" s="2" t="s">
        <v>16</v>
      </c>
    </row>
    <row r="15280" spans="1:6" ht="25.5">
      <c r="A15280" s="2">
        <v>15277</v>
      </c>
      <c r="B15280" s="2" t="s">
        <v>15351</v>
      </c>
      <c r="C15280" s="2" t="str">
        <f>"18463886"</f>
        <v>18463886</v>
      </c>
      <c r="D15280" s="2">
        <v>0.67200000000000004</v>
      </c>
      <c r="E15280" s="2">
        <v>5</v>
      </c>
      <c r="F15280" s="2" t="s">
        <v>149</v>
      </c>
    </row>
    <row r="15281" spans="1:6" ht="25.5">
      <c r="A15281" s="2">
        <v>15278</v>
      </c>
      <c r="B15281" s="2" t="s">
        <v>15352</v>
      </c>
      <c r="C15281" s="2" t="str">
        <f>"14751313"</f>
        <v>14751313</v>
      </c>
      <c r="D15281" s="2">
        <v>0.75600000000000001</v>
      </c>
      <c r="E15281" s="2">
        <v>39</v>
      </c>
      <c r="F15281" s="2" t="s">
        <v>16</v>
      </c>
    </row>
    <row r="15282" spans="1:6" ht="25.5">
      <c r="A15282" s="2">
        <v>15279</v>
      </c>
      <c r="B15282" s="2" t="s">
        <v>15353</v>
      </c>
      <c r="C15282" s="2" t="str">
        <f>"09286586"</f>
        <v>09286586</v>
      </c>
      <c r="D15282" s="2">
        <v>1.679</v>
      </c>
      <c r="E15282" s="2">
        <v>38</v>
      </c>
      <c r="F15282" s="2" t="s">
        <v>16</v>
      </c>
    </row>
    <row r="15283" spans="1:6" ht="25.5">
      <c r="A15283" s="2">
        <v>15280</v>
      </c>
      <c r="B15283" s="2" t="s">
        <v>15354</v>
      </c>
      <c r="C15283" s="2" t="str">
        <f>"17445094"</f>
        <v>17445094</v>
      </c>
      <c r="D15283" s="2">
        <v>0.45600000000000002</v>
      </c>
      <c r="E15283" s="2">
        <v>26</v>
      </c>
      <c r="F15283" s="2" t="s">
        <v>16</v>
      </c>
    </row>
    <row r="15284" spans="1:6" ht="25.5">
      <c r="A15284" s="2">
        <v>15281</v>
      </c>
      <c r="B15284" s="2" t="s">
        <v>15355</v>
      </c>
      <c r="C15284" s="2" t="str">
        <f>"15372677"</f>
        <v>15372677</v>
      </c>
      <c r="D15284" s="2">
        <v>0.438</v>
      </c>
      <c r="E15284" s="2">
        <v>35</v>
      </c>
      <c r="F15284" s="2" t="s">
        <v>6</v>
      </c>
    </row>
    <row r="15285" spans="1:6" ht="25.5">
      <c r="A15285" s="2">
        <v>15282</v>
      </c>
      <c r="B15285" s="2" t="s">
        <v>15356</v>
      </c>
      <c r="C15285" s="2" t="str">
        <f>"14230259"</f>
        <v>14230259</v>
      </c>
      <c r="D15285" s="2">
        <v>0.71099999999999997</v>
      </c>
      <c r="E15285" s="2">
        <v>34</v>
      </c>
      <c r="F15285" s="2" t="s">
        <v>31</v>
      </c>
    </row>
    <row r="15286" spans="1:6" ht="25.5">
      <c r="A15286" s="2">
        <v>15283</v>
      </c>
      <c r="B15286" s="2" t="s">
        <v>15357</v>
      </c>
      <c r="C15286" s="2" t="str">
        <f>"15428877"</f>
        <v>15428877</v>
      </c>
      <c r="D15286" s="2">
        <v>0.60399999999999998</v>
      </c>
      <c r="E15286" s="2">
        <v>41</v>
      </c>
      <c r="F15286" s="2" t="s">
        <v>6</v>
      </c>
    </row>
    <row r="15287" spans="1:6" ht="25.5">
      <c r="A15287" s="2">
        <v>15284</v>
      </c>
      <c r="B15287" s="2" t="s">
        <v>15358</v>
      </c>
      <c r="C15287" s="2" t="str">
        <f>"14230267"</f>
        <v>14230267</v>
      </c>
      <c r="D15287" s="2">
        <v>0.9</v>
      </c>
      <c r="E15287" s="2">
        <v>35</v>
      </c>
      <c r="F15287" s="2" t="s">
        <v>31</v>
      </c>
    </row>
    <row r="15288" spans="1:6" ht="25.5">
      <c r="A15288" s="2">
        <v>15285</v>
      </c>
      <c r="B15288" s="2" t="s">
        <v>15359</v>
      </c>
      <c r="C15288" s="2" t="str">
        <f>"15494713"</f>
        <v>15494713</v>
      </c>
      <c r="D15288" s="2">
        <v>3.86</v>
      </c>
      <c r="E15288" s="2">
        <v>140</v>
      </c>
      <c r="F15288" s="2" t="s">
        <v>6</v>
      </c>
    </row>
    <row r="15289" spans="1:6" ht="25.5">
      <c r="A15289" s="2">
        <v>15286</v>
      </c>
      <c r="B15289" s="2" t="s">
        <v>15360</v>
      </c>
      <c r="C15289" s="2" t="str">
        <f>"10044469"</f>
        <v>10044469</v>
      </c>
      <c r="D15289" s="2">
        <v>0.10100000000000001</v>
      </c>
      <c r="E15289" s="2">
        <v>2</v>
      </c>
      <c r="F15289" s="2" t="s">
        <v>46</v>
      </c>
    </row>
    <row r="15290" spans="1:6" ht="25.5">
      <c r="A15290" s="2">
        <v>15287</v>
      </c>
      <c r="B15290" s="2" t="s">
        <v>15361</v>
      </c>
      <c r="C15290" s="2" t="str">
        <f>"18070191"</f>
        <v>18070191</v>
      </c>
      <c r="D15290" s="2">
        <v>0.29399999999999998</v>
      </c>
      <c r="E15290" s="2">
        <v>5</v>
      </c>
      <c r="F15290" s="2" t="s">
        <v>159</v>
      </c>
    </row>
    <row r="15291" spans="1:6" ht="25.5">
      <c r="A15291" s="2">
        <v>15288</v>
      </c>
      <c r="B15291" s="2" t="s">
        <v>15362</v>
      </c>
      <c r="C15291" s="2" t="str">
        <f>"09750320"</f>
        <v>09750320</v>
      </c>
      <c r="D15291" s="2">
        <v>0.22700000000000001</v>
      </c>
      <c r="E15291" s="2">
        <v>5</v>
      </c>
      <c r="F15291" s="2" t="s">
        <v>488</v>
      </c>
    </row>
    <row r="15292" spans="1:6" ht="25.5">
      <c r="A15292" s="2">
        <v>15289</v>
      </c>
      <c r="B15292" s="2" t="s">
        <v>15363</v>
      </c>
      <c r="C15292" s="2" t="str">
        <f>"00785466"</f>
        <v>00785466</v>
      </c>
      <c r="D15292" s="2">
        <v>0.26500000000000001</v>
      </c>
      <c r="E15292" s="2">
        <v>16</v>
      </c>
      <c r="F15292" s="2" t="s">
        <v>169</v>
      </c>
    </row>
    <row r="15293" spans="1:6" ht="25.5">
      <c r="A15293" s="2">
        <v>15290</v>
      </c>
      <c r="B15293" s="2" t="s">
        <v>15364</v>
      </c>
      <c r="C15293" s="2" t="str">
        <f>"1572817X"</f>
        <v>1572817X</v>
      </c>
      <c r="D15293" s="2">
        <v>0.438</v>
      </c>
      <c r="E15293" s="2">
        <v>40</v>
      </c>
      <c r="F15293" s="2" t="s">
        <v>6</v>
      </c>
    </row>
    <row r="15294" spans="1:6" ht="25.5">
      <c r="A15294" s="2">
        <v>15291</v>
      </c>
      <c r="B15294" s="2" t="s">
        <v>15365</v>
      </c>
      <c r="C15294" s="2" t="str">
        <f>"00913286"</f>
        <v>00913286</v>
      </c>
      <c r="D15294" s="2">
        <v>0.437</v>
      </c>
      <c r="E15294" s="2">
        <v>66</v>
      </c>
      <c r="F15294" s="2" t="s">
        <v>6</v>
      </c>
    </row>
    <row r="15295" spans="1:6" ht="25.5">
      <c r="A15295" s="2">
        <v>15292</v>
      </c>
      <c r="B15295" s="2" t="s">
        <v>15366</v>
      </c>
      <c r="C15295" s="2" t="str">
        <f>"10959912"</f>
        <v>10959912</v>
      </c>
      <c r="D15295" s="2">
        <v>0.77600000000000002</v>
      </c>
      <c r="E15295" s="2">
        <v>38</v>
      </c>
      <c r="F15295" s="2" t="s">
        <v>6</v>
      </c>
    </row>
    <row r="15296" spans="1:6" ht="25.5">
      <c r="A15296" s="2">
        <v>15293</v>
      </c>
      <c r="B15296" s="2" t="s">
        <v>15367</v>
      </c>
      <c r="C15296" s="2" t="str">
        <f>"09253467"</f>
        <v>09253467</v>
      </c>
      <c r="D15296" s="2">
        <v>0.75800000000000001</v>
      </c>
      <c r="E15296" s="2">
        <v>63</v>
      </c>
      <c r="F15296" s="2" t="s">
        <v>75</v>
      </c>
    </row>
    <row r="15297" spans="1:6" ht="25.5">
      <c r="A15297" s="2">
        <v>15294</v>
      </c>
      <c r="B15297" s="2" t="s">
        <v>15368</v>
      </c>
      <c r="C15297" s="2" t="str">
        <f>"21593930"</f>
        <v>21593930</v>
      </c>
      <c r="D15297" s="2">
        <v>1.385</v>
      </c>
      <c r="E15297" s="2">
        <v>9</v>
      </c>
      <c r="F15297" s="2" t="s">
        <v>6</v>
      </c>
    </row>
    <row r="15298" spans="1:6" ht="25.5">
      <c r="A15298" s="2">
        <v>15295</v>
      </c>
      <c r="B15298" s="2" t="s">
        <v>15369</v>
      </c>
      <c r="C15298" s="2" t="str">
        <f>"1060992X"</f>
        <v>1060992X</v>
      </c>
      <c r="D15298" s="2">
        <v>0.20899999999999999</v>
      </c>
      <c r="E15298" s="2">
        <v>4</v>
      </c>
      <c r="F15298" s="2" t="s">
        <v>6</v>
      </c>
    </row>
    <row r="15299" spans="1:6" ht="25.5">
      <c r="A15299" s="2">
        <v>15296</v>
      </c>
      <c r="B15299" s="2" t="s">
        <v>15370</v>
      </c>
      <c r="C15299" s="2" t="str">
        <f>"13406000"</f>
        <v>13406000</v>
      </c>
      <c r="D15299" s="2">
        <v>0.40100000000000002</v>
      </c>
      <c r="E15299" s="2">
        <v>26</v>
      </c>
      <c r="F15299" s="2" t="s">
        <v>12</v>
      </c>
    </row>
    <row r="15300" spans="1:6" ht="25.5">
      <c r="A15300" s="2">
        <v>15297</v>
      </c>
      <c r="B15300" s="2" t="s">
        <v>15371</v>
      </c>
      <c r="C15300" s="2" t="str">
        <f>"15734277"</f>
        <v>15734277</v>
      </c>
      <c r="D15300" s="2">
        <v>0.72799999999999998</v>
      </c>
      <c r="E15300" s="2">
        <v>13</v>
      </c>
      <c r="F15300" s="2" t="s">
        <v>75</v>
      </c>
    </row>
    <row r="15301" spans="1:6" ht="25.5">
      <c r="A15301" s="2">
        <v>15298</v>
      </c>
      <c r="B15301" s="2" t="s">
        <v>15372</v>
      </c>
      <c r="C15301" s="2" t="str">
        <f>"00303917"</f>
        <v>00303917</v>
      </c>
      <c r="D15301" s="2">
        <v>0.16200000000000001</v>
      </c>
      <c r="E15301" s="2">
        <v>4</v>
      </c>
      <c r="F15301" s="2" t="s">
        <v>351</v>
      </c>
    </row>
    <row r="15302" spans="1:6" ht="25.5">
      <c r="A15302" s="2">
        <v>15299</v>
      </c>
      <c r="B15302" s="2" t="s">
        <v>15373</v>
      </c>
      <c r="C15302" s="2" t="str">
        <f>"01438166"</f>
        <v>01438166</v>
      </c>
      <c r="D15302" s="2">
        <v>0.79600000000000004</v>
      </c>
      <c r="E15302" s="2">
        <v>46</v>
      </c>
      <c r="F15302" s="2" t="s">
        <v>16</v>
      </c>
    </row>
    <row r="15303" spans="1:6" ht="25.5">
      <c r="A15303" s="2">
        <v>15300</v>
      </c>
      <c r="B15303" s="2" t="s">
        <v>15374</v>
      </c>
      <c r="C15303" s="2" t="str">
        <f>"00303992"</f>
        <v>00303992</v>
      </c>
      <c r="D15303" s="2">
        <v>0.54800000000000004</v>
      </c>
      <c r="E15303" s="2">
        <v>34</v>
      </c>
      <c r="F15303" s="2" t="s">
        <v>16</v>
      </c>
    </row>
    <row r="15304" spans="1:6" ht="25.5">
      <c r="A15304" s="2">
        <v>15301</v>
      </c>
      <c r="B15304" s="2" t="s">
        <v>15375</v>
      </c>
      <c r="C15304" s="2" t="str">
        <f>"15626911"</f>
        <v>15626911</v>
      </c>
      <c r="D15304" s="2">
        <v>0.39100000000000001</v>
      </c>
      <c r="E15304" s="2">
        <v>23</v>
      </c>
      <c r="F15304" s="2" t="s">
        <v>129</v>
      </c>
    </row>
    <row r="15305" spans="1:6" ht="25.5">
      <c r="A15305" s="2">
        <v>15302</v>
      </c>
      <c r="B15305" s="2" t="s">
        <v>15376</v>
      </c>
      <c r="C15305" s="2" t="str">
        <f>"00304018"</f>
        <v>00304018</v>
      </c>
      <c r="D15305" s="2">
        <v>0.75700000000000001</v>
      </c>
      <c r="E15305" s="2">
        <v>85</v>
      </c>
      <c r="F15305" s="2" t="s">
        <v>75</v>
      </c>
    </row>
    <row r="15306" spans="1:6" ht="25.5">
      <c r="A15306" s="2">
        <v>15303</v>
      </c>
      <c r="B15306" s="2" t="s">
        <v>15377</v>
      </c>
      <c r="C15306" s="2" t="str">
        <f>"10944087"</f>
        <v>10944087</v>
      </c>
      <c r="D15306" s="2">
        <v>2.2599999999999998</v>
      </c>
      <c r="E15306" s="2">
        <v>143</v>
      </c>
      <c r="F15306" s="2" t="s">
        <v>6</v>
      </c>
    </row>
    <row r="15307" spans="1:6" ht="25.5">
      <c r="A15307" s="2">
        <v>15304</v>
      </c>
      <c r="B15307" s="2" t="s">
        <v>15378</v>
      </c>
      <c r="C15307" s="2" t="str">
        <f>"15394794"</f>
        <v>15394794</v>
      </c>
      <c r="D15307" s="2">
        <v>2.294</v>
      </c>
      <c r="E15307" s="2">
        <v>170</v>
      </c>
      <c r="F15307" s="2" t="s">
        <v>6</v>
      </c>
    </row>
    <row r="15308" spans="1:6" ht="25.5">
      <c r="A15308" s="2">
        <v>15305</v>
      </c>
      <c r="B15308" s="2" t="s">
        <v>15379</v>
      </c>
      <c r="C15308" s="2" t="str">
        <f>"16181336"</f>
        <v>16181336</v>
      </c>
      <c r="D15308" s="2">
        <v>0.30199999999999999</v>
      </c>
      <c r="E15308" s="2">
        <v>24</v>
      </c>
      <c r="F15308" s="2" t="s">
        <v>12</v>
      </c>
    </row>
    <row r="15309" spans="1:6" ht="25.5">
      <c r="A15309" s="2">
        <v>15306</v>
      </c>
      <c r="B15309" s="2" t="s">
        <v>15380</v>
      </c>
      <c r="C15309" s="2" t="str">
        <f>"10991514"</f>
        <v>10991514</v>
      </c>
      <c r="D15309" s="2">
        <v>0.87</v>
      </c>
      <c r="E15309" s="2">
        <v>22</v>
      </c>
      <c r="F15309" s="2" t="s">
        <v>16</v>
      </c>
    </row>
    <row r="15310" spans="1:6" ht="25.5">
      <c r="A15310" s="2">
        <v>15307</v>
      </c>
      <c r="B15310" s="2" t="s">
        <v>15381</v>
      </c>
      <c r="C15310" s="2" t="str">
        <f>"10294945"</f>
        <v>10294945</v>
      </c>
      <c r="D15310" s="2">
        <v>0.66400000000000003</v>
      </c>
      <c r="E15310" s="2">
        <v>22</v>
      </c>
      <c r="F15310" s="2" t="s">
        <v>16</v>
      </c>
    </row>
    <row r="15311" spans="1:6" ht="25.5">
      <c r="A15311" s="2">
        <v>15308</v>
      </c>
      <c r="B15311" s="2" t="s">
        <v>15382</v>
      </c>
      <c r="C15311" s="2" t="str">
        <f>"13894420"</f>
        <v>13894420</v>
      </c>
      <c r="D15311" s="2">
        <v>0.45500000000000002</v>
      </c>
      <c r="E15311" s="2">
        <v>15</v>
      </c>
      <c r="F15311" s="2" t="s">
        <v>75</v>
      </c>
    </row>
    <row r="15312" spans="1:6" ht="25.5">
      <c r="A15312" s="2">
        <v>15309</v>
      </c>
      <c r="B15312" s="2" t="s">
        <v>15383</v>
      </c>
      <c r="C15312" s="2" t="str">
        <f>"18624480"</f>
        <v>18624480</v>
      </c>
      <c r="D15312" s="2">
        <v>1.2010000000000001</v>
      </c>
      <c r="E15312" s="2">
        <v>13</v>
      </c>
      <c r="F15312" s="2" t="s">
        <v>12</v>
      </c>
    </row>
    <row r="15313" spans="1:6" ht="25.5">
      <c r="A15313" s="2">
        <v>15310</v>
      </c>
      <c r="B15313" s="2" t="s">
        <v>15384</v>
      </c>
      <c r="C15313" s="2" t="str">
        <f>"10556788"</f>
        <v>10556788</v>
      </c>
      <c r="D15313" s="2">
        <v>1.004</v>
      </c>
      <c r="E15313" s="2">
        <v>32</v>
      </c>
      <c r="F15313" s="2" t="s">
        <v>16</v>
      </c>
    </row>
    <row r="15314" spans="1:6" ht="25.5">
      <c r="A15314" s="2">
        <v>15311</v>
      </c>
      <c r="B15314" s="2" t="s">
        <v>15385</v>
      </c>
      <c r="C15314" s="2" t="str">
        <f>"09925945"</f>
        <v>09925945</v>
      </c>
      <c r="D15314" s="2">
        <v>0.10199999999999999</v>
      </c>
      <c r="E15314" s="2">
        <v>1</v>
      </c>
      <c r="F15314" s="2" t="s">
        <v>190</v>
      </c>
    </row>
    <row r="15315" spans="1:6" ht="25.5">
      <c r="A15315" s="2">
        <v>15312</v>
      </c>
      <c r="B15315" s="2" t="s">
        <v>15386</v>
      </c>
      <c r="C15315" s="2" t="str">
        <f>"18426573"</f>
        <v>18426573</v>
      </c>
      <c r="D15315" s="2">
        <v>0.23400000000000001</v>
      </c>
      <c r="E15315" s="2">
        <v>9</v>
      </c>
      <c r="F15315" s="2" t="s">
        <v>19</v>
      </c>
    </row>
    <row r="15316" spans="1:6" ht="25.5">
      <c r="A15316" s="2">
        <v>15313</v>
      </c>
      <c r="B15316" s="2" t="s">
        <v>15387</v>
      </c>
      <c r="C15316" s="2" t="str">
        <f>"87566990"</f>
        <v>87566990</v>
      </c>
      <c r="D15316" s="2">
        <v>0.109</v>
      </c>
      <c r="E15316" s="2">
        <v>1</v>
      </c>
      <c r="F15316" s="2" t="s">
        <v>6</v>
      </c>
    </row>
    <row r="15317" spans="1:6" ht="25.5">
      <c r="A15317" s="2">
        <v>15314</v>
      </c>
      <c r="B15317" s="2" t="s">
        <v>15388</v>
      </c>
      <c r="C15317" s="2" t="str">
        <f>"19935013"</f>
        <v>19935013</v>
      </c>
      <c r="D15317" s="2">
        <v>0.27300000000000002</v>
      </c>
      <c r="E15317" s="2">
        <v>8</v>
      </c>
      <c r="F15317" s="2" t="s">
        <v>12</v>
      </c>
    </row>
    <row r="15318" spans="1:6" ht="25.5">
      <c r="A15318" s="2">
        <v>15315</v>
      </c>
      <c r="B15318" s="2" t="s">
        <v>15389</v>
      </c>
      <c r="C15318" s="2" t="str">
        <f>"12303402"</f>
        <v>12303402</v>
      </c>
      <c r="D15318" s="2">
        <v>0.35399999999999998</v>
      </c>
      <c r="E15318" s="2">
        <v>24</v>
      </c>
      <c r="F15318" s="2" t="s">
        <v>16</v>
      </c>
    </row>
    <row r="15319" spans="1:6" ht="25.5">
      <c r="A15319" s="2">
        <v>15316</v>
      </c>
      <c r="B15319" s="2" t="s">
        <v>15390</v>
      </c>
      <c r="C15319" s="2" t="str">
        <f>"15291839"</f>
        <v>15291839</v>
      </c>
      <c r="D15319" s="2">
        <v>0.20399999999999999</v>
      </c>
      <c r="E15319" s="2">
        <v>25</v>
      </c>
      <c r="F15319" s="2" t="s">
        <v>6</v>
      </c>
    </row>
    <row r="15320" spans="1:6" ht="25.5">
      <c r="A15320" s="2">
        <v>15317</v>
      </c>
      <c r="B15320" s="2" t="s">
        <v>15391</v>
      </c>
      <c r="C15320" s="2" t="str">
        <f>"15389235"</f>
        <v>15389235</v>
      </c>
      <c r="D15320" s="2">
        <v>1.0469999999999999</v>
      </c>
      <c r="E15320" s="2">
        <v>58</v>
      </c>
      <c r="F15320" s="2" t="s">
        <v>6</v>
      </c>
    </row>
    <row r="15321" spans="1:6" ht="25.5">
      <c r="A15321" s="2">
        <v>15318</v>
      </c>
      <c r="B15321" s="2" t="s">
        <v>15392</v>
      </c>
      <c r="C15321" s="2" t="str">
        <f>"12329274"</f>
        <v>12329274</v>
      </c>
      <c r="D15321" s="2">
        <v>0</v>
      </c>
      <c r="E15321" s="2">
        <v>1</v>
      </c>
      <c r="F15321" s="2" t="s">
        <v>169</v>
      </c>
    </row>
    <row r="15322" spans="1:6" ht="25.5">
      <c r="A15322" s="2">
        <v>15319</v>
      </c>
      <c r="B15322" s="2" t="s">
        <v>15393</v>
      </c>
      <c r="C15322" s="2" t="str">
        <f>"18651550"</f>
        <v>18651550</v>
      </c>
      <c r="D15322" s="2">
        <v>0.47499999999999998</v>
      </c>
      <c r="E15322" s="2">
        <v>9</v>
      </c>
      <c r="F15322" s="2" t="s">
        <v>12</v>
      </c>
    </row>
    <row r="15323" spans="1:6" ht="25.5">
      <c r="A15323" s="2">
        <v>15320</v>
      </c>
      <c r="B15323" s="2" t="s">
        <v>15394</v>
      </c>
      <c r="C15323" s="2" t="str">
        <f>"10423699"</f>
        <v>10423699</v>
      </c>
      <c r="D15323" s="2">
        <v>0.43099999999999999</v>
      </c>
      <c r="E15323" s="2">
        <v>13</v>
      </c>
      <c r="F15323" s="2" t="s">
        <v>16</v>
      </c>
    </row>
    <row r="15324" spans="1:6" ht="25.5">
      <c r="A15324" s="2">
        <v>15321</v>
      </c>
      <c r="B15324" s="2" t="s">
        <v>15395</v>
      </c>
      <c r="C15324" s="2" t="str">
        <f>"16010825"</f>
        <v>16010825</v>
      </c>
      <c r="D15324" s="2">
        <v>0.73199999999999998</v>
      </c>
      <c r="E15324" s="2">
        <v>51</v>
      </c>
      <c r="F15324" s="2" t="s">
        <v>163</v>
      </c>
    </row>
    <row r="15325" spans="1:6" ht="25.5">
      <c r="A15325" s="2">
        <v>15322</v>
      </c>
      <c r="B15325" s="2" t="s">
        <v>15396</v>
      </c>
      <c r="C15325" s="2" t="str">
        <f>"22472452"</f>
        <v>22472452</v>
      </c>
      <c r="D15325" s="2">
        <v>0</v>
      </c>
      <c r="E15325" s="2">
        <v>1</v>
      </c>
      <c r="F15325" s="2" t="s">
        <v>19</v>
      </c>
    </row>
    <row r="15326" spans="1:6" ht="25.5">
      <c r="A15326" s="2">
        <v>15323</v>
      </c>
      <c r="B15326" s="2" t="s">
        <v>15397</v>
      </c>
      <c r="C15326" s="2" t="str">
        <f>"16021622"</f>
        <v>16021622</v>
      </c>
      <c r="D15326" s="2">
        <v>0.32800000000000001</v>
      </c>
      <c r="E15326" s="2">
        <v>19</v>
      </c>
      <c r="F15326" s="2" t="s">
        <v>6</v>
      </c>
    </row>
    <row r="15327" spans="1:6" ht="25.5">
      <c r="A15327" s="2">
        <v>15324</v>
      </c>
      <c r="B15327" s="2" t="s">
        <v>15398</v>
      </c>
      <c r="C15327" s="2" t="str">
        <f>"00940798"</f>
        <v>00940798</v>
      </c>
      <c r="D15327" s="2">
        <v>0.129</v>
      </c>
      <c r="E15327" s="2">
        <v>4</v>
      </c>
      <c r="F15327" s="2" t="s">
        <v>16</v>
      </c>
    </row>
    <row r="15328" spans="1:6" ht="25.5">
      <c r="A15328" s="2">
        <v>15325</v>
      </c>
      <c r="B15328" s="2" t="s">
        <v>15399</v>
      </c>
      <c r="C15328" s="2" t="str">
        <f>"15751430"</f>
        <v>15751430</v>
      </c>
      <c r="D15328" s="2">
        <v>0.10100000000000001</v>
      </c>
      <c r="E15328" s="2">
        <v>1</v>
      </c>
      <c r="F15328" s="2" t="s">
        <v>351</v>
      </c>
    </row>
    <row r="15329" spans="1:6" ht="25.5">
      <c r="A15329" s="2">
        <v>15326</v>
      </c>
      <c r="B15329" s="2" t="s">
        <v>15400</v>
      </c>
      <c r="C15329" s="2" t="str">
        <f>"13688375"</f>
        <v>13688375</v>
      </c>
      <c r="D15329" s="2">
        <v>1.131</v>
      </c>
      <c r="E15329" s="2">
        <v>65</v>
      </c>
      <c r="F15329" s="2" t="s">
        <v>16</v>
      </c>
    </row>
    <row r="15330" spans="1:6" ht="25.5">
      <c r="A15330" s="2">
        <v>15327</v>
      </c>
      <c r="B15330" s="2" t="s">
        <v>15401</v>
      </c>
      <c r="C15330" s="2" t="str">
        <f>"16142217"</f>
        <v>16142217</v>
      </c>
      <c r="D15330" s="2">
        <v>0.10100000000000001</v>
      </c>
      <c r="E15330" s="2">
        <v>1</v>
      </c>
      <c r="F15330" s="2" t="s">
        <v>12</v>
      </c>
    </row>
    <row r="15331" spans="1:6" ht="25.5">
      <c r="A15331" s="2">
        <v>15328</v>
      </c>
      <c r="B15331" s="2" t="s">
        <v>15402</v>
      </c>
      <c r="C15331" s="2" t="str">
        <f>"09116028"</f>
        <v>09116028</v>
      </c>
      <c r="D15331" s="2">
        <v>0.16900000000000001</v>
      </c>
      <c r="E15331" s="2">
        <v>7</v>
      </c>
      <c r="F15331" s="2" t="s">
        <v>131</v>
      </c>
    </row>
    <row r="15332" spans="1:6" ht="25.5">
      <c r="A15332" s="2">
        <v>15329</v>
      </c>
      <c r="B15332" s="2" t="s">
        <v>15403</v>
      </c>
      <c r="C15332" s="2" t="str">
        <f>"18814204"</f>
        <v>18814204</v>
      </c>
      <c r="D15332" s="2">
        <v>0.109</v>
      </c>
      <c r="E15332" s="2">
        <v>1</v>
      </c>
      <c r="F15332" s="2" t="s">
        <v>131</v>
      </c>
    </row>
    <row r="15333" spans="1:6" ht="25.5">
      <c r="A15333" s="2">
        <v>15330</v>
      </c>
      <c r="B15333" s="2" t="s">
        <v>15404</v>
      </c>
      <c r="C15333" s="2" t="str">
        <f>"22124403"</f>
        <v>22124403</v>
      </c>
      <c r="D15333" s="2">
        <v>0.61699999999999999</v>
      </c>
      <c r="E15333" s="2">
        <v>68</v>
      </c>
      <c r="F15333" s="2" t="s">
        <v>6</v>
      </c>
    </row>
    <row r="15334" spans="1:6" ht="25.5">
      <c r="A15334" s="2">
        <v>15331</v>
      </c>
      <c r="B15334" s="2" t="s">
        <v>15405</v>
      </c>
      <c r="C15334" s="2" t="str">
        <f>"02881012"</f>
        <v>02881012</v>
      </c>
      <c r="D15334" s="2">
        <v>0.111</v>
      </c>
      <c r="E15334" s="2">
        <v>3</v>
      </c>
      <c r="F15334" s="2" t="s">
        <v>131</v>
      </c>
    </row>
    <row r="15335" spans="1:6" ht="25.5">
      <c r="A15335" s="2">
        <v>15332</v>
      </c>
      <c r="B15335" s="2" t="s">
        <v>15406</v>
      </c>
      <c r="C15335" s="2" t="str">
        <f>"00304387"</f>
        <v>00304387</v>
      </c>
      <c r="D15335" s="2">
        <v>0.26300000000000001</v>
      </c>
      <c r="E15335" s="2">
        <v>10</v>
      </c>
      <c r="F15335" s="2" t="s">
        <v>75</v>
      </c>
    </row>
    <row r="15336" spans="1:6" ht="25.5">
      <c r="A15336" s="2">
        <v>15333</v>
      </c>
      <c r="B15336" s="2" t="s">
        <v>15407</v>
      </c>
      <c r="C15336" s="2" t="str">
        <f>"16000730"</f>
        <v>16000730</v>
      </c>
      <c r="D15336" s="2">
        <v>0.1</v>
      </c>
      <c r="E15336" s="2">
        <v>3</v>
      </c>
      <c r="F15336" s="2" t="s">
        <v>16</v>
      </c>
    </row>
    <row r="15337" spans="1:6" ht="25.5">
      <c r="A15337" s="2">
        <v>15334</v>
      </c>
      <c r="B15337" s="2" t="s">
        <v>15408</v>
      </c>
      <c r="C15337" s="2" t="str">
        <f>"17445108"</f>
        <v>17445108</v>
      </c>
      <c r="D15337" s="2">
        <v>0.27</v>
      </c>
      <c r="E15337" s="2">
        <v>17</v>
      </c>
      <c r="F15337" s="2" t="s">
        <v>16</v>
      </c>
    </row>
    <row r="15338" spans="1:6" ht="25.5">
      <c r="A15338" s="2">
        <v>15335</v>
      </c>
      <c r="B15338" s="2" t="s">
        <v>15409</v>
      </c>
      <c r="C15338" s="2" t="str">
        <f>"15729273"</f>
        <v>15729273</v>
      </c>
      <c r="D15338" s="2">
        <v>0.33400000000000002</v>
      </c>
      <c r="E15338" s="2">
        <v>14</v>
      </c>
      <c r="F15338" s="2" t="s">
        <v>75</v>
      </c>
    </row>
    <row r="15339" spans="1:6" ht="25.5">
      <c r="A15339" s="2">
        <v>15336</v>
      </c>
      <c r="B15339" s="2" t="s">
        <v>15410</v>
      </c>
      <c r="C15339" s="2" t="str">
        <f>"01691368"</f>
        <v>01691368</v>
      </c>
      <c r="D15339" s="2">
        <v>0.93300000000000005</v>
      </c>
      <c r="E15339" s="2">
        <v>39</v>
      </c>
      <c r="F15339" s="2" t="s">
        <v>75</v>
      </c>
    </row>
    <row r="15340" spans="1:6" ht="25.5">
      <c r="A15340" s="2">
        <v>15337</v>
      </c>
      <c r="B15340" s="2" t="s">
        <v>15411</v>
      </c>
      <c r="C15340" s="2" t="str">
        <f>"00304727"</f>
        <v>00304727</v>
      </c>
      <c r="D15340" s="2">
        <v>0.1</v>
      </c>
      <c r="E15340" s="2">
        <v>3</v>
      </c>
      <c r="F15340" s="2" t="s">
        <v>6</v>
      </c>
    </row>
    <row r="15341" spans="1:6" ht="25.5">
      <c r="A15341" s="2">
        <v>15338</v>
      </c>
      <c r="B15341" s="2" t="s">
        <v>15412</v>
      </c>
      <c r="C15341" s="2" t="str">
        <f>"00304751"</f>
        <v>00304751</v>
      </c>
      <c r="D15341" s="2">
        <v>0.10199999999999999</v>
      </c>
      <c r="E15341" s="2">
        <v>2</v>
      </c>
      <c r="F15341" s="2" t="s">
        <v>6</v>
      </c>
    </row>
    <row r="15342" spans="1:6">
      <c r="A15342" s="2">
        <v>15339</v>
      </c>
      <c r="B15342" s="2" t="s">
        <v>15413</v>
      </c>
      <c r="C15342" s="2" t="str">
        <f>"0"</f>
        <v>0</v>
      </c>
      <c r="D15342" s="2">
        <v>0</v>
      </c>
      <c r="E15342" s="2">
        <v>0</v>
      </c>
      <c r="F15342" s="2" t="s">
        <v>6</v>
      </c>
    </row>
    <row r="15343" spans="1:6" ht="25.5">
      <c r="A15343" s="2">
        <v>15340</v>
      </c>
      <c r="B15343" s="2" t="s">
        <v>15414</v>
      </c>
      <c r="C15343" s="2" t="str">
        <f>"14770539"</f>
        <v>14770539</v>
      </c>
      <c r="D15343" s="2">
        <v>1.3620000000000001</v>
      </c>
      <c r="E15343" s="2">
        <v>79</v>
      </c>
      <c r="F15343" s="2" t="s">
        <v>16</v>
      </c>
    </row>
    <row r="15344" spans="1:6" ht="25.5">
      <c r="A15344" s="2">
        <v>15341</v>
      </c>
      <c r="B15344" s="2" t="s">
        <v>15415</v>
      </c>
      <c r="C15344" s="2" t="str">
        <f>"13076175"</f>
        <v>13076175</v>
      </c>
      <c r="D15344" s="2">
        <v>0.21299999999999999</v>
      </c>
      <c r="E15344" s="2">
        <v>5</v>
      </c>
      <c r="F15344" s="2" t="s">
        <v>345</v>
      </c>
    </row>
    <row r="15345" spans="1:6" ht="25.5">
      <c r="A15345" s="2">
        <v>15342</v>
      </c>
      <c r="B15345" s="2" t="s">
        <v>15416</v>
      </c>
      <c r="C15345" s="2" t="str">
        <f>"15661199"</f>
        <v>15661199</v>
      </c>
      <c r="D15345" s="2">
        <v>1.7370000000000001</v>
      </c>
      <c r="E15345" s="2">
        <v>55</v>
      </c>
      <c r="F15345" s="2" t="s">
        <v>75</v>
      </c>
    </row>
    <row r="15346" spans="1:6" ht="25.5">
      <c r="A15346" s="2">
        <v>15343</v>
      </c>
      <c r="B15346" s="2" t="s">
        <v>15417</v>
      </c>
      <c r="C15346" s="2" t="str">
        <f>"01466380"</f>
        <v>01466380</v>
      </c>
      <c r="D15346" s="2">
        <v>1.298</v>
      </c>
      <c r="E15346" s="2">
        <v>77</v>
      </c>
      <c r="F15346" s="2" t="s">
        <v>16</v>
      </c>
    </row>
    <row r="15347" spans="1:6" ht="25.5">
      <c r="A15347" s="2">
        <v>15344</v>
      </c>
      <c r="B15347" s="2" t="s">
        <v>15418</v>
      </c>
      <c r="C15347" s="2" t="str">
        <f>"15237060"</f>
        <v>15237060</v>
      </c>
      <c r="D15347" s="2">
        <v>2.8039999999999998</v>
      </c>
      <c r="E15347" s="2">
        <v>149</v>
      </c>
      <c r="F15347" s="2" t="s">
        <v>6</v>
      </c>
    </row>
    <row r="15348" spans="1:6" ht="25.5">
      <c r="A15348" s="2">
        <v>15345</v>
      </c>
      <c r="B15348" s="2" t="s">
        <v>15419</v>
      </c>
      <c r="C15348" s="2" t="str">
        <f>"00304948"</f>
        <v>00304948</v>
      </c>
      <c r="D15348" s="2">
        <v>0.61899999999999999</v>
      </c>
      <c r="E15348" s="2">
        <v>28</v>
      </c>
      <c r="F15348" s="2" t="s">
        <v>6</v>
      </c>
    </row>
    <row r="15349" spans="1:6" ht="25.5">
      <c r="A15349" s="2">
        <v>15346</v>
      </c>
      <c r="B15349" s="2" t="s">
        <v>15420</v>
      </c>
      <c r="C15349" s="2" t="str">
        <f>"1520586X"</f>
        <v>1520586X</v>
      </c>
      <c r="D15349" s="2">
        <v>1.0049999999999999</v>
      </c>
      <c r="E15349" s="2">
        <v>58</v>
      </c>
      <c r="F15349" s="2" t="s">
        <v>6</v>
      </c>
    </row>
    <row r="15350" spans="1:6" ht="25.5">
      <c r="A15350" s="2">
        <v>15347</v>
      </c>
      <c r="B15350" s="2" t="s">
        <v>15421</v>
      </c>
      <c r="C15350" s="2" t="str">
        <f>"00786179"</f>
        <v>00786179</v>
      </c>
      <c r="D15350" s="2">
        <v>0.95899999999999996</v>
      </c>
      <c r="E15350" s="2">
        <v>2</v>
      </c>
      <c r="F15350" s="2" t="s">
        <v>6</v>
      </c>
    </row>
    <row r="15351" spans="1:6" ht="25.5">
      <c r="A15351" s="2">
        <v>15348</v>
      </c>
      <c r="B15351" s="2" t="s">
        <v>15422</v>
      </c>
      <c r="C15351" s="2" t="str">
        <f>"15416518"</f>
        <v>15416518</v>
      </c>
      <c r="D15351" s="2">
        <v>0.254</v>
      </c>
      <c r="E15351" s="2">
        <v>4</v>
      </c>
      <c r="F15351" s="2" t="s">
        <v>6</v>
      </c>
    </row>
    <row r="15352" spans="1:6" ht="25.5">
      <c r="A15352" s="2">
        <v>15349</v>
      </c>
      <c r="B15352" s="2" t="s">
        <v>15423</v>
      </c>
      <c r="C15352" s="2" t="str">
        <f>"14698153"</f>
        <v>14698153</v>
      </c>
      <c r="D15352" s="2">
        <v>0.29699999999999999</v>
      </c>
      <c r="E15352" s="2">
        <v>5</v>
      </c>
      <c r="F15352" s="2" t="s">
        <v>16</v>
      </c>
    </row>
    <row r="15353" spans="1:6" ht="25.5">
      <c r="A15353" s="2">
        <v>15350</v>
      </c>
      <c r="B15353" s="2" t="s">
        <v>15424</v>
      </c>
      <c r="C15353" s="2" t="str">
        <f>"14396092"</f>
        <v>14396092</v>
      </c>
      <c r="D15353" s="2">
        <v>0.72</v>
      </c>
      <c r="E15353" s="2">
        <v>27</v>
      </c>
      <c r="F15353" s="2" t="s">
        <v>12</v>
      </c>
    </row>
    <row r="15354" spans="1:6" ht="25.5">
      <c r="A15354" s="2">
        <v>15351</v>
      </c>
      <c r="B15354" s="2" t="s">
        <v>15425</v>
      </c>
      <c r="C15354" s="2" t="str">
        <f>"13505084"</f>
        <v>13505084</v>
      </c>
      <c r="D15354" s="2">
        <v>1.292</v>
      </c>
      <c r="E15354" s="2">
        <v>46</v>
      </c>
      <c r="F15354" s="2" t="s">
        <v>16</v>
      </c>
    </row>
    <row r="15355" spans="1:6" ht="25.5">
      <c r="A15355" s="2">
        <v>15352</v>
      </c>
      <c r="B15355" s="2" t="s">
        <v>15426</v>
      </c>
      <c r="C15355" s="2" t="str">
        <f>"10959920"</f>
        <v>10959920</v>
      </c>
      <c r="D15355" s="2">
        <v>3.5720000000000001</v>
      </c>
      <c r="E15355" s="2">
        <v>78</v>
      </c>
      <c r="F15355" s="2" t="s">
        <v>6</v>
      </c>
    </row>
    <row r="15356" spans="1:6" ht="25.5">
      <c r="A15356" s="2">
        <v>15353</v>
      </c>
      <c r="B15356" s="2" t="s">
        <v>15427</v>
      </c>
      <c r="C15356" s="2" t="str">
        <f>"00902616"</f>
        <v>00902616</v>
      </c>
      <c r="D15356" s="2">
        <v>0.50900000000000001</v>
      </c>
      <c r="E15356" s="2">
        <v>29</v>
      </c>
      <c r="F15356" s="2" t="s">
        <v>75</v>
      </c>
    </row>
    <row r="15357" spans="1:6" ht="25.5">
      <c r="A15357" s="2">
        <v>15354</v>
      </c>
      <c r="B15357" s="2" t="s">
        <v>15428</v>
      </c>
      <c r="C15357" s="2" t="str">
        <f>"10944281"</f>
        <v>10944281</v>
      </c>
      <c r="D15357" s="2">
        <v>3.5550000000000002</v>
      </c>
      <c r="E15357" s="2">
        <v>50</v>
      </c>
      <c r="F15357" s="2" t="s">
        <v>6</v>
      </c>
    </row>
    <row r="15358" spans="1:6" ht="25.5">
      <c r="A15358" s="2">
        <v>15355</v>
      </c>
      <c r="B15358" s="2" t="s">
        <v>15429</v>
      </c>
      <c r="C15358" s="2" t="str">
        <f>"15527417"</f>
        <v>15527417</v>
      </c>
      <c r="D15358" s="2">
        <v>0.43</v>
      </c>
      <c r="E15358" s="2">
        <v>24</v>
      </c>
      <c r="F15358" s="2" t="s">
        <v>6</v>
      </c>
    </row>
    <row r="15359" spans="1:6" ht="25.5">
      <c r="A15359" s="2">
        <v>15356</v>
      </c>
      <c r="B15359" s="2" t="s">
        <v>15430</v>
      </c>
      <c r="C15359" s="2" t="str">
        <f>"08896402"</f>
        <v>08896402</v>
      </c>
      <c r="D15359" s="2">
        <v>0.26</v>
      </c>
      <c r="E15359" s="2">
        <v>9</v>
      </c>
      <c r="F15359" s="2" t="s">
        <v>6</v>
      </c>
    </row>
    <row r="15360" spans="1:6" ht="25.5">
      <c r="A15360" s="2">
        <v>15357</v>
      </c>
      <c r="B15360" s="2" t="s">
        <v>15431</v>
      </c>
      <c r="C15360" s="2" t="str">
        <f>"15265455"</f>
        <v>15265455</v>
      </c>
      <c r="D15360" s="2">
        <v>6.5149999999999997</v>
      </c>
      <c r="E15360" s="2">
        <v>115</v>
      </c>
      <c r="F15360" s="2" t="s">
        <v>6</v>
      </c>
    </row>
    <row r="15361" spans="1:6" ht="25.5">
      <c r="A15361" s="2">
        <v>15358</v>
      </c>
      <c r="B15361" s="2" t="s">
        <v>15432</v>
      </c>
      <c r="C15361" s="2" t="str">
        <f>"01708406"</f>
        <v>01708406</v>
      </c>
      <c r="D15361" s="2">
        <v>1.6319999999999999</v>
      </c>
      <c r="E15361" s="2">
        <v>69</v>
      </c>
      <c r="F15361" s="2" t="s">
        <v>16</v>
      </c>
    </row>
    <row r="15362" spans="1:6" ht="25.5">
      <c r="A15362" s="2">
        <v>15359</v>
      </c>
      <c r="B15362" s="2" t="s">
        <v>15433</v>
      </c>
      <c r="C15362" s="2" t="str">
        <f>"15558592"</f>
        <v>15558592</v>
      </c>
      <c r="D15362" s="2">
        <v>0.76900000000000002</v>
      </c>
      <c r="E15362" s="2">
        <v>14</v>
      </c>
      <c r="F15362" s="2" t="s">
        <v>6</v>
      </c>
    </row>
    <row r="15363" spans="1:6" ht="25.5">
      <c r="A15363" s="2">
        <v>15360</v>
      </c>
      <c r="B15363" s="2" t="s">
        <v>15434</v>
      </c>
      <c r="C15363" s="2" t="str">
        <f>"15206041"</f>
        <v>15206041</v>
      </c>
      <c r="D15363" s="2">
        <v>1.6779999999999999</v>
      </c>
      <c r="E15363" s="2">
        <v>122</v>
      </c>
      <c r="F15363" s="2" t="s">
        <v>6</v>
      </c>
    </row>
    <row r="15364" spans="1:6" ht="25.5">
      <c r="A15364" s="2">
        <v>15361</v>
      </c>
      <c r="B15364" s="2" t="s">
        <v>15435</v>
      </c>
      <c r="C15364" s="2" t="str">
        <f>"13350668"</f>
        <v>13350668</v>
      </c>
      <c r="D15364" s="2">
        <v>0.215</v>
      </c>
      <c r="E15364" s="2">
        <v>6</v>
      </c>
      <c r="F15364" s="2" t="s">
        <v>241</v>
      </c>
    </row>
    <row r="15365" spans="1:6" ht="25.5">
      <c r="A15365" s="2">
        <v>15362</v>
      </c>
      <c r="B15365" s="2" t="s">
        <v>15436</v>
      </c>
      <c r="C15365" s="2" t="str">
        <f>"00305375"</f>
        <v>00305375</v>
      </c>
      <c r="D15365" s="2">
        <v>0.1</v>
      </c>
      <c r="E15365" s="2">
        <v>2</v>
      </c>
      <c r="F15365" s="2" t="s">
        <v>190</v>
      </c>
    </row>
    <row r="15366" spans="1:6" ht="25.5">
      <c r="A15366" s="2">
        <v>15363</v>
      </c>
      <c r="B15366" s="2" t="s">
        <v>15437</v>
      </c>
      <c r="C15366" s="2" t="str">
        <f>"00305316"</f>
        <v>00305316</v>
      </c>
      <c r="D15366" s="2">
        <v>0.115</v>
      </c>
      <c r="E15366" s="2">
        <v>11</v>
      </c>
      <c r="F15366" s="2" t="s">
        <v>6</v>
      </c>
    </row>
    <row r="15367" spans="1:6" ht="25.5">
      <c r="A15367" s="2">
        <v>15364</v>
      </c>
      <c r="B15367" s="2" t="s">
        <v>15438</v>
      </c>
      <c r="C15367" s="2" t="str">
        <f>"0970020X"</f>
        <v>0970020X</v>
      </c>
      <c r="D15367" s="2">
        <v>0.23799999999999999</v>
      </c>
      <c r="E15367" s="2">
        <v>6</v>
      </c>
      <c r="F15367" s="2" t="s">
        <v>488</v>
      </c>
    </row>
    <row r="15368" spans="1:6" ht="25.5">
      <c r="A15368" s="2">
        <v>15365</v>
      </c>
      <c r="B15368" s="2" t="s">
        <v>15439</v>
      </c>
      <c r="C15368" s="2" t="str">
        <f>"02496739"</f>
        <v>02496739</v>
      </c>
      <c r="D15368" s="2">
        <v>0.10100000000000001</v>
      </c>
      <c r="E15368" s="2">
        <v>0</v>
      </c>
      <c r="F15368" s="2" t="s">
        <v>66</v>
      </c>
    </row>
    <row r="15369" spans="1:6" ht="25.5">
      <c r="A15369" s="2">
        <v>15366</v>
      </c>
      <c r="B15369" s="2" t="s">
        <v>15440</v>
      </c>
      <c r="C15369" s="2" t="str">
        <f>"15730875"</f>
        <v>15730875</v>
      </c>
      <c r="D15369" s="2">
        <v>0.50700000000000001</v>
      </c>
      <c r="E15369" s="2">
        <v>42</v>
      </c>
      <c r="F15369" s="2" t="s">
        <v>75</v>
      </c>
    </row>
    <row r="15370" spans="1:6" ht="25.5">
      <c r="A15370" s="2">
        <v>15367</v>
      </c>
      <c r="B15370" s="2" t="s">
        <v>15441</v>
      </c>
      <c r="C15370" s="2" t="str">
        <f>"10643842"</f>
        <v>10643842</v>
      </c>
      <c r="D15370" s="2">
        <v>0.14299999999999999</v>
      </c>
      <c r="E15370" s="2">
        <v>6</v>
      </c>
      <c r="F15370" s="2" t="s">
        <v>6</v>
      </c>
    </row>
    <row r="15371" spans="1:6" ht="25.5">
      <c r="A15371" s="2">
        <v>15368</v>
      </c>
      <c r="B15371" s="2" t="s">
        <v>15442</v>
      </c>
      <c r="C15371" s="2" t="str">
        <f>"14230275"</f>
        <v>14230275</v>
      </c>
      <c r="D15371" s="2">
        <v>0.53700000000000003</v>
      </c>
      <c r="E15371" s="2">
        <v>29</v>
      </c>
      <c r="F15371" s="2" t="s">
        <v>31</v>
      </c>
    </row>
    <row r="15372" spans="1:6" ht="25.5">
      <c r="A15372" s="2">
        <v>15369</v>
      </c>
      <c r="B15372" s="2" t="s">
        <v>15443</v>
      </c>
      <c r="C15372" s="2" t="str">
        <f>"87568047"</f>
        <v>87568047</v>
      </c>
      <c r="D15372" s="2">
        <v>0.109</v>
      </c>
      <c r="E15372" s="2">
        <v>5</v>
      </c>
      <c r="F15372" s="2" t="s">
        <v>6</v>
      </c>
    </row>
    <row r="15373" spans="1:6" ht="25.5">
      <c r="A15373" s="2">
        <v>15370</v>
      </c>
      <c r="B15373" s="2" t="s">
        <v>15444</v>
      </c>
      <c r="C15373" s="2" t="str">
        <f>"00305685"</f>
        <v>00305685</v>
      </c>
      <c r="D15373" s="2">
        <v>0.33600000000000002</v>
      </c>
      <c r="E15373" s="2">
        <v>21</v>
      </c>
      <c r="F15373" s="2" t="s">
        <v>751</v>
      </c>
    </row>
    <row r="15374" spans="1:6" ht="25.5">
      <c r="A15374" s="2">
        <v>15371</v>
      </c>
      <c r="B15374" s="2" t="s">
        <v>15445</v>
      </c>
      <c r="C15374" s="2" t="str">
        <f>"15020878"</f>
        <v>15020878</v>
      </c>
      <c r="D15374" s="2">
        <v>0.16300000000000001</v>
      </c>
      <c r="E15374" s="2">
        <v>7</v>
      </c>
      <c r="F15374" s="2" t="s">
        <v>2637</v>
      </c>
    </row>
    <row r="15375" spans="1:6" ht="25.5">
      <c r="A15375" s="2">
        <v>15372</v>
      </c>
      <c r="B15375" s="2" t="s">
        <v>15446</v>
      </c>
      <c r="C15375" s="2" t="str">
        <f>"11026812"</f>
        <v>11026812</v>
      </c>
      <c r="D15375" s="2">
        <v>0.32300000000000001</v>
      </c>
      <c r="E15375" s="2">
        <v>10</v>
      </c>
      <c r="F15375" s="2" t="s">
        <v>151</v>
      </c>
    </row>
    <row r="15376" spans="1:6" ht="25.5">
      <c r="A15376" s="2">
        <v>15373</v>
      </c>
      <c r="B15376" s="2" t="s">
        <v>15447</v>
      </c>
      <c r="C15376" s="2" t="str">
        <f>"00786594"</f>
        <v>00786594</v>
      </c>
      <c r="D15376" s="2">
        <v>0.22700000000000001</v>
      </c>
      <c r="E15376" s="2">
        <v>9</v>
      </c>
      <c r="F15376" s="2" t="s">
        <v>6</v>
      </c>
    </row>
    <row r="15377" spans="1:6" ht="25.5">
      <c r="A15377" s="2">
        <v>15374</v>
      </c>
      <c r="B15377" s="2" t="s">
        <v>15448</v>
      </c>
      <c r="C15377" s="2" t="str">
        <f>"13470558"</f>
        <v>13470558</v>
      </c>
      <c r="D15377" s="2">
        <v>0.188</v>
      </c>
      <c r="E15377" s="2">
        <v>1</v>
      </c>
      <c r="F15377" s="2" t="s">
        <v>131</v>
      </c>
    </row>
    <row r="15378" spans="1:6" ht="25.5">
      <c r="A15378" s="2">
        <v>15375</v>
      </c>
      <c r="B15378" s="2" t="s">
        <v>15449</v>
      </c>
      <c r="C15378" s="2" t="str">
        <f>"00305707"</f>
        <v>00305707</v>
      </c>
      <c r="D15378" s="2">
        <v>0.21299999999999999</v>
      </c>
      <c r="E15378" s="2">
        <v>11</v>
      </c>
      <c r="F15378" s="2" t="s">
        <v>31</v>
      </c>
    </row>
    <row r="15379" spans="1:6" ht="25.5">
      <c r="A15379" s="2">
        <v>15376</v>
      </c>
      <c r="B15379" s="2" t="s">
        <v>15450</v>
      </c>
      <c r="C15379" s="2" t="str">
        <f>"17940915"</f>
        <v>17940915</v>
      </c>
      <c r="D15379" s="2">
        <v>0.14399999999999999</v>
      </c>
      <c r="E15379" s="2">
        <v>2</v>
      </c>
      <c r="F15379" s="2" t="s">
        <v>184</v>
      </c>
    </row>
    <row r="15380" spans="1:6" ht="25.5">
      <c r="A15380" s="2">
        <v>15377</v>
      </c>
      <c r="B15380" s="2" t="s">
        <v>15451</v>
      </c>
      <c r="C15380" s="2" t="str">
        <f>"10754377"</f>
        <v>10754377</v>
      </c>
      <c r="D15380" s="2">
        <v>0.20200000000000001</v>
      </c>
      <c r="E15380" s="2">
        <v>12</v>
      </c>
      <c r="F15380" s="2" t="s">
        <v>6</v>
      </c>
    </row>
    <row r="15381" spans="1:6" ht="25.5">
      <c r="A15381" s="2">
        <v>15378</v>
      </c>
      <c r="B15381" s="2" t="s">
        <v>15452</v>
      </c>
      <c r="C15381" s="2" t="str">
        <f>"17501172"</f>
        <v>17501172</v>
      </c>
      <c r="D15381" s="2">
        <v>1.528</v>
      </c>
      <c r="E15381" s="2">
        <v>43</v>
      </c>
      <c r="F15381" s="2" t="s">
        <v>16</v>
      </c>
    </row>
    <row r="15382" spans="1:6" ht="25.5">
      <c r="A15382" s="2">
        <v>15379</v>
      </c>
      <c r="B15382" s="2" t="s">
        <v>15453</v>
      </c>
      <c r="C15382" s="2" t="str">
        <f>"16016343"</f>
        <v>16016343</v>
      </c>
      <c r="D15382" s="2">
        <v>0.96399999999999997</v>
      </c>
      <c r="E15382" s="2">
        <v>27</v>
      </c>
      <c r="F15382" s="2" t="s">
        <v>16</v>
      </c>
    </row>
    <row r="15383" spans="1:6" ht="25.5">
      <c r="A15383" s="2">
        <v>15380</v>
      </c>
      <c r="B15383" s="2" t="s">
        <v>15454</v>
      </c>
      <c r="C15383" s="2" t="str">
        <f>"21603006"</f>
        <v>21603006</v>
      </c>
      <c r="D15383" s="2">
        <v>0.11899999999999999</v>
      </c>
      <c r="E15383" s="2">
        <v>1</v>
      </c>
      <c r="F15383" s="2" t="s">
        <v>6</v>
      </c>
    </row>
    <row r="15384" spans="1:6" ht="25.5">
      <c r="A15384" s="2">
        <v>15381</v>
      </c>
      <c r="B15384" s="2" t="s">
        <v>15455</v>
      </c>
      <c r="C15384" s="2" t="str">
        <f>"13440241"</f>
        <v>13440241</v>
      </c>
      <c r="D15384" s="2">
        <v>0.156</v>
      </c>
      <c r="E15384" s="2">
        <v>4</v>
      </c>
      <c r="F15384" s="2" t="s">
        <v>75</v>
      </c>
    </row>
    <row r="15385" spans="1:6" ht="25.5">
      <c r="A15385" s="2">
        <v>15382</v>
      </c>
      <c r="B15385" s="2" t="s">
        <v>15456</v>
      </c>
      <c r="C15385" s="2" t="str">
        <f>"12624586"</f>
        <v>12624586</v>
      </c>
      <c r="D15385" s="2">
        <v>0.1</v>
      </c>
      <c r="E15385" s="2">
        <v>1</v>
      </c>
      <c r="F15385" s="2" t="s">
        <v>190</v>
      </c>
    </row>
    <row r="15386" spans="1:6" ht="25.5">
      <c r="A15386" s="2">
        <v>15383</v>
      </c>
      <c r="B15386" s="2" t="s">
        <v>15457</v>
      </c>
      <c r="C15386" s="2" t="str">
        <f>"07446020"</f>
        <v>07446020</v>
      </c>
      <c r="D15386" s="2">
        <v>0.19700000000000001</v>
      </c>
      <c r="E15386" s="2">
        <v>21</v>
      </c>
      <c r="F15386" s="2" t="s">
        <v>6</v>
      </c>
    </row>
    <row r="15387" spans="1:6" ht="25.5">
      <c r="A15387" s="2">
        <v>15384</v>
      </c>
      <c r="B15387" s="2" t="s">
        <v>15458</v>
      </c>
      <c r="C15387" s="2" t="str">
        <f>"18771327"</f>
        <v>18771327</v>
      </c>
      <c r="D15387" s="2">
        <v>0.16400000000000001</v>
      </c>
      <c r="E15387" s="2">
        <v>15</v>
      </c>
      <c r="F15387" s="2" t="s">
        <v>16</v>
      </c>
    </row>
    <row r="15388" spans="1:6" ht="25.5">
      <c r="A15388" s="2">
        <v>15385</v>
      </c>
      <c r="B15388" s="2" t="s">
        <v>15459</v>
      </c>
      <c r="C15388" s="2" t="str">
        <f>"18770568"</f>
        <v>18770568</v>
      </c>
      <c r="D15388" s="2">
        <v>0.746</v>
      </c>
      <c r="E15388" s="2">
        <v>12</v>
      </c>
      <c r="F15388" s="2" t="s">
        <v>66</v>
      </c>
    </row>
    <row r="15389" spans="1:6" ht="25.5">
      <c r="A15389" s="2">
        <v>15386</v>
      </c>
      <c r="B15389" s="2" t="s">
        <v>15460</v>
      </c>
      <c r="C15389" s="2" t="str">
        <f>"17577861"</f>
        <v>17577861</v>
      </c>
      <c r="D15389" s="2">
        <v>0.14199999999999999</v>
      </c>
      <c r="E15389" s="2">
        <v>3</v>
      </c>
      <c r="F15389" s="2" t="s">
        <v>127</v>
      </c>
    </row>
    <row r="15390" spans="1:6" ht="25.5">
      <c r="A15390" s="2">
        <v>15387</v>
      </c>
      <c r="B15390" s="2" t="s">
        <v>15461</v>
      </c>
      <c r="C15390" s="2" t="str">
        <f>"00305898"</f>
        <v>00305898</v>
      </c>
      <c r="D15390" s="2">
        <v>1.0269999999999999</v>
      </c>
      <c r="E15390" s="2">
        <v>55</v>
      </c>
      <c r="F15390" s="2" t="s">
        <v>16</v>
      </c>
    </row>
    <row r="15391" spans="1:6" ht="25.5">
      <c r="A15391" s="2">
        <v>15388</v>
      </c>
      <c r="B15391" s="2" t="s">
        <v>15462</v>
      </c>
      <c r="C15391" s="2" t="str">
        <f>"19382367"</f>
        <v>19382367</v>
      </c>
      <c r="D15391" s="2">
        <v>0.48299999999999998</v>
      </c>
      <c r="E15391" s="2">
        <v>42</v>
      </c>
      <c r="F15391" s="2" t="s">
        <v>6</v>
      </c>
    </row>
    <row r="15392" spans="1:6" ht="25.5">
      <c r="A15392" s="2">
        <v>15389</v>
      </c>
      <c r="B15392" s="2" t="s">
        <v>15463</v>
      </c>
      <c r="C15392" s="2" t="str">
        <f>"15093492"</f>
        <v>15093492</v>
      </c>
      <c r="D15392" s="2">
        <v>0.27300000000000002</v>
      </c>
      <c r="E15392" s="2">
        <v>10</v>
      </c>
      <c r="F15392" s="2" t="s">
        <v>169</v>
      </c>
    </row>
    <row r="15393" spans="1:6" ht="25.5">
      <c r="A15393" s="2">
        <v>15390</v>
      </c>
      <c r="B15393" s="2" t="s">
        <v>15464</v>
      </c>
      <c r="C15393" s="2" t="str">
        <f>"00306002"</f>
        <v>00306002</v>
      </c>
      <c r="D15393" s="2">
        <v>0.159</v>
      </c>
      <c r="E15393" s="2">
        <v>13</v>
      </c>
      <c r="F15393" s="2" t="s">
        <v>135</v>
      </c>
    </row>
    <row r="15394" spans="1:6" ht="25.5">
      <c r="A15394" s="2">
        <v>15391</v>
      </c>
      <c r="B15394" s="2" t="s">
        <v>15465</v>
      </c>
      <c r="C15394" s="2" t="str">
        <f>"00306037"</f>
        <v>00306037</v>
      </c>
      <c r="D15394" s="2">
        <v>0.10299999999999999</v>
      </c>
      <c r="E15394" s="2">
        <v>2</v>
      </c>
      <c r="F15394" s="2" t="s">
        <v>135</v>
      </c>
    </row>
    <row r="15395" spans="1:6" ht="25.5">
      <c r="A15395" s="2">
        <v>15392</v>
      </c>
      <c r="B15395" s="2" t="s">
        <v>15466</v>
      </c>
      <c r="C15395" s="2" t="str">
        <f>"00103551"</f>
        <v>00103551</v>
      </c>
      <c r="D15395" s="2">
        <v>0.10100000000000001</v>
      </c>
      <c r="E15395" s="2">
        <v>2</v>
      </c>
      <c r="F15395" s="2" t="s">
        <v>135</v>
      </c>
    </row>
    <row r="15396" spans="1:6" ht="25.5">
      <c r="A15396" s="2">
        <v>15393</v>
      </c>
      <c r="B15396" s="2" t="s">
        <v>15467</v>
      </c>
      <c r="C15396" s="2" t="str">
        <f>"13653008"</f>
        <v>13653008</v>
      </c>
      <c r="D15396" s="2">
        <v>0.76</v>
      </c>
      <c r="E15396" s="2">
        <v>35</v>
      </c>
      <c r="F15396" s="2" t="s">
        <v>16</v>
      </c>
    </row>
    <row r="15397" spans="1:6" ht="25.5">
      <c r="A15397" s="2">
        <v>15394</v>
      </c>
      <c r="B15397" s="2" t="s">
        <v>15468</v>
      </c>
      <c r="C15397" s="2" t="str">
        <f>"00306096"</f>
        <v>00306096</v>
      </c>
      <c r="D15397" s="2">
        <v>0.125</v>
      </c>
      <c r="E15397" s="2">
        <v>9</v>
      </c>
      <c r="F15397" s="2" t="s">
        <v>131</v>
      </c>
    </row>
    <row r="15398" spans="1:6" ht="25.5">
      <c r="A15398" s="2">
        <v>15395</v>
      </c>
      <c r="B15398" s="2" t="s">
        <v>15469</v>
      </c>
      <c r="C15398" s="2" t="str">
        <f>"00306126"</f>
        <v>00306126</v>
      </c>
      <c r="D15398" s="2">
        <v>0.438</v>
      </c>
      <c r="E15398" s="2">
        <v>16</v>
      </c>
      <c r="F15398" s="2" t="s">
        <v>131</v>
      </c>
    </row>
    <row r="15399" spans="1:6" ht="25.5">
      <c r="A15399" s="2">
        <v>15396</v>
      </c>
      <c r="B15399" s="2" t="s">
        <v>15470</v>
      </c>
      <c r="C15399" s="2" t="str">
        <f>"03697827"</f>
        <v>03697827</v>
      </c>
      <c r="D15399" s="2">
        <v>0.20899999999999999</v>
      </c>
      <c r="E15399" s="2">
        <v>9</v>
      </c>
      <c r="F15399" s="2" t="s">
        <v>6</v>
      </c>
    </row>
    <row r="15400" spans="1:6" ht="25.5">
      <c r="A15400" s="2">
        <v>15397</v>
      </c>
      <c r="B15400" s="2" t="s">
        <v>15471</v>
      </c>
      <c r="C15400" s="2" t="str">
        <f>"00854557"</f>
        <v>00854557</v>
      </c>
      <c r="D15400" s="2">
        <v>0.10299999999999999</v>
      </c>
      <c r="E15400" s="2">
        <v>1</v>
      </c>
      <c r="F15400" s="2" t="s">
        <v>64</v>
      </c>
    </row>
    <row r="15401" spans="1:6" ht="25.5">
      <c r="A15401" s="2">
        <v>15398</v>
      </c>
      <c r="B15401" s="2" t="s">
        <v>15472</v>
      </c>
      <c r="C15401" s="2" t="str">
        <f>"15229653"</f>
        <v>15229653</v>
      </c>
      <c r="D15401" s="2">
        <v>1.625</v>
      </c>
      <c r="E15401" s="2">
        <v>92</v>
      </c>
      <c r="F15401" s="2" t="s">
        <v>16</v>
      </c>
    </row>
    <row r="15402" spans="1:6" ht="25.5">
      <c r="A15402" s="2">
        <v>15399</v>
      </c>
      <c r="B15402" s="2" t="s">
        <v>15473</v>
      </c>
      <c r="C15402" s="2" t="str">
        <f>"12113778"</f>
        <v>12113778</v>
      </c>
      <c r="D15402" s="2">
        <v>0.108</v>
      </c>
      <c r="E15402" s="2">
        <v>3</v>
      </c>
      <c r="F15402" s="2" t="s">
        <v>208</v>
      </c>
    </row>
    <row r="15403" spans="1:6" ht="25.5">
      <c r="A15403" s="2">
        <v>15400</v>
      </c>
      <c r="B15403" s="2" t="s">
        <v>15474</v>
      </c>
      <c r="C15403" s="2" t="str">
        <f>"10191291"</f>
        <v>10191291</v>
      </c>
      <c r="D15403" s="2">
        <v>0.13400000000000001</v>
      </c>
      <c r="E15403" s="2">
        <v>7</v>
      </c>
      <c r="F15403" s="2" t="s">
        <v>31</v>
      </c>
    </row>
    <row r="15404" spans="1:6" ht="25.5">
      <c r="A15404" s="2">
        <v>15401</v>
      </c>
      <c r="B15404" s="2" t="s">
        <v>15475</v>
      </c>
      <c r="C15404" s="2" t="str">
        <f>"1877573X"</f>
        <v>1877573X</v>
      </c>
      <c r="D15404" s="2">
        <v>0.10100000000000001</v>
      </c>
      <c r="E15404" s="2">
        <v>1</v>
      </c>
      <c r="F15404" s="2" t="s">
        <v>6</v>
      </c>
    </row>
    <row r="15405" spans="1:6" ht="25.5">
      <c r="A15405" s="2">
        <v>15402</v>
      </c>
      <c r="B15405" s="2" t="s">
        <v>15476</v>
      </c>
      <c r="C15405" s="2" t="str">
        <f>"16159071"</f>
        <v>16159071</v>
      </c>
      <c r="D15405" s="2">
        <v>0.13800000000000001</v>
      </c>
      <c r="E15405" s="2">
        <v>2</v>
      </c>
      <c r="F15405" s="2" t="s">
        <v>12</v>
      </c>
    </row>
    <row r="15406" spans="1:6" ht="25.5">
      <c r="A15406" s="2">
        <v>15403</v>
      </c>
      <c r="B15406" s="2" t="s">
        <v>15477</v>
      </c>
      <c r="C15406" s="2" t="str">
        <f>"18869297"</f>
        <v>18869297</v>
      </c>
      <c r="D15406" s="2">
        <v>0.106</v>
      </c>
      <c r="E15406" s="2">
        <v>3</v>
      </c>
      <c r="F15406" s="2" t="s">
        <v>351</v>
      </c>
    </row>
    <row r="15407" spans="1:6" ht="25.5">
      <c r="A15407" s="2">
        <v>15404</v>
      </c>
      <c r="B15407" s="2" t="s">
        <v>15478</v>
      </c>
      <c r="C15407" s="2" t="str">
        <f>"14332965"</f>
        <v>14332965</v>
      </c>
      <c r="D15407" s="2">
        <v>1.524</v>
      </c>
      <c r="E15407" s="2">
        <v>114</v>
      </c>
      <c r="F15407" s="2" t="s">
        <v>16</v>
      </c>
    </row>
    <row r="15408" spans="1:6" ht="25.5">
      <c r="A15408" s="2">
        <v>15405</v>
      </c>
      <c r="B15408" s="2" t="s">
        <v>15479</v>
      </c>
      <c r="C15408" s="2" t="str">
        <f>"00299316"</f>
        <v>00299316</v>
      </c>
      <c r="D15408" s="2">
        <v>0.1</v>
      </c>
      <c r="E15408" s="2">
        <v>1</v>
      </c>
      <c r="F15408" s="2" t="s">
        <v>288</v>
      </c>
    </row>
    <row r="15409" spans="1:6" ht="25.5">
      <c r="A15409" s="2">
        <v>15406</v>
      </c>
      <c r="B15409" s="2" t="s">
        <v>15480</v>
      </c>
      <c r="C15409" s="2" t="str">
        <f>"0945358X"</f>
        <v>0945358X</v>
      </c>
      <c r="D15409" s="2">
        <v>0.17899999999999999</v>
      </c>
      <c r="E15409" s="2">
        <v>8</v>
      </c>
      <c r="F15409" s="2" t="s">
        <v>288</v>
      </c>
    </row>
    <row r="15410" spans="1:6" ht="25.5">
      <c r="A15410" s="2">
        <v>15407</v>
      </c>
      <c r="B15410" s="2" t="s">
        <v>15481</v>
      </c>
      <c r="C15410" s="2" t="str">
        <f>"1016765X"</f>
        <v>1016765X</v>
      </c>
      <c r="D15410" s="2">
        <v>0</v>
      </c>
      <c r="E15410" s="2">
        <v>0</v>
      </c>
      <c r="F15410" s="2" t="s">
        <v>288</v>
      </c>
    </row>
    <row r="15411" spans="1:6" ht="25.5">
      <c r="A15411" s="2">
        <v>15408</v>
      </c>
      <c r="B15411" s="2" t="s">
        <v>15482</v>
      </c>
      <c r="C15411" s="2" t="str">
        <f>"03785149"</f>
        <v>03785149</v>
      </c>
      <c r="D15411" s="2">
        <v>0.23</v>
      </c>
      <c r="E15411" s="2">
        <v>2</v>
      </c>
      <c r="F15411" s="2" t="s">
        <v>288</v>
      </c>
    </row>
    <row r="15412" spans="1:6" ht="25.5">
      <c r="A15412" s="2">
        <v>15409</v>
      </c>
      <c r="B15412" s="2" t="s">
        <v>15483</v>
      </c>
      <c r="C15412" s="2" t="str">
        <f>"00299669"</f>
        <v>00299669</v>
      </c>
      <c r="D15412" s="2">
        <v>0.13300000000000001</v>
      </c>
      <c r="E15412" s="2">
        <v>2</v>
      </c>
      <c r="F15412" s="2" t="s">
        <v>288</v>
      </c>
    </row>
    <row r="15413" spans="1:6" ht="25.5">
      <c r="A15413" s="2">
        <v>15410</v>
      </c>
      <c r="B15413" s="2" t="s">
        <v>15484</v>
      </c>
      <c r="C15413" s="2" t="str">
        <f>"09416293"</f>
        <v>09416293</v>
      </c>
      <c r="D15413" s="2">
        <v>0.16200000000000001</v>
      </c>
      <c r="E15413" s="2">
        <v>6</v>
      </c>
      <c r="F15413" s="2" t="s">
        <v>12</v>
      </c>
    </row>
    <row r="15414" spans="1:6" ht="25.5">
      <c r="A15414" s="2">
        <v>15411</v>
      </c>
      <c r="B15414" s="2" t="s">
        <v>15485</v>
      </c>
      <c r="C15414" s="2" t="str">
        <f>"08895899"</f>
        <v>08895899</v>
      </c>
      <c r="D15414" s="2">
        <v>0.45200000000000001</v>
      </c>
      <c r="E15414" s="2">
        <v>31</v>
      </c>
      <c r="F15414" s="2" t="s">
        <v>6</v>
      </c>
    </row>
    <row r="15415" spans="1:6" ht="25.5">
      <c r="A15415" s="2">
        <v>15412</v>
      </c>
      <c r="B15415" s="2" t="s">
        <v>15486</v>
      </c>
      <c r="C15415" s="2" t="str">
        <f>"00306525"</f>
        <v>00306525</v>
      </c>
      <c r="D15415" s="2">
        <v>0.39300000000000002</v>
      </c>
      <c r="E15415" s="2">
        <v>14</v>
      </c>
      <c r="F15415" s="2" t="s">
        <v>16</v>
      </c>
    </row>
    <row r="15416" spans="1:6" ht="25.5">
      <c r="A15416" s="2">
        <v>15413</v>
      </c>
      <c r="B15416" s="2" t="s">
        <v>15487</v>
      </c>
      <c r="C15416" s="2" t="str">
        <f>"15394492"</f>
        <v>15394492</v>
      </c>
      <c r="D15416" s="2">
        <v>0.47699999999999998</v>
      </c>
      <c r="E15416" s="2">
        <v>23</v>
      </c>
      <c r="F15416" s="2" t="s">
        <v>6</v>
      </c>
    </row>
    <row r="15417" spans="1:6" ht="25.5">
      <c r="A15417" s="2">
        <v>15414</v>
      </c>
      <c r="B15417" s="2" t="s">
        <v>15488</v>
      </c>
      <c r="C15417" s="2" t="str">
        <f>"00306657"</f>
        <v>00306657</v>
      </c>
      <c r="D15417" s="2">
        <v>0.16900000000000001</v>
      </c>
      <c r="E15417" s="2">
        <v>10</v>
      </c>
      <c r="F15417" s="2" t="s">
        <v>169</v>
      </c>
    </row>
    <row r="15418" spans="1:6" ht="25.5">
      <c r="A15418" s="2">
        <v>15415</v>
      </c>
      <c r="B15418" s="2" t="s">
        <v>15489</v>
      </c>
      <c r="C15418" s="2" t="str">
        <f>"00306665"</f>
        <v>00306665</v>
      </c>
      <c r="D15418" s="2">
        <v>0.61299999999999999</v>
      </c>
      <c r="E15418" s="2">
        <v>42</v>
      </c>
      <c r="F15418" s="2" t="s">
        <v>16</v>
      </c>
    </row>
    <row r="15419" spans="1:6" ht="25.5">
      <c r="A15419" s="2">
        <v>15416</v>
      </c>
      <c r="B15419" s="2" t="s">
        <v>15490</v>
      </c>
      <c r="C15419" s="2" t="str">
        <f>"01945998"</f>
        <v>01945998</v>
      </c>
      <c r="D15419" s="2">
        <v>0.872</v>
      </c>
      <c r="E15419" s="2">
        <v>75</v>
      </c>
      <c r="F15419" s="2" t="s">
        <v>6</v>
      </c>
    </row>
    <row r="15420" spans="1:6" ht="25.5">
      <c r="A15420" s="2">
        <v>15417</v>
      </c>
      <c r="B15420" s="2" t="s">
        <v>15491</v>
      </c>
      <c r="C15420" s="2" t="str">
        <f>"09143491"</f>
        <v>09143491</v>
      </c>
      <c r="D15420" s="2">
        <v>0.10100000000000001</v>
      </c>
      <c r="E15420" s="2">
        <v>2</v>
      </c>
      <c r="F15420" s="2" t="s">
        <v>131</v>
      </c>
    </row>
    <row r="15421" spans="1:6" ht="25.5">
      <c r="A15421" s="2">
        <v>15418</v>
      </c>
      <c r="B15421" s="2" t="s">
        <v>15492</v>
      </c>
      <c r="C15421" s="2" t="str">
        <f>"15374505"</f>
        <v>15374505</v>
      </c>
      <c r="D15421" s="2">
        <v>1.1499999999999999</v>
      </c>
      <c r="E15421" s="2">
        <v>65</v>
      </c>
      <c r="F15421" s="2" t="s">
        <v>6</v>
      </c>
    </row>
    <row r="15422" spans="1:6" ht="25.5">
      <c r="A15422" s="2">
        <v>15419</v>
      </c>
      <c r="B15422" s="2" t="s">
        <v>15493</v>
      </c>
      <c r="C15422" s="2" t="str">
        <f>"17529379"</f>
        <v>17529379</v>
      </c>
      <c r="D15422" s="2">
        <v>0.1</v>
      </c>
      <c r="E15422" s="2">
        <v>2</v>
      </c>
      <c r="F15422" s="2" t="s">
        <v>16</v>
      </c>
    </row>
    <row r="15423" spans="1:6" ht="25.5">
      <c r="A15423" s="2">
        <v>15420</v>
      </c>
      <c r="B15423" s="2" t="s">
        <v>15494</v>
      </c>
      <c r="C15423" s="2" t="str">
        <f>"0975444X"</f>
        <v>0975444X</v>
      </c>
      <c r="D15423" s="2">
        <v>0.10100000000000001</v>
      </c>
      <c r="E15423" s="2">
        <v>1</v>
      </c>
      <c r="F15423" s="2" t="s">
        <v>488</v>
      </c>
    </row>
    <row r="15424" spans="1:6" ht="25.5">
      <c r="A15424" s="2">
        <v>15421</v>
      </c>
      <c r="B15424" s="2" t="s">
        <v>15495</v>
      </c>
      <c r="C15424" s="2" t="str">
        <f>"03869687"</f>
        <v>03869687</v>
      </c>
      <c r="D15424" s="2">
        <v>0.1</v>
      </c>
      <c r="E15424" s="2">
        <v>3</v>
      </c>
      <c r="F15424" s="2" t="s">
        <v>131</v>
      </c>
    </row>
    <row r="15425" spans="1:6">
      <c r="A15425" s="2">
        <v>15422</v>
      </c>
      <c r="B15425" s="2" t="s">
        <v>15496</v>
      </c>
      <c r="C15425" s="2" t="str">
        <f>"0"</f>
        <v>0</v>
      </c>
      <c r="D15425" s="2">
        <v>0.129</v>
      </c>
      <c r="E15425" s="2">
        <v>3</v>
      </c>
      <c r="F15425" s="2" t="s">
        <v>19</v>
      </c>
    </row>
    <row r="15426" spans="1:6" ht="25.5">
      <c r="A15426" s="2">
        <v>15423</v>
      </c>
      <c r="B15426" s="2" t="s">
        <v>15497</v>
      </c>
      <c r="C15426" s="2" t="str">
        <f>"12107867"</f>
        <v>12107867</v>
      </c>
      <c r="D15426" s="2">
        <v>0.14000000000000001</v>
      </c>
      <c r="E15426" s="2">
        <v>5</v>
      </c>
      <c r="F15426" s="2" t="s">
        <v>208</v>
      </c>
    </row>
    <row r="15427" spans="1:6" ht="25.5">
      <c r="A15427" s="2">
        <v>15424</v>
      </c>
      <c r="B15427" s="2" t="s">
        <v>15498</v>
      </c>
      <c r="C15427" s="2" t="str">
        <f>"10844902"</f>
        <v>10844902</v>
      </c>
      <c r="D15427" s="2">
        <v>0.16300000000000001</v>
      </c>
      <c r="E15427" s="2">
        <v>4</v>
      </c>
      <c r="F15427" s="2" t="s">
        <v>6</v>
      </c>
    </row>
    <row r="15428" spans="1:6" ht="25.5">
      <c r="A15428" s="2">
        <v>15425</v>
      </c>
      <c r="B15428" s="2" t="s">
        <v>15499</v>
      </c>
      <c r="C15428" s="2" t="str">
        <f>"0030672X"</f>
        <v>0030672X</v>
      </c>
      <c r="D15428" s="2">
        <v>0.10100000000000001</v>
      </c>
      <c r="E15428" s="2">
        <v>2</v>
      </c>
      <c r="F15428" s="2" t="s">
        <v>75</v>
      </c>
    </row>
    <row r="15429" spans="1:6" ht="25.5">
      <c r="A15429" s="2">
        <v>15426</v>
      </c>
      <c r="B15429" s="2" t="s">
        <v>15500</v>
      </c>
      <c r="C15429" s="2" t="str">
        <f>"00307270"</f>
        <v>00307270</v>
      </c>
      <c r="D15429" s="2">
        <v>0.34100000000000003</v>
      </c>
      <c r="E15429" s="2">
        <v>19</v>
      </c>
      <c r="F15429" s="2" t="s">
        <v>16</v>
      </c>
    </row>
    <row r="15430" spans="1:6" ht="25.5">
      <c r="A15430" s="2">
        <v>15427</v>
      </c>
      <c r="B15430" s="2" t="s">
        <v>15501</v>
      </c>
      <c r="C15430" s="2" t="str">
        <f>"17431026"</f>
        <v>17431026</v>
      </c>
      <c r="D15430" s="2">
        <v>0.22700000000000001</v>
      </c>
      <c r="E15430" s="2">
        <v>19</v>
      </c>
      <c r="F15430" s="2" t="s">
        <v>16</v>
      </c>
    </row>
    <row r="15431" spans="1:6" ht="25.5">
      <c r="A15431" s="2">
        <v>15428</v>
      </c>
      <c r="B15431" s="2" t="s">
        <v>15502</v>
      </c>
      <c r="C15431" s="2" t="str">
        <f>"00307416"</f>
        <v>00307416</v>
      </c>
      <c r="D15431" s="2">
        <v>0.10199999999999999</v>
      </c>
      <c r="E15431" s="2">
        <v>1</v>
      </c>
      <c r="F15431" s="2" t="s">
        <v>127</v>
      </c>
    </row>
    <row r="15432" spans="1:6" ht="25.5">
      <c r="A15432" s="2">
        <v>15429</v>
      </c>
      <c r="B15432" s="2" t="s">
        <v>15503</v>
      </c>
      <c r="C15432" s="2" t="str">
        <f>"01426540"</f>
        <v>01426540</v>
      </c>
      <c r="D15432" s="2">
        <v>0.14499999999999999</v>
      </c>
      <c r="E15432" s="2">
        <v>4</v>
      </c>
      <c r="F15432" s="2" t="s">
        <v>16</v>
      </c>
    </row>
    <row r="15433" spans="1:6" ht="25.5">
      <c r="A15433" s="2">
        <v>15430</v>
      </c>
      <c r="B15433" s="2" t="s">
        <v>15504</v>
      </c>
      <c r="C15433" s="2" t="str">
        <f>"14680084"</f>
        <v>14680084</v>
      </c>
      <c r="D15433" s="2">
        <v>1.1539999999999999</v>
      </c>
      <c r="E15433" s="2">
        <v>40</v>
      </c>
      <c r="F15433" s="2" t="s">
        <v>16</v>
      </c>
    </row>
    <row r="15434" spans="1:6" ht="25.5">
      <c r="A15434" s="2">
        <v>15431</v>
      </c>
      <c r="B15434" s="2" t="s">
        <v>15505</v>
      </c>
      <c r="C15434" s="2" t="str">
        <f>"14699966"</f>
        <v>14699966</v>
      </c>
      <c r="D15434" s="2">
        <v>0.35599999999999998</v>
      </c>
      <c r="E15434" s="2">
        <v>22</v>
      </c>
      <c r="F15434" s="2" t="s">
        <v>16</v>
      </c>
    </row>
    <row r="15435" spans="1:6" ht="25.5">
      <c r="A15435" s="2">
        <v>15432</v>
      </c>
      <c r="B15435" s="2" t="s">
        <v>15506</v>
      </c>
      <c r="C15435" s="2" t="str">
        <f>"14643812"</f>
        <v>14643812</v>
      </c>
      <c r="D15435" s="2">
        <v>0.79300000000000004</v>
      </c>
      <c r="E15435" s="2">
        <v>38</v>
      </c>
      <c r="F15435" s="2" t="s">
        <v>16</v>
      </c>
    </row>
    <row r="15436" spans="1:6" ht="25.5">
      <c r="A15436" s="2">
        <v>15433</v>
      </c>
      <c r="B15436" s="2" t="s">
        <v>15507</v>
      </c>
      <c r="C15436" s="2" t="str">
        <f>"17459214"</f>
        <v>17459214</v>
      </c>
      <c r="D15436" s="2">
        <v>0.1</v>
      </c>
      <c r="E15436" s="2">
        <v>2</v>
      </c>
      <c r="F15436" s="2" t="s">
        <v>16</v>
      </c>
    </row>
    <row r="15437" spans="1:6" ht="25.5">
      <c r="A15437" s="2">
        <v>15434</v>
      </c>
      <c r="B15437" s="2" t="s">
        <v>15508</v>
      </c>
      <c r="C15437" s="2" t="str">
        <f>"14680092"</f>
        <v>14680092</v>
      </c>
      <c r="D15437" s="2">
        <v>0.55900000000000005</v>
      </c>
      <c r="E15437" s="2">
        <v>13</v>
      </c>
      <c r="F15437" s="2" t="s">
        <v>16</v>
      </c>
    </row>
    <row r="15438" spans="1:6" ht="25.5">
      <c r="A15438" s="2">
        <v>15435</v>
      </c>
      <c r="B15438" s="2" t="s">
        <v>15509</v>
      </c>
      <c r="C15438" s="2" t="str">
        <f>"01436503"</f>
        <v>01436503</v>
      </c>
      <c r="D15438" s="2">
        <v>0.45</v>
      </c>
      <c r="E15438" s="2">
        <v>8</v>
      </c>
      <c r="F15438" s="2" t="s">
        <v>16</v>
      </c>
    </row>
    <row r="15439" spans="1:6" ht="25.5">
      <c r="A15439" s="2">
        <v>15436</v>
      </c>
      <c r="B15439" s="2" t="s">
        <v>15510</v>
      </c>
      <c r="C15439" s="2" t="str">
        <f>"03051498"</f>
        <v>03051498</v>
      </c>
      <c r="D15439" s="2">
        <v>0.16700000000000001</v>
      </c>
      <c r="E15439" s="2">
        <v>3</v>
      </c>
      <c r="F15439" s="2" t="s">
        <v>16</v>
      </c>
    </row>
    <row r="15440" spans="1:6" ht="25.5">
      <c r="A15440" s="2">
        <v>15437</v>
      </c>
      <c r="B15440" s="2" t="s">
        <v>15511</v>
      </c>
      <c r="C15440" s="2" t="str">
        <f>"14602121"</f>
        <v>14602121</v>
      </c>
      <c r="D15440" s="2">
        <v>0.45700000000000002</v>
      </c>
      <c r="E15440" s="2">
        <v>40</v>
      </c>
      <c r="F15440" s="2" t="s">
        <v>16</v>
      </c>
    </row>
    <row r="15441" spans="1:6" ht="25.5">
      <c r="A15441" s="2">
        <v>15438</v>
      </c>
      <c r="B15441" s="2" t="s">
        <v>15512</v>
      </c>
      <c r="C15441" s="2" t="str">
        <f>"14653915"</f>
        <v>14653915</v>
      </c>
      <c r="D15441" s="2">
        <v>0.55800000000000005</v>
      </c>
      <c r="E15441" s="2">
        <v>26</v>
      </c>
      <c r="F15441" s="2" t="s">
        <v>16</v>
      </c>
    </row>
    <row r="15442" spans="1:6" ht="25.5">
      <c r="A15442" s="2">
        <v>15439</v>
      </c>
      <c r="B15442" s="2" t="s">
        <v>15513</v>
      </c>
      <c r="C15442" s="2" t="str">
        <f>"02094541"</f>
        <v>02094541</v>
      </c>
      <c r="D15442" s="2">
        <v>0.14000000000000001</v>
      </c>
      <c r="E15442" s="2">
        <v>14</v>
      </c>
      <c r="F15442" s="2" t="s">
        <v>293</v>
      </c>
    </row>
    <row r="15443" spans="1:6" ht="25.5">
      <c r="A15443" s="2">
        <v>15440</v>
      </c>
      <c r="B15443" s="2" t="s">
        <v>15514</v>
      </c>
      <c r="C15443" s="2" t="str">
        <f>"15734889"</f>
        <v>15734889</v>
      </c>
      <c r="D15443" s="2">
        <v>0.872</v>
      </c>
      <c r="E15443" s="2">
        <v>47</v>
      </c>
      <c r="F15443" s="2" t="s">
        <v>6</v>
      </c>
    </row>
    <row r="15444" spans="1:6" ht="25.5">
      <c r="A15444" s="2">
        <v>15441</v>
      </c>
      <c r="B15444" s="2" t="s">
        <v>15515</v>
      </c>
      <c r="C15444" s="2" t="str">
        <f>"19420994"</f>
        <v>19420994</v>
      </c>
      <c r="D15444" s="2">
        <v>0.76200000000000001</v>
      </c>
      <c r="E15444" s="2">
        <v>16</v>
      </c>
      <c r="F15444" s="2" t="s">
        <v>6</v>
      </c>
    </row>
    <row r="15445" spans="1:6" ht="25.5">
      <c r="A15445" s="2">
        <v>15442</v>
      </c>
      <c r="B15445" s="2" t="s">
        <v>15516</v>
      </c>
      <c r="C15445" s="2" t="str">
        <f>"09901310"</f>
        <v>09901310</v>
      </c>
      <c r="D15445" s="2">
        <v>0.11</v>
      </c>
      <c r="E15445" s="2">
        <v>1</v>
      </c>
      <c r="F15445" s="2" t="s">
        <v>190</v>
      </c>
    </row>
    <row r="15446" spans="1:6" ht="25.5">
      <c r="A15446" s="2">
        <v>15443</v>
      </c>
      <c r="B15446" s="2" t="s">
        <v>15517</v>
      </c>
      <c r="C15446" s="2" t="str">
        <f>"15476545"</f>
        <v>15476545</v>
      </c>
      <c r="D15446" s="2">
        <v>0.40699999999999997</v>
      </c>
      <c r="E15446" s="2">
        <v>30</v>
      </c>
      <c r="F15446" s="2" t="s">
        <v>16</v>
      </c>
    </row>
    <row r="15447" spans="1:6" ht="25.5">
      <c r="A15447" s="2">
        <v>15444</v>
      </c>
      <c r="B15447" s="2" t="s">
        <v>15518</v>
      </c>
      <c r="C15447" s="2" t="str">
        <f>"15408159"</f>
        <v>15408159</v>
      </c>
      <c r="D15447" s="2">
        <v>0.96599999999999997</v>
      </c>
      <c r="E15447" s="2">
        <v>69</v>
      </c>
      <c r="F15447" s="2" t="s">
        <v>16</v>
      </c>
    </row>
    <row r="15448" spans="1:6" ht="25.5">
      <c r="A15448" s="2">
        <v>15445</v>
      </c>
      <c r="B15448" s="2" t="s">
        <v>15519</v>
      </c>
      <c r="C15448" s="2" t="str">
        <f>"10262881"</f>
        <v>10262881</v>
      </c>
      <c r="D15448" s="2">
        <v>0.16400000000000001</v>
      </c>
      <c r="E15448" s="2">
        <v>4</v>
      </c>
      <c r="F15448" s="2" t="s">
        <v>31</v>
      </c>
    </row>
    <row r="15449" spans="1:6" ht="25.5">
      <c r="A15449" s="2">
        <v>15446</v>
      </c>
      <c r="B15449" s="2" t="s">
        <v>15520</v>
      </c>
      <c r="C15449" s="2" t="str">
        <f>"0030851X"</f>
        <v>0030851X</v>
      </c>
      <c r="D15449" s="2">
        <v>0.67100000000000004</v>
      </c>
      <c r="E15449" s="2">
        <v>12</v>
      </c>
      <c r="F15449" s="2" t="s">
        <v>64</v>
      </c>
    </row>
    <row r="15450" spans="1:6" ht="25.5">
      <c r="A15450" s="2">
        <v>15447</v>
      </c>
      <c r="B15450" s="2" t="s">
        <v>15521</v>
      </c>
      <c r="C15450" s="2" t="str">
        <f>"0927538X"</f>
        <v>0927538X</v>
      </c>
      <c r="D15450" s="2">
        <v>0.59899999999999998</v>
      </c>
      <c r="E15450" s="2">
        <v>26</v>
      </c>
      <c r="F15450" s="2" t="s">
        <v>75</v>
      </c>
    </row>
    <row r="15451" spans="1:6" ht="25.5">
      <c r="A15451" s="2">
        <v>15448</v>
      </c>
      <c r="B15451" s="2" t="s">
        <v>15522</v>
      </c>
      <c r="C15451" s="2" t="str">
        <f>"10382097"</f>
        <v>10382097</v>
      </c>
      <c r="D15451" s="2">
        <v>0.22900000000000001</v>
      </c>
      <c r="E15451" s="2">
        <v>26</v>
      </c>
      <c r="F15451" s="2" t="s">
        <v>127</v>
      </c>
    </row>
    <row r="15452" spans="1:6" ht="25.5">
      <c r="A15452" s="2">
        <v>15449</v>
      </c>
      <c r="B15452" s="2" t="s">
        <v>15523</v>
      </c>
      <c r="C15452" s="2" t="str">
        <f>"1361374X"</f>
        <v>1361374X</v>
      </c>
      <c r="D15452" s="2">
        <v>0.78500000000000003</v>
      </c>
      <c r="E15452" s="2">
        <v>16</v>
      </c>
      <c r="F15452" s="2" t="s">
        <v>16</v>
      </c>
    </row>
    <row r="15453" spans="1:6" ht="25.5">
      <c r="A15453" s="2">
        <v>15450</v>
      </c>
      <c r="B15453" s="2" t="s">
        <v>15524</v>
      </c>
      <c r="C15453" s="2" t="str">
        <f>"19765118"</f>
        <v>19765118</v>
      </c>
      <c r="D15453" s="2">
        <v>0.25600000000000001</v>
      </c>
      <c r="E15453" s="2">
        <v>4</v>
      </c>
      <c r="F15453" s="2" t="s">
        <v>274</v>
      </c>
    </row>
    <row r="15454" spans="1:6" ht="25.5">
      <c r="A15454" s="2">
        <v>15451</v>
      </c>
      <c r="B15454" s="2" t="s">
        <v>15525</v>
      </c>
      <c r="C15454" s="2" t="str">
        <f>"10157867"</f>
        <v>10157867</v>
      </c>
      <c r="D15454" s="2">
        <v>0.121</v>
      </c>
      <c r="E15454" s="2">
        <v>10</v>
      </c>
      <c r="F15454" s="2" t="s">
        <v>503</v>
      </c>
    </row>
    <row r="15455" spans="1:6" ht="25.5">
      <c r="A15455" s="2">
        <v>15452</v>
      </c>
      <c r="B15455" s="2" t="s">
        <v>15526</v>
      </c>
      <c r="C15455" s="2" t="str">
        <f>"00308684"</f>
        <v>00308684</v>
      </c>
      <c r="D15455" s="2">
        <v>0.20300000000000001</v>
      </c>
      <c r="E15455" s="2">
        <v>7</v>
      </c>
      <c r="F15455" s="2" t="s">
        <v>6</v>
      </c>
    </row>
    <row r="15456" spans="1:6" ht="25.5">
      <c r="A15456" s="2">
        <v>15453</v>
      </c>
      <c r="B15456" s="2" t="s">
        <v>15527</v>
      </c>
      <c r="C15456" s="2" t="str">
        <f>"10239499"</f>
        <v>10239499</v>
      </c>
      <c r="D15456" s="2">
        <v>0</v>
      </c>
      <c r="E15456" s="2">
        <v>2</v>
      </c>
      <c r="F15456" s="2" t="s">
        <v>503</v>
      </c>
    </row>
    <row r="15457" spans="1:6" ht="25.5">
      <c r="A15457" s="2">
        <v>15454</v>
      </c>
      <c r="B15457" s="2" t="s">
        <v>15528</v>
      </c>
      <c r="C15457" s="2" t="str">
        <f>"00308730"</f>
        <v>00308730</v>
      </c>
      <c r="D15457" s="2">
        <v>0.77700000000000002</v>
      </c>
      <c r="E15457" s="2">
        <v>29</v>
      </c>
      <c r="F15457" s="2" t="s">
        <v>6</v>
      </c>
    </row>
    <row r="15458" spans="1:6" ht="25.5">
      <c r="A15458" s="2">
        <v>15455</v>
      </c>
      <c r="B15458" s="2" t="s">
        <v>15529</v>
      </c>
      <c r="C15458" s="2" t="str">
        <f>"13498169"</f>
        <v>13498169</v>
      </c>
      <c r="D15458" s="2">
        <v>0.57799999999999996</v>
      </c>
      <c r="E15458" s="2">
        <v>7</v>
      </c>
      <c r="F15458" s="2" t="s">
        <v>131</v>
      </c>
    </row>
    <row r="15459" spans="1:6" ht="25.5">
      <c r="A15459" s="2">
        <v>15456</v>
      </c>
      <c r="B15459" s="2" t="s">
        <v>15530</v>
      </c>
      <c r="C15459" s="2" t="str">
        <f>"00308803"</f>
        <v>00308803</v>
      </c>
      <c r="D15459" s="2">
        <v>0.10100000000000001</v>
      </c>
      <c r="E15459" s="2">
        <v>2</v>
      </c>
      <c r="F15459" s="2" t="s">
        <v>6</v>
      </c>
    </row>
    <row r="15460" spans="1:6" ht="25.5">
      <c r="A15460" s="2">
        <v>15457</v>
      </c>
      <c r="B15460" s="2" t="s">
        <v>15531</v>
      </c>
      <c r="C15460" s="2" t="str">
        <f>"14680114"</f>
        <v>14680114</v>
      </c>
      <c r="D15460" s="2">
        <v>0.317</v>
      </c>
      <c r="E15460" s="2">
        <v>12</v>
      </c>
      <c r="F15460" s="2" t="s">
        <v>16</v>
      </c>
    </row>
    <row r="15461" spans="1:6" ht="25.5">
      <c r="A15461" s="2">
        <v>15458</v>
      </c>
      <c r="B15461" s="2" t="s">
        <v>15532</v>
      </c>
      <c r="C15461" s="2" t="str">
        <f>"14701332"</f>
        <v>14701332</v>
      </c>
      <c r="D15461" s="2">
        <v>0.83499999999999996</v>
      </c>
      <c r="E15461" s="2">
        <v>18</v>
      </c>
      <c r="F15461" s="2" t="s">
        <v>16</v>
      </c>
    </row>
    <row r="15462" spans="1:6" ht="25.5">
      <c r="A15462" s="2">
        <v>15459</v>
      </c>
      <c r="B15462" s="2" t="s">
        <v>15533</v>
      </c>
      <c r="C15462" s="2" t="str">
        <f>"14445921"</f>
        <v>14445921</v>
      </c>
      <c r="D15462" s="2">
        <v>0.216</v>
      </c>
      <c r="E15462" s="2">
        <v>2</v>
      </c>
      <c r="F15462" s="2" t="s">
        <v>127</v>
      </c>
    </row>
    <row r="15463" spans="1:6" ht="25.5">
      <c r="A15463" s="2">
        <v>15460</v>
      </c>
      <c r="B15463" s="2" t="s">
        <v>15534</v>
      </c>
      <c r="C15463" s="2" t="str">
        <f>"15346188"</f>
        <v>15346188</v>
      </c>
      <c r="D15463" s="2">
        <v>0.38900000000000001</v>
      </c>
      <c r="E15463" s="2">
        <v>23</v>
      </c>
      <c r="F15463" s="2" t="s">
        <v>6</v>
      </c>
    </row>
    <row r="15464" spans="1:6" ht="25.5">
      <c r="A15464" s="2">
        <v>15461</v>
      </c>
      <c r="B15464" s="2" t="s">
        <v>15535</v>
      </c>
      <c r="C15464" s="2" t="str">
        <f>"10991522"</f>
        <v>10991522</v>
      </c>
      <c r="D15464" s="2">
        <v>0.46300000000000002</v>
      </c>
      <c r="E15464" s="2">
        <v>24</v>
      </c>
      <c r="F15464" s="2" t="s">
        <v>16</v>
      </c>
    </row>
    <row r="15465" spans="1:6" ht="25.5">
      <c r="A15465" s="2">
        <v>15462</v>
      </c>
      <c r="B15465" s="2" t="s">
        <v>15536</v>
      </c>
      <c r="C15465" s="2" t="str">
        <f>"17465109"</f>
        <v>17465109</v>
      </c>
      <c r="D15465" s="2">
        <v>0</v>
      </c>
      <c r="E15465" s="2">
        <v>0</v>
      </c>
      <c r="F15465" s="2" t="s">
        <v>16</v>
      </c>
    </row>
    <row r="15466" spans="1:6" ht="25.5">
      <c r="A15466" s="2">
        <v>15463</v>
      </c>
      <c r="B15466" s="2" t="s">
        <v>15537</v>
      </c>
      <c r="C15466" s="2" t="str">
        <f>"16112504"</f>
        <v>16112504</v>
      </c>
      <c r="D15466" s="2">
        <v>0.626</v>
      </c>
      <c r="E15466" s="2">
        <v>10</v>
      </c>
      <c r="F15466" s="2" t="s">
        <v>12</v>
      </c>
    </row>
    <row r="15467" spans="1:6" ht="25.5">
      <c r="A15467" s="2">
        <v>15464</v>
      </c>
      <c r="B15467" s="2" t="s">
        <v>15538</v>
      </c>
      <c r="C15467" s="2" t="str">
        <f>"00309346"</f>
        <v>00309346</v>
      </c>
      <c r="D15467" s="2">
        <v>0.11</v>
      </c>
      <c r="E15467" s="2">
        <v>5</v>
      </c>
      <c r="F15467" s="2" t="s">
        <v>12</v>
      </c>
    </row>
    <row r="15468" spans="1:6" ht="25.5">
      <c r="A15468" s="2">
        <v>15465</v>
      </c>
      <c r="B15468" s="2" t="s">
        <v>15539</v>
      </c>
      <c r="C15468" s="2" t="str">
        <f>"00309230"</f>
        <v>00309230</v>
      </c>
      <c r="D15468" s="2">
        <v>0.23200000000000001</v>
      </c>
      <c r="E15468" s="2">
        <v>6</v>
      </c>
      <c r="F15468" s="2" t="s">
        <v>16</v>
      </c>
    </row>
    <row r="15469" spans="1:6" ht="25.5">
      <c r="A15469" s="2">
        <v>15466</v>
      </c>
      <c r="B15469" s="2" t="s">
        <v>15540</v>
      </c>
      <c r="C15469" s="2" t="str">
        <f>"13301403"</f>
        <v>13301403</v>
      </c>
      <c r="D15469" s="2">
        <v>0.121</v>
      </c>
      <c r="E15469" s="2">
        <v>5</v>
      </c>
      <c r="F15469" s="2" t="s">
        <v>149</v>
      </c>
    </row>
    <row r="15470" spans="1:6" ht="25.5">
      <c r="A15470" s="2">
        <v>15467</v>
      </c>
      <c r="B15470" s="2" t="s">
        <v>15541</v>
      </c>
      <c r="C15470" s="2" t="str">
        <f>"1330724X"</f>
        <v>1330724X</v>
      </c>
      <c r="D15470" s="2">
        <v>0.106</v>
      </c>
      <c r="E15470" s="2">
        <v>4</v>
      </c>
      <c r="F15470" s="2" t="s">
        <v>149</v>
      </c>
    </row>
    <row r="15471" spans="1:6" ht="25.5">
      <c r="A15471" s="2">
        <v>15468</v>
      </c>
      <c r="B15471" s="2" t="s">
        <v>15542</v>
      </c>
      <c r="C15471" s="2" t="str">
        <f>"14609592"</f>
        <v>14609592</v>
      </c>
      <c r="D15471" s="2">
        <v>0.99399999999999999</v>
      </c>
      <c r="E15471" s="2">
        <v>47</v>
      </c>
      <c r="F15471" s="2" t="s">
        <v>16</v>
      </c>
    </row>
    <row r="15472" spans="1:6" ht="25.5">
      <c r="A15472" s="2">
        <v>15469</v>
      </c>
      <c r="B15472" s="2" t="s">
        <v>15543</v>
      </c>
      <c r="C15472" s="2" t="str">
        <f>"13653016"</f>
        <v>13653016</v>
      </c>
      <c r="D15472" s="2">
        <v>1.0920000000000001</v>
      </c>
      <c r="E15472" s="2">
        <v>54</v>
      </c>
      <c r="F15472" s="2" t="s">
        <v>16</v>
      </c>
    </row>
    <row r="15473" spans="1:6" ht="25.5">
      <c r="A15473" s="2">
        <v>15470</v>
      </c>
      <c r="B15473" s="2" t="s">
        <v>15544</v>
      </c>
      <c r="C15473" s="2" t="str">
        <f>"11745878"</f>
        <v>11745878</v>
      </c>
      <c r="D15473" s="2">
        <v>0.53700000000000003</v>
      </c>
      <c r="E15473" s="2">
        <v>38</v>
      </c>
      <c r="F15473" s="2" t="s">
        <v>16</v>
      </c>
    </row>
    <row r="15474" spans="1:6" ht="25.5">
      <c r="A15474" s="2">
        <v>15471</v>
      </c>
      <c r="B15474" s="2" t="s">
        <v>15545</v>
      </c>
      <c r="C15474" s="2" t="str">
        <f>"15260550"</f>
        <v>15260550</v>
      </c>
      <c r="D15474" s="2">
        <v>0.98899999999999999</v>
      </c>
      <c r="E15474" s="2">
        <v>36</v>
      </c>
      <c r="F15474" s="2" t="s">
        <v>16</v>
      </c>
    </row>
    <row r="15475" spans="1:6" ht="25.5">
      <c r="A15475" s="2">
        <v>15472</v>
      </c>
      <c r="B15475" s="2" t="s">
        <v>15546</v>
      </c>
      <c r="C15475" s="2" t="str">
        <f>"12057088"</f>
        <v>12057088</v>
      </c>
      <c r="D15475" s="2">
        <v>0.214</v>
      </c>
      <c r="E15475" s="2">
        <v>15</v>
      </c>
      <c r="F15475" s="2" t="s">
        <v>64</v>
      </c>
    </row>
    <row r="15476" spans="1:6" ht="25.5">
      <c r="A15476" s="2">
        <v>15473</v>
      </c>
      <c r="B15476" s="2" t="s">
        <v>15547</v>
      </c>
      <c r="C15476" s="2" t="str">
        <f>"17517222"</f>
        <v>17517222</v>
      </c>
      <c r="D15476" s="2">
        <v>0</v>
      </c>
      <c r="E15476" s="2">
        <v>11</v>
      </c>
      <c r="F15476" s="2" t="s">
        <v>16</v>
      </c>
    </row>
    <row r="15477" spans="1:6" ht="25.5">
      <c r="A15477" s="2">
        <v>15474</v>
      </c>
      <c r="B15477" s="2" t="s">
        <v>15548</v>
      </c>
      <c r="C15477" s="2" t="str">
        <f>"19824327"</f>
        <v>19824327</v>
      </c>
      <c r="D15477" s="2">
        <v>0.153</v>
      </c>
      <c r="E15477" s="2">
        <v>1</v>
      </c>
      <c r="F15477" s="2" t="s">
        <v>159</v>
      </c>
    </row>
    <row r="15478" spans="1:6" ht="25.5">
      <c r="A15478" s="2">
        <v>15475</v>
      </c>
      <c r="B15478" s="2" t="s">
        <v>15549</v>
      </c>
      <c r="C15478" s="2" t="str">
        <f>"00905674"</f>
        <v>00905674</v>
      </c>
      <c r="D15478" s="2">
        <v>0.10100000000000001</v>
      </c>
      <c r="E15478" s="2">
        <v>2</v>
      </c>
      <c r="F15478" s="2" t="s">
        <v>6</v>
      </c>
    </row>
    <row r="15479" spans="1:6" ht="25.5">
      <c r="A15479" s="2">
        <v>15476</v>
      </c>
      <c r="B15479" s="2" t="s">
        <v>15550</v>
      </c>
      <c r="C15479" s="2" t="str">
        <f>"16748530"</f>
        <v>16748530</v>
      </c>
      <c r="D15479" s="2">
        <v>0.624</v>
      </c>
      <c r="E15479" s="2">
        <v>7</v>
      </c>
      <c r="F15479" s="2" t="s">
        <v>46</v>
      </c>
    </row>
    <row r="15480" spans="1:6" ht="25.5">
      <c r="A15480" s="2">
        <v>15477</v>
      </c>
      <c r="B15480" s="2" t="s">
        <v>15551</v>
      </c>
      <c r="C15480" s="2" t="str">
        <f>"03043959"</f>
        <v>03043959</v>
      </c>
      <c r="D15480" s="2">
        <v>2.4430000000000001</v>
      </c>
      <c r="E15480" s="2">
        <v>162</v>
      </c>
      <c r="F15480" s="2" t="s">
        <v>75</v>
      </c>
    </row>
    <row r="15481" spans="1:6" ht="25.5">
      <c r="A15481" s="2">
        <v>15478</v>
      </c>
      <c r="B15481" s="2" t="s">
        <v>15552</v>
      </c>
      <c r="C15481" s="2" t="str">
        <f>"15328635"</f>
        <v>15328635</v>
      </c>
      <c r="D15481" s="2">
        <v>0.51700000000000002</v>
      </c>
      <c r="E15481" s="2">
        <v>27</v>
      </c>
      <c r="F15481" s="2" t="s">
        <v>16</v>
      </c>
    </row>
    <row r="15482" spans="1:6" ht="25.5">
      <c r="A15482" s="2">
        <v>15479</v>
      </c>
      <c r="B15482" s="2" t="s">
        <v>15553</v>
      </c>
      <c r="C15482" s="2" t="str">
        <f>"15264637"</f>
        <v>15264637</v>
      </c>
      <c r="D15482" s="2">
        <v>0.77600000000000002</v>
      </c>
      <c r="E15482" s="2">
        <v>48</v>
      </c>
      <c r="F15482" s="2" t="s">
        <v>16</v>
      </c>
    </row>
    <row r="15483" spans="1:6" ht="25.5">
      <c r="A15483" s="2">
        <v>15480</v>
      </c>
      <c r="B15483" s="2" t="s">
        <v>15554</v>
      </c>
      <c r="C15483" s="2" t="str">
        <f>"15333159"</f>
        <v>15333159</v>
      </c>
      <c r="D15483" s="2">
        <v>1.393</v>
      </c>
      <c r="E15483" s="2">
        <v>64</v>
      </c>
      <c r="F15483" s="2" t="s">
        <v>6</v>
      </c>
    </row>
    <row r="15484" spans="1:6" ht="25.5">
      <c r="A15484" s="2">
        <v>15481</v>
      </c>
      <c r="B15484" s="2" t="s">
        <v>15555</v>
      </c>
      <c r="C15484" s="2" t="str">
        <f>"15332500"</f>
        <v>15332500</v>
      </c>
      <c r="D15484" s="2">
        <v>0.65200000000000002</v>
      </c>
      <c r="E15484" s="2">
        <v>25</v>
      </c>
      <c r="F15484" s="2" t="s">
        <v>16</v>
      </c>
    </row>
    <row r="15485" spans="1:6" ht="25.5">
      <c r="A15485" s="2">
        <v>15482</v>
      </c>
      <c r="B15485" s="2" t="s">
        <v>15556</v>
      </c>
      <c r="C15485" s="2" t="str">
        <f>"12036765"</f>
        <v>12036765</v>
      </c>
      <c r="D15485" s="2">
        <v>0.54700000000000004</v>
      </c>
      <c r="E15485" s="2">
        <v>30</v>
      </c>
      <c r="F15485" s="2" t="s">
        <v>64</v>
      </c>
    </row>
    <row r="15486" spans="1:6" ht="25.5">
      <c r="A15486" s="2">
        <v>15483</v>
      </c>
      <c r="B15486" s="2" t="s">
        <v>15557</v>
      </c>
      <c r="C15486" s="2" t="str">
        <f>"20901550"</f>
        <v>20901550</v>
      </c>
      <c r="D15486" s="2">
        <v>0.161</v>
      </c>
      <c r="E15486" s="2">
        <v>4</v>
      </c>
      <c r="F15486" s="2" t="s">
        <v>6</v>
      </c>
    </row>
    <row r="15487" spans="1:6" ht="25.5">
      <c r="A15487" s="2">
        <v>15484</v>
      </c>
      <c r="B15487" s="2" t="s">
        <v>15558</v>
      </c>
      <c r="C15487" s="2" t="str">
        <f>"08843848"</f>
        <v>08843848</v>
      </c>
      <c r="D15487" s="2">
        <v>0.1</v>
      </c>
      <c r="E15487" s="2">
        <v>4</v>
      </c>
      <c r="F15487" s="2" t="s">
        <v>6</v>
      </c>
    </row>
    <row r="15488" spans="1:6" ht="25.5">
      <c r="A15488" s="2">
        <v>15485</v>
      </c>
      <c r="B15488" s="2" t="s">
        <v>15559</v>
      </c>
      <c r="C15488" s="2" t="str">
        <f>"14760274"</f>
        <v>14760274</v>
      </c>
      <c r="D15488" s="2">
        <v>0.106</v>
      </c>
      <c r="E15488" s="2">
        <v>0</v>
      </c>
      <c r="F15488" s="2" t="s">
        <v>16</v>
      </c>
    </row>
    <row r="15489" spans="1:6" ht="25.5">
      <c r="A15489" s="2">
        <v>15486</v>
      </c>
      <c r="B15489" s="2" t="s">
        <v>15560</v>
      </c>
      <c r="C15489" s="2" t="str">
        <f>"15379477"</f>
        <v>15379477</v>
      </c>
      <c r="D15489" s="2">
        <v>0.1</v>
      </c>
      <c r="E15489" s="2">
        <v>4</v>
      </c>
      <c r="F15489" s="2" t="s">
        <v>6</v>
      </c>
    </row>
    <row r="15490" spans="1:6" ht="25.5">
      <c r="A15490" s="2">
        <v>15487</v>
      </c>
      <c r="B15490" s="2" t="s">
        <v>15561</v>
      </c>
      <c r="C15490" s="2" t="str">
        <f>"20760906"</f>
        <v>20760906</v>
      </c>
      <c r="D15490" s="2">
        <v>0.41599999999999998</v>
      </c>
      <c r="E15490" s="2">
        <v>3</v>
      </c>
      <c r="F15490" s="2" t="s">
        <v>43</v>
      </c>
    </row>
    <row r="15491" spans="1:6" ht="25.5">
      <c r="A15491" s="2">
        <v>15488</v>
      </c>
      <c r="B15491" s="2" t="s">
        <v>15562</v>
      </c>
      <c r="C15491" s="2" t="str">
        <f>"18125735"</f>
        <v>18125735</v>
      </c>
      <c r="D15491" s="2">
        <v>0.27800000000000002</v>
      </c>
      <c r="E15491" s="2">
        <v>16</v>
      </c>
      <c r="F15491" s="2" t="s">
        <v>43</v>
      </c>
    </row>
    <row r="15492" spans="1:6" ht="25.5">
      <c r="A15492" s="2">
        <v>15489</v>
      </c>
      <c r="B15492" s="2" t="s">
        <v>15563</v>
      </c>
      <c r="C15492" s="2" t="str">
        <f>"18121837"</f>
        <v>18121837</v>
      </c>
      <c r="D15492" s="2">
        <v>0.10100000000000001</v>
      </c>
      <c r="E15492" s="2">
        <v>1</v>
      </c>
      <c r="F15492" s="2" t="s">
        <v>43</v>
      </c>
    </row>
    <row r="15493" spans="1:6" ht="25.5">
      <c r="A15493" s="2">
        <v>15490</v>
      </c>
      <c r="B15493" s="2" t="s">
        <v>15564</v>
      </c>
      <c r="C15493" s="2" t="str">
        <f>"05563321"</f>
        <v>05563321</v>
      </c>
      <c r="D15493" s="2">
        <v>0.47599999999999998</v>
      </c>
      <c r="E15493" s="2">
        <v>19</v>
      </c>
      <c r="F15493" s="2" t="s">
        <v>43</v>
      </c>
    </row>
    <row r="15494" spans="1:6" ht="25.5">
      <c r="A15494" s="2">
        <v>15491</v>
      </c>
      <c r="B15494" s="2" t="s">
        <v>15565</v>
      </c>
      <c r="C15494" s="2" t="str">
        <f>"16804465"</f>
        <v>16804465</v>
      </c>
      <c r="D15494" s="2">
        <v>0.10100000000000001</v>
      </c>
      <c r="E15494" s="2">
        <v>1</v>
      </c>
      <c r="F15494" s="2" t="s">
        <v>43</v>
      </c>
    </row>
    <row r="15495" spans="1:6" ht="25.5">
      <c r="A15495" s="2">
        <v>15492</v>
      </c>
      <c r="B15495" s="2" t="s">
        <v>15566</v>
      </c>
      <c r="C15495" s="2" t="str">
        <f>"19967195"</f>
        <v>19967195</v>
      </c>
      <c r="D15495" s="2">
        <v>0.104</v>
      </c>
      <c r="E15495" s="2">
        <v>1</v>
      </c>
      <c r="F15495" s="2" t="s">
        <v>43</v>
      </c>
    </row>
    <row r="15496" spans="1:6" ht="25.5">
      <c r="A15496" s="2">
        <v>15493</v>
      </c>
      <c r="B15496" s="2" t="s">
        <v>15567</v>
      </c>
      <c r="C15496" s="2" t="str">
        <f>"1682024X"</f>
        <v>1682024X</v>
      </c>
      <c r="D15496" s="2">
        <v>0.14399999999999999</v>
      </c>
      <c r="E15496" s="2">
        <v>13</v>
      </c>
      <c r="F15496" s="2" t="s">
        <v>43</v>
      </c>
    </row>
    <row r="15497" spans="1:6" ht="25.5">
      <c r="A15497" s="2">
        <v>15494</v>
      </c>
      <c r="B15497" s="2" t="s">
        <v>15568</v>
      </c>
      <c r="C15497" s="2" t="str">
        <f>"16805194"</f>
        <v>16805194</v>
      </c>
      <c r="D15497" s="2">
        <v>0.34200000000000003</v>
      </c>
      <c r="E15497" s="2">
        <v>15</v>
      </c>
      <c r="F15497" s="2" t="s">
        <v>43</v>
      </c>
    </row>
    <row r="15498" spans="1:6" ht="25.5">
      <c r="A15498" s="2">
        <v>15495</v>
      </c>
      <c r="B15498" s="2" t="s">
        <v>15569</v>
      </c>
      <c r="C15498" s="2" t="str">
        <f>"1011601X"</f>
        <v>1011601X</v>
      </c>
      <c r="D15498" s="2">
        <v>0.41099999999999998</v>
      </c>
      <c r="E15498" s="2">
        <v>17</v>
      </c>
      <c r="F15498" s="2" t="s">
        <v>43</v>
      </c>
    </row>
    <row r="15499" spans="1:6" ht="25.5">
      <c r="A15499" s="2">
        <v>15496</v>
      </c>
      <c r="B15499" s="2" t="s">
        <v>15570</v>
      </c>
      <c r="C15499" s="2" t="str">
        <f>"00309885"</f>
        <v>00309885</v>
      </c>
      <c r="D15499" s="2">
        <v>0.108</v>
      </c>
      <c r="E15499" s="2">
        <v>10</v>
      </c>
      <c r="F15499" s="2" t="s">
        <v>43</v>
      </c>
    </row>
    <row r="15500" spans="1:6" ht="25.5">
      <c r="A15500" s="2">
        <v>15497</v>
      </c>
      <c r="B15500" s="2" t="s">
        <v>15571</v>
      </c>
      <c r="C15500" s="2" t="str">
        <f>"10129367"</f>
        <v>10129367</v>
      </c>
      <c r="D15500" s="2">
        <v>0.33600000000000002</v>
      </c>
      <c r="E15500" s="2">
        <v>5</v>
      </c>
      <c r="F15500" s="2" t="s">
        <v>43</v>
      </c>
    </row>
    <row r="15501" spans="1:6" ht="25.5">
      <c r="A15501" s="2">
        <v>15498</v>
      </c>
      <c r="B15501" s="2" t="s">
        <v>15572</v>
      </c>
      <c r="C15501" s="2" t="str">
        <f>"22205810"</f>
        <v>22205810</v>
      </c>
      <c r="D15501" s="2">
        <v>0.10100000000000001</v>
      </c>
      <c r="E15501" s="2">
        <v>1</v>
      </c>
      <c r="F15501" s="2" t="s">
        <v>43</v>
      </c>
    </row>
    <row r="15502" spans="1:6" ht="25.5">
      <c r="A15502" s="2">
        <v>15499</v>
      </c>
      <c r="B15502" s="2" t="s">
        <v>15573</v>
      </c>
      <c r="C15502" s="2" t="str">
        <f>"00309923"</f>
        <v>00309923</v>
      </c>
      <c r="D15502" s="2">
        <v>0.20200000000000001</v>
      </c>
      <c r="E15502" s="2">
        <v>7</v>
      </c>
      <c r="F15502" s="2" t="s">
        <v>43</v>
      </c>
    </row>
    <row r="15503" spans="1:6" ht="25.5">
      <c r="A15503" s="2">
        <v>15500</v>
      </c>
      <c r="B15503" s="2" t="s">
        <v>15574</v>
      </c>
      <c r="C15503" s="2" t="str">
        <f>"03044904"</f>
        <v>03044904</v>
      </c>
      <c r="D15503" s="2">
        <v>0.123</v>
      </c>
      <c r="E15503" s="2">
        <v>3</v>
      </c>
      <c r="F15503" s="2" t="s">
        <v>43</v>
      </c>
    </row>
    <row r="15504" spans="1:6" ht="25.5">
      <c r="A15504" s="2">
        <v>15501</v>
      </c>
      <c r="B15504" s="2" t="s">
        <v>15575</v>
      </c>
      <c r="C15504" s="2" t="str">
        <f>"02538318"</f>
        <v>02538318</v>
      </c>
      <c r="D15504" s="2">
        <v>0.41799999999999998</v>
      </c>
      <c r="E15504" s="2">
        <v>8</v>
      </c>
      <c r="F15504" s="2" t="s">
        <v>43</v>
      </c>
    </row>
    <row r="15505" spans="1:6" ht="25.5">
      <c r="A15505" s="2">
        <v>15502</v>
      </c>
      <c r="B15505" s="2" t="s">
        <v>15576</v>
      </c>
      <c r="C15505" s="2" t="str">
        <f>"01228285"</f>
        <v>01228285</v>
      </c>
      <c r="D15505" s="2">
        <v>0</v>
      </c>
      <c r="E15505" s="2">
        <v>0</v>
      </c>
      <c r="F15505" s="2" t="s">
        <v>184</v>
      </c>
    </row>
    <row r="15506" spans="1:6" ht="25.5">
      <c r="A15506" s="2">
        <v>15503</v>
      </c>
      <c r="B15506" s="2" t="s">
        <v>15577</v>
      </c>
      <c r="C15506" s="2" t="str">
        <f>"18671608"</f>
        <v>18671608</v>
      </c>
      <c r="D15506" s="2">
        <v>0.56699999999999995</v>
      </c>
      <c r="E15506" s="2">
        <v>19</v>
      </c>
      <c r="F15506" s="2" t="s">
        <v>12</v>
      </c>
    </row>
    <row r="15507" spans="1:6" ht="25.5">
      <c r="A15507" s="2">
        <v>15504</v>
      </c>
      <c r="B15507" s="2" t="s">
        <v>15578</v>
      </c>
      <c r="C15507" s="2" t="str">
        <f>"00310182"</f>
        <v>00310182</v>
      </c>
      <c r="D15507" s="2">
        <v>1.4330000000000001</v>
      </c>
      <c r="E15507" s="2">
        <v>86</v>
      </c>
      <c r="F15507" s="2" t="s">
        <v>75</v>
      </c>
    </row>
    <row r="15508" spans="1:6" ht="25.5">
      <c r="A15508" s="2">
        <v>15505</v>
      </c>
      <c r="B15508" s="2" t="s">
        <v>15579</v>
      </c>
      <c r="C15508" s="2" t="str">
        <f>"03750442"</f>
        <v>03750442</v>
      </c>
      <c r="D15508" s="2">
        <v>0.73399999999999999</v>
      </c>
      <c r="E15508" s="2">
        <v>17</v>
      </c>
      <c r="F15508" s="2" t="s">
        <v>12</v>
      </c>
    </row>
    <row r="15509" spans="1:6" ht="25.5">
      <c r="A15509" s="2">
        <v>15506</v>
      </c>
      <c r="B15509" s="2" t="s">
        <v>15580</v>
      </c>
      <c r="C15509" s="2" t="str">
        <f>"03750299"</f>
        <v>03750299</v>
      </c>
      <c r="D15509" s="2">
        <v>0.113</v>
      </c>
      <c r="E15509" s="2">
        <v>6</v>
      </c>
      <c r="F15509" s="2" t="s">
        <v>12</v>
      </c>
    </row>
    <row r="15510" spans="1:6" ht="25.5">
      <c r="A15510" s="2">
        <v>15507</v>
      </c>
      <c r="B15510" s="2" t="s">
        <v>15581</v>
      </c>
      <c r="C15510" s="2" t="str">
        <f>"10948074"</f>
        <v>10948074</v>
      </c>
      <c r="D15510" s="2">
        <v>0.40500000000000003</v>
      </c>
      <c r="E15510" s="2">
        <v>17</v>
      </c>
      <c r="F15510" s="2" t="s">
        <v>6</v>
      </c>
    </row>
    <row r="15511" spans="1:6" ht="25.5">
      <c r="A15511" s="2">
        <v>15508</v>
      </c>
      <c r="B15511" s="2" t="s">
        <v>15582</v>
      </c>
      <c r="C15511" s="2" t="str">
        <f>"00788562"</f>
        <v>00788562</v>
      </c>
      <c r="D15511" s="2">
        <v>0.44800000000000001</v>
      </c>
      <c r="E15511" s="2">
        <v>8</v>
      </c>
      <c r="F15511" s="2" t="s">
        <v>169</v>
      </c>
    </row>
    <row r="15512" spans="1:6" ht="25.5">
      <c r="A15512" s="2">
        <v>15509</v>
      </c>
      <c r="B15512" s="2" t="s">
        <v>15583</v>
      </c>
      <c r="C15512" s="2" t="str">
        <f>"14754983"</f>
        <v>14754983</v>
      </c>
      <c r="D15512" s="2">
        <v>0.75900000000000001</v>
      </c>
      <c r="E15512" s="2">
        <v>36</v>
      </c>
      <c r="F15512" s="2" t="s">
        <v>16</v>
      </c>
    </row>
    <row r="15513" spans="1:6" ht="25.5">
      <c r="A15513" s="2">
        <v>15510</v>
      </c>
      <c r="B15513" s="2" t="s">
        <v>15584</v>
      </c>
      <c r="C15513" s="2" t="str">
        <f>"1871174X"</f>
        <v>1871174X</v>
      </c>
      <c r="D15513" s="2">
        <v>0.48599999999999999</v>
      </c>
      <c r="E15513" s="2">
        <v>13</v>
      </c>
      <c r="F15513" s="2" t="s">
        <v>75</v>
      </c>
    </row>
    <row r="15514" spans="1:6" ht="25.5">
      <c r="A15514" s="2">
        <v>15511</v>
      </c>
      <c r="B15514" s="2" t="s">
        <v>15585</v>
      </c>
      <c r="C15514" s="2" t="str">
        <f>"08831351"</f>
        <v>08831351</v>
      </c>
      <c r="D15514" s="2">
        <v>1.02</v>
      </c>
      <c r="E15514" s="2">
        <v>51</v>
      </c>
      <c r="F15514" s="2" t="s">
        <v>6</v>
      </c>
    </row>
    <row r="15515" spans="1:6" ht="25.5">
      <c r="A15515" s="2">
        <v>15512</v>
      </c>
      <c r="B15515" s="2" t="s">
        <v>15586</v>
      </c>
      <c r="C15515" s="2" t="str">
        <f>"18676812"</f>
        <v>18676812</v>
      </c>
      <c r="D15515" s="2">
        <v>0.435</v>
      </c>
      <c r="E15515" s="2">
        <v>13</v>
      </c>
      <c r="F15515" s="2" t="s">
        <v>12</v>
      </c>
    </row>
    <row r="15516" spans="1:6" ht="25.5">
      <c r="A15516" s="2">
        <v>15513</v>
      </c>
      <c r="B15516" s="2" t="s">
        <v>15587</v>
      </c>
      <c r="C15516" s="2" t="str">
        <f>"15672158"</f>
        <v>15672158</v>
      </c>
      <c r="D15516" s="2">
        <v>0.16200000000000001</v>
      </c>
      <c r="E15516" s="2">
        <v>2</v>
      </c>
      <c r="F15516" s="2" t="s">
        <v>75</v>
      </c>
    </row>
    <row r="15517" spans="1:6" ht="25.5">
      <c r="A15517" s="2">
        <v>15514</v>
      </c>
      <c r="B15517" s="2" t="s">
        <v>15588</v>
      </c>
      <c r="C15517" s="2" t="str">
        <f>"00948373"</f>
        <v>00948373</v>
      </c>
      <c r="D15517" s="2">
        <v>1.496</v>
      </c>
      <c r="E15517" s="2">
        <v>58</v>
      </c>
      <c r="F15517" s="2" t="s">
        <v>6</v>
      </c>
    </row>
    <row r="15518" spans="1:6" ht="25.5">
      <c r="A15518" s="2">
        <v>15515</v>
      </c>
      <c r="B15518" s="2" t="s">
        <v>15589</v>
      </c>
      <c r="C15518" s="2" t="str">
        <f>"08838305"</f>
        <v>08838305</v>
      </c>
      <c r="D15518" s="2">
        <v>2.16</v>
      </c>
      <c r="E15518" s="2">
        <v>82</v>
      </c>
      <c r="F15518" s="2" t="s">
        <v>6</v>
      </c>
    </row>
    <row r="15519" spans="1:6" ht="25.5">
      <c r="A15519" s="2">
        <v>15516</v>
      </c>
      <c r="B15519" s="2" t="s">
        <v>15590</v>
      </c>
      <c r="C15519" s="2" t="str">
        <f>"00310301"</f>
        <v>00310301</v>
      </c>
      <c r="D15519" s="2">
        <v>0.28299999999999997</v>
      </c>
      <c r="E15519" s="2">
        <v>15</v>
      </c>
      <c r="F15519" s="2" t="s">
        <v>129</v>
      </c>
    </row>
    <row r="15520" spans="1:6" ht="25.5">
      <c r="A15520" s="2">
        <v>15517</v>
      </c>
      <c r="B15520" s="2" t="s">
        <v>15591</v>
      </c>
      <c r="C15520" s="2" t="str">
        <f>"13428144"</f>
        <v>13428144</v>
      </c>
      <c r="D15520" s="2">
        <v>0.32300000000000001</v>
      </c>
      <c r="E15520" s="2">
        <v>16</v>
      </c>
      <c r="F15520" s="2" t="s">
        <v>131</v>
      </c>
    </row>
    <row r="15521" spans="1:6" ht="25.5">
      <c r="A15521" s="2">
        <v>15518</v>
      </c>
      <c r="B15521" s="2" t="s">
        <v>15592</v>
      </c>
      <c r="C15521" s="2" t="str">
        <f>"17431301"</f>
        <v>17431301</v>
      </c>
      <c r="D15521" s="2">
        <v>0.33400000000000002</v>
      </c>
      <c r="E15521" s="2">
        <v>3</v>
      </c>
      <c r="F15521" s="2" t="s">
        <v>16</v>
      </c>
    </row>
    <row r="15522" spans="1:6" ht="25.5">
      <c r="A15522" s="2">
        <v>15519</v>
      </c>
      <c r="B15522" s="2" t="s">
        <v>15593</v>
      </c>
      <c r="C15522" s="2" t="str">
        <f>"14789523"</f>
        <v>14789523</v>
      </c>
      <c r="D15522" s="2">
        <v>0.64800000000000002</v>
      </c>
      <c r="E15522" s="2">
        <v>21</v>
      </c>
      <c r="F15522" s="2" t="s">
        <v>16</v>
      </c>
    </row>
    <row r="15523" spans="1:6" ht="25.5">
      <c r="A15523" s="2">
        <v>15520</v>
      </c>
      <c r="B15523" s="2" t="s">
        <v>15594</v>
      </c>
      <c r="C15523" s="2" t="str">
        <f>"1477030X"</f>
        <v>1477030X</v>
      </c>
      <c r="D15523" s="2">
        <v>1.516</v>
      </c>
      <c r="E15523" s="2">
        <v>61</v>
      </c>
      <c r="F15523" s="2" t="s">
        <v>16</v>
      </c>
    </row>
    <row r="15524" spans="1:6" ht="25.5">
      <c r="A15524" s="2">
        <v>15521</v>
      </c>
      <c r="B15524" s="2" t="s">
        <v>15595</v>
      </c>
      <c r="C15524" s="2" t="str">
        <f>"02533200"</f>
        <v>02533200</v>
      </c>
      <c r="D15524" s="2">
        <v>0.20799999999999999</v>
      </c>
      <c r="E15524" s="2">
        <v>5</v>
      </c>
      <c r="F15524" s="2" t="s">
        <v>274</v>
      </c>
    </row>
    <row r="15525" spans="1:6" ht="25.5">
      <c r="A15525" s="2">
        <v>15522</v>
      </c>
      <c r="B15525" s="2" t="s">
        <v>15596</v>
      </c>
      <c r="C15525" s="2" t="str">
        <f>"01916122"</f>
        <v>01916122</v>
      </c>
      <c r="D15525" s="2">
        <v>0.57399999999999995</v>
      </c>
      <c r="E15525" s="2">
        <v>8</v>
      </c>
      <c r="F15525" s="2" t="s">
        <v>6</v>
      </c>
    </row>
    <row r="15526" spans="1:6" ht="25.5">
      <c r="A15526" s="2">
        <v>15523</v>
      </c>
      <c r="B15526" s="2" t="s">
        <v>15597</v>
      </c>
      <c r="C15526" s="2" t="str">
        <f>"00310506"</f>
        <v>00310506</v>
      </c>
      <c r="D15526" s="2">
        <v>0.47299999999999998</v>
      </c>
      <c r="E15526" s="2">
        <v>2</v>
      </c>
      <c r="F15526" s="2" t="s">
        <v>208</v>
      </c>
    </row>
    <row r="15527" spans="1:6" ht="25.5">
      <c r="A15527" s="2">
        <v>15524</v>
      </c>
      <c r="B15527" s="2" t="s">
        <v>15598</v>
      </c>
      <c r="C15527" s="2" t="str">
        <f>"00310514"</f>
        <v>00310514</v>
      </c>
      <c r="D15527" s="2">
        <v>0.1</v>
      </c>
      <c r="E15527" s="2">
        <v>1</v>
      </c>
      <c r="F15527" s="2" t="s">
        <v>169</v>
      </c>
    </row>
    <row r="15528" spans="1:6" ht="25.5">
      <c r="A15528" s="2">
        <v>15525</v>
      </c>
      <c r="B15528" s="2" t="s">
        <v>15599</v>
      </c>
      <c r="C15528" s="2" t="str">
        <f>"15371964"</f>
        <v>15371964</v>
      </c>
      <c r="D15528" s="2">
        <v>0</v>
      </c>
      <c r="E15528" s="2">
        <v>0</v>
      </c>
      <c r="F15528" s="2" t="s">
        <v>351</v>
      </c>
    </row>
    <row r="15529" spans="1:6" ht="25.5">
      <c r="A15529" s="2">
        <v>15526</v>
      </c>
      <c r="B15529" s="2" t="s">
        <v>15600</v>
      </c>
      <c r="C15529" s="2" t="str">
        <f>"18099009"</f>
        <v>18099009</v>
      </c>
      <c r="D15529" s="2">
        <v>0.26500000000000001</v>
      </c>
      <c r="E15529" s="2">
        <v>6</v>
      </c>
      <c r="F15529" s="2" t="s">
        <v>159</v>
      </c>
    </row>
    <row r="15530" spans="1:6" ht="25.5">
      <c r="A15530" s="2">
        <v>15527</v>
      </c>
      <c r="B15530" s="2" t="s">
        <v>15601</v>
      </c>
      <c r="C15530" s="2" t="str">
        <f>"10649735"</f>
        <v>10649735</v>
      </c>
      <c r="D15530" s="2">
        <v>0.25</v>
      </c>
      <c r="E15530" s="2">
        <v>5</v>
      </c>
      <c r="F15530" s="2" t="s">
        <v>6</v>
      </c>
    </row>
    <row r="15531" spans="1:6" ht="25.5">
      <c r="A15531" s="2">
        <v>15528</v>
      </c>
      <c r="B15531" s="2" t="s">
        <v>15602</v>
      </c>
      <c r="C15531" s="2" t="str">
        <f>"13196995"</f>
        <v>13196995</v>
      </c>
      <c r="D15531" s="2">
        <v>0.10100000000000001</v>
      </c>
      <c r="E15531" s="2">
        <v>2</v>
      </c>
      <c r="F15531" s="2" t="s">
        <v>7417</v>
      </c>
    </row>
    <row r="15532" spans="1:6" ht="25.5">
      <c r="A15532" s="2">
        <v>15529</v>
      </c>
      <c r="B15532" s="2" t="s">
        <v>15603</v>
      </c>
      <c r="C15532" s="2" t="str">
        <f>"08853177"</f>
        <v>08853177</v>
      </c>
      <c r="D15532" s="2">
        <v>1.02</v>
      </c>
      <c r="E15532" s="2">
        <v>63</v>
      </c>
      <c r="F15532" s="2" t="s">
        <v>6</v>
      </c>
    </row>
    <row r="15533" spans="1:6" ht="25.5">
      <c r="A15533" s="2">
        <v>15530</v>
      </c>
      <c r="B15533" s="2" t="s">
        <v>15604</v>
      </c>
      <c r="C15533" s="2" t="str">
        <f>"14243911"</f>
        <v>14243911</v>
      </c>
      <c r="D15533" s="2">
        <v>0.876</v>
      </c>
      <c r="E15533" s="2">
        <v>44</v>
      </c>
      <c r="F15533" s="2" t="s">
        <v>31</v>
      </c>
    </row>
    <row r="15534" spans="1:6" ht="25.5">
      <c r="A15534" s="2">
        <v>15531</v>
      </c>
      <c r="B15534" s="2" t="s">
        <v>15605</v>
      </c>
      <c r="C15534" s="2" t="str">
        <f>"10521372"</f>
        <v>10521372</v>
      </c>
      <c r="D15534" s="2">
        <v>0.16</v>
      </c>
      <c r="E15534" s="2">
        <v>13</v>
      </c>
      <c r="F15534" s="2" t="s">
        <v>6</v>
      </c>
    </row>
    <row r="15535" spans="1:6" ht="25.5">
      <c r="A15535" s="2">
        <v>15532</v>
      </c>
      <c r="B15535" s="2" t="s">
        <v>15606</v>
      </c>
      <c r="C15535" s="2" t="str">
        <f>"00310808"</f>
        <v>00310808</v>
      </c>
      <c r="D15535" s="2">
        <v>0.251</v>
      </c>
      <c r="E15535" s="2">
        <v>22</v>
      </c>
      <c r="F15535" s="2" t="s">
        <v>190</v>
      </c>
    </row>
    <row r="15536" spans="1:6" ht="25.5">
      <c r="A15536" s="2">
        <v>15533</v>
      </c>
      <c r="B15536" s="2" t="s">
        <v>15607</v>
      </c>
      <c r="C15536" s="2" t="str">
        <f>"1452595X"</f>
        <v>1452595X</v>
      </c>
      <c r="D15536" s="2">
        <v>0.23</v>
      </c>
      <c r="E15536" s="2">
        <v>5</v>
      </c>
      <c r="F15536" s="2" t="s">
        <v>212</v>
      </c>
    </row>
    <row r="15537" spans="1:6" ht="25.5">
      <c r="A15537" s="2">
        <v>15534</v>
      </c>
      <c r="B15537" s="2" t="s">
        <v>15608</v>
      </c>
      <c r="C15537" s="2" t="str">
        <f>"00310603"</f>
        <v>00310603</v>
      </c>
      <c r="D15537" s="2">
        <v>0.16900000000000001</v>
      </c>
      <c r="E15537" s="2">
        <v>12</v>
      </c>
      <c r="F15537" s="2" t="s">
        <v>6</v>
      </c>
    </row>
    <row r="15538" spans="1:6" ht="25.5">
      <c r="A15538" s="2">
        <v>15535</v>
      </c>
      <c r="B15538" s="2" t="s">
        <v>15609</v>
      </c>
      <c r="C15538" s="2" t="str">
        <f>"18070205"</f>
        <v>18070205</v>
      </c>
      <c r="D15538" s="2">
        <v>0.91100000000000003</v>
      </c>
      <c r="E15538" s="2">
        <v>11</v>
      </c>
      <c r="F15538" s="2" t="s">
        <v>159</v>
      </c>
    </row>
    <row r="15539" spans="1:6" ht="25.5">
      <c r="A15539" s="2">
        <v>15536</v>
      </c>
      <c r="B15539" s="2" t="s">
        <v>15610</v>
      </c>
      <c r="C15539" s="2" t="str">
        <f>"02147823"</f>
        <v>02147823</v>
      </c>
      <c r="D15539" s="2">
        <v>0.21099999999999999</v>
      </c>
      <c r="E15539" s="2">
        <v>8</v>
      </c>
      <c r="F15539" s="2" t="s">
        <v>351</v>
      </c>
    </row>
    <row r="15540" spans="1:6" ht="25.5">
      <c r="A15540" s="2">
        <v>15537</v>
      </c>
      <c r="B15540" s="2" t="s">
        <v>15611</v>
      </c>
      <c r="C15540" s="2" t="str">
        <f>"14057425"</f>
        <v>14057425</v>
      </c>
      <c r="D15540" s="2">
        <v>0.128</v>
      </c>
      <c r="E15540" s="2">
        <v>2</v>
      </c>
      <c r="F15540" s="2" t="s">
        <v>200</v>
      </c>
    </row>
    <row r="15541" spans="1:6" ht="25.5">
      <c r="A15541" s="2">
        <v>15538</v>
      </c>
      <c r="B15541" s="2" t="s">
        <v>15612</v>
      </c>
      <c r="C15541" s="2" t="str">
        <f>"0031126X"</f>
        <v>0031126X</v>
      </c>
      <c r="D15541" s="2">
        <v>0.50800000000000001</v>
      </c>
      <c r="E15541" s="2">
        <v>11</v>
      </c>
      <c r="F15541" s="2" t="s">
        <v>131</v>
      </c>
    </row>
    <row r="15542" spans="1:6" ht="25.5">
      <c r="A15542" s="2">
        <v>15539</v>
      </c>
      <c r="B15542" s="2" t="s">
        <v>15613</v>
      </c>
      <c r="C15542" s="2" t="str">
        <f>"14355957"</f>
        <v>14355957</v>
      </c>
      <c r="D15542" s="2">
        <v>1.3149999999999999</v>
      </c>
      <c r="E15542" s="2">
        <v>29</v>
      </c>
      <c r="F15542" s="2" t="s">
        <v>16</v>
      </c>
    </row>
    <row r="15543" spans="1:6" ht="25.5">
      <c r="A15543" s="2">
        <v>15540</v>
      </c>
      <c r="B15543" s="2" t="s">
        <v>15614</v>
      </c>
      <c r="C15543" s="2" t="str">
        <f>"0006128X"</f>
        <v>0006128X</v>
      </c>
      <c r="D15543" s="2">
        <v>0.1</v>
      </c>
      <c r="E15543" s="2">
        <v>2</v>
      </c>
      <c r="F15543" s="2" t="s">
        <v>6</v>
      </c>
    </row>
    <row r="15544" spans="1:6" ht="25.5">
      <c r="A15544" s="2">
        <v>15541</v>
      </c>
      <c r="B15544" s="2" t="s">
        <v>15615</v>
      </c>
      <c r="C15544" s="2" t="str">
        <f>"00682462"</f>
        <v>00682462</v>
      </c>
      <c r="D15544" s="2">
        <v>0.158</v>
      </c>
      <c r="E15544" s="2">
        <v>4</v>
      </c>
      <c r="F15544" s="2" t="s">
        <v>16</v>
      </c>
    </row>
    <row r="15545" spans="1:6" ht="25.5">
      <c r="A15545" s="2">
        <v>15542</v>
      </c>
      <c r="B15545" s="2" t="s">
        <v>15616</v>
      </c>
      <c r="C15545" s="2" t="str">
        <f>"03430758"</f>
        <v>03430758</v>
      </c>
      <c r="D15545" s="2">
        <v>0.1</v>
      </c>
      <c r="E15545" s="2">
        <v>2</v>
      </c>
      <c r="F15545" s="2" t="s">
        <v>12</v>
      </c>
    </row>
    <row r="15546" spans="1:6" ht="25.5">
      <c r="A15546" s="2">
        <v>15543</v>
      </c>
      <c r="B15546" s="2" t="s">
        <v>15617</v>
      </c>
      <c r="C15546" s="2" t="str">
        <f>"00311294"</f>
        <v>00311294</v>
      </c>
      <c r="D15546" s="2">
        <v>0.1</v>
      </c>
      <c r="E15546" s="2">
        <v>3</v>
      </c>
      <c r="F15546" s="2" t="s">
        <v>6</v>
      </c>
    </row>
    <row r="15547" spans="1:6" ht="25.5">
      <c r="A15547" s="2">
        <v>15544</v>
      </c>
      <c r="B15547" s="2" t="s">
        <v>15618</v>
      </c>
      <c r="C15547" s="2" t="str">
        <f>"02102862"</f>
        <v>02102862</v>
      </c>
      <c r="D15547" s="2">
        <v>0.10100000000000001</v>
      </c>
      <c r="E15547" s="2">
        <v>2</v>
      </c>
      <c r="F15547" s="2" t="s">
        <v>351</v>
      </c>
    </row>
    <row r="15548" spans="1:6" ht="25.5">
      <c r="A15548" s="2">
        <v>15545</v>
      </c>
      <c r="B15548" s="2" t="s">
        <v>15619</v>
      </c>
      <c r="C15548" s="2" t="str">
        <f>"03621596"</f>
        <v>03621596</v>
      </c>
      <c r="D15548" s="2">
        <v>0.1</v>
      </c>
      <c r="E15548" s="2">
        <v>1</v>
      </c>
      <c r="F15548" s="2" t="s">
        <v>6</v>
      </c>
    </row>
    <row r="15549" spans="1:6" ht="25.5">
      <c r="A15549" s="2">
        <v>15546</v>
      </c>
      <c r="B15549" s="2" t="s">
        <v>15620</v>
      </c>
      <c r="C15549" s="2" t="str">
        <f>"17500176"</f>
        <v>17500176</v>
      </c>
      <c r="D15549" s="2">
        <v>0.17699999999999999</v>
      </c>
      <c r="E15549" s="2">
        <v>5</v>
      </c>
      <c r="F15549" s="2" t="s">
        <v>16</v>
      </c>
    </row>
    <row r="15550" spans="1:6" ht="25.5">
      <c r="A15550" s="2">
        <v>15547</v>
      </c>
      <c r="B15550" s="2" t="s">
        <v>15621</v>
      </c>
      <c r="C15550" s="2" t="str">
        <f>"1460700X"</f>
        <v>1460700X</v>
      </c>
      <c r="D15550" s="2">
        <v>0.17100000000000001</v>
      </c>
      <c r="E15550" s="2">
        <v>8</v>
      </c>
      <c r="F15550" s="2" t="s">
        <v>16</v>
      </c>
    </row>
    <row r="15551" spans="1:6" ht="25.5">
      <c r="A15551" s="2">
        <v>15548</v>
      </c>
      <c r="B15551" s="2" t="s">
        <v>15622</v>
      </c>
      <c r="C15551" s="2" t="str">
        <f>"0"</f>
        <v>0</v>
      </c>
      <c r="D15551" s="2">
        <v>0.14399999999999999</v>
      </c>
      <c r="E15551" s="2">
        <v>13</v>
      </c>
      <c r="F15551" s="2" t="s">
        <v>6</v>
      </c>
    </row>
    <row r="15552" spans="1:6" ht="25.5">
      <c r="A15552" s="2">
        <v>15549</v>
      </c>
      <c r="B15552" s="2" t="s">
        <v>15623</v>
      </c>
      <c r="C15552" s="2" t="str">
        <f>"1089795X"</f>
        <v>1089795X</v>
      </c>
      <c r="D15552" s="2">
        <v>0.88800000000000001</v>
      </c>
      <c r="E15552" s="2">
        <v>28</v>
      </c>
      <c r="F15552" s="2" t="s">
        <v>6</v>
      </c>
    </row>
    <row r="15553" spans="1:6" ht="25.5">
      <c r="A15553" s="2">
        <v>15550</v>
      </c>
      <c r="B15553" s="2" t="s">
        <v>15624</v>
      </c>
      <c r="C15553" s="2" t="str">
        <f>"01678191"</f>
        <v>01678191</v>
      </c>
      <c r="D15553" s="2">
        <v>0.755</v>
      </c>
      <c r="E15553" s="2">
        <v>41</v>
      </c>
      <c r="F15553" s="2" t="s">
        <v>75</v>
      </c>
    </row>
    <row r="15554" spans="1:6" ht="25.5">
      <c r="A15554" s="2">
        <v>15551</v>
      </c>
      <c r="B15554" s="2" t="s">
        <v>15625</v>
      </c>
      <c r="C15554" s="2" t="str">
        <f>"01296264"</f>
        <v>01296264</v>
      </c>
      <c r="D15554" s="2">
        <v>0.38600000000000001</v>
      </c>
      <c r="E15554" s="2">
        <v>20</v>
      </c>
      <c r="F15554" s="2" t="s">
        <v>543</v>
      </c>
    </row>
    <row r="15555" spans="1:6" ht="25.5">
      <c r="A15555" s="2">
        <v>15552</v>
      </c>
      <c r="B15555" s="2" t="s">
        <v>15626</v>
      </c>
      <c r="C15555" s="2" t="str">
        <f>"1252607X"</f>
        <v>1252607X</v>
      </c>
      <c r="D15555" s="2">
        <v>0.39500000000000002</v>
      </c>
      <c r="E15555" s="2">
        <v>25</v>
      </c>
      <c r="F15555" s="2" t="s">
        <v>66</v>
      </c>
    </row>
    <row r="15556" spans="1:6" ht="25.5">
      <c r="A15556" s="2">
        <v>15553</v>
      </c>
      <c r="B15556" s="2" t="s">
        <v>15627</v>
      </c>
      <c r="C15556" s="2" t="str">
        <f>"13653024"</f>
        <v>13653024</v>
      </c>
      <c r="D15556" s="2">
        <v>0.80400000000000005</v>
      </c>
      <c r="E15556" s="2">
        <v>51</v>
      </c>
      <c r="F15556" s="2" t="s">
        <v>16</v>
      </c>
    </row>
    <row r="15557" spans="1:6" ht="25.5">
      <c r="A15557" s="2">
        <v>15554</v>
      </c>
      <c r="B15557" s="2" t="s">
        <v>15628</v>
      </c>
      <c r="C15557" s="2" t="str">
        <f>"17563305"</f>
        <v>17563305</v>
      </c>
      <c r="D15557" s="2">
        <v>1.0209999999999999</v>
      </c>
      <c r="E15557" s="2">
        <v>20</v>
      </c>
      <c r="F15557" s="2" t="s">
        <v>16</v>
      </c>
    </row>
    <row r="15558" spans="1:6" ht="25.5">
      <c r="A15558" s="2">
        <v>15555</v>
      </c>
      <c r="B15558" s="2" t="s">
        <v>15629</v>
      </c>
      <c r="C15558" s="2" t="str">
        <f>"14698161"</f>
        <v>14698161</v>
      </c>
      <c r="D15558" s="2">
        <v>0.84599999999999997</v>
      </c>
      <c r="E15558" s="2">
        <v>75</v>
      </c>
      <c r="F15558" s="2" t="s">
        <v>16</v>
      </c>
    </row>
    <row r="15559" spans="1:6" ht="25.5">
      <c r="A15559" s="2">
        <v>15556</v>
      </c>
      <c r="B15559" s="2" t="s">
        <v>15630</v>
      </c>
      <c r="C15559" s="2" t="str">
        <f>"13835769"</f>
        <v>13835769</v>
      </c>
      <c r="D15559" s="2">
        <v>0.83599999999999997</v>
      </c>
      <c r="E15559" s="2">
        <v>35</v>
      </c>
      <c r="F15559" s="2" t="s">
        <v>732</v>
      </c>
    </row>
    <row r="15560" spans="1:6" ht="25.5">
      <c r="A15560" s="2">
        <v>15557</v>
      </c>
      <c r="B15560" s="2" t="s">
        <v>15631</v>
      </c>
      <c r="C15560" s="2" t="str">
        <f>"14321955"</f>
        <v>14321955</v>
      </c>
      <c r="D15560" s="2">
        <v>0.99199999999999999</v>
      </c>
      <c r="E15560" s="2">
        <v>52</v>
      </c>
      <c r="F15560" s="2" t="s">
        <v>12</v>
      </c>
    </row>
    <row r="15561" spans="1:6" ht="25.5">
      <c r="A15561" s="2">
        <v>15558</v>
      </c>
      <c r="B15561" s="2" t="s">
        <v>15632</v>
      </c>
      <c r="C15561" s="2" t="str">
        <f>"00311847"</f>
        <v>00311847</v>
      </c>
      <c r="D15561" s="2">
        <v>0.111</v>
      </c>
      <c r="E15561" s="2">
        <v>8</v>
      </c>
      <c r="F15561" s="2" t="s">
        <v>129</v>
      </c>
    </row>
    <row r="15562" spans="1:6" ht="25.5">
      <c r="A15562" s="2">
        <v>15559</v>
      </c>
      <c r="B15562" s="2" t="s">
        <v>15633</v>
      </c>
      <c r="C15562" s="2" t="str">
        <f>"15327922"</f>
        <v>15327922</v>
      </c>
      <c r="D15562" s="2">
        <v>0.77600000000000002</v>
      </c>
      <c r="E15562" s="2">
        <v>10</v>
      </c>
      <c r="F15562" s="2" t="s">
        <v>16</v>
      </c>
    </row>
    <row r="15563" spans="1:6" ht="25.5">
      <c r="A15563" s="2">
        <v>15560</v>
      </c>
      <c r="B15563" s="2" t="s">
        <v>15634</v>
      </c>
      <c r="C15563" s="2" t="str">
        <f>"03136221"</f>
        <v>03136221</v>
      </c>
      <c r="D15563" s="2">
        <v>0.10100000000000001</v>
      </c>
      <c r="E15563" s="2">
        <v>3</v>
      </c>
      <c r="F15563" s="2" t="s">
        <v>127</v>
      </c>
    </row>
    <row r="15564" spans="1:6">
      <c r="A15564" s="2">
        <v>15561</v>
      </c>
      <c r="B15564" s="2" t="s">
        <v>15635</v>
      </c>
      <c r="C15564" s="2" t="str">
        <f>"0"</f>
        <v>0</v>
      </c>
      <c r="D15564" s="2">
        <v>0.104</v>
      </c>
      <c r="E15564" s="2">
        <v>1</v>
      </c>
      <c r="F15564" s="2" t="s">
        <v>6</v>
      </c>
    </row>
    <row r="15565" spans="1:6" ht="25.5">
      <c r="A15565" s="2">
        <v>15562</v>
      </c>
      <c r="B15565" s="2" t="s">
        <v>15636</v>
      </c>
      <c r="C15565" s="2" t="str">
        <f>"00312037"</f>
        <v>00312037</v>
      </c>
      <c r="D15565" s="2">
        <v>0.10100000000000001</v>
      </c>
      <c r="E15565" s="2">
        <v>1</v>
      </c>
      <c r="F15565" s="2" t="s">
        <v>66</v>
      </c>
    </row>
    <row r="15566" spans="1:6" ht="25.5">
      <c r="A15566" s="2">
        <v>15563</v>
      </c>
      <c r="B15566" s="2" t="s">
        <v>15637</v>
      </c>
      <c r="C15566" s="2" t="str">
        <f>"13538020"</f>
        <v>13538020</v>
      </c>
      <c r="D15566" s="2">
        <v>1.198</v>
      </c>
      <c r="E15566" s="2">
        <v>47</v>
      </c>
      <c r="F15566" s="2" t="s">
        <v>75</v>
      </c>
    </row>
    <row r="15567" spans="1:6" ht="25.5">
      <c r="A15567" s="2">
        <v>15564</v>
      </c>
      <c r="B15567" s="2" t="s">
        <v>15638</v>
      </c>
      <c r="C15567" s="2" t="str">
        <f>"10909966"</f>
        <v>10909966</v>
      </c>
      <c r="D15567" s="2">
        <v>0.127</v>
      </c>
      <c r="E15567" s="2">
        <v>5</v>
      </c>
      <c r="F15567" s="2" t="s">
        <v>6</v>
      </c>
    </row>
    <row r="15568" spans="1:6" ht="25.5">
      <c r="A15568" s="2">
        <v>15565</v>
      </c>
      <c r="B15568" s="2" t="s">
        <v>15639</v>
      </c>
      <c r="C15568" s="2" t="str">
        <f>"17686520"</f>
        <v>17686520</v>
      </c>
      <c r="D15568" s="2">
        <v>0.10199999999999999</v>
      </c>
      <c r="E15568" s="2">
        <v>0</v>
      </c>
      <c r="F15568" s="2" t="s">
        <v>66</v>
      </c>
    </row>
    <row r="15569" spans="1:6" ht="25.5">
      <c r="A15569" s="2">
        <v>15566</v>
      </c>
      <c r="B15569" s="2" t="s">
        <v>15640</v>
      </c>
      <c r="C15569" s="2" t="str">
        <f>"14602482"</f>
        <v>14602482</v>
      </c>
      <c r="D15569" s="2">
        <v>0.85799999999999998</v>
      </c>
      <c r="E15569" s="2">
        <v>16</v>
      </c>
      <c r="F15569" s="2" t="s">
        <v>16</v>
      </c>
    </row>
    <row r="15570" spans="1:6" ht="25.5">
      <c r="A15570" s="2">
        <v>15567</v>
      </c>
      <c r="B15570" s="2" t="s">
        <v>15641</v>
      </c>
      <c r="C15570" s="2" t="str">
        <f>"02642824"</f>
        <v>02642824</v>
      </c>
      <c r="D15570" s="2">
        <v>0.122</v>
      </c>
      <c r="E15570" s="2">
        <v>2</v>
      </c>
      <c r="F15570" s="2" t="s">
        <v>6</v>
      </c>
    </row>
    <row r="15571" spans="1:6" ht="25.5">
      <c r="A15571" s="2">
        <v>15568</v>
      </c>
      <c r="B15571" s="2" t="s">
        <v>15642</v>
      </c>
      <c r="C15571" s="2" t="str">
        <f>"02606755"</f>
        <v>02606755</v>
      </c>
      <c r="D15571" s="2">
        <v>0.10100000000000001</v>
      </c>
      <c r="E15571" s="2">
        <v>1</v>
      </c>
      <c r="F15571" s="2" t="s">
        <v>16</v>
      </c>
    </row>
    <row r="15572" spans="1:6" ht="25.5">
      <c r="A15572" s="2">
        <v>15569</v>
      </c>
      <c r="B15572" s="2" t="s">
        <v>15643</v>
      </c>
      <c r="C15572" s="2" t="str">
        <f>"00483028"</f>
        <v>00483028</v>
      </c>
      <c r="D15572" s="2">
        <v>0.10100000000000001</v>
      </c>
      <c r="E15572" s="2">
        <v>1</v>
      </c>
      <c r="F15572" s="2" t="s">
        <v>6</v>
      </c>
    </row>
    <row r="15573" spans="1:6" ht="25.5">
      <c r="A15573" s="2">
        <v>15570</v>
      </c>
      <c r="B15573" s="2" t="s">
        <v>15644</v>
      </c>
      <c r="C15573" s="2" t="str">
        <f>"00312355"</f>
        <v>00312355</v>
      </c>
      <c r="D15573" s="2">
        <v>0.1</v>
      </c>
      <c r="E15573" s="2">
        <v>1</v>
      </c>
      <c r="F15573" s="2" t="s">
        <v>190</v>
      </c>
    </row>
    <row r="15574" spans="1:6" ht="25.5">
      <c r="A15574" s="2">
        <v>15571</v>
      </c>
      <c r="B15574" s="2" t="s">
        <v>15645</v>
      </c>
      <c r="C15574" s="2" t="str">
        <f>"15653668"</f>
        <v>15653668</v>
      </c>
      <c r="D15574" s="2">
        <v>0.11</v>
      </c>
      <c r="E15574" s="2">
        <v>4</v>
      </c>
      <c r="F15574" s="2" t="s">
        <v>6</v>
      </c>
    </row>
    <row r="15575" spans="1:6" ht="25.5">
      <c r="A15575" s="2">
        <v>15572</v>
      </c>
      <c r="B15575" s="2" t="s">
        <v>15646</v>
      </c>
      <c r="C15575" s="2" t="str">
        <f>"17438977"</f>
        <v>17438977</v>
      </c>
      <c r="D15575" s="2">
        <v>2.548</v>
      </c>
      <c r="E15575" s="2">
        <v>35</v>
      </c>
      <c r="F15575" s="2" t="s">
        <v>16</v>
      </c>
    </row>
    <row r="15576" spans="1:6" ht="25.5">
      <c r="A15576" s="2">
        <v>15573</v>
      </c>
      <c r="B15576" s="2" t="s">
        <v>15647</v>
      </c>
      <c r="C15576" s="2" t="str">
        <f>"15214117"</f>
        <v>15214117</v>
      </c>
      <c r="D15576" s="2">
        <v>0.255</v>
      </c>
      <c r="E15576" s="2">
        <v>26</v>
      </c>
      <c r="F15576" s="2" t="s">
        <v>12</v>
      </c>
    </row>
    <row r="15577" spans="1:6" ht="25.5">
      <c r="A15577" s="2">
        <v>15574</v>
      </c>
      <c r="B15577" s="2" t="s">
        <v>15648</v>
      </c>
      <c r="C15577" s="2" t="str">
        <f>"15480046"</f>
        <v>15480046</v>
      </c>
      <c r="D15577" s="2">
        <v>0.23699999999999999</v>
      </c>
      <c r="E15577" s="2">
        <v>18</v>
      </c>
      <c r="F15577" s="2" t="s">
        <v>16</v>
      </c>
    </row>
    <row r="15578" spans="1:6" ht="25.5">
      <c r="A15578" s="2">
        <v>15575</v>
      </c>
      <c r="B15578" s="2" t="s">
        <v>15649</v>
      </c>
      <c r="C15578" s="2" t="str">
        <f>"16742001"</f>
        <v>16742001</v>
      </c>
      <c r="D15578" s="2">
        <v>0.56200000000000006</v>
      </c>
      <c r="E15578" s="2">
        <v>17</v>
      </c>
      <c r="F15578" s="2" t="s">
        <v>75</v>
      </c>
    </row>
    <row r="15579" spans="1:6" ht="25.5">
      <c r="A15579" s="2">
        <v>15576</v>
      </c>
      <c r="B15579" s="2" t="s">
        <v>15650</v>
      </c>
      <c r="C15579" s="2" t="str">
        <f>"14603683"</f>
        <v>14603683</v>
      </c>
      <c r="D15579" s="2">
        <v>1.91</v>
      </c>
      <c r="E15579" s="2">
        <v>28</v>
      </c>
      <c r="F15579" s="2" t="s">
        <v>16</v>
      </c>
    </row>
    <row r="15580" spans="1:6" ht="25.5">
      <c r="A15580" s="2">
        <v>15577</v>
      </c>
      <c r="B15580" s="2" t="s">
        <v>15651</v>
      </c>
      <c r="C15580" s="2" t="str">
        <f>"00312746"</f>
        <v>00312746</v>
      </c>
      <c r="D15580" s="2">
        <v>0.20200000000000001</v>
      </c>
      <c r="E15580" s="2">
        <v>12</v>
      </c>
      <c r="F15580" s="2" t="s">
        <v>16</v>
      </c>
    </row>
    <row r="15581" spans="1:6" ht="25.5">
      <c r="A15581" s="2">
        <v>15578</v>
      </c>
      <c r="B15581" s="2" t="s">
        <v>15652</v>
      </c>
      <c r="C15581" s="2" t="str">
        <f>"00312789"</f>
        <v>00312789</v>
      </c>
      <c r="D15581" s="2">
        <v>0.254</v>
      </c>
      <c r="E15581" s="2">
        <v>12</v>
      </c>
      <c r="F15581" s="2" t="s">
        <v>6</v>
      </c>
    </row>
    <row r="15582" spans="1:6" ht="25.5">
      <c r="A15582" s="2">
        <v>15579</v>
      </c>
      <c r="B15582" s="2" t="s">
        <v>15653</v>
      </c>
      <c r="C15582" s="2" t="str">
        <f>"14230291"</f>
        <v>14230291</v>
      </c>
      <c r="D15582" s="2">
        <v>0.66800000000000004</v>
      </c>
      <c r="E15582" s="2">
        <v>35</v>
      </c>
      <c r="F15582" s="2" t="s">
        <v>31</v>
      </c>
    </row>
    <row r="15583" spans="1:6" ht="25.5">
      <c r="A15583" s="2">
        <v>15580</v>
      </c>
      <c r="B15583" s="2" t="s">
        <v>15654</v>
      </c>
      <c r="C15583" s="2" t="str">
        <f>"20477732"</f>
        <v>20477732</v>
      </c>
      <c r="D15583" s="2">
        <v>0.55400000000000005</v>
      </c>
      <c r="E15583" s="2">
        <v>47</v>
      </c>
      <c r="F15583" s="2" t="s">
        <v>16</v>
      </c>
    </row>
    <row r="15584" spans="1:6" ht="25.5">
      <c r="A15584" s="2">
        <v>15581</v>
      </c>
      <c r="B15584" s="2" t="s">
        <v>15655</v>
      </c>
      <c r="C15584" s="2" t="str">
        <f>"1591951X"</f>
        <v>1591951X</v>
      </c>
      <c r="D15584" s="2">
        <v>0.255</v>
      </c>
      <c r="E15584" s="2">
        <v>12</v>
      </c>
      <c r="F15584" s="2" t="s">
        <v>190</v>
      </c>
    </row>
    <row r="15585" spans="1:6" ht="25.5">
      <c r="A15585" s="2">
        <v>15582</v>
      </c>
      <c r="B15585" s="2" t="s">
        <v>15656</v>
      </c>
      <c r="C15585" s="2" t="str">
        <f>"17683114"</f>
        <v>17683114</v>
      </c>
      <c r="D15585" s="2">
        <v>0.41199999999999998</v>
      </c>
      <c r="E15585" s="2">
        <v>38</v>
      </c>
      <c r="F15585" s="2" t="s">
        <v>66</v>
      </c>
    </row>
    <row r="15586" spans="1:6" ht="25.5">
      <c r="A15586" s="2">
        <v>15583</v>
      </c>
      <c r="B15586" s="2" t="s">
        <v>15657</v>
      </c>
      <c r="C15586" s="2" t="str">
        <f>"14653931"</f>
        <v>14653931</v>
      </c>
      <c r="D15586" s="2">
        <v>0.80600000000000005</v>
      </c>
      <c r="E15586" s="2">
        <v>38</v>
      </c>
      <c r="F15586" s="2" t="s">
        <v>6</v>
      </c>
    </row>
    <row r="15587" spans="1:6" ht="25.5">
      <c r="A15587" s="2">
        <v>15584</v>
      </c>
      <c r="B15587" s="2" t="s">
        <v>15658</v>
      </c>
      <c r="C15587" s="2" t="str">
        <f>"10829784"</f>
        <v>10829784</v>
      </c>
      <c r="D15587" s="2">
        <v>0.161</v>
      </c>
      <c r="E15587" s="2">
        <v>5</v>
      </c>
      <c r="F15587" s="2" t="s">
        <v>6</v>
      </c>
    </row>
    <row r="15588" spans="1:6" ht="25.5">
      <c r="A15588" s="2">
        <v>15585</v>
      </c>
      <c r="B15588" s="2" t="s">
        <v>15659</v>
      </c>
      <c r="C15588" s="2" t="str">
        <f>"14401827"</f>
        <v>14401827</v>
      </c>
      <c r="D15588" s="2">
        <v>0.65700000000000003</v>
      </c>
      <c r="E15588" s="2">
        <v>48</v>
      </c>
      <c r="F15588" s="2" t="s">
        <v>16</v>
      </c>
    </row>
    <row r="15589" spans="1:6" ht="25.5">
      <c r="A15589" s="2">
        <v>15586</v>
      </c>
      <c r="B15589" s="2" t="s">
        <v>15660</v>
      </c>
      <c r="C15589" s="2" t="str">
        <f>"12194956"</f>
        <v>12194956</v>
      </c>
      <c r="D15589" s="2">
        <v>0.625</v>
      </c>
      <c r="E15589" s="2">
        <v>31</v>
      </c>
      <c r="F15589" s="2" t="s">
        <v>75</v>
      </c>
    </row>
    <row r="15590" spans="1:6" ht="25.5">
      <c r="A15590" s="2">
        <v>15587</v>
      </c>
      <c r="B15590" s="2" t="s">
        <v>15661</v>
      </c>
      <c r="C15590" s="2" t="str">
        <f>"03440338"</f>
        <v>03440338</v>
      </c>
      <c r="D15590" s="2">
        <v>0.52100000000000002</v>
      </c>
      <c r="E15590" s="2">
        <v>40</v>
      </c>
      <c r="F15590" s="2" t="s">
        <v>12</v>
      </c>
    </row>
    <row r="15591" spans="1:6" ht="25.5">
      <c r="A15591" s="2">
        <v>15588</v>
      </c>
      <c r="B15591" s="2" t="s">
        <v>15662</v>
      </c>
      <c r="C15591" s="2" t="str">
        <f>"2042003X"</f>
        <v>2042003X</v>
      </c>
      <c r="D15591" s="2">
        <v>0</v>
      </c>
      <c r="E15591" s="2">
        <v>2</v>
      </c>
      <c r="F15591" s="2" t="s">
        <v>6</v>
      </c>
    </row>
    <row r="15592" spans="1:6" ht="25.5">
      <c r="A15592" s="2">
        <v>15589</v>
      </c>
      <c r="B15592" s="2" t="s">
        <v>15663</v>
      </c>
      <c r="C15592" s="2" t="str">
        <f>"09284680"</f>
        <v>09284680</v>
      </c>
      <c r="D15592" s="2">
        <v>0.71299999999999997</v>
      </c>
      <c r="E15592" s="2">
        <v>28</v>
      </c>
      <c r="F15592" s="2" t="s">
        <v>75</v>
      </c>
    </row>
    <row r="15593" spans="1:6" ht="25.5">
      <c r="A15593" s="2">
        <v>15590</v>
      </c>
      <c r="B15593" s="2" t="s">
        <v>15664</v>
      </c>
      <c r="C15593" s="2" t="str">
        <f>"11781653"</f>
        <v>11781653</v>
      </c>
      <c r="D15593" s="2">
        <v>0.46600000000000003</v>
      </c>
      <c r="E15593" s="2">
        <v>5</v>
      </c>
      <c r="F15593" s="2" t="s">
        <v>16</v>
      </c>
    </row>
    <row r="15594" spans="1:6" ht="25.5">
      <c r="A15594" s="2">
        <v>15591</v>
      </c>
      <c r="B15594" s="2" t="s">
        <v>15665</v>
      </c>
      <c r="C15594" s="2" t="str">
        <f>"07383991"</f>
        <v>07383991</v>
      </c>
      <c r="D15594" s="2">
        <v>1.23</v>
      </c>
      <c r="E15594" s="2">
        <v>72</v>
      </c>
      <c r="F15594" s="2" t="s">
        <v>732</v>
      </c>
    </row>
    <row r="15595" spans="1:6" ht="25.5">
      <c r="A15595" s="2">
        <v>15592</v>
      </c>
      <c r="B15595" s="2" t="s">
        <v>15666</v>
      </c>
      <c r="C15595" s="2" t="str">
        <f>"1177889X"</f>
        <v>1177889X</v>
      </c>
      <c r="D15595" s="2">
        <v>0.45400000000000001</v>
      </c>
      <c r="E15595" s="2">
        <v>7</v>
      </c>
      <c r="F15595" s="2" t="s">
        <v>503</v>
      </c>
    </row>
    <row r="15596" spans="1:6" ht="25.5">
      <c r="A15596" s="2">
        <v>15593</v>
      </c>
      <c r="B15596" s="2" t="s">
        <v>15667</v>
      </c>
      <c r="C15596" s="2" t="str">
        <f>"17549493"</f>
        <v>17549493</v>
      </c>
      <c r="D15596" s="2">
        <v>0.36599999999999999</v>
      </c>
      <c r="E15596" s="2">
        <v>5</v>
      </c>
      <c r="F15596" s="2" t="s">
        <v>16</v>
      </c>
    </row>
    <row r="15597" spans="1:6" ht="25.5">
      <c r="A15597" s="2">
        <v>15594</v>
      </c>
      <c r="B15597" s="2" t="s">
        <v>15668</v>
      </c>
      <c r="C15597" s="2" t="str">
        <f>"00312991"</f>
        <v>00312991</v>
      </c>
      <c r="D15597" s="2">
        <v>0.10199999999999999</v>
      </c>
      <c r="E15597" s="2">
        <v>6</v>
      </c>
      <c r="F15597" s="2" t="s">
        <v>129</v>
      </c>
    </row>
    <row r="15598" spans="1:6" ht="25.5">
      <c r="A15598" s="2">
        <v>15595</v>
      </c>
      <c r="B15598" s="2" t="s">
        <v>15669</v>
      </c>
      <c r="C15598" s="2" t="str">
        <f>"1433755X"</f>
        <v>1433755X</v>
      </c>
      <c r="D15598" s="2">
        <v>0.876</v>
      </c>
      <c r="E15598" s="2">
        <v>31</v>
      </c>
      <c r="F15598" s="2" t="s">
        <v>16</v>
      </c>
    </row>
    <row r="15599" spans="1:6" ht="25.5">
      <c r="A15599" s="2">
        <v>15596</v>
      </c>
      <c r="B15599" s="2" t="s">
        <v>15670</v>
      </c>
      <c r="C15599" s="2" t="str">
        <f>"00313203"</f>
        <v>00313203</v>
      </c>
      <c r="D15599" s="2">
        <v>2.3650000000000002</v>
      </c>
      <c r="E15599" s="2">
        <v>108</v>
      </c>
      <c r="F15599" s="2" t="s">
        <v>16</v>
      </c>
    </row>
    <row r="15600" spans="1:6" ht="25.5">
      <c r="A15600" s="2">
        <v>15597</v>
      </c>
      <c r="B15600" s="2" t="s">
        <v>15671</v>
      </c>
      <c r="C15600" s="2" t="str">
        <f>"10546618"</f>
        <v>10546618</v>
      </c>
      <c r="D15600" s="2">
        <v>0.221</v>
      </c>
      <c r="E15600" s="2">
        <v>9</v>
      </c>
      <c r="F15600" s="2" t="s">
        <v>129</v>
      </c>
    </row>
    <row r="15601" spans="1:6" ht="25.5">
      <c r="A15601" s="2">
        <v>15598</v>
      </c>
      <c r="B15601" s="2" t="s">
        <v>15672</v>
      </c>
      <c r="C15601" s="2" t="str">
        <f>"01678655"</f>
        <v>01678655</v>
      </c>
      <c r="D15601" s="2">
        <v>1.149</v>
      </c>
      <c r="E15601" s="2">
        <v>82</v>
      </c>
      <c r="F15601" s="2" t="s">
        <v>75</v>
      </c>
    </row>
    <row r="15602" spans="1:6" ht="25.5">
      <c r="A15602" s="2">
        <v>15599</v>
      </c>
      <c r="B15602" s="2" t="s">
        <v>15673</v>
      </c>
      <c r="C15602" s="2" t="str">
        <f>"14617331"</f>
        <v>14617331</v>
      </c>
      <c r="D15602" s="2">
        <v>0.30199999999999999</v>
      </c>
      <c r="E15602" s="2">
        <v>11</v>
      </c>
      <c r="F15602" s="2" t="s">
        <v>6</v>
      </c>
    </row>
    <row r="15603" spans="1:6" ht="25.5">
      <c r="A15603" s="2">
        <v>15600</v>
      </c>
      <c r="B15603" s="2" t="s">
        <v>15674</v>
      </c>
      <c r="C15603" s="2" t="str">
        <f>"08879672"</f>
        <v>08879672</v>
      </c>
      <c r="D15603" s="2">
        <v>0.51800000000000002</v>
      </c>
      <c r="E15603" s="2">
        <v>21</v>
      </c>
      <c r="F15603" s="2" t="s">
        <v>6</v>
      </c>
    </row>
    <row r="15604" spans="1:6" ht="25.5">
      <c r="A15604" s="2">
        <v>15601</v>
      </c>
      <c r="B15604" s="2" t="s">
        <v>15675</v>
      </c>
      <c r="C15604" s="2" t="str">
        <f>"10797440"</f>
        <v>10797440</v>
      </c>
      <c r="D15604" s="2">
        <v>0.26500000000000001</v>
      </c>
      <c r="E15604" s="2">
        <v>23</v>
      </c>
      <c r="F15604" s="2" t="s">
        <v>6</v>
      </c>
    </row>
    <row r="15605" spans="1:6" ht="25.5">
      <c r="A15605" s="2">
        <v>15602</v>
      </c>
      <c r="B15605" s="2" t="s">
        <v>15676</v>
      </c>
      <c r="C15605" s="2" t="str">
        <f>"15327930"</f>
        <v>15327930</v>
      </c>
      <c r="D15605" s="2">
        <v>0.41899999999999998</v>
      </c>
      <c r="E15605" s="2">
        <v>10</v>
      </c>
      <c r="F15605" s="2" t="s">
        <v>16</v>
      </c>
    </row>
    <row r="15606" spans="1:6" ht="25.5">
      <c r="A15606" s="2">
        <v>15603</v>
      </c>
      <c r="B15606" s="2" t="s">
        <v>15677</v>
      </c>
      <c r="C15606" s="2" t="str">
        <f>"15327949"</f>
        <v>15327949</v>
      </c>
      <c r="D15606" s="2">
        <v>0.38400000000000001</v>
      </c>
      <c r="E15606" s="2">
        <v>14</v>
      </c>
      <c r="F15606" s="2" t="s">
        <v>16</v>
      </c>
    </row>
    <row r="15607" spans="1:6" ht="25.5">
      <c r="A15607" s="2">
        <v>15604</v>
      </c>
      <c r="B15607" s="2" t="s">
        <v>15678</v>
      </c>
      <c r="C15607" s="2" t="str">
        <f>"10827307"</f>
        <v>10827307</v>
      </c>
      <c r="D15607" s="2">
        <v>0.10100000000000001</v>
      </c>
      <c r="E15607" s="2">
        <v>1</v>
      </c>
      <c r="F15607" s="2" t="s">
        <v>6</v>
      </c>
    </row>
    <row r="15608" spans="1:6" ht="25.5">
      <c r="A15608" s="2">
        <v>15605</v>
      </c>
      <c r="B15608" s="2" t="s">
        <v>15679</v>
      </c>
      <c r="C15608" s="2" t="str">
        <f>"10792457"</f>
        <v>10792457</v>
      </c>
      <c r="D15608" s="2">
        <v>0.20699999999999999</v>
      </c>
      <c r="E15608" s="2">
        <v>5</v>
      </c>
      <c r="F15608" s="2" t="s">
        <v>6</v>
      </c>
    </row>
    <row r="15609" spans="1:6" ht="25.5">
      <c r="A15609" s="2">
        <v>15606</v>
      </c>
      <c r="B15609" s="2" t="s">
        <v>15680</v>
      </c>
      <c r="C15609" s="2" t="str">
        <f>"14699982"</f>
        <v>14699982</v>
      </c>
      <c r="D15609" s="2">
        <v>0.187</v>
      </c>
      <c r="E15609" s="2">
        <v>4</v>
      </c>
      <c r="F15609" s="2" t="s">
        <v>16</v>
      </c>
    </row>
    <row r="15610" spans="1:6" ht="25.5">
      <c r="A15610" s="2">
        <v>15607</v>
      </c>
      <c r="B15610" s="2" t="s">
        <v>15681</v>
      </c>
      <c r="C15610" s="2" t="str">
        <f>"1554480X"</f>
        <v>1554480X</v>
      </c>
      <c r="D15610" s="2">
        <v>0.13500000000000001</v>
      </c>
      <c r="E15610" s="2">
        <v>3</v>
      </c>
      <c r="F15610" s="2" t="s">
        <v>16</v>
      </c>
    </row>
    <row r="15611" spans="1:6" ht="25.5">
      <c r="A15611" s="2">
        <v>15608</v>
      </c>
      <c r="B15611" s="2" t="s">
        <v>15682</v>
      </c>
      <c r="C15611" s="2" t="str">
        <f>"13920340"</f>
        <v>13920340</v>
      </c>
      <c r="D15611" s="2">
        <v>0.185</v>
      </c>
      <c r="E15611" s="2">
        <v>2</v>
      </c>
      <c r="F15611" s="2" t="s">
        <v>426</v>
      </c>
    </row>
    <row r="15612" spans="1:6" ht="25.5">
      <c r="A15612" s="2">
        <v>15609</v>
      </c>
      <c r="B15612" s="2" t="s">
        <v>15683</v>
      </c>
      <c r="C15612" s="2" t="str">
        <f>"01650645"</f>
        <v>01650645</v>
      </c>
      <c r="D15612" s="2">
        <v>0.23</v>
      </c>
      <c r="E15612" s="2">
        <v>3</v>
      </c>
      <c r="F15612" s="2" t="s">
        <v>75</v>
      </c>
    </row>
    <row r="15613" spans="1:6" ht="25.5">
      <c r="A15613" s="2">
        <v>15610</v>
      </c>
      <c r="B15613" s="2" t="s">
        <v>15684</v>
      </c>
      <c r="C15613" s="2" t="str">
        <f>"14681366"</f>
        <v>14681366</v>
      </c>
      <c r="D15613" s="2">
        <v>0.30499999999999999</v>
      </c>
      <c r="E15613" s="2">
        <v>6</v>
      </c>
      <c r="F15613" s="2" t="s">
        <v>16</v>
      </c>
    </row>
    <row r="15614" spans="1:6" ht="25.5">
      <c r="A15614" s="2">
        <v>15611</v>
      </c>
      <c r="B15614" s="2" t="s">
        <v>15685</v>
      </c>
      <c r="C15614" s="2" t="str">
        <f>"11358831"</f>
        <v>11358831</v>
      </c>
      <c r="D15614" s="2">
        <v>0.129</v>
      </c>
      <c r="E15614" s="2">
        <v>4</v>
      </c>
      <c r="F15614" s="2" t="s">
        <v>351</v>
      </c>
    </row>
    <row r="15615" spans="1:6" ht="25.5">
      <c r="A15615" s="2">
        <v>15612</v>
      </c>
      <c r="B15615" s="2" t="s">
        <v>15686</v>
      </c>
      <c r="C15615" s="2" t="str">
        <f>"11397632"</f>
        <v>11397632</v>
      </c>
      <c r="D15615" s="2">
        <v>0.14799999999999999</v>
      </c>
      <c r="E15615" s="2">
        <v>4</v>
      </c>
      <c r="F15615" s="2" t="s">
        <v>351</v>
      </c>
    </row>
    <row r="15616" spans="1:6" ht="25.5">
      <c r="A15616" s="2">
        <v>15613</v>
      </c>
      <c r="B15616" s="2" t="s">
        <v>15687</v>
      </c>
      <c r="C15616" s="2" t="str">
        <f>"17341531"</f>
        <v>17341531</v>
      </c>
      <c r="D15616" s="2">
        <v>0.11899999999999999</v>
      </c>
      <c r="E15616" s="2">
        <v>2</v>
      </c>
      <c r="F15616" s="2" t="s">
        <v>169</v>
      </c>
    </row>
    <row r="15617" spans="1:6" ht="25.5">
      <c r="A15617" s="2">
        <v>15614</v>
      </c>
      <c r="B15617" s="2" t="s">
        <v>15688</v>
      </c>
      <c r="C15617" s="2" t="str">
        <f>"11354542"</f>
        <v>11354542</v>
      </c>
      <c r="D15617" s="2">
        <v>0.14299999999999999</v>
      </c>
      <c r="E15617" s="2">
        <v>5</v>
      </c>
      <c r="F15617" s="2" t="s">
        <v>351</v>
      </c>
    </row>
    <row r="15618" spans="1:6" ht="25.5">
      <c r="A15618" s="2">
        <v>15615</v>
      </c>
      <c r="B15618" s="2" t="s">
        <v>15689</v>
      </c>
      <c r="C15618" s="2" t="str">
        <f>"03915387"</f>
        <v>03915387</v>
      </c>
      <c r="D15618" s="2">
        <v>0.113</v>
      </c>
      <c r="E15618" s="2">
        <v>12</v>
      </c>
      <c r="F15618" s="2" t="s">
        <v>190</v>
      </c>
    </row>
    <row r="15619" spans="1:6" ht="25.5">
      <c r="A15619" s="2">
        <v>15616</v>
      </c>
      <c r="B15619" s="2" t="s">
        <v>15690</v>
      </c>
      <c r="C15619" s="2" t="str">
        <f>"00313939"</f>
        <v>00313939</v>
      </c>
      <c r="D15619" s="2">
        <v>0.127</v>
      </c>
      <c r="E15619" s="2">
        <v>8</v>
      </c>
      <c r="F15619" s="2" t="s">
        <v>169</v>
      </c>
    </row>
    <row r="15620" spans="1:6" ht="25.5">
      <c r="A15620" s="2">
        <v>15617</v>
      </c>
      <c r="B15620" s="2" t="s">
        <v>15691</v>
      </c>
      <c r="C15620" s="2" t="str">
        <f>"15075532"</f>
        <v>15075532</v>
      </c>
      <c r="D15620" s="2">
        <v>0.11600000000000001</v>
      </c>
      <c r="E15620" s="2">
        <v>6</v>
      </c>
      <c r="F15620" s="2" t="s">
        <v>169</v>
      </c>
    </row>
    <row r="15621" spans="1:6" ht="25.5">
      <c r="A15621" s="2">
        <v>15618</v>
      </c>
      <c r="B15621" s="2" t="s">
        <v>15692</v>
      </c>
      <c r="C15621" s="2" t="str">
        <f>"13993038"</f>
        <v>13993038</v>
      </c>
      <c r="D15621" s="2">
        <v>1.2949999999999999</v>
      </c>
      <c r="E15621" s="2">
        <v>56</v>
      </c>
      <c r="F15621" s="2" t="s">
        <v>163</v>
      </c>
    </row>
    <row r="15622" spans="1:6" ht="25.5">
      <c r="A15622" s="2">
        <v>15619</v>
      </c>
      <c r="B15622" s="2" t="s">
        <v>15693</v>
      </c>
      <c r="C15622" s="2" t="str">
        <f>"21513228"</f>
        <v>21513228</v>
      </c>
      <c r="D15622" s="2">
        <v>0.20899999999999999</v>
      </c>
      <c r="E15622" s="2">
        <v>10</v>
      </c>
      <c r="F15622" s="2" t="s">
        <v>6</v>
      </c>
    </row>
    <row r="15623" spans="1:6" ht="25.5">
      <c r="A15623" s="2">
        <v>15620</v>
      </c>
      <c r="B15623" s="2" t="s">
        <v>15694</v>
      </c>
      <c r="C15623" s="2" t="str">
        <f>"10175989"</f>
        <v>10175989</v>
      </c>
      <c r="D15623" s="2">
        <v>0.107</v>
      </c>
      <c r="E15623" s="2">
        <v>2</v>
      </c>
      <c r="F15623" s="2" t="s">
        <v>31</v>
      </c>
    </row>
    <row r="15624" spans="1:6" ht="25.5">
      <c r="A15624" s="2">
        <v>15621</v>
      </c>
      <c r="B15624" s="2" t="s">
        <v>15695</v>
      </c>
      <c r="C15624" s="2" t="str">
        <f>"16155742"</f>
        <v>16155742</v>
      </c>
      <c r="D15624" s="2">
        <v>0.39100000000000001</v>
      </c>
      <c r="E15624" s="2">
        <v>39</v>
      </c>
      <c r="F15624" s="2" t="s">
        <v>6</v>
      </c>
    </row>
    <row r="15625" spans="1:6" ht="25.5">
      <c r="A15625" s="2">
        <v>15622</v>
      </c>
      <c r="B15625" s="2" t="s">
        <v>15696</v>
      </c>
      <c r="C15625" s="2" t="str">
        <f>"00904481"</f>
        <v>00904481</v>
      </c>
      <c r="D15625" s="2">
        <v>0.20499999999999999</v>
      </c>
      <c r="E15625" s="2">
        <v>23</v>
      </c>
      <c r="F15625" s="2" t="s">
        <v>6</v>
      </c>
    </row>
    <row r="15626" spans="1:6" ht="25.5">
      <c r="A15626" s="2">
        <v>15623</v>
      </c>
      <c r="B15626" s="2" t="s">
        <v>15697</v>
      </c>
      <c r="C15626" s="2" t="str">
        <f>"15455017"</f>
        <v>15455017</v>
      </c>
      <c r="D15626" s="2">
        <v>0.95199999999999996</v>
      </c>
      <c r="E15626" s="2">
        <v>60</v>
      </c>
      <c r="F15626" s="2" t="s">
        <v>6</v>
      </c>
    </row>
    <row r="15627" spans="1:6" ht="25.5">
      <c r="A15627" s="2">
        <v>15624</v>
      </c>
      <c r="B15627" s="2" t="s">
        <v>15698</v>
      </c>
      <c r="C15627" s="2" t="str">
        <f>"10929126"</f>
        <v>10929126</v>
      </c>
      <c r="D15627" s="2">
        <v>0.85599999999999998</v>
      </c>
      <c r="E15627" s="2">
        <v>19</v>
      </c>
      <c r="F15627" s="2" t="s">
        <v>16</v>
      </c>
    </row>
    <row r="15628" spans="1:6" ht="25.5">
      <c r="A15628" s="2">
        <v>15625</v>
      </c>
      <c r="B15628" s="2" t="s">
        <v>15699</v>
      </c>
      <c r="C15628" s="2" t="str">
        <f>"14321971"</f>
        <v>14321971</v>
      </c>
      <c r="D15628" s="2">
        <v>0.45700000000000002</v>
      </c>
      <c r="E15628" s="2">
        <v>44</v>
      </c>
      <c r="F15628" s="2" t="s">
        <v>6</v>
      </c>
    </row>
    <row r="15629" spans="1:6" ht="25.5">
      <c r="A15629" s="2">
        <v>15626</v>
      </c>
      <c r="B15629" s="2" t="s">
        <v>15700</v>
      </c>
      <c r="C15629" s="2" t="str">
        <f>"00313955"</f>
        <v>00313955</v>
      </c>
      <c r="D15629" s="2">
        <v>0.63300000000000001</v>
      </c>
      <c r="E15629" s="2">
        <v>56</v>
      </c>
      <c r="F15629" s="2" t="s">
        <v>16</v>
      </c>
    </row>
    <row r="15630" spans="1:6" ht="25.5">
      <c r="A15630" s="2">
        <v>15627</v>
      </c>
      <c r="B15630" s="2" t="s">
        <v>15701</v>
      </c>
      <c r="C15630" s="2" t="str">
        <f>"15297535"</f>
        <v>15297535</v>
      </c>
      <c r="D15630" s="2">
        <v>1.056</v>
      </c>
      <c r="E15630" s="2">
        <v>41</v>
      </c>
      <c r="F15630" s="2" t="s">
        <v>6</v>
      </c>
    </row>
    <row r="15631" spans="1:6" ht="25.5">
      <c r="A15631" s="2">
        <v>15628</v>
      </c>
      <c r="B15631" s="2" t="s">
        <v>15702</v>
      </c>
      <c r="C15631" s="2" t="str">
        <f>"01641263"</f>
        <v>01641263</v>
      </c>
      <c r="D15631" s="2">
        <v>0.34200000000000003</v>
      </c>
      <c r="E15631" s="2">
        <v>42</v>
      </c>
      <c r="F15631" s="2" t="s">
        <v>6</v>
      </c>
    </row>
    <row r="15632" spans="1:6" ht="25.5">
      <c r="A15632" s="2">
        <v>15629</v>
      </c>
      <c r="B15632" s="2" t="s">
        <v>15703</v>
      </c>
      <c r="C15632" s="2" t="str">
        <f>"15251470"</f>
        <v>15251470</v>
      </c>
      <c r="D15632" s="2">
        <v>0.56999999999999995</v>
      </c>
      <c r="E15632" s="2">
        <v>44</v>
      </c>
      <c r="F15632" s="2" t="s">
        <v>16</v>
      </c>
    </row>
    <row r="15633" spans="1:6" ht="25.5">
      <c r="A15633" s="2">
        <v>15630</v>
      </c>
      <c r="B15633" s="2" t="s">
        <v>15704</v>
      </c>
      <c r="C15633" s="2" t="str">
        <f>"13995448"</f>
        <v>13995448</v>
      </c>
      <c r="D15633" s="2">
        <v>1.2030000000000001</v>
      </c>
      <c r="E15633" s="2">
        <v>36</v>
      </c>
      <c r="F15633" s="2" t="s">
        <v>163</v>
      </c>
    </row>
    <row r="15634" spans="1:6" ht="25.5">
      <c r="A15634" s="2">
        <v>15631</v>
      </c>
      <c r="B15634" s="2" t="s">
        <v>15705</v>
      </c>
      <c r="C15634" s="2" t="str">
        <f>"15351815"</f>
        <v>15351815</v>
      </c>
      <c r="D15634" s="2">
        <v>0.40500000000000003</v>
      </c>
      <c r="E15634" s="2">
        <v>39</v>
      </c>
      <c r="F15634" s="2" t="s">
        <v>6</v>
      </c>
    </row>
    <row r="15635" spans="1:6" ht="25.5">
      <c r="A15635" s="2">
        <v>15632</v>
      </c>
      <c r="B15635" s="2" t="s">
        <v>15706</v>
      </c>
      <c r="C15635" s="2" t="str">
        <f>"15654753"</f>
        <v>15654753</v>
      </c>
      <c r="D15635" s="2">
        <v>0.35699999999999998</v>
      </c>
      <c r="E15635" s="2">
        <v>20</v>
      </c>
      <c r="F15635" s="2" t="s">
        <v>2065</v>
      </c>
    </row>
    <row r="15636" spans="1:6" ht="25.5">
      <c r="A15636" s="2">
        <v>15633</v>
      </c>
      <c r="B15636" s="2" t="s">
        <v>15707</v>
      </c>
      <c r="C15636" s="2" t="str">
        <f>"15432920"</f>
        <v>15432920</v>
      </c>
      <c r="D15636" s="2">
        <v>0.73899999999999999</v>
      </c>
      <c r="E15636" s="2">
        <v>38</v>
      </c>
      <c r="F15636" s="2" t="s">
        <v>6</v>
      </c>
    </row>
    <row r="15637" spans="1:6" ht="25.5">
      <c r="A15637" s="2">
        <v>15634</v>
      </c>
      <c r="B15637" s="2" t="s">
        <v>15708</v>
      </c>
      <c r="C15637" s="2" t="str">
        <f>"15210669"</f>
        <v>15210669</v>
      </c>
      <c r="D15637" s="2">
        <v>0.32700000000000001</v>
      </c>
      <c r="E15637" s="2">
        <v>29</v>
      </c>
      <c r="F15637" s="2" t="s">
        <v>16</v>
      </c>
    </row>
    <row r="15638" spans="1:6" ht="25.5">
      <c r="A15638" s="2">
        <v>15635</v>
      </c>
      <c r="B15638" s="2" t="s">
        <v>15709</v>
      </c>
      <c r="C15638" s="2" t="str">
        <f>"08913668"</f>
        <v>08913668</v>
      </c>
      <c r="D15638" s="2">
        <v>1.53</v>
      </c>
      <c r="E15638" s="2">
        <v>103</v>
      </c>
      <c r="F15638" s="2" t="s">
        <v>6</v>
      </c>
    </row>
    <row r="15639" spans="1:6" ht="25.5">
      <c r="A15639" s="2">
        <v>15636</v>
      </c>
      <c r="B15639" s="2" t="s">
        <v>15710</v>
      </c>
      <c r="C15639" s="2" t="str">
        <f>"1432198X"</f>
        <v>1432198X</v>
      </c>
      <c r="D15639" s="2">
        <v>0.97899999999999998</v>
      </c>
      <c r="E15639" s="2">
        <v>64</v>
      </c>
      <c r="F15639" s="2" t="s">
        <v>12</v>
      </c>
    </row>
    <row r="15640" spans="1:6" ht="25.5">
      <c r="A15640" s="2">
        <v>15637</v>
      </c>
      <c r="B15640" s="2" t="s">
        <v>15711</v>
      </c>
      <c r="C15640" s="2" t="str">
        <f>"08878994"</f>
        <v>08878994</v>
      </c>
      <c r="D15640" s="2">
        <v>0.63300000000000001</v>
      </c>
      <c r="E15640" s="2">
        <v>58</v>
      </c>
      <c r="F15640" s="2" t="s">
        <v>6</v>
      </c>
    </row>
    <row r="15641" spans="1:6" ht="25.5">
      <c r="A15641" s="2">
        <v>15638</v>
      </c>
      <c r="B15641" s="2" t="s">
        <v>15712</v>
      </c>
      <c r="C15641" s="2" t="str">
        <f>"14230305"</f>
        <v>14230305</v>
      </c>
      <c r="D15641" s="2">
        <v>0.33900000000000002</v>
      </c>
      <c r="E15641" s="2">
        <v>50</v>
      </c>
      <c r="F15641" s="2" t="s">
        <v>31</v>
      </c>
    </row>
    <row r="15642" spans="1:6" ht="25.5">
      <c r="A15642" s="2">
        <v>15639</v>
      </c>
      <c r="B15642" s="2" t="s">
        <v>15713</v>
      </c>
      <c r="C15642" s="2" t="str">
        <f>"00979805"</f>
        <v>00979805</v>
      </c>
      <c r="D15642" s="2">
        <v>0.29899999999999999</v>
      </c>
      <c r="E15642" s="2">
        <v>29</v>
      </c>
      <c r="F15642" s="2" t="s">
        <v>16</v>
      </c>
    </row>
    <row r="15643" spans="1:6" ht="25.5">
      <c r="A15643" s="2">
        <v>15640</v>
      </c>
      <c r="B15643" s="2" t="s">
        <v>15714</v>
      </c>
      <c r="C15643" s="2" t="str">
        <f>"20476310"</f>
        <v>20476310</v>
      </c>
      <c r="D15643" s="2">
        <v>1.1559999999999999</v>
      </c>
      <c r="E15643" s="2">
        <v>26</v>
      </c>
      <c r="F15643" s="2" t="s">
        <v>16</v>
      </c>
    </row>
    <row r="15644" spans="1:6" ht="25.5">
      <c r="A15644" s="2">
        <v>15641</v>
      </c>
      <c r="B15644" s="2" t="s">
        <v>15715</v>
      </c>
      <c r="C15644" s="2" t="str">
        <f>"1538005X"</f>
        <v>1538005X</v>
      </c>
      <c r="D15644" s="2">
        <v>0.53600000000000003</v>
      </c>
      <c r="E15644" s="2">
        <v>25</v>
      </c>
      <c r="F15644" s="2" t="s">
        <v>6</v>
      </c>
    </row>
    <row r="15645" spans="1:6" ht="25.5">
      <c r="A15645" s="2">
        <v>15642</v>
      </c>
      <c r="B15645" s="2" t="s">
        <v>15716</v>
      </c>
      <c r="C15645" s="2" t="str">
        <f>"87556863"</f>
        <v>87556863</v>
      </c>
      <c r="D15645" s="2">
        <v>0.77100000000000002</v>
      </c>
      <c r="E15645" s="2">
        <v>72</v>
      </c>
      <c r="F15645" s="2" t="s">
        <v>6</v>
      </c>
    </row>
    <row r="15646" spans="1:6" ht="25.5">
      <c r="A15646" s="2">
        <v>15643</v>
      </c>
      <c r="B15646" s="2" t="s">
        <v>15717</v>
      </c>
      <c r="C15646" s="2" t="str">
        <f>"14321998"</f>
        <v>14321998</v>
      </c>
      <c r="D15646" s="2">
        <v>0.60499999999999998</v>
      </c>
      <c r="E15646" s="2">
        <v>52</v>
      </c>
      <c r="F15646" s="2" t="s">
        <v>12</v>
      </c>
    </row>
    <row r="15647" spans="1:6" ht="25.5">
      <c r="A15647" s="2">
        <v>15644</v>
      </c>
      <c r="B15647" s="2" t="s">
        <v>15718</v>
      </c>
      <c r="C15647" s="2" t="str">
        <f>"15300447"</f>
        <v>15300447</v>
      </c>
      <c r="D15647" s="2">
        <v>1.153</v>
      </c>
      <c r="E15647" s="2">
        <v>95</v>
      </c>
      <c r="F15647" s="2" t="s">
        <v>6</v>
      </c>
    </row>
    <row r="15648" spans="1:6" ht="25.5">
      <c r="A15648" s="2">
        <v>15645</v>
      </c>
      <c r="B15648" s="2" t="s">
        <v>15719</v>
      </c>
      <c r="C15648" s="2" t="str">
        <f>"15460096"</f>
        <v>15460096</v>
      </c>
      <c r="D15648" s="2">
        <v>0.41799999999999998</v>
      </c>
      <c r="E15648" s="2">
        <v>10</v>
      </c>
      <c r="F15648" s="2" t="s">
        <v>16</v>
      </c>
    </row>
    <row r="15649" spans="1:6" ht="25.5">
      <c r="A15649" s="2">
        <v>15646</v>
      </c>
      <c r="B15649" s="2" t="s">
        <v>15720</v>
      </c>
      <c r="C15649" s="2" t="str">
        <f>"00314005"</f>
        <v>00314005</v>
      </c>
      <c r="D15649" s="2">
        <v>2.544</v>
      </c>
      <c r="E15649" s="2">
        <v>206</v>
      </c>
      <c r="F15649" s="2" t="s">
        <v>6</v>
      </c>
    </row>
    <row r="15650" spans="1:6" ht="25.5">
      <c r="A15650" s="2">
        <v>15647</v>
      </c>
      <c r="B15650" s="2" t="s">
        <v>15721</v>
      </c>
      <c r="C15650" s="2" t="str">
        <f>"18759572"</f>
        <v>18759572</v>
      </c>
      <c r="D15650" s="2">
        <v>0.42599999999999999</v>
      </c>
      <c r="E15650" s="2">
        <v>18</v>
      </c>
      <c r="F15650" s="2" t="s">
        <v>543</v>
      </c>
    </row>
    <row r="15651" spans="1:6" ht="25.5">
      <c r="A15651" s="2">
        <v>15648</v>
      </c>
      <c r="B15651" s="2" t="s">
        <v>15722</v>
      </c>
      <c r="C15651" s="2" t="str">
        <f>"15263347"</f>
        <v>15263347</v>
      </c>
      <c r="D15651" s="2">
        <v>0.223</v>
      </c>
      <c r="E15651" s="2">
        <v>28</v>
      </c>
      <c r="F15651" s="2" t="s">
        <v>6</v>
      </c>
    </row>
    <row r="15652" spans="1:6" ht="25.5">
      <c r="A15652" s="2">
        <v>15649</v>
      </c>
      <c r="B15652" s="2" t="s">
        <v>15723</v>
      </c>
      <c r="C15652" s="2" t="str">
        <f>"1442200X"</f>
        <v>1442200X</v>
      </c>
      <c r="D15652" s="2">
        <v>0.36599999999999999</v>
      </c>
      <c r="E15652" s="2">
        <v>38</v>
      </c>
      <c r="F15652" s="2" t="s">
        <v>16</v>
      </c>
    </row>
    <row r="15653" spans="1:6" ht="25.5">
      <c r="A15653" s="2">
        <v>15650</v>
      </c>
      <c r="B15653" s="2" t="s">
        <v>15724</v>
      </c>
      <c r="C15653" s="2" t="str">
        <f>"14379813"</f>
        <v>14379813</v>
      </c>
      <c r="D15653" s="2">
        <v>0.56699999999999995</v>
      </c>
      <c r="E15653" s="2">
        <v>37</v>
      </c>
      <c r="F15653" s="2" t="s">
        <v>12</v>
      </c>
    </row>
    <row r="15654" spans="1:6" ht="25.5">
      <c r="A15654" s="2">
        <v>15651</v>
      </c>
      <c r="B15654" s="2" t="s">
        <v>15725</v>
      </c>
      <c r="C15654" s="2" t="str">
        <f>"13993046"</f>
        <v>13993046</v>
      </c>
      <c r="D15654" s="2">
        <v>0.55700000000000005</v>
      </c>
      <c r="E15654" s="2">
        <v>45</v>
      </c>
      <c r="F15654" s="2" t="s">
        <v>16</v>
      </c>
    </row>
    <row r="15655" spans="1:6" ht="25.5">
      <c r="A15655" s="2">
        <v>15652</v>
      </c>
      <c r="B15655" s="2" t="s">
        <v>15726</v>
      </c>
      <c r="C15655" s="2" t="str">
        <f>"18035264"</f>
        <v>18035264</v>
      </c>
      <c r="D15655" s="2">
        <v>0.121</v>
      </c>
      <c r="E15655" s="2">
        <v>1</v>
      </c>
      <c r="F15655" s="2" t="s">
        <v>208</v>
      </c>
    </row>
    <row r="15656" spans="1:6" ht="25.5">
      <c r="A15656" s="2">
        <v>15653</v>
      </c>
      <c r="B15656" s="2" t="s">
        <v>15727</v>
      </c>
      <c r="C15656" s="2" t="str">
        <f>"04797876"</f>
        <v>04797876</v>
      </c>
      <c r="D15656" s="2">
        <v>0.1</v>
      </c>
      <c r="E15656" s="2">
        <v>2</v>
      </c>
      <c r="F15656" s="2" t="s">
        <v>293</v>
      </c>
    </row>
    <row r="15657" spans="1:6" ht="25.5">
      <c r="A15657" s="2">
        <v>15654</v>
      </c>
      <c r="B15657" s="2" t="s">
        <v>15728</v>
      </c>
      <c r="C15657" s="2" t="str">
        <f>"00314056"</f>
        <v>00314056</v>
      </c>
      <c r="D15657" s="2">
        <v>0.79900000000000004</v>
      </c>
      <c r="E15657" s="2">
        <v>38</v>
      </c>
      <c r="F15657" s="2" t="s">
        <v>12</v>
      </c>
    </row>
    <row r="15658" spans="1:6" ht="25.5">
      <c r="A15658" s="2">
        <v>15655</v>
      </c>
      <c r="B15658" s="2" t="s">
        <v>15729</v>
      </c>
      <c r="C15658" s="2" t="str">
        <f>"10020160"</f>
        <v>10020160</v>
      </c>
      <c r="D15658" s="2">
        <v>0.59799999999999998</v>
      </c>
      <c r="E15658" s="2">
        <v>24</v>
      </c>
      <c r="F15658" s="2" t="s">
        <v>46</v>
      </c>
    </row>
    <row r="15659" spans="1:6" ht="25.5">
      <c r="A15659" s="2">
        <v>15656</v>
      </c>
      <c r="B15659" s="2" t="s">
        <v>15730</v>
      </c>
      <c r="C15659" s="2" t="str">
        <f>"19366450"</f>
        <v>19366450</v>
      </c>
      <c r="D15659" s="2">
        <v>0.49</v>
      </c>
      <c r="E15659" s="2">
        <v>6</v>
      </c>
      <c r="F15659" s="2" t="s">
        <v>6</v>
      </c>
    </row>
    <row r="15660" spans="1:6" ht="25.5">
      <c r="A15660" s="2">
        <v>15657</v>
      </c>
      <c r="B15660" s="2" t="s">
        <v>15731</v>
      </c>
      <c r="C15660" s="2" t="str">
        <f>"17783712"</f>
        <v>17783712</v>
      </c>
      <c r="D15660" s="2">
        <v>0.105</v>
      </c>
      <c r="E15660" s="2">
        <v>4</v>
      </c>
      <c r="F15660" s="2" t="s">
        <v>66</v>
      </c>
    </row>
    <row r="15661" spans="1:6" ht="25.5">
      <c r="A15661" s="2">
        <v>15658</v>
      </c>
      <c r="B15661" s="2" t="s">
        <v>15732</v>
      </c>
      <c r="C15661" s="2" t="str">
        <f>"00314331"</f>
        <v>00314331</v>
      </c>
      <c r="D15661" s="2">
        <v>0.10100000000000001</v>
      </c>
      <c r="E15661" s="2">
        <v>2</v>
      </c>
      <c r="F15661" s="2" t="s">
        <v>6</v>
      </c>
    </row>
    <row r="15662" spans="1:6" ht="25.5">
      <c r="A15662" s="2">
        <v>15659</v>
      </c>
      <c r="B15662" s="2" t="s">
        <v>15733</v>
      </c>
      <c r="C15662" s="2" t="str">
        <f>"15463427"</f>
        <v>15463427</v>
      </c>
      <c r="D15662" s="2">
        <v>0.10100000000000001</v>
      </c>
      <c r="E15662" s="2">
        <v>4</v>
      </c>
      <c r="F15662" s="2" t="s">
        <v>6</v>
      </c>
    </row>
    <row r="15663" spans="1:6" ht="25.5">
      <c r="A15663" s="2">
        <v>15660</v>
      </c>
      <c r="B15663" s="2" t="s">
        <v>15734</v>
      </c>
      <c r="C15663" s="2" t="str">
        <f>"00314439"</f>
        <v>00314439</v>
      </c>
      <c r="D15663" s="2">
        <v>0.1</v>
      </c>
      <c r="E15663" s="2">
        <v>3</v>
      </c>
      <c r="F15663" s="2" t="s">
        <v>6</v>
      </c>
    </row>
    <row r="15664" spans="1:6" ht="25.5">
      <c r="A15664" s="2">
        <v>15661</v>
      </c>
      <c r="B15664" s="2" t="s">
        <v>15735</v>
      </c>
      <c r="C15664" s="2" t="str">
        <f>"05535980"</f>
        <v>05535980</v>
      </c>
      <c r="D15664" s="2">
        <v>0.10100000000000001</v>
      </c>
      <c r="E15664" s="2">
        <v>3</v>
      </c>
      <c r="F15664" s="2" t="s">
        <v>6</v>
      </c>
    </row>
    <row r="15665" spans="1:6" ht="25.5">
      <c r="A15665" s="2">
        <v>15662</v>
      </c>
      <c r="B15665" s="2" t="s">
        <v>15736</v>
      </c>
      <c r="C15665" s="2" t="str">
        <f>"00314528"</f>
        <v>00314528</v>
      </c>
      <c r="D15665" s="2">
        <v>0.159</v>
      </c>
      <c r="E15665" s="2">
        <v>1</v>
      </c>
      <c r="F15665" s="2" t="s">
        <v>6</v>
      </c>
    </row>
    <row r="15666" spans="1:6" ht="25.5">
      <c r="A15666" s="2">
        <v>15663</v>
      </c>
      <c r="B15666" s="2" t="s">
        <v>15737</v>
      </c>
      <c r="C15666" s="2" t="str">
        <f>"00314587"</f>
        <v>00314587</v>
      </c>
      <c r="D15666" s="2">
        <v>0.105</v>
      </c>
      <c r="E15666" s="2">
        <v>3</v>
      </c>
      <c r="F15666" s="2" t="s">
        <v>6</v>
      </c>
    </row>
    <row r="15667" spans="1:6" ht="25.5">
      <c r="A15667" s="2">
        <v>15664</v>
      </c>
      <c r="B15667" s="2" t="s">
        <v>15738</v>
      </c>
      <c r="C15667" s="2" t="str">
        <f>"00314617"</f>
        <v>00314617</v>
      </c>
      <c r="D15667" s="2">
        <v>0.10299999999999999</v>
      </c>
      <c r="E15667" s="2">
        <v>3</v>
      </c>
      <c r="F15667" s="2" t="s">
        <v>6</v>
      </c>
    </row>
    <row r="15668" spans="1:6" ht="25.5">
      <c r="A15668" s="2">
        <v>15665</v>
      </c>
      <c r="B15668" s="2" t="s">
        <v>15739</v>
      </c>
      <c r="C15668" s="2" t="str">
        <f>"00314749"</f>
        <v>00314749</v>
      </c>
      <c r="D15668" s="2">
        <v>0.11</v>
      </c>
      <c r="E15668" s="2">
        <v>4</v>
      </c>
      <c r="F15668" s="2" t="s">
        <v>351</v>
      </c>
    </row>
    <row r="15669" spans="1:6" ht="25.5">
      <c r="A15669" s="2">
        <v>15666</v>
      </c>
      <c r="B15669" s="2" t="s">
        <v>15740</v>
      </c>
      <c r="C15669" s="2" t="str">
        <f>"00314773"</f>
        <v>00314773</v>
      </c>
      <c r="D15669" s="2">
        <v>0.1</v>
      </c>
      <c r="E15669" s="2">
        <v>1</v>
      </c>
      <c r="F15669" s="2" t="s">
        <v>66</v>
      </c>
    </row>
    <row r="15670" spans="1:6" ht="25.5">
      <c r="A15670" s="2">
        <v>15667</v>
      </c>
      <c r="B15670" s="2" t="s">
        <v>15741</v>
      </c>
      <c r="C15670" s="2" t="str">
        <f>"17821479"</f>
        <v>17821479</v>
      </c>
      <c r="D15670" s="2">
        <v>0.1</v>
      </c>
      <c r="E15670" s="2">
        <v>2</v>
      </c>
      <c r="F15670" s="2" t="s">
        <v>161</v>
      </c>
    </row>
    <row r="15671" spans="1:6" ht="25.5">
      <c r="A15671" s="2">
        <v>15668</v>
      </c>
      <c r="B15671" s="2" t="s">
        <v>15742</v>
      </c>
      <c r="C15671" s="2" t="str">
        <f>"1750208X"</f>
        <v>1750208X</v>
      </c>
      <c r="D15671" s="2">
        <v>0.188</v>
      </c>
      <c r="E15671" s="2">
        <v>3</v>
      </c>
      <c r="F15671" s="2" t="s">
        <v>16</v>
      </c>
    </row>
    <row r="15672" spans="1:6" ht="25.5">
      <c r="A15672" s="2">
        <v>15669</v>
      </c>
      <c r="B15672" s="2" t="s">
        <v>15743</v>
      </c>
      <c r="C15672" s="2" t="str">
        <f>"01969781"</f>
        <v>01969781</v>
      </c>
      <c r="D15672" s="2">
        <v>0.67200000000000004</v>
      </c>
      <c r="E15672" s="2">
        <v>78</v>
      </c>
      <c r="F15672" s="2" t="s">
        <v>6</v>
      </c>
    </row>
    <row r="15673" spans="1:6" ht="25.5">
      <c r="A15673" s="2">
        <v>15670</v>
      </c>
      <c r="B15673" s="2" t="s">
        <v>15744</v>
      </c>
      <c r="C15673" s="2" t="str">
        <f>"14684233"</f>
        <v>14684233</v>
      </c>
      <c r="D15673" s="2">
        <v>0.67700000000000005</v>
      </c>
      <c r="E15673" s="2">
        <v>54</v>
      </c>
      <c r="F15673" s="2" t="s">
        <v>16</v>
      </c>
    </row>
    <row r="15674" spans="1:6" ht="25.5">
      <c r="A15674" s="2">
        <v>15671</v>
      </c>
      <c r="B15674" s="2" t="s">
        <v>15745</v>
      </c>
      <c r="C15674" s="2" t="str">
        <f>"00315125"</f>
        <v>00315125</v>
      </c>
      <c r="D15674" s="2">
        <v>0.318</v>
      </c>
      <c r="E15674" s="2">
        <v>39</v>
      </c>
      <c r="F15674" s="2" t="s">
        <v>6</v>
      </c>
    </row>
    <row r="15675" spans="1:6" ht="25.5">
      <c r="A15675" s="2">
        <v>15672</v>
      </c>
      <c r="B15675" s="2" t="s">
        <v>15746</v>
      </c>
      <c r="C15675" s="2" t="str">
        <f>"01852698"</f>
        <v>01852698</v>
      </c>
      <c r="D15675" s="2">
        <v>0.161</v>
      </c>
      <c r="E15675" s="2">
        <v>2</v>
      </c>
      <c r="F15675" s="2" t="s">
        <v>200</v>
      </c>
    </row>
    <row r="15676" spans="1:6" ht="25.5">
      <c r="A15676" s="2">
        <v>15673</v>
      </c>
      <c r="B15676" s="2" t="s">
        <v>15747</v>
      </c>
      <c r="C15676" s="2" t="str">
        <f>"01887653"</f>
        <v>01887653</v>
      </c>
      <c r="D15676" s="2">
        <v>0.10199999999999999</v>
      </c>
      <c r="E15676" s="2">
        <v>1</v>
      </c>
      <c r="F15676" s="2" t="s">
        <v>200</v>
      </c>
    </row>
    <row r="15677" spans="1:6" ht="25.5">
      <c r="A15677" s="2">
        <v>15674</v>
      </c>
      <c r="B15677" s="2" t="s">
        <v>15748</v>
      </c>
      <c r="C15677" s="2" t="str">
        <f>"14776456"</f>
        <v>14776456</v>
      </c>
      <c r="D15677" s="2">
        <v>0.1</v>
      </c>
      <c r="E15677" s="2">
        <v>3</v>
      </c>
      <c r="F15677" s="2" t="s">
        <v>16</v>
      </c>
    </row>
    <row r="15678" spans="1:6" ht="25.5">
      <c r="A15678" s="2">
        <v>15675</v>
      </c>
      <c r="B15678" s="2" t="s">
        <v>15749</v>
      </c>
      <c r="C15678" s="2" t="str">
        <f>"22112669"</f>
        <v>22112669</v>
      </c>
      <c r="D15678" s="2">
        <v>0</v>
      </c>
      <c r="E15678" s="2">
        <v>0</v>
      </c>
      <c r="F15678" s="2" t="s">
        <v>75</v>
      </c>
    </row>
    <row r="15679" spans="1:6" ht="25.5">
      <c r="A15679" s="2">
        <v>15676</v>
      </c>
      <c r="B15679" s="2" t="s">
        <v>15750</v>
      </c>
      <c r="C15679" s="2" t="str">
        <f>"01665316"</f>
        <v>01665316</v>
      </c>
      <c r="D15679" s="2">
        <v>0.86499999999999999</v>
      </c>
      <c r="E15679" s="2">
        <v>40</v>
      </c>
      <c r="F15679" s="2" t="s">
        <v>75</v>
      </c>
    </row>
    <row r="15680" spans="1:6" ht="25.5">
      <c r="A15680" s="2">
        <v>15677</v>
      </c>
      <c r="B15680" s="2" t="s">
        <v>15751</v>
      </c>
      <c r="C15680" s="2" t="str">
        <f>"01635999"</f>
        <v>01635999</v>
      </c>
      <c r="D15680" s="2">
        <v>0.21199999999999999</v>
      </c>
      <c r="E15680" s="2">
        <v>28</v>
      </c>
      <c r="F15680" s="2" t="s">
        <v>6</v>
      </c>
    </row>
    <row r="15681" spans="1:6" ht="25.5">
      <c r="A15681" s="2">
        <v>15678</v>
      </c>
      <c r="B15681" s="2" t="s">
        <v>15752</v>
      </c>
      <c r="C15681" s="2" t="str">
        <f>"19378327"</f>
        <v>19378327</v>
      </c>
      <c r="D15681" s="2">
        <v>0.28100000000000003</v>
      </c>
      <c r="E15681" s="2">
        <v>5</v>
      </c>
      <c r="F15681" s="2" t="s">
        <v>6</v>
      </c>
    </row>
    <row r="15682" spans="1:6" ht="25.5">
      <c r="A15682" s="2">
        <v>15679</v>
      </c>
      <c r="B15682" s="2" t="s">
        <v>15753</v>
      </c>
      <c r="C15682" s="2" t="str">
        <f>"14678047"</f>
        <v>14678047</v>
      </c>
      <c r="D15682" s="2">
        <v>0.49199999999999999</v>
      </c>
      <c r="E15682" s="2">
        <v>10</v>
      </c>
      <c r="F15682" s="2" t="s">
        <v>16</v>
      </c>
    </row>
    <row r="15683" spans="1:6" ht="25.5">
      <c r="A15683" s="2">
        <v>15680</v>
      </c>
      <c r="B15683" s="2" t="s">
        <v>15754</v>
      </c>
      <c r="C15683" s="2" t="str">
        <f>"13528165"</f>
        <v>13528165</v>
      </c>
      <c r="D15683" s="2">
        <v>0.16200000000000001</v>
      </c>
      <c r="E15683" s="2">
        <v>5</v>
      </c>
      <c r="F15683" s="2" t="s">
        <v>16</v>
      </c>
    </row>
    <row r="15684" spans="1:6" ht="25.5">
      <c r="A15684" s="2">
        <v>15681</v>
      </c>
      <c r="B15684" s="2" t="s">
        <v>15755</v>
      </c>
      <c r="C15684" s="2" t="str">
        <f>"1477111X"</f>
        <v>1477111X</v>
      </c>
      <c r="D15684" s="2">
        <v>0.27</v>
      </c>
      <c r="E15684" s="2">
        <v>29</v>
      </c>
      <c r="F15684" s="2" t="s">
        <v>16</v>
      </c>
    </row>
    <row r="15685" spans="1:6" ht="25.5">
      <c r="A15685" s="2">
        <v>15682</v>
      </c>
      <c r="B15685" s="2" t="s">
        <v>15756</v>
      </c>
      <c r="C15685" s="2" t="str">
        <f>"14701804"</f>
        <v>14701804</v>
      </c>
      <c r="D15685" s="2">
        <v>0.114</v>
      </c>
      <c r="E15685" s="2">
        <v>2</v>
      </c>
      <c r="F15685" s="2" t="s">
        <v>16</v>
      </c>
    </row>
    <row r="15686" spans="1:6" ht="25.5">
      <c r="A15686" s="2">
        <v>15683</v>
      </c>
      <c r="B15686" s="2" t="s">
        <v>15757</v>
      </c>
      <c r="C15686" s="2" t="str">
        <f>"1224984X"</f>
        <v>1224984X</v>
      </c>
      <c r="D15686" s="2">
        <v>0.10100000000000001</v>
      </c>
      <c r="E15686" s="2">
        <v>1</v>
      </c>
      <c r="F15686" s="2" t="s">
        <v>19</v>
      </c>
    </row>
    <row r="15687" spans="1:6" ht="25.5">
      <c r="A15687" s="2">
        <v>15684</v>
      </c>
      <c r="B15687" s="2" t="s">
        <v>15758</v>
      </c>
      <c r="C15687" s="2" t="str">
        <f>"09722408"</f>
        <v>09722408</v>
      </c>
      <c r="D15687" s="2">
        <v>0.10100000000000001</v>
      </c>
      <c r="E15687" s="2">
        <v>2</v>
      </c>
      <c r="F15687" s="2" t="s">
        <v>488</v>
      </c>
    </row>
    <row r="15688" spans="1:6" ht="25.5">
      <c r="A15688" s="2">
        <v>15685</v>
      </c>
      <c r="B15688" s="2" t="s">
        <v>15759</v>
      </c>
      <c r="C15688" s="2" t="str">
        <f>"00315303"</f>
        <v>00315303</v>
      </c>
      <c r="D15688" s="2">
        <v>0.28599999999999998</v>
      </c>
      <c r="E15688" s="2">
        <v>13</v>
      </c>
      <c r="F15688" s="2" t="s">
        <v>75</v>
      </c>
    </row>
    <row r="15689" spans="1:6" ht="25.5">
      <c r="A15689" s="2">
        <v>15686</v>
      </c>
      <c r="B15689" s="2" t="s">
        <v>15760</v>
      </c>
      <c r="C15689" s="2" t="str">
        <f>"03245853"</f>
        <v>03245853</v>
      </c>
      <c r="D15689" s="2">
        <v>0.14299999999999999</v>
      </c>
      <c r="E15689" s="2">
        <v>7</v>
      </c>
      <c r="F15689" s="2" t="s">
        <v>135</v>
      </c>
    </row>
    <row r="15690" spans="1:6" ht="25.5">
      <c r="A15690" s="2">
        <v>15687</v>
      </c>
      <c r="B15690" s="2" t="s">
        <v>15761</v>
      </c>
      <c r="C15690" s="2" t="str">
        <f>"05536626"</f>
        <v>05536626</v>
      </c>
      <c r="D15690" s="2">
        <v>0.23699999999999999</v>
      </c>
      <c r="E15690" s="2">
        <v>6</v>
      </c>
      <c r="F15690" s="2" t="s">
        <v>135</v>
      </c>
    </row>
    <row r="15691" spans="1:6" ht="25.5">
      <c r="A15691" s="2">
        <v>15688</v>
      </c>
      <c r="B15691" s="2" t="s">
        <v>15762</v>
      </c>
      <c r="C15691" s="2" t="str">
        <f>"03246051"</f>
        <v>03246051</v>
      </c>
      <c r="D15691" s="2">
        <v>0.125</v>
      </c>
      <c r="E15691" s="2">
        <v>8</v>
      </c>
      <c r="F15691" s="2" t="s">
        <v>135</v>
      </c>
    </row>
    <row r="15692" spans="1:6" ht="25.5">
      <c r="A15692" s="2">
        <v>15689</v>
      </c>
      <c r="B15692" s="2" t="s">
        <v>15763</v>
      </c>
      <c r="C15692" s="2" t="str">
        <f>"14163837"</f>
        <v>14163837</v>
      </c>
      <c r="D15692" s="2">
        <v>0.129</v>
      </c>
      <c r="E15692" s="2">
        <v>4</v>
      </c>
      <c r="F15692" s="2" t="s">
        <v>135</v>
      </c>
    </row>
    <row r="15693" spans="1:6" ht="25.5">
      <c r="A15693" s="2">
        <v>15690</v>
      </c>
      <c r="B15693" s="2" t="s">
        <v>15764</v>
      </c>
      <c r="C15693" s="2" t="str">
        <f>"03037800"</f>
        <v>03037800</v>
      </c>
      <c r="D15693" s="2">
        <v>0.111</v>
      </c>
      <c r="E15693" s="2">
        <v>6</v>
      </c>
      <c r="F15693" s="2" t="s">
        <v>135</v>
      </c>
    </row>
    <row r="15694" spans="1:6" ht="25.5">
      <c r="A15694" s="2">
        <v>15691</v>
      </c>
      <c r="B15694" s="2" t="s">
        <v>15765</v>
      </c>
      <c r="C15694" s="2" t="str">
        <f>"03698963"</f>
        <v>03698963</v>
      </c>
      <c r="D15694" s="2">
        <v>0.39900000000000002</v>
      </c>
      <c r="E15694" s="2">
        <v>7</v>
      </c>
      <c r="F15694" s="2" t="s">
        <v>190</v>
      </c>
    </row>
    <row r="15695" spans="1:6" ht="25.5">
      <c r="A15695" s="2">
        <v>15692</v>
      </c>
      <c r="B15695" s="2" t="s">
        <v>15766</v>
      </c>
      <c r="C15695" s="2" t="str">
        <f>"21790302"</f>
        <v>21790302</v>
      </c>
      <c r="D15695" s="2">
        <v>0.10100000000000001</v>
      </c>
      <c r="E15695" s="2">
        <v>0</v>
      </c>
      <c r="F15695" s="2" t="s">
        <v>159</v>
      </c>
    </row>
    <row r="15696" spans="1:6" ht="25.5">
      <c r="A15696" s="2">
        <v>15693</v>
      </c>
      <c r="B15696" s="2" t="s">
        <v>15767</v>
      </c>
      <c r="C15696" s="2" t="str">
        <f>"00315362"</f>
        <v>00315362</v>
      </c>
      <c r="D15696" s="2">
        <v>0.121</v>
      </c>
      <c r="E15696" s="2">
        <v>11</v>
      </c>
      <c r="F15696" s="2" t="s">
        <v>149</v>
      </c>
    </row>
    <row r="15697" spans="1:6" ht="25.5">
      <c r="A15697" s="2">
        <v>15694</v>
      </c>
      <c r="B15697" s="2" t="s">
        <v>15768</v>
      </c>
      <c r="C15697" s="2" t="str">
        <f>"16000757"</f>
        <v>16000757</v>
      </c>
      <c r="D15697" s="2">
        <v>1.1120000000000001</v>
      </c>
      <c r="E15697" s="2">
        <v>66</v>
      </c>
      <c r="F15697" s="2" t="s">
        <v>163</v>
      </c>
    </row>
    <row r="15698" spans="1:6" ht="25.5">
      <c r="A15698" s="2">
        <v>15695</v>
      </c>
      <c r="B15698" s="2" t="s">
        <v>15769</v>
      </c>
      <c r="C15698" s="2" t="str">
        <f>"15567931"</f>
        <v>15567931</v>
      </c>
      <c r="D15698" s="2">
        <v>0.10100000000000001</v>
      </c>
      <c r="E15698" s="2">
        <v>4</v>
      </c>
      <c r="F15698" s="2" t="s">
        <v>6</v>
      </c>
    </row>
    <row r="15699" spans="1:6" ht="25.5">
      <c r="A15699" s="2">
        <v>15696</v>
      </c>
      <c r="B15699" s="2" t="s">
        <v>15770</v>
      </c>
      <c r="C15699" s="2" t="str">
        <f>"08968608"</f>
        <v>08968608</v>
      </c>
      <c r="D15699" s="2">
        <v>0.77300000000000002</v>
      </c>
      <c r="E15699" s="2">
        <v>55</v>
      </c>
      <c r="F15699" s="2" t="s">
        <v>64</v>
      </c>
    </row>
    <row r="15700" spans="1:6" ht="25.5">
      <c r="A15700" s="2">
        <v>15697</v>
      </c>
      <c r="B15700" s="2" t="s">
        <v>15771</v>
      </c>
      <c r="C15700" s="2" t="str">
        <f>"10991530"</f>
        <v>10991530</v>
      </c>
      <c r="D15700" s="2">
        <v>1.772</v>
      </c>
      <c r="E15700" s="2">
        <v>42</v>
      </c>
      <c r="F15700" s="2" t="s">
        <v>16</v>
      </c>
    </row>
    <row r="15701" spans="1:6" ht="25.5">
      <c r="A15701" s="2">
        <v>15698</v>
      </c>
      <c r="B15701" s="2" t="s">
        <v>15772</v>
      </c>
      <c r="C15701" s="2" t="str">
        <f>"16174909"</f>
        <v>16174909</v>
      </c>
      <c r="D15701" s="2">
        <v>1.05</v>
      </c>
      <c r="E15701" s="2">
        <v>25</v>
      </c>
      <c r="F15701" s="2" t="s">
        <v>16</v>
      </c>
    </row>
    <row r="15702" spans="1:6" ht="25.5">
      <c r="A15702" s="2">
        <v>15699</v>
      </c>
      <c r="B15702" s="2" t="s">
        <v>15773</v>
      </c>
      <c r="C15702" s="2" t="str">
        <f>"01918869"</f>
        <v>01918869</v>
      </c>
      <c r="D15702" s="2">
        <v>1.042</v>
      </c>
      <c r="E15702" s="2">
        <v>80</v>
      </c>
      <c r="F15702" s="2" t="s">
        <v>75</v>
      </c>
    </row>
    <row r="15703" spans="1:6" ht="25.5">
      <c r="A15703" s="2">
        <v>15700</v>
      </c>
      <c r="B15703" s="2" t="s">
        <v>15774</v>
      </c>
      <c r="C15703" s="2" t="str">
        <f>"1932863X"</f>
        <v>1932863X</v>
      </c>
      <c r="D15703" s="2">
        <v>0.313</v>
      </c>
      <c r="E15703" s="2">
        <v>6</v>
      </c>
      <c r="F15703" s="2" t="s">
        <v>16</v>
      </c>
    </row>
    <row r="15704" spans="1:6" ht="25.5">
      <c r="A15704" s="2">
        <v>15701</v>
      </c>
      <c r="B15704" s="2" t="s">
        <v>15775</v>
      </c>
      <c r="C15704" s="2" t="str">
        <f>"01461672"</f>
        <v>01461672</v>
      </c>
      <c r="D15704" s="2">
        <v>1.9950000000000001</v>
      </c>
      <c r="E15704" s="2">
        <v>99</v>
      </c>
      <c r="F15704" s="2" t="s">
        <v>6</v>
      </c>
    </row>
    <row r="15705" spans="1:6" ht="25.5">
      <c r="A15705" s="2">
        <v>15702</v>
      </c>
      <c r="B15705" s="2" t="s">
        <v>15776</v>
      </c>
      <c r="C15705" s="2" t="str">
        <f>"15327957"</f>
        <v>15327957</v>
      </c>
      <c r="D15705" s="2">
        <v>5.9</v>
      </c>
      <c r="E15705" s="2">
        <v>76</v>
      </c>
      <c r="F15705" s="2" t="s">
        <v>6</v>
      </c>
    </row>
    <row r="15706" spans="1:6" ht="25.5">
      <c r="A15706" s="2">
        <v>15703</v>
      </c>
      <c r="B15706" s="2" t="s">
        <v>15777</v>
      </c>
      <c r="C15706" s="2" t="str">
        <f>"19492723"</f>
        <v>19492723</v>
      </c>
      <c r="D15706" s="2">
        <v>1.992</v>
      </c>
      <c r="E15706" s="2">
        <v>10</v>
      </c>
      <c r="F15706" s="2" t="s">
        <v>6</v>
      </c>
    </row>
    <row r="15707" spans="1:6" ht="25.5">
      <c r="A15707" s="2">
        <v>15704</v>
      </c>
      <c r="B15707" s="2" t="s">
        <v>15778</v>
      </c>
      <c r="C15707" s="2" t="str">
        <f>"17410541"</f>
        <v>17410541</v>
      </c>
      <c r="D15707" s="2">
        <v>0.30099999999999999</v>
      </c>
      <c r="E15707" s="2">
        <v>12</v>
      </c>
      <c r="F15707" s="2" t="s">
        <v>16</v>
      </c>
    </row>
    <row r="15708" spans="1:6" ht="25.5">
      <c r="A15708" s="2">
        <v>15705</v>
      </c>
      <c r="B15708" s="2" t="s">
        <v>15779</v>
      </c>
      <c r="C15708" s="2" t="str">
        <f>"14756811"</f>
        <v>14756811</v>
      </c>
      <c r="D15708" s="2">
        <v>0.65900000000000003</v>
      </c>
      <c r="E15708" s="2">
        <v>41</v>
      </c>
      <c r="F15708" s="2" t="s">
        <v>16</v>
      </c>
    </row>
    <row r="15709" spans="1:6" ht="25.5">
      <c r="A15709" s="2">
        <v>15706</v>
      </c>
      <c r="B15709" s="2" t="s">
        <v>15780</v>
      </c>
      <c r="C15709" s="2" t="str">
        <f>"00315826"</f>
        <v>00315826</v>
      </c>
      <c r="D15709" s="2">
        <v>3.339</v>
      </c>
      <c r="E15709" s="2">
        <v>71</v>
      </c>
      <c r="F15709" s="2" t="s">
        <v>16</v>
      </c>
    </row>
    <row r="15710" spans="1:6" ht="25.5">
      <c r="A15710" s="2">
        <v>15707</v>
      </c>
      <c r="B15710" s="2" t="s">
        <v>15781</v>
      </c>
      <c r="C15710" s="2" t="str">
        <f>"00483486"</f>
        <v>00483486</v>
      </c>
      <c r="D15710" s="2">
        <v>0.57399999999999995</v>
      </c>
      <c r="E15710" s="2">
        <v>31</v>
      </c>
      <c r="F15710" s="2" t="s">
        <v>16</v>
      </c>
    </row>
    <row r="15711" spans="1:6" ht="25.5">
      <c r="A15711" s="2">
        <v>15708</v>
      </c>
      <c r="B15711" s="2" t="s">
        <v>15782</v>
      </c>
      <c r="C15711" s="2" t="str">
        <f>"00315850"</f>
        <v>00315850</v>
      </c>
      <c r="D15711" s="2">
        <v>1.98</v>
      </c>
      <c r="E15711" s="2">
        <v>18</v>
      </c>
      <c r="F15711" s="2" t="s">
        <v>75</v>
      </c>
    </row>
    <row r="15712" spans="1:6" ht="25.5">
      <c r="A15712" s="2">
        <v>15709</v>
      </c>
      <c r="B15712" s="2" t="s">
        <v>15783</v>
      </c>
      <c r="C15712" s="2" t="str">
        <f>"14139936"</f>
        <v>14139936</v>
      </c>
      <c r="D15712" s="2">
        <v>0.20499999999999999</v>
      </c>
      <c r="E15712" s="2">
        <v>3</v>
      </c>
      <c r="F15712" s="2" t="s">
        <v>159</v>
      </c>
    </row>
    <row r="15713" spans="1:6" ht="25.5">
      <c r="A15713" s="2">
        <v>15710</v>
      </c>
      <c r="B15713" s="2" t="s">
        <v>15784</v>
      </c>
      <c r="C15713" s="2" t="str">
        <f>"17081890"</f>
        <v>17081890</v>
      </c>
      <c r="D15713" s="2">
        <v>0.1</v>
      </c>
      <c r="E15713" s="2">
        <v>4</v>
      </c>
      <c r="F15713" s="2" t="s">
        <v>64</v>
      </c>
    </row>
    <row r="15714" spans="1:6" ht="25.5">
      <c r="A15714" s="2">
        <v>15711</v>
      </c>
      <c r="B15714" s="2" t="s">
        <v>15785</v>
      </c>
      <c r="C15714" s="2" t="str">
        <f>"18034551"</f>
        <v>18034551</v>
      </c>
      <c r="D15714" s="2">
        <v>0.11700000000000001</v>
      </c>
      <c r="E15714" s="2">
        <v>1</v>
      </c>
      <c r="F15714" s="2" t="s">
        <v>165</v>
      </c>
    </row>
    <row r="15715" spans="1:6" ht="25.5">
      <c r="A15715" s="2">
        <v>15712</v>
      </c>
      <c r="B15715" s="2" t="s">
        <v>15785</v>
      </c>
      <c r="C15715" s="2" t="str">
        <f>"17476623"</f>
        <v>17476623</v>
      </c>
      <c r="D15715" s="2">
        <v>0.20699999999999999</v>
      </c>
      <c r="E15715" s="2">
        <v>5</v>
      </c>
      <c r="F15715" s="2" t="s">
        <v>16</v>
      </c>
    </row>
    <row r="15716" spans="1:6" ht="25.5">
      <c r="A15716" s="2">
        <v>15713</v>
      </c>
      <c r="B15716" s="2" t="s">
        <v>15786</v>
      </c>
      <c r="C15716" s="2" t="str">
        <f>"15298795"</f>
        <v>15298795</v>
      </c>
      <c r="D15716" s="2">
        <v>0.33900000000000002</v>
      </c>
      <c r="E15716" s="2">
        <v>28</v>
      </c>
      <c r="F15716" s="2" t="s">
        <v>6</v>
      </c>
    </row>
    <row r="15717" spans="1:6" ht="25.5">
      <c r="A15717" s="2">
        <v>15714</v>
      </c>
      <c r="B15717" s="2" t="s">
        <v>15787</v>
      </c>
      <c r="C15717" s="2" t="str">
        <f>"02582236"</f>
        <v>02582236</v>
      </c>
      <c r="D15717" s="2">
        <v>0.27900000000000003</v>
      </c>
      <c r="E15717" s="2">
        <v>9</v>
      </c>
      <c r="F15717" s="2" t="s">
        <v>410</v>
      </c>
    </row>
    <row r="15718" spans="1:6" ht="25.5">
      <c r="A15718" s="2">
        <v>15715</v>
      </c>
      <c r="B15718" s="2" t="s">
        <v>15788</v>
      </c>
      <c r="C15718" s="2" t="str">
        <f>"15594122"</f>
        <v>15594122</v>
      </c>
      <c r="D15718" s="2">
        <v>0.40300000000000002</v>
      </c>
      <c r="E15718" s="2">
        <v>5</v>
      </c>
      <c r="F15718" s="2" t="s">
        <v>6</v>
      </c>
    </row>
    <row r="15719" spans="1:6" ht="25.5">
      <c r="A15719" s="2">
        <v>15716</v>
      </c>
      <c r="B15719" s="2" t="s">
        <v>15789</v>
      </c>
      <c r="C15719" s="2" t="str">
        <f>"11773910"</f>
        <v>11773910</v>
      </c>
      <c r="D15719" s="2">
        <v>0.33700000000000002</v>
      </c>
      <c r="E15719" s="2">
        <v>5</v>
      </c>
      <c r="F15719" s="2" t="s">
        <v>503</v>
      </c>
    </row>
    <row r="15720" spans="1:6" ht="25.5">
      <c r="A15720" s="2">
        <v>15717</v>
      </c>
      <c r="B15720" s="2" t="s">
        <v>15790</v>
      </c>
      <c r="C15720" s="2" t="str">
        <f>"2211968X"</f>
        <v>2211968X</v>
      </c>
      <c r="D15720" s="2">
        <v>0</v>
      </c>
      <c r="E15720" s="2">
        <v>1</v>
      </c>
      <c r="F15720" s="2" t="s">
        <v>12</v>
      </c>
    </row>
    <row r="15721" spans="1:6" ht="25.5">
      <c r="A15721" s="2">
        <v>15718</v>
      </c>
      <c r="B15721" s="2" t="s">
        <v>15791</v>
      </c>
      <c r="C15721" s="2" t="str">
        <f>"14338319"</f>
        <v>14338319</v>
      </c>
      <c r="D15721" s="2">
        <v>1.9059999999999999</v>
      </c>
      <c r="E15721" s="2">
        <v>42</v>
      </c>
      <c r="F15721" s="2" t="s">
        <v>12</v>
      </c>
    </row>
    <row r="15722" spans="1:6" ht="25.5">
      <c r="A15722" s="2">
        <v>15719</v>
      </c>
      <c r="B15722" s="2" t="s">
        <v>15792</v>
      </c>
      <c r="C15722" s="2" t="str">
        <f>"00315990"</f>
        <v>00315990</v>
      </c>
      <c r="D15722" s="2">
        <v>0.43099999999999999</v>
      </c>
      <c r="E15722" s="2">
        <v>18</v>
      </c>
      <c r="F15722" s="2" t="s">
        <v>16</v>
      </c>
    </row>
    <row r="15723" spans="1:6" ht="25.5">
      <c r="A15723" s="2">
        <v>15720</v>
      </c>
      <c r="B15723" s="2" t="s">
        <v>15793</v>
      </c>
      <c r="C15723" s="2" t="str">
        <f>"17579147"</f>
        <v>17579147</v>
      </c>
      <c r="D15723" s="2">
        <v>0.23100000000000001</v>
      </c>
      <c r="E15723" s="2">
        <v>6</v>
      </c>
      <c r="F15723" s="2" t="s">
        <v>16</v>
      </c>
    </row>
    <row r="15724" spans="1:6" ht="25.5">
      <c r="A15724" s="2">
        <v>15721</v>
      </c>
      <c r="B15724" s="2" t="s">
        <v>15794</v>
      </c>
      <c r="C15724" s="2" t="str">
        <f>"22107622"</f>
        <v>22107622</v>
      </c>
      <c r="D15724" s="2">
        <v>0.11600000000000001</v>
      </c>
      <c r="E15724" s="2">
        <v>1</v>
      </c>
      <c r="F15724" s="2" t="s">
        <v>75</v>
      </c>
    </row>
    <row r="15725" spans="1:6" ht="25.5">
      <c r="A15725" s="2">
        <v>15722</v>
      </c>
      <c r="B15725" s="2" t="s">
        <v>15795</v>
      </c>
      <c r="C15725" s="2" t="str">
        <f>"15310035"</f>
        <v>15310035</v>
      </c>
      <c r="D15725" s="2">
        <v>0.623</v>
      </c>
      <c r="E15725" s="2">
        <v>15</v>
      </c>
      <c r="F15725" s="2" t="s">
        <v>6</v>
      </c>
    </row>
    <row r="15726" spans="1:6" ht="25.5">
      <c r="A15726" s="2">
        <v>15723</v>
      </c>
      <c r="B15726" s="2" t="s">
        <v>15796</v>
      </c>
      <c r="C15726" s="2" t="str">
        <f>"15705854"</f>
        <v>15705854</v>
      </c>
      <c r="D15726" s="2">
        <v>0.19700000000000001</v>
      </c>
      <c r="E15726" s="2">
        <v>5</v>
      </c>
      <c r="F15726" s="2" t="s">
        <v>75</v>
      </c>
    </row>
    <row r="15727" spans="1:6" ht="25.5">
      <c r="A15727" s="2">
        <v>15724</v>
      </c>
      <c r="B15727" s="2" t="s">
        <v>15797</v>
      </c>
      <c r="C15727" s="2" t="str">
        <f>"15691500"</f>
        <v>15691500</v>
      </c>
      <c r="D15727" s="2">
        <v>0.156</v>
      </c>
      <c r="E15727" s="2">
        <v>6</v>
      </c>
      <c r="F15727" s="2" t="s">
        <v>75</v>
      </c>
    </row>
    <row r="15728" spans="1:6" ht="25.5">
      <c r="A15728" s="2">
        <v>15725</v>
      </c>
      <c r="B15728" s="2" t="s">
        <v>15798</v>
      </c>
      <c r="C15728" s="2" t="str">
        <f>"08408750"</f>
        <v>08408750</v>
      </c>
      <c r="D15728" s="2">
        <v>0.15</v>
      </c>
      <c r="E15728" s="2">
        <v>10</v>
      </c>
      <c r="F15728" s="2" t="s">
        <v>64</v>
      </c>
    </row>
    <row r="15729" spans="1:6" ht="25.5">
      <c r="A15729" s="2">
        <v>15726</v>
      </c>
      <c r="B15729" s="2" t="s">
        <v>15799</v>
      </c>
      <c r="C15729" s="2" t="str">
        <f>"10457097"</f>
        <v>10457097</v>
      </c>
      <c r="D15729" s="2">
        <v>0.1</v>
      </c>
      <c r="E15729" s="2">
        <v>1</v>
      </c>
      <c r="F15729" s="2" t="s">
        <v>16</v>
      </c>
    </row>
    <row r="15730" spans="1:6" ht="25.5">
      <c r="A15730" s="2">
        <v>15727</v>
      </c>
      <c r="B15730" s="2" t="s">
        <v>15800</v>
      </c>
      <c r="C15730" s="2" t="str">
        <f>"15375927"</f>
        <v>15375927</v>
      </c>
      <c r="D15730" s="2">
        <v>1.5509999999999999</v>
      </c>
      <c r="E15730" s="2">
        <v>19</v>
      </c>
      <c r="F15730" s="2" t="s">
        <v>16</v>
      </c>
    </row>
    <row r="15731" spans="1:6" ht="25.5">
      <c r="A15731" s="2">
        <v>15728</v>
      </c>
      <c r="B15731" s="2" t="s">
        <v>15801</v>
      </c>
      <c r="C15731" s="2" t="str">
        <f>"17456924"</f>
        <v>17456924</v>
      </c>
      <c r="D15731" s="2">
        <v>3.1440000000000001</v>
      </c>
      <c r="E15731" s="2">
        <v>21</v>
      </c>
      <c r="F15731" s="2" t="s">
        <v>6</v>
      </c>
    </row>
    <row r="15732" spans="1:6" ht="25.5">
      <c r="A15732" s="2">
        <v>15729</v>
      </c>
      <c r="B15732" s="2" t="s">
        <v>15802</v>
      </c>
      <c r="C15732" s="2" t="str">
        <f>"15309274"</f>
        <v>15309274</v>
      </c>
      <c r="D15732" s="2">
        <v>0.16300000000000001</v>
      </c>
      <c r="E15732" s="2">
        <v>11</v>
      </c>
      <c r="F15732" s="2" t="s">
        <v>6</v>
      </c>
    </row>
    <row r="15733" spans="1:6" ht="25.5">
      <c r="A15733" s="2">
        <v>15730</v>
      </c>
      <c r="B15733" s="2" t="s">
        <v>15803</v>
      </c>
      <c r="C15733" s="2" t="str">
        <f>"15386341"</f>
        <v>15386341</v>
      </c>
      <c r="D15733" s="2">
        <v>0.86499999999999999</v>
      </c>
      <c r="E15733" s="2">
        <v>60</v>
      </c>
      <c r="F15733" s="2" t="s">
        <v>16</v>
      </c>
    </row>
    <row r="15734" spans="1:6" ht="25.5">
      <c r="A15734" s="2">
        <v>15731</v>
      </c>
      <c r="B15734" s="2" t="s">
        <v>15804</v>
      </c>
      <c r="C15734" s="2" t="str">
        <f>"14682516"</f>
        <v>14682516</v>
      </c>
      <c r="D15734" s="2">
        <v>0.21299999999999999</v>
      </c>
      <c r="E15734" s="2">
        <v>6</v>
      </c>
      <c r="F15734" s="2" t="s">
        <v>16</v>
      </c>
    </row>
    <row r="15735" spans="1:6" ht="25.5">
      <c r="A15735" s="2">
        <v>15732</v>
      </c>
      <c r="B15735" s="2" t="s">
        <v>15805</v>
      </c>
      <c r="C15735" s="2" t="str">
        <f>"01287680"</f>
        <v>01287680</v>
      </c>
      <c r="D15735" s="2">
        <v>0.111</v>
      </c>
      <c r="E15735" s="2">
        <v>2</v>
      </c>
      <c r="F15735" s="2" t="s">
        <v>37</v>
      </c>
    </row>
    <row r="15736" spans="1:6" ht="25.5">
      <c r="A15736" s="2">
        <v>15733</v>
      </c>
      <c r="B15736" s="2" t="s">
        <v>15806</v>
      </c>
      <c r="C15736" s="2" t="str">
        <f>"01287702"</f>
        <v>01287702</v>
      </c>
      <c r="D15736" s="2">
        <v>0.151</v>
      </c>
      <c r="E15736" s="2">
        <v>2</v>
      </c>
      <c r="F15736" s="2" t="s">
        <v>37</v>
      </c>
    </row>
    <row r="15737" spans="1:6" ht="25.5">
      <c r="A15737" s="2">
        <v>15734</v>
      </c>
      <c r="B15737" s="2" t="s">
        <v>15807</v>
      </c>
      <c r="C15737" s="2" t="str">
        <f>"15113701"</f>
        <v>15113701</v>
      </c>
      <c r="D15737" s="2">
        <v>0.15</v>
      </c>
      <c r="E15737" s="2">
        <v>4</v>
      </c>
      <c r="F15737" s="2" t="s">
        <v>37</v>
      </c>
    </row>
    <row r="15738" spans="1:6" ht="25.5">
      <c r="A15738" s="2">
        <v>15735</v>
      </c>
      <c r="B15738" s="2" t="s">
        <v>15808</v>
      </c>
      <c r="C15738" s="2" t="str">
        <f>"15741192"</f>
        <v>15741192</v>
      </c>
      <c r="D15738" s="2">
        <v>1.2689999999999999</v>
      </c>
      <c r="E15738" s="2">
        <v>24</v>
      </c>
      <c r="F15738" s="2" t="s">
        <v>75</v>
      </c>
    </row>
    <row r="15739" spans="1:6" ht="25.5">
      <c r="A15739" s="2">
        <v>15736</v>
      </c>
      <c r="B15739" s="2" t="s">
        <v>15809</v>
      </c>
      <c r="C15739" s="2" t="str">
        <f>"16783921"</f>
        <v>16783921</v>
      </c>
      <c r="D15739" s="2">
        <v>0.61299999999999999</v>
      </c>
      <c r="E15739" s="2">
        <v>29</v>
      </c>
      <c r="F15739" s="2" t="s">
        <v>159</v>
      </c>
    </row>
    <row r="15740" spans="1:6" ht="25.5">
      <c r="A15740" s="2">
        <v>15737</v>
      </c>
      <c r="B15740" s="2" t="s">
        <v>15810</v>
      </c>
      <c r="C15740" s="2" t="str">
        <f>"15176398"</f>
        <v>15176398</v>
      </c>
      <c r="D15740" s="2">
        <v>0.26800000000000002</v>
      </c>
      <c r="E15740" s="2">
        <v>3</v>
      </c>
      <c r="F15740" s="2" t="s">
        <v>159</v>
      </c>
    </row>
    <row r="15741" spans="1:6" ht="25.5">
      <c r="A15741" s="2">
        <v>15738</v>
      </c>
      <c r="B15741" s="2" t="s">
        <v>15811</v>
      </c>
      <c r="C15741" s="2" t="str">
        <f>"19834632"</f>
        <v>19834632</v>
      </c>
      <c r="D15741" s="2">
        <v>0.14099999999999999</v>
      </c>
      <c r="E15741" s="2">
        <v>2</v>
      </c>
      <c r="F15741" s="2" t="s">
        <v>159</v>
      </c>
    </row>
    <row r="15742" spans="1:6" ht="25.5">
      <c r="A15742" s="2">
        <v>15739</v>
      </c>
      <c r="B15742" s="2" t="s">
        <v>15812</v>
      </c>
      <c r="C15742" s="2" t="str">
        <f>"15177491"</f>
        <v>15177491</v>
      </c>
      <c r="D15742" s="2">
        <v>0.375</v>
      </c>
      <c r="E15742" s="2">
        <v>18</v>
      </c>
      <c r="F15742" s="2" t="s">
        <v>159</v>
      </c>
    </row>
    <row r="15743" spans="1:6" ht="25.5">
      <c r="A15743" s="2">
        <v>15740</v>
      </c>
      <c r="B15743" s="2" t="s">
        <v>15813</v>
      </c>
      <c r="C15743" s="2" t="str">
        <f>"01017438"</f>
        <v>01017438</v>
      </c>
      <c r="D15743" s="2">
        <v>0.30499999999999999</v>
      </c>
      <c r="E15743" s="2">
        <v>6</v>
      </c>
      <c r="F15743" s="2" t="s">
        <v>159</v>
      </c>
    </row>
    <row r="15744" spans="1:6" ht="25.5">
      <c r="A15744" s="2">
        <v>15741</v>
      </c>
      <c r="B15744" s="2" t="s">
        <v>15814</v>
      </c>
      <c r="C15744" s="2" t="str">
        <f>"15182398"</f>
        <v>15182398</v>
      </c>
      <c r="D15744" s="2">
        <v>0.13800000000000001</v>
      </c>
      <c r="E15744" s="2">
        <v>2</v>
      </c>
      <c r="F15744" s="2" t="s">
        <v>159</v>
      </c>
    </row>
    <row r="15745" spans="1:6" ht="25.5">
      <c r="A15745" s="2">
        <v>15742</v>
      </c>
      <c r="B15745" s="2" t="s">
        <v>15815</v>
      </c>
      <c r="C15745" s="2" t="str">
        <f>"0100736X"</f>
        <v>0100736X</v>
      </c>
      <c r="D15745" s="2">
        <v>0.32400000000000001</v>
      </c>
      <c r="E15745" s="2">
        <v>18</v>
      </c>
      <c r="F15745" s="2" t="s">
        <v>159</v>
      </c>
    </row>
    <row r="15746" spans="1:6" ht="25.5">
      <c r="A15746" s="2">
        <v>15743</v>
      </c>
      <c r="B15746" s="2" t="s">
        <v>15816</v>
      </c>
      <c r="C15746" s="2" t="str">
        <f>"10959939"</f>
        <v>10959939</v>
      </c>
      <c r="D15746" s="2">
        <v>0.76900000000000002</v>
      </c>
      <c r="E15746" s="2">
        <v>41</v>
      </c>
      <c r="F15746" s="2" t="s">
        <v>6</v>
      </c>
    </row>
    <row r="15747" spans="1:6" ht="25.5">
      <c r="A15747" s="2">
        <v>15744</v>
      </c>
      <c r="B15747" s="2" t="s">
        <v>15817</v>
      </c>
      <c r="C15747" s="2" t="str">
        <f>"1526498X"</f>
        <v>1526498X</v>
      </c>
      <c r="D15747" s="2">
        <v>0.99</v>
      </c>
      <c r="E15747" s="2">
        <v>64</v>
      </c>
      <c r="F15747" s="2" t="s">
        <v>16</v>
      </c>
    </row>
    <row r="15748" spans="1:6" ht="25.5">
      <c r="A15748" s="2">
        <v>15745</v>
      </c>
      <c r="B15748" s="2" t="s">
        <v>15818</v>
      </c>
      <c r="C15748" s="2" t="str">
        <f>"09703012"</f>
        <v>09703012</v>
      </c>
      <c r="D15748" s="2">
        <v>0.158</v>
      </c>
      <c r="E15748" s="2">
        <v>9</v>
      </c>
      <c r="F15748" s="2" t="s">
        <v>488</v>
      </c>
    </row>
    <row r="15749" spans="1:6" ht="25.5">
      <c r="A15749" s="2">
        <v>15746</v>
      </c>
      <c r="B15749" s="2" t="s">
        <v>15819</v>
      </c>
      <c r="C15749" s="2" t="str">
        <f>"15568598"</f>
        <v>15568598</v>
      </c>
      <c r="D15749" s="2">
        <v>0.24</v>
      </c>
      <c r="E15749" s="2">
        <v>10</v>
      </c>
      <c r="F15749" s="2" t="s">
        <v>16</v>
      </c>
    </row>
    <row r="15750" spans="1:6" ht="25.5">
      <c r="A15750" s="2">
        <v>15747</v>
      </c>
      <c r="B15750" s="2" t="s">
        <v>15820</v>
      </c>
      <c r="C15750" s="2" t="str">
        <f>"13377027"</f>
        <v>13377027</v>
      </c>
      <c r="D15750" s="2">
        <v>0.13300000000000001</v>
      </c>
      <c r="E15750" s="2">
        <v>1</v>
      </c>
      <c r="F15750" s="2" t="s">
        <v>241</v>
      </c>
    </row>
    <row r="15751" spans="1:6" ht="25.5">
      <c r="A15751" s="2">
        <v>15748</v>
      </c>
      <c r="B15751" s="2" t="s">
        <v>15821</v>
      </c>
      <c r="C15751" s="2" t="str">
        <f>"09655441"</f>
        <v>09655441</v>
      </c>
      <c r="D15751" s="2">
        <v>0.25600000000000001</v>
      </c>
      <c r="E15751" s="2">
        <v>7</v>
      </c>
      <c r="F15751" s="2" t="s">
        <v>129</v>
      </c>
    </row>
    <row r="15752" spans="1:6" ht="25.5">
      <c r="A15752" s="2">
        <v>15749</v>
      </c>
      <c r="B15752" s="2" t="s">
        <v>15822</v>
      </c>
      <c r="C15752" s="2" t="str">
        <f>"18763804"</f>
        <v>18763804</v>
      </c>
      <c r="D15752" s="2">
        <v>1.7110000000000001</v>
      </c>
      <c r="E15752" s="2">
        <v>16</v>
      </c>
      <c r="F15752" s="2" t="s">
        <v>75</v>
      </c>
    </row>
    <row r="15753" spans="1:6" ht="25.5">
      <c r="A15753" s="2">
        <v>15750</v>
      </c>
      <c r="B15753" s="2" t="s">
        <v>15823</v>
      </c>
      <c r="C15753" s="2" t="str">
        <f>"13540793"</f>
        <v>13540793</v>
      </c>
      <c r="D15753" s="2">
        <v>0.83699999999999997</v>
      </c>
      <c r="E15753" s="2">
        <v>31</v>
      </c>
      <c r="F15753" s="2" t="s">
        <v>16</v>
      </c>
    </row>
    <row r="15754" spans="1:6" ht="25.5">
      <c r="A15754" s="2">
        <v>15751</v>
      </c>
      <c r="B15754" s="2" t="s">
        <v>15824</v>
      </c>
      <c r="C15754" s="2" t="str">
        <f>"1002106X"</f>
        <v>1002106X</v>
      </c>
      <c r="D15754" s="2">
        <v>0</v>
      </c>
      <c r="E15754" s="2">
        <v>6</v>
      </c>
      <c r="F15754" s="2" t="s">
        <v>46</v>
      </c>
    </row>
    <row r="15755" spans="1:6" ht="25.5">
      <c r="A15755" s="2">
        <v>15752</v>
      </c>
      <c r="B15755" s="2" t="s">
        <v>15825</v>
      </c>
      <c r="C15755" s="2" t="str">
        <f>"19958226"</f>
        <v>19958226</v>
      </c>
      <c r="D15755" s="2">
        <v>0.45900000000000002</v>
      </c>
      <c r="E15755" s="2">
        <v>7</v>
      </c>
      <c r="F15755" s="2" t="s">
        <v>46</v>
      </c>
    </row>
    <row r="15756" spans="1:6" ht="25.5">
      <c r="A15756" s="2">
        <v>15753</v>
      </c>
      <c r="B15756" s="2" t="s">
        <v>15826</v>
      </c>
      <c r="C15756" s="2" t="str">
        <f>"15322459"</f>
        <v>15322459</v>
      </c>
      <c r="D15756" s="2">
        <v>0.26400000000000001</v>
      </c>
      <c r="E15756" s="2">
        <v>23</v>
      </c>
      <c r="F15756" s="2" t="s">
        <v>16</v>
      </c>
    </row>
    <row r="15757" spans="1:6" ht="25.5">
      <c r="A15757" s="2">
        <v>15754</v>
      </c>
      <c r="B15757" s="2" t="s">
        <v>15827</v>
      </c>
      <c r="C15757" s="2" t="str">
        <f>"1362363X"</f>
        <v>1362363X</v>
      </c>
      <c r="D15757" s="2">
        <v>0.115</v>
      </c>
      <c r="E15757" s="2">
        <v>7</v>
      </c>
      <c r="F15757" s="2" t="s">
        <v>16</v>
      </c>
    </row>
    <row r="15758" spans="1:6" ht="25.5">
      <c r="A15758" s="2">
        <v>15755</v>
      </c>
      <c r="B15758" s="2" t="s">
        <v>15828</v>
      </c>
      <c r="C15758" s="2" t="str">
        <f>"08695911"</f>
        <v>08695911</v>
      </c>
      <c r="D15758" s="2">
        <v>0.61399999999999999</v>
      </c>
      <c r="E15758" s="2">
        <v>20</v>
      </c>
      <c r="F15758" s="2" t="s">
        <v>129</v>
      </c>
    </row>
    <row r="15759" spans="1:6" ht="25.5">
      <c r="A15759" s="2">
        <v>15756</v>
      </c>
      <c r="B15759" s="2" t="s">
        <v>15829</v>
      </c>
      <c r="C15759" s="2" t="str">
        <f>"15299074"</f>
        <v>15299074</v>
      </c>
      <c r="D15759" s="2">
        <v>0.30599999999999999</v>
      </c>
      <c r="E15759" s="2">
        <v>18</v>
      </c>
      <c r="F15759" s="2" t="s">
        <v>6</v>
      </c>
    </row>
    <row r="15760" spans="1:6" ht="25.5">
      <c r="A15760" s="2">
        <v>15757</v>
      </c>
      <c r="B15760" s="2" t="s">
        <v>15830</v>
      </c>
      <c r="C15760" s="2" t="str">
        <f>"01777726"</f>
        <v>01777726</v>
      </c>
      <c r="D15760" s="2">
        <v>0.13800000000000001</v>
      </c>
      <c r="E15760" s="2">
        <v>15</v>
      </c>
      <c r="F15760" s="2" t="s">
        <v>12</v>
      </c>
    </row>
    <row r="15761" spans="1:6" ht="25.5">
      <c r="A15761" s="2">
        <v>15758</v>
      </c>
      <c r="B15761" s="2" t="s">
        <v>15831</v>
      </c>
      <c r="C15761" s="2" t="str">
        <f>"10125302"</f>
        <v>10125302</v>
      </c>
      <c r="D15761" s="2">
        <v>0.158</v>
      </c>
      <c r="E15761" s="2">
        <v>6</v>
      </c>
      <c r="F15761" s="2" t="s">
        <v>31</v>
      </c>
    </row>
    <row r="15762" spans="1:6" ht="25.5">
      <c r="A15762" s="2">
        <v>15759</v>
      </c>
      <c r="B15762" s="2" t="s">
        <v>15832</v>
      </c>
      <c r="C15762" s="2" t="str">
        <f>"09451129"</f>
        <v>09451129</v>
      </c>
      <c r="D15762" s="2">
        <v>0.10199999999999999</v>
      </c>
      <c r="E15762" s="2">
        <v>4</v>
      </c>
      <c r="F15762" s="2" t="s">
        <v>12</v>
      </c>
    </row>
    <row r="15763" spans="1:6" ht="25.5">
      <c r="A15763" s="2">
        <v>15760</v>
      </c>
      <c r="B15763" s="2" t="s">
        <v>15833</v>
      </c>
      <c r="C15763" s="2" t="str">
        <f>"14322013"</f>
        <v>14322013</v>
      </c>
      <c r="D15763" s="2">
        <v>1.764</v>
      </c>
      <c r="E15763" s="2">
        <v>87</v>
      </c>
      <c r="F15763" s="2" t="s">
        <v>12</v>
      </c>
    </row>
    <row r="15764" spans="1:6" ht="25.5">
      <c r="A15764" s="2">
        <v>15761</v>
      </c>
      <c r="B15764" s="2" t="s">
        <v>15834</v>
      </c>
      <c r="C15764" s="2" t="str">
        <f>"13183362"</f>
        <v>13183362</v>
      </c>
      <c r="D15764" s="2">
        <v>0.1</v>
      </c>
      <c r="E15764" s="2">
        <v>1</v>
      </c>
      <c r="F15764" s="2" t="s">
        <v>154</v>
      </c>
    </row>
    <row r="15765" spans="1:6" ht="25.5">
      <c r="A15765" s="2">
        <v>15762</v>
      </c>
      <c r="B15765" s="2" t="s">
        <v>15835</v>
      </c>
      <c r="C15765" s="2" t="str">
        <f>"00316857"</f>
        <v>00316857</v>
      </c>
      <c r="D15765" s="2">
        <v>0.10100000000000001</v>
      </c>
      <c r="E15765" s="2">
        <v>4</v>
      </c>
      <c r="F15765" s="2" t="s">
        <v>149</v>
      </c>
    </row>
    <row r="15766" spans="1:6" ht="25.5">
      <c r="A15766" s="2">
        <v>15763</v>
      </c>
      <c r="B15766" s="2" t="s">
        <v>15836</v>
      </c>
      <c r="C15766" s="2" t="str">
        <f>"17445116"</f>
        <v>17445116</v>
      </c>
      <c r="D15766" s="2">
        <v>0.38900000000000001</v>
      </c>
      <c r="E15766" s="2">
        <v>33</v>
      </c>
      <c r="F15766" s="2" t="s">
        <v>16</v>
      </c>
    </row>
    <row r="15767" spans="1:6" ht="25.5">
      <c r="A15767" s="2">
        <v>15764</v>
      </c>
      <c r="B15767" s="2" t="s">
        <v>15837</v>
      </c>
      <c r="C15767" s="2" t="str">
        <f>"10780467"</f>
        <v>10780467</v>
      </c>
      <c r="D15767" s="2">
        <v>0.10199999999999999</v>
      </c>
      <c r="E15767" s="2">
        <v>18</v>
      </c>
      <c r="F15767" s="2" t="s">
        <v>6</v>
      </c>
    </row>
    <row r="15768" spans="1:6" ht="25.5">
      <c r="A15768" s="2">
        <v>15765</v>
      </c>
      <c r="B15768" s="2" t="s">
        <v>15838</v>
      </c>
      <c r="C15768" s="2" t="str">
        <f>"16712838"</f>
        <v>16712838</v>
      </c>
      <c r="D15768" s="2">
        <v>0.19</v>
      </c>
      <c r="E15768" s="2">
        <v>5</v>
      </c>
      <c r="F15768" s="2" t="s">
        <v>46</v>
      </c>
    </row>
    <row r="15769" spans="1:6" ht="25.5">
      <c r="A15769" s="2">
        <v>15766</v>
      </c>
      <c r="B15769" s="2" t="s">
        <v>15839</v>
      </c>
      <c r="C15769" s="2" t="str">
        <f>"11396202"</f>
        <v>11396202</v>
      </c>
      <c r="D15769" s="2">
        <v>0.186</v>
      </c>
      <c r="E15769" s="2">
        <v>7</v>
      </c>
      <c r="F15769" s="2" t="s">
        <v>351</v>
      </c>
    </row>
    <row r="15770" spans="1:6" ht="25.5">
      <c r="A15770" s="2">
        <v>15767</v>
      </c>
      <c r="B15770" s="2" t="s">
        <v>15840</v>
      </c>
      <c r="C15770" s="2" t="str">
        <f>"15739031"</f>
        <v>15739031</v>
      </c>
      <c r="D15770" s="2">
        <v>0.14199999999999999</v>
      </c>
      <c r="E15770" s="2">
        <v>13</v>
      </c>
      <c r="F15770" s="2" t="s">
        <v>6</v>
      </c>
    </row>
    <row r="15771" spans="1:6" ht="25.5">
      <c r="A15771" s="2">
        <v>15768</v>
      </c>
      <c r="B15771" s="2" t="s">
        <v>15841</v>
      </c>
      <c r="C15771" s="2" t="str">
        <f>"10979867"</f>
        <v>10979867</v>
      </c>
      <c r="D15771" s="2">
        <v>0.50700000000000001</v>
      </c>
      <c r="E15771" s="2">
        <v>35</v>
      </c>
      <c r="F15771" s="2" t="s">
        <v>16</v>
      </c>
    </row>
    <row r="15772" spans="1:6" ht="25.5">
      <c r="A15772" s="2">
        <v>15769</v>
      </c>
      <c r="B15772" s="2" t="s">
        <v>15842</v>
      </c>
      <c r="C15772" s="2" t="str">
        <f>"02738139"</f>
        <v>02738139</v>
      </c>
      <c r="D15772" s="2">
        <v>0.16900000000000001</v>
      </c>
      <c r="E15772" s="2">
        <v>9</v>
      </c>
      <c r="F15772" s="2" t="s">
        <v>6</v>
      </c>
    </row>
    <row r="15773" spans="1:6" ht="25.5">
      <c r="A15773" s="2">
        <v>15770</v>
      </c>
      <c r="B15773" s="2" t="s">
        <v>15843</v>
      </c>
      <c r="C15773" s="2" t="str">
        <f>"00791393"</f>
        <v>00791393</v>
      </c>
      <c r="D15773" s="2">
        <v>0.104</v>
      </c>
      <c r="E15773" s="2">
        <v>3</v>
      </c>
      <c r="F15773" s="2" t="s">
        <v>16</v>
      </c>
    </row>
    <row r="15774" spans="1:6" ht="25.5">
      <c r="A15774" s="2">
        <v>15771</v>
      </c>
      <c r="B15774" s="2" t="s">
        <v>15844</v>
      </c>
      <c r="C15774" s="2" t="str">
        <f>"00316873"</f>
        <v>00316873</v>
      </c>
      <c r="D15774" s="2">
        <v>0.128</v>
      </c>
      <c r="E15774" s="2">
        <v>21</v>
      </c>
      <c r="F15774" s="2" t="s">
        <v>16</v>
      </c>
    </row>
    <row r="15775" spans="1:6" ht="25.5">
      <c r="A15775" s="2">
        <v>15772</v>
      </c>
      <c r="B15775" s="2" t="s">
        <v>15845</v>
      </c>
      <c r="C15775" s="2" t="str">
        <f>"14735679"</f>
        <v>14735679</v>
      </c>
      <c r="D15775" s="2">
        <v>0.192</v>
      </c>
      <c r="E15775" s="2">
        <v>10</v>
      </c>
      <c r="F15775" s="2" t="s">
        <v>16</v>
      </c>
    </row>
    <row r="15776" spans="1:6" ht="25.5">
      <c r="A15776" s="2">
        <v>15773</v>
      </c>
      <c r="B15776" s="2" t="s">
        <v>15846</v>
      </c>
      <c r="C15776" s="2" t="str">
        <f>"19453345"</f>
        <v>19453345</v>
      </c>
      <c r="D15776" s="2">
        <v>0.11600000000000001</v>
      </c>
      <c r="E15776" s="2">
        <v>4</v>
      </c>
      <c r="F15776" s="2" t="s">
        <v>6</v>
      </c>
    </row>
    <row r="15777" spans="1:6" ht="25.5">
      <c r="A15777" s="2">
        <v>15774</v>
      </c>
      <c r="B15777" s="2" t="s">
        <v>15847</v>
      </c>
      <c r="C15777" s="2" t="str">
        <f>"1573904X"</f>
        <v>1573904X</v>
      </c>
      <c r="D15777" s="2">
        <v>1.5820000000000001</v>
      </c>
      <c r="E15777" s="2">
        <v>128</v>
      </c>
      <c r="F15777" s="2" t="s">
        <v>6</v>
      </c>
    </row>
    <row r="15778" spans="1:6" ht="25.5">
      <c r="A15778" s="2">
        <v>15775</v>
      </c>
      <c r="B15778" s="2" t="s">
        <v>15848</v>
      </c>
      <c r="C15778" s="2" t="str">
        <f>"19185561"</f>
        <v>19185561</v>
      </c>
      <c r="D15778" s="2">
        <v>0.12</v>
      </c>
      <c r="E15778" s="2">
        <v>2</v>
      </c>
      <c r="F15778" s="2" t="s">
        <v>64</v>
      </c>
    </row>
    <row r="15779" spans="1:6" ht="25.5">
      <c r="A15779" s="2">
        <v>15776</v>
      </c>
      <c r="B15779" s="2" t="s">
        <v>15849</v>
      </c>
      <c r="C15779" s="2" t="str">
        <f>"14248247"</f>
        <v>14248247</v>
      </c>
      <c r="D15779" s="2">
        <v>0.46</v>
      </c>
      <c r="E15779" s="2">
        <v>13</v>
      </c>
      <c r="F15779" s="2" t="s">
        <v>31</v>
      </c>
    </row>
    <row r="15780" spans="1:6" ht="25.5">
      <c r="A15780" s="2">
        <v>15777</v>
      </c>
      <c r="B15780" s="2" t="s">
        <v>15850</v>
      </c>
      <c r="C15780" s="2" t="str">
        <f>"1735403X"</f>
        <v>1735403X</v>
      </c>
      <c r="D15780" s="2">
        <v>0.13900000000000001</v>
      </c>
      <c r="E15780" s="2">
        <v>2</v>
      </c>
      <c r="F15780" s="2" t="s">
        <v>299</v>
      </c>
    </row>
    <row r="15781" spans="1:6" ht="25.5">
      <c r="A15781" s="2">
        <v>15778</v>
      </c>
      <c r="B15781" s="2" t="s">
        <v>15851</v>
      </c>
      <c r="C15781" s="2" t="str">
        <f>"2210495X"</f>
        <v>2210495X</v>
      </c>
      <c r="D15781" s="2">
        <v>0.104</v>
      </c>
      <c r="E15781" s="2">
        <v>1</v>
      </c>
      <c r="F15781" s="2" t="s">
        <v>75</v>
      </c>
    </row>
    <row r="15782" spans="1:6" ht="25.5">
      <c r="A15782" s="2">
        <v>15779</v>
      </c>
      <c r="B15782" s="2" t="s">
        <v>15852</v>
      </c>
      <c r="C15782" s="2" t="str">
        <f>"15391612"</f>
        <v>15391612</v>
      </c>
      <c r="D15782" s="2">
        <v>0.65900000000000003</v>
      </c>
      <c r="E15782" s="2">
        <v>16</v>
      </c>
      <c r="F15782" s="2" t="s">
        <v>16</v>
      </c>
    </row>
    <row r="15783" spans="1:6" ht="25.5">
      <c r="A15783" s="2">
        <v>15780</v>
      </c>
      <c r="B15783" s="2" t="s">
        <v>15853</v>
      </c>
      <c r="C15783" s="2" t="str">
        <f>"15432521"</f>
        <v>15432521</v>
      </c>
      <c r="D15783" s="2">
        <v>0.28299999999999997</v>
      </c>
      <c r="E15783" s="2">
        <v>23</v>
      </c>
      <c r="F15783" s="2" t="s">
        <v>6</v>
      </c>
    </row>
    <row r="15784" spans="1:6" ht="25.5">
      <c r="A15784" s="2">
        <v>15781</v>
      </c>
      <c r="B15784" s="2" t="s">
        <v>15854</v>
      </c>
      <c r="C15784" s="2" t="str">
        <f>"01646826"</f>
        <v>01646826</v>
      </c>
      <c r="D15784" s="2">
        <v>0.107</v>
      </c>
      <c r="E15784" s="2">
        <v>12</v>
      </c>
      <c r="F15784" s="2" t="s">
        <v>6</v>
      </c>
    </row>
    <row r="15785" spans="1:6" ht="25.5">
      <c r="A15785" s="2">
        <v>15782</v>
      </c>
      <c r="B15785" s="2" t="s">
        <v>15855</v>
      </c>
      <c r="C15785" s="2" t="str">
        <f>"19994923"</f>
        <v>19994923</v>
      </c>
      <c r="D15785" s="2">
        <v>0.36899999999999999</v>
      </c>
      <c r="E15785" s="2">
        <v>5</v>
      </c>
      <c r="F15785" s="2" t="s">
        <v>31</v>
      </c>
    </row>
    <row r="15786" spans="1:6" ht="25.5">
      <c r="A15786" s="2">
        <v>15783</v>
      </c>
      <c r="B15786" s="2" t="s">
        <v>15856</v>
      </c>
      <c r="C15786" s="2" t="str">
        <f>"00316911"</f>
        <v>00316911</v>
      </c>
      <c r="D15786" s="2">
        <v>0.11</v>
      </c>
      <c r="E15786" s="2">
        <v>7</v>
      </c>
      <c r="F15786" s="2" t="s">
        <v>75</v>
      </c>
    </row>
    <row r="15787" spans="1:6" ht="25.5">
      <c r="A15787" s="2">
        <v>15784</v>
      </c>
      <c r="B15787" s="2" t="s">
        <v>15857</v>
      </c>
      <c r="C15787" s="2" t="str">
        <f>"08670609"</f>
        <v>08670609</v>
      </c>
      <c r="D15787" s="2">
        <v>0.13900000000000001</v>
      </c>
      <c r="E15787" s="2">
        <v>4</v>
      </c>
      <c r="F15787" s="2" t="s">
        <v>16</v>
      </c>
    </row>
    <row r="15788" spans="1:6" ht="25.5">
      <c r="A15788" s="2">
        <v>15785</v>
      </c>
      <c r="B15788" s="2" t="s">
        <v>15858</v>
      </c>
      <c r="C15788" s="2" t="str">
        <f>"22111042"</f>
        <v>22111042</v>
      </c>
      <c r="D15788" s="2">
        <v>0.113</v>
      </c>
      <c r="E15788" s="2">
        <v>3</v>
      </c>
      <c r="F15788" s="2" t="s">
        <v>66</v>
      </c>
    </row>
    <row r="15789" spans="1:6" ht="25.5">
      <c r="A15789" s="2">
        <v>15786</v>
      </c>
      <c r="B15789" s="2" t="s">
        <v>15859</v>
      </c>
      <c r="C15789" s="2" t="str">
        <f>"11707690"</f>
        <v>11707690</v>
      </c>
      <c r="D15789" s="2">
        <v>1.498</v>
      </c>
      <c r="E15789" s="2">
        <v>69</v>
      </c>
      <c r="F15789" s="2" t="s">
        <v>16</v>
      </c>
    </row>
    <row r="15790" spans="1:6" ht="25.5">
      <c r="A15790" s="2">
        <v>15787</v>
      </c>
      <c r="B15790" s="2" t="s">
        <v>15860</v>
      </c>
      <c r="C15790" s="2" t="str">
        <f>"1868677X"</f>
        <v>1868677X</v>
      </c>
      <c r="D15790" s="2">
        <v>0.18099999999999999</v>
      </c>
      <c r="E15790" s="2">
        <v>2</v>
      </c>
      <c r="F15790" s="2" t="s">
        <v>503</v>
      </c>
    </row>
    <row r="15791" spans="1:6" ht="25.5">
      <c r="A15791" s="2">
        <v>15788</v>
      </c>
      <c r="B15791" s="2" t="s">
        <v>15861</v>
      </c>
      <c r="C15791" s="2" t="str">
        <f>"15909158"</f>
        <v>15909158</v>
      </c>
      <c r="D15791" s="2">
        <v>0.129</v>
      </c>
      <c r="E15791" s="2">
        <v>8</v>
      </c>
      <c r="F15791" s="2" t="s">
        <v>16</v>
      </c>
    </row>
    <row r="15792" spans="1:6" ht="25.5">
      <c r="A15792" s="2">
        <v>15789</v>
      </c>
      <c r="B15792" s="2" t="s">
        <v>15862</v>
      </c>
      <c r="C15792" s="2" t="str">
        <f>"1695405X"</f>
        <v>1695405X</v>
      </c>
      <c r="D15792" s="2">
        <v>0.125</v>
      </c>
      <c r="E15792" s="2">
        <v>2</v>
      </c>
      <c r="F15792" s="2" t="s">
        <v>351</v>
      </c>
    </row>
    <row r="15793" spans="1:6" ht="25.5">
      <c r="A15793" s="2">
        <v>15790</v>
      </c>
      <c r="B15793" s="2" t="s">
        <v>15863</v>
      </c>
      <c r="C15793" s="2" t="str">
        <f>"10991557"</f>
        <v>10991557</v>
      </c>
      <c r="D15793" s="2">
        <v>1.397</v>
      </c>
      <c r="E15793" s="2">
        <v>50</v>
      </c>
      <c r="F15793" s="2" t="s">
        <v>16</v>
      </c>
    </row>
    <row r="15794" spans="1:6" ht="25.5">
      <c r="A15794" s="2">
        <v>15791</v>
      </c>
      <c r="B15794" s="2" t="s">
        <v>15864</v>
      </c>
      <c r="C15794" s="2" t="str">
        <f>"17446880"</f>
        <v>17446880</v>
      </c>
      <c r="D15794" s="2">
        <v>1.036</v>
      </c>
      <c r="E15794" s="2">
        <v>108</v>
      </c>
      <c r="F15794" s="2" t="s">
        <v>6</v>
      </c>
    </row>
    <row r="15795" spans="1:6" ht="25.5">
      <c r="A15795" s="2">
        <v>15792</v>
      </c>
      <c r="B15795" s="2" t="s">
        <v>15865</v>
      </c>
      <c r="C15795" s="2" t="str">
        <f>"14622416"</f>
        <v>14622416</v>
      </c>
      <c r="D15795" s="2">
        <v>0.81799999999999995</v>
      </c>
      <c r="E15795" s="2">
        <v>59</v>
      </c>
      <c r="F15795" s="2" t="s">
        <v>16</v>
      </c>
    </row>
    <row r="15796" spans="1:6" ht="25.5">
      <c r="A15796" s="2">
        <v>15793</v>
      </c>
      <c r="B15796" s="2" t="s">
        <v>15866</v>
      </c>
      <c r="C15796" s="2" t="str">
        <f>"11787066"</f>
        <v>11787066</v>
      </c>
      <c r="D15796" s="2">
        <v>0.13900000000000001</v>
      </c>
      <c r="E15796" s="2">
        <v>3</v>
      </c>
      <c r="F15796" s="2" t="s">
        <v>503</v>
      </c>
    </row>
    <row r="15797" spans="1:6" ht="25.5">
      <c r="A15797" s="2">
        <v>15794</v>
      </c>
      <c r="B15797" s="2" t="s">
        <v>15867</v>
      </c>
      <c r="C15797" s="2" t="str">
        <f>"14731150"</f>
        <v>14731150</v>
      </c>
      <c r="D15797" s="2">
        <v>1.319</v>
      </c>
      <c r="E15797" s="2">
        <v>55</v>
      </c>
      <c r="F15797" s="2" t="s">
        <v>16</v>
      </c>
    </row>
    <row r="15798" spans="1:6" ht="25.5">
      <c r="A15798" s="2">
        <v>15795</v>
      </c>
      <c r="B15798" s="2" t="s">
        <v>15868</v>
      </c>
      <c r="C15798" s="2" t="str">
        <f>"09753575"</f>
        <v>09753575</v>
      </c>
      <c r="D15798" s="2">
        <v>0.224</v>
      </c>
      <c r="E15798" s="2">
        <v>5</v>
      </c>
      <c r="F15798" s="2" t="s">
        <v>488</v>
      </c>
    </row>
    <row r="15799" spans="1:6" ht="25.5">
      <c r="A15799" s="2">
        <v>15796</v>
      </c>
      <c r="B15799" s="2" t="s">
        <v>15869</v>
      </c>
      <c r="C15799" s="2" t="str">
        <f>"09764062"</f>
        <v>09764062</v>
      </c>
      <c r="D15799" s="2">
        <v>0.53700000000000003</v>
      </c>
      <c r="E15799" s="2">
        <v>11</v>
      </c>
      <c r="F15799" s="2" t="s">
        <v>488</v>
      </c>
    </row>
    <row r="15800" spans="1:6" ht="25.5">
      <c r="A15800" s="2">
        <v>15797</v>
      </c>
      <c r="B15800" s="2" t="s">
        <v>15870</v>
      </c>
      <c r="C15800" s="2" t="str">
        <f>"09748490"</f>
        <v>09748490</v>
      </c>
      <c r="D15800" s="2">
        <v>0.41599999999999998</v>
      </c>
      <c r="E15800" s="2">
        <v>7</v>
      </c>
      <c r="F15800" s="2" t="s">
        <v>488</v>
      </c>
    </row>
    <row r="15801" spans="1:6" ht="25.5">
      <c r="A15801" s="2">
        <v>15798</v>
      </c>
      <c r="B15801" s="2" t="s">
        <v>15871</v>
      </c>
      <c r="C15801" s="2" t="str">
        <f>"09762787"</f>
        <v>09762787</v>
      </c>
      <c r="D15801" s="2">
        <v>0.55800000000000005</v>
      </c>
      <c r="E15801" s="2">
        <v>8</v>
      </c>
      <c r="F15801" s="2" t="s">
        <v>488</v>
      </c>
    </row>
    <row r="15802" spans="1:6" ht="25.5">
      <c r="A15802" s="2">
        <v>15799</v>
      </c>
      <c r="B15802" s="2" t="s">
        <v>15872</v>
      </c>
      <c r="C15802" s="2" t="str">
        <f>"17341140"</f>
        <v>17341140</v>
      </c>
      <c r="D15802" s="2">
        <v>0.70599999999999996</v>
      </c>
      <c r="E15802" s="2">
        <v>42</v>
      </c>
      <c r="F15802" s="2" t="s">
        <v>169</v>
      </c>
    </row>
    <row r="15803" spans="1:6" ht="25.5">
      <c r="A15803" s="2">
        <v>15800</v>
      </c>
      <c r="B15803" s="2" t="s">
        <v>15873</v>
      </c>
      <c r="C15803" s="2" t="str">
        <f>"10961186"</f>
        <v>10961186</v>
      </c>
      <c r="D15803" s="2">
        <v>1.248</v>
      </c>
      <c r="E15803" s="2">
        <v>76</v>
      </c>
      <c r="F15803" s="2" t="s">
        <v>6</v>
      </c>
    </row>
    <row r="15804" spans="1:6" ht="25.5">
      <c r="A15804" s="2">
        <v>15801</v>
      </c>
      <c r="B15804" s="2" t="s">
        <v>15874</v>
      </c>
      <c r="C15804" s="2" t="str">
        <f>"15210081"</f>
        <v>15210081</v>
      </c>
      <c r="D15804" s="2">
        <v>8.7040000000000006</v>
      </c>
      <c r="E15804" s="2">
        <v>151</v>
      </c>
      <c r="F15804" s="2" t="s">
        <v>6</v>
      </c>
    </row>
    <row r="15805" spans="1:6" ht="25.5">
      <c r="A15805" s="2">
        <v>15802</v>
      </c>
      <c r="B15805" s="2" t="s">
        <v>15875</v>
      </c>
      <c r="C15805" s="2" t="str">
        <f>"14230313"</f>
        <v>14230313</v>
      </c>
      <c r="D15805" s="2">
        <v>0.46100000000000002</v>
      </c>
      <c r="E15805" s="2">
        <v>40</v>
      </c>
      <c r="F15805" s="2" t="s">
        <v>31</v>
      </c>
    </row>
    <row r="15806" spans="1:6" ht="25.5">
      <c r="A15806" s="2">
        <v>15803</v>
      </c>
      <c r="B15806" s="2" t="s">
        <v>15876</v>
      </c>
      <c r="C15806" s="2" t="str">
        <f>"01637258"</f>
        <v>01637258</v>
      </c>
      <c r="D15806" s="2">
        <v>2.9870000000000001</v>
      </c>
      <c r="E15806" s="2">
        <v>124</v>
      </c>
      <c r="F15806" s="2" t="s">
        <v>6</v>
      </c>
    </row>
    <row r="15807" spans="1:6" ht="25.5">
      <c r="A15807" s="2">
        <v>15804</v>
      </c>
      <c r="B15807" s="2" t="s">
        <v>15877</v>
      </c>
      <c r="C15807" s="2" t="str">
        <f>"00913057"</f>
        <v>00913057</v>
      </c>
      <c r="D15807" s="2">
        <v>0.99299999999999999</v>
      </c>
      <c r="E15807" s="2">
        <v>91</v>
      </c>
      <c r="F15807" s="2" t="s">
        <v>6</v>
      </c>
    </row>
    <row r="15808" spans="1:6" ht="25.5">
      <c r="A15808" s="2">
        <v>15805</v>
      </c>
      <c r="B15808" s="2" t="s">
        <v>15878</v>
      </c>
      <c r="C15808" s="2" t="str">
        <f>"18278620"</f>
        <v>18278620</v>
      </c>
      <c r="D15808" s="2">
        <v>0.161</v>
      </c>
      <c r="E15808" s="2">
        <v>11</v>
      </c>
      <c r="F15808" s="2" t="s">
        <v>190</v>
      </c>
    </row>
    <row r="15809" spans="1:6" ht="25.5">
      <c r="A15809" s="2">
        <v>15806</v>
      </c>
      <c r="B15809" s="2" t="s">
        <v>15879</v>
      </c>
      <c r="C15809" s="2" t="str">
        <f>"03634655"</f>
        <v>03634655</v>
      </c>
      <c r="D15809" s="2">
        <v>0.23699999999999999</v>
      </c>
      <c r="E15809" s="2">
        <v>10</v>
      </c>
      <c r="F15809" s="2" t="s">
        <v>6</v>
      </c>
    </row>
    <row r="15810" spans="1:6" ht="25.5">
      <c r="A15810" s="2">
        <v>15807</v>
      </c>
      <c r="B15810" s="2" t="s">
        <v>15880</v>
      </c>
      <c r="C15810" s="2" t="str">
        <f>"14390795"</f>
        <v>14390795</v>
      </c>
      <c r="D15810" s="2">
        <v>0.84899999999999998</v>
      </c>
      <c r="E15810" s="2">
        <v>55</v>
      </c>
      <c r="F15810" s="2" t="s">
        <v>12</v>
      </c>
    </row>
    <row r="15811" spans="1:6" ht="25.5">
      <c r="A15811" s="2">
        <v>15808</v>
      </c>
      <c r="B15811" s="2" t="s">
        <v>15881</v>
      </c>
      <c r="C15811" s="2" t="str">
        <f>"18759114"</f>
        <v>18759114</v>
      </c>
      <c r="D15811" s="2">
        <v>0.74099999999999999</v>
      </c>
      <c r="E15811" s="2">
        <v>71</v>
      </c>
      <c r="F15811" s="2" t="s">
        <v>6</v>
      </c>
    </row>
    <row r="15812" spans="1:6" ht="25.5">
      <c r="A15812" s="2">
        <v>15809</v>
      </c>
      <c r="B15812" s="2" t="s">
        <v>15882</v>
      </c>
      <c r="C15812" s="2" t="str">
        <f>"17526752"</f>
        <v>17526752</v>
      </c>
      <c r="D15812" s="2">
        <v>0.10100000000000001</v>
      </c>
      <c r="E15812" s="2">
        <v>1</v>
      </c>
      <c r="F15812" s="2" t="s">
        <v>16</v>
      </c>
    </row>
    <row r="15813" spans="1:6" ht="25.5">
      <c r="A15813" s="2">
        <v>15810</v>
      </c>
      <c r="B15813" s="2" t="s">
        <v>15883</v>
      </c>
      <c r="C15813" s="2" t="str">
        <f>"00317047"</f>
        <v>00317047</v>
      </c>
      <c r="D15813" s="2">
        <v>0.16500000000000001</v>
      </c>
      <c r="E15813" s="2">
        <v>5</v>
      </c>
      <c r="F15813" s="2" t="s">
        <v>6</v>
      </c>
    </row>
    <row r="15814" spans="1:6" ht="25.5">
      <c r="A15814" s="2">
        <v>15811</v>
      </c>
      <c r="B15814" s="2" t="s">
        <v>15884</v>
      </c>
      <c r="C15814" s="2" t="str">
        <f>"1448207X"</f>
        <v>1448207X</v>
      </c>
      <c r="D15814" s="2">
        <v>0.10199999999999999</v>
      </c>
      <c r="E15814" s="2">
        <v>1</v>
      </c>
      <c r="F15814" s="2" t="s">
        <v>16</v>
      </c>
    </row>
    <row r="15815" spans="1:6" ht="25.5">
      <c r="A15815" s="2">
        <v>15812</v>
      </c>
      <c r="B15815" s="2" t="s">
        <v>15885</v>
      </c>
      <c r="C15815" s="2" t="str">
        <f>"18863655"</f>
        <v>18863655</v>
      </c>
      <c r="D15815" s="2">
        <v>0.19700000000000001</v>
      </c>
      <c r="E15815" s="2">
        <v>8</v>
      </c>
      <c r="F15815" s="2" t="s">
        <v>351</v>
      </c>
    </row>
    <row r="15816" spans="1:6" ht="25.5">
      <c r="A15816" s="2">
        <v>15813</v>
      </c>
      <c r="B15816" s="2" t="s">
        <v>15886</v>
      </c>
      <c r="C15816" s="2" t="str">
        <f>"11054999"</f>
        <v>11054999</v>
      </c>
      <c r="D15816" s="2">
        <v>0.10199999999999999</v>
      </c>
      <c r="E15816" s="2">
        <v>1</v>
      </c>
      <c r="F15816" s="2" t="s">
        <v>313</v>
      </c>
    </row>
    <row r="15817" spans="1:6" ht="25.5">
      <c r="A15817" s="2">
        <v>15814</v>
      </c>
      <c r="B15817" s="2" t="s">
        <v>15887</v>
      </c>
      <c r="C15817" s="2" t="str">
        <f>"10105409"</f>
        <v>10105409</v>
      </c>
      <c r="D15817" s="2">
        <v>0.11</v>
      </c>
      <c r="E15817" s="2">
        <v>2</v>
      </c>
      <c r="F15817" s="2" t="s">
        <v>31</v>
      </c>
    </row>
    <row r="15818" spans="1:6" ht="25.5">
      <c r="A15818" s="2">
        <v>15815</v>
      </c>
      <c r="B15818" s="2" t="s">
        <v>15888</v>
      </c>
      <c r="C15818" s="2" t="str">
        <f>"00316849"</f>
        <v>00316849</v>
      </c>
      <c r="D15818" s="2">
        <v>0.12</v>
      </c>
      <c r="E15818" s="2">
        <v>5</v>
      </c>
      <c r="F15818" s="2" t="s">
        <v>488</v>
      </c>
    </row>
    <row r="15819" spans="1:6" ht="25.5">
      <c r="A15819" s="2">
        <v>15816</v>
      </c>
      <c r="B15819" s="2" t="s">
        <v>15889</v>
      </c>
      <c r="C15819" s="2" t="str">
        <f>"16167074"</f>
        <v>16167074</v>
      </c>
      <c r="D15819" s="2">
        <v>0.19</v>
      </c>
      <c r="E15819" s="2">
        <v>14</v>
      </c>
      <c r="F15819" s="2" t="s">
        <v>12</v>
      </c>
    </row>
    <row r="15820" spans="1:6" ht="25.5">
      <c r="A15820" s="2">
        <v>15817</v>
      </c>
      <c r="B15820" s="2" t="s">
        <v>15890</v>
      </c>
      <c r="C15820" s="2" t="str">
        <f>"00317136"</f>
        <v>00317136</v>
      </c>
      <c r="D15820" s="2">
        <v>0.1</v>
      </c>
      <c r="E15820" s="2">
        <v>5</v>
      </c>
      <c r="F15820" s="2" t="s">
        <v>12</v>
      </c>
    </row>
    <row r="15821" spans="1:6" ht="25.5">
      <c r="A15821" s="2">
        <v>15818</v>
      </c>
      <c r="B15821" s="2" t="s">
        <v>15891</v>
      </c>
      <c r="C15821" s="2" t="str">
        <f>"16151003"</f>
        <v>16151003</v>
      </c>
      <c r="D15821" s="2">
        <v>0.108</v>
      </c>
      <c r="E15821" s="2">
        <v>9</v>
      </c>
      <c r="F15821" s="2" t="s">
        <v>12</v>
      </c>
    </row>
    <row r="15822" spans="1:6" ht="25.5">
      <c r="A15822" s="2">
        <v>15819</v>
      </c>
      <c r="B15822" s="2" t="s">
        <v>15892</v>
      </c>
      <c r="C15822" s="2" t="str">
        <f>"20752504"</f>
        <v>20752504</v>
      </c>
      <c r="D15822" s="2">
        <v>0.216</v>
      </c>
      <c r="E15822" s="2">
        <v>6</v>
      </c>
      <c r="F15822" s="2" t="s">
        <v>66</v>
      </c>
    </row>
    <row r="15823" spans="1:6" ht="25.5">
      <c r="A15823" s="2">
        <v>15820</v>
      </c>
      <c r="B15823" s="2" t="s">
        <v>15893</v>
      </c>
      <c r="C15823" s="2" t="str">
        <f>"00317179"</f>
        <v>00317179</v>
      </c>
      <c r="D15823" s="2">
        <v>0.11799999999999999</v>
      </c>
      <c r="E15823" s="2">
        <v>6</v>
      </c>
      <c r="F15823" s="2" t="s">
        <v>6</v>
      </c>
    </row>
    <row r="15824" spans="1:6" ht="25.5">
      <c r="A15824" s="2">
        <v>15821</v>
      </c>
      <c r="B15824" s="2" t="s">
        <v>15894</v>
      </c>
      <c r="C15824" s="2" t="str">
        <f>"10290338"</f>
        <v>10290338</v>
      </c>
      <c r="D15824" s="2">
        <v>0.45600000000000002</v>
      </c>
      <c r="E15824" s="2">
        <v>27</v>
      </c>
      <c r="F15824" s="2" t="s">
        <v>16</v>
      </c>
    </row>
    <row r="15825" spans="1:6" ht="25.5">
      <c r="A15825" s="2">
        <v>15822</v>
      </c>
      <c r="B15825" s="2" t="s">
        <v>15895</v>
      </c>
      <c r="C15825" s="2" t="str">
        <f>"15687759"</f>
        <v>15687759</v>
      </c>
      <c r="D15825" s="2">
        <v>0.53800000000000003</v>
      </c>
      <c r="E15825" s="2">
        <v>14</v>
      </c>
      <c r="F15825" s="2" t="s">
        <v>75</v>
      </c>
    </row>
    <row r="15826" spans="1:6" ht="25.5">
      <c r="A15826" s="2">
        <v>15823</v>
      </c>
      <c r="B15826" s="2" t="s">
        <v>15896</v>
      </c>
      <c r="C15826" s="2" t="str">
        <f>"00317217"</f>
        <v>00317217</v>
      </c>
      <c r="D15826" s="2">
        <v>0.308</v>
      </c>
      <c r="E15826" s="2">
        <v>28</v>
      </c>
      <c r="F15826" s="2" t="s">
        <v>6</v>
      </c>
    </row>
    <row r="15827" spans="1:6" ht="25.5">
      <c r="A15827" s="2">
        <v>15824</v>
      </c>
      <c r="B15827" s="2" t="s">
        <v>15897</v>
      </c>
      <c r="C15827" s="2" t="str">
        <f>"00317454"</f>
        <v>00317454</v>
      </c>
      <c r="D15827" s="2">
        <v>0.14199999999999999</v>
      </c>
      <c r="E15827" s="2">
        <v>7</v>
      </c>
      <c r="F15827" s="2" t="s">
        <v>304</v>
      </c>
    </row>
    <row r="15828" spans="1:6" ht="25.5">
      <c r="A15828" s="2">
        <v>15825</v>
      </c>
      <c r="B15828" s="2" t="s">
        <v>15898</v>
      </c>
      <c r="C15828" s="2" t="str">
        <f>"00483818"</f>
        <v>00483818</v>
      </c>
      <c r="D15828" s="2">
        <v>0.1</v>
      </c>
      <c r="E15828" s="2">
        <v>0</v>
      </c>
      <c r="F15828" s="2" t="s">
        <v>304</v>
      </c>
    </row>
    <row r="15829" spans="1:6" ht="25.5">
      <c r="A15829" s="2">
        <v>15826</v>
      </c>
      <c r="B15829" s="2" t="s">
        <v>15899</v>
      </c>
      <c r="C15829" s="2" t="str">
        <f>"00317683"</f>
        <v>00317683</v>
      </c>
      <c r="D15829" s="2">
        <v>0.115</v>
      </c>
      <c r="E15829" s="2">
        <v>3</v>
      </c>
      <c r="F15829" s="2" t="s">
        <v>304</v>
      </c>
    </row>
    <row r="15830" spans="1:6" ht="25.5">
      <c r="A15830" s="2">
        <v>15827</v>
      </c>
      <c r="B15830" s="2" t="s">
        <v>15900</v>
      </c>
      <c r="C15830" s="2" t="str">
        <f>"00317705"</f>
        <v>00317705</v>
      </c>
      <c r="D15830" s="2">
        <v>0.13900000000000001</v>
      </c>
      <c r="E15830" s="2">
        <v>1</v>
      </c>
      <c r="F15830" s="2" t="s">
        <v>304</v>
      </c>
    </row>
    <row r="15831" spans="1:6" ht="25.5">
      <c r="A15831" s="2">
        <v>15828</v>
      </c>
      <c r="B15831" s="2" t="s">
        <v>15901</v>
      </c>
      <c r="C15831" s="2" t="str">
        <f>"01154451"</f>
        <v>01154451</v>
      </c>
      <c r="D15831" s="2">
        <v>0.10199999999999999</v>
      </c>
      <c r="E15831" s="2">
        <v>1</v>
      </c>
      <c r="F15831" s="2" t="s">
        <v>16</v>
      </c>
    </row>
    <row r="15832" spans="1:6" ht="25.5">
      <c r="A15832" s="2">
        <v>15829</v>
      </c>
      <c r="B15832" s="2" t="s">
        <v>15902</v>
      </c>
      <c r="C15832" s="2" t="str">
        <f>"22441638"</f>
        <v>22441638</v>
      </c>
      <c r="D15832" s="2">
        <v>0.112</v>
      </c>
      <c r="E15832" s="2">
        <v>2</v>
      </c>
      <c r="F15832" s="2" t="s">
        <v>304</v>
      </c>
    </row>
    <row r="15833" spans="1:6" ht="25.5">
      <c r="A15833" s="2">
        <v>15830</v>
      </c>
      <c r="B15833" s="2" t="s">
        <v>15903</v>
      </c>
      <c r="C15833" s="2" t="str">
        <f>"01199641"</f>
        <v>01199641</v>
      </c>
      <c r="D15833" s="2">
        <v>0.10100000000000001</v>
      </c>
      <c r="E15833" s="2">
        <v>1</v>
      </c>
      <c r="F15833" s="2" t="s">
        <v>304</v>
      </c>
    </row>
    <row r="15834" spans="1:6" ht="25.5">
      <c r="A15834" s="2">
        <v>15831</v>
      </c>
      <c r="B15834" s="2" t="s">
        <v>15904</v>
      </c>
      <c r="C15834" s="2" t="str">
        <f>"00317977"</f>
        <v>00317977</v>
      </c>
      <c r="D15834" s="2">
        <v>0.1</v>
      </c>
      <c r="E15834" s="2">
        <v>3</v>
      </c>
      <c r="F15834" s="2" t="s">
        <v>6</v>
      </c>
    </row>
    <row r="15835" spans="1:6" ht="25.5">
      <c r="A15835" s="2">
        <v>15832</v>
      </c>
      <c r="B15835" s="2" t="s">
        <v>15905</v>
      </c>
      <c r="C15835" s="2" t="str">
        <f>"00317985"</f>
        <v>00317985</v>
      </c>
      <c r="D15835" s="2">
        <v>0.121</v>
      </c>
      <c r="E15835" s="2">
        <v>4</v>
      </c>
      <c r="F15835" s="2" t="s">
        <v>12</v>
      </c>
    </row>
    <row r="15836" spans="1:6" ht="25.5">
      <c r="A15836" s="2">
        <v>15833</v>
      </c>
      <c r="B15836" s="2" t="s">
        <v>15906</v>
      </c>
      <c r="C15836" s="2" t="str">
        <f>"00483893"</f>
        <v>00483893</v>
      </c>
      <c r="D15836" s="2">
        <v>0.33200000000000002</v>
      </c>
      <c r="E15836" s="2">
        <v>5</v>
      </c>
      <c r="F15836" s="2" t="s">
        <v>75</v>
      </c>
    </row>
    <row r="15837" spans="1:6" ht="25.5">
      <c r="A15837" s="2">
        <v>15834</v>
      </c>
      <c r="B15837" s="2" t="s">
        <v>15907</v>
      </c>
      <c r="C15837" s="2" t="str">
        <f>"15291634"</f>
        <v>15291634</v>
      </c>
      <c r="D15837" s="2">
        <v>0.10100000000000001</v>
      </c>
      <c r="E15837" s="2">
        <v>2</v>
      </c>
      <c r="F15837" s="2" t="s">
        <v>6</v>
      </c>
    </row>
    <row r="15838" spans="1:6" ht="25.5">
      <c r="A15838" s="2">
        <v>15835</v>
      </c>
      <c r="B15838" s="2" t="s">
        <v>15908</v>
      </c>
      <c r="C15838" s="2" t="str">
        <f>"00318019"</f>
        <v>00318019</v>
      </c>
      <c r="D15838" s="2">
        <v>0.313</v>
      </c>
      <c r="E15838" s="2">
        <v>9</v>
      </c>
      <c r="F15838" s="2" t="s">
        <v>16</v>
      </c>
    </row>
    <row r="15839" spans="1:6" ht="25.5">
      <c r="A15839" s="2">
        <v>15836</v>
      </c>
      <c r="B15839" s="2" t="s">
        <v>15909</v>
      </c>
      <c r="C15839" s="2" t="str">
        <f>"22441875"</f>
        <v>22441875</v>
      </c>
      <c r="D15839" s="2">
        <v>0.10100000000000001</v>
      </c>
      <c r="E15839" s="2">
        <v>1</v>
      </c>
      <c r="F15839" s="2" t="s">
        <v>304</v>
      </c>
    </row>
    <row r="15840" spans="1:6" ht="25.5">
      <c r="A15840" s="2">
        <v>15837</v>
      </c>
      <c r="B15840" s="2" t="s">
        <v>15910</v>
      </c>
      <c r="C15840" s="2" t="str">
        <f>"00318035"</f>
        <v>00318035</v>
      </c>
      <c r="D15840" s="2">
        <v>0.10199999999999999</v>
      </c>
      <c r="E15840" s="2">
        <v>1</v>
      </c>
      <c r="F15840" s="2" t="s">
        <v>75</v>
      </c>
    </row>
    <row r="15841" spans="1:6" ht="25.5">
      <c r="A15841" s="2">
        <v>15838</v>
      </c>
      <c r="B15841" s="2" t="s">
        <v>15911</v>
      </c>
      <c r="C15841" s="2" t="str">
        <f>"12812463"</f>
        <v>12812463</v>
      </c>
      <c r="D15841" s="2">
        <v>0</v>
      </c>
      <c r="E15841" s="2">
        <v>1</v>
      </c>
      <c r="F15841" s="2" t="s">
        <v>66</v>
      </c>
    </row>
    <row r="15842" spans="1:6" ht="25.5">
      <c r="A15842" s="2">
        <v>15839</v>
      </c>
      <c r="B15842" s="2" t="s">
        <v>15912</v>
      </c>
      <c r="C15842" s="2" t="str">
        <f>"03798402"</f>
        <v>03798402</v>
      </c>
      <c r="D15842" s="2">
        <v>0</v>
      </c>
      <c r="E15842" s="2">
        <v>0</v>
      </c>
      <c r="F15842" s="2" t="s">
        <v>161</v>
      </c>
    </row>
    <row r="15843" spans="1:6" ht="25.5">
      <c r="A15843" s="2">
        <v>15840</v>
      </c>
      <c r="B15843" s="2" t="s">
        <v>15913</v>
      </c>
      <c r="C15843" s="2" t="str">
        <f>"17415918"</f>
        <v>17415918</v>
      </c>
      <c r="D15843" s="2">
        <v>0.27100000000000002</v>
      </c>
      <c r="E15843" s="2">
        <v>3</v>
      </c>
      <c r="F15843" s="2" t="s">
        <v>16</v>
      </c>
    </row>
    <row r="15844" spans="1:6" ht="25.5">
      <c r="A15844" s="2">
        <v>15841</v>
      </c>
      <c r="B15844" s="2" t="s">
        <v>15914</v>
      </c>
      <c r="C15844" s="2" t="str">
        <f>"0031806X"</f>
        <v>0031806X</v>
      </c>
      <c r="D15844" s="2">
        <v>0.112</v>
      </c>
      <c r="E15844" s="2">
        <v>6</v>
      </c>
      <c r="F15844" s="2" t="s">
        <v>16</v>
      </c>
    </row>
    <row r="15845" spans="1:6" ht="25.5">
      <c r="A15845" s="2">
        <v>15842</v>
      </c>
      <c r="B15845" s="2" t="s">
        <v>15915</v>
      </c>
      <c r="C15845" s="2" t="str">
        <f>"14679205"</f>
        <v>14679205</v>
      </c>
      <c r="D15845" s="2">
        <v>0.113</v>
      </c>
      <c r="E15845" s="2">
        <v>6</v>
      </c>
      <c r="F15845" s="2" t="s">
        <v>16</v>
      </c>
    </row>
    <row r="15846" spans="1:6" ht="25.5">
      <c r="A15846" s="2">
        <v>15843</v>
      </c>
      <c r="B15846" s="2" t="s">
        <v>15916</v>
      </c>
      <c r="C15846" s="2" t="str">
        <f>"14786435"</f>
        <v>14786435</v>
      </c>
      <c r="D15846" s="2">
        <v>0.92300000000000004</v>
      </c>
      <c r="E15846" s="2">
        <v>44</v>
      </c>
      <c r="F15846" s="2" t="s">
        <v>16</v>
      </c>
    </row>
    <row r="15847" spans="1:6" ht="25.5">
      <c r="A15847" s="2">
        <v>15844</v>
      </c>
      <c r="B15847" s="2" t="s">
        <v>15917</v>
      </c>
      <c r="C15847" s="2" t="str">
        <f>"13623036"</f>
        <v>13623036</v>
      </c>
      <c r="D15847" s="2">
        <v>0.751</v>
      </c>
      <c r="E15847" s="2">
        <v>44</v>
      </c>
      <c r="F15847" s="2" t="s">
        <v>16</v>
      </c>
    </row>
    <row r="15848" spans="1:6" ht="25.5">
      <c r="A15848" s="2">
        <v>15845</v>
      </c>
      <c r="B15848" s="2" t="s">
        <v>15918</v>
      </c>
      <c r="C15848" s="2" t="str">
        <f>"1465394X"</f>
        <v>1465394X</v>
      </c>
      <c r="D15848" s="2">
        <v>0.61499999999999999</v>
      </c>
      <c r="E15848" s="2">
        <v>19</v>
      </c>
      <c r="F15848" s="2" t="s">
        <v>16</v>
      </c>
    </row>
    <row r="15849" spans="1:6" ht="25.5">
      <c r="A15849" s="2">
        <v>15846</v>
      </c>
      <c r="B15849" s="2" t="s">
        <v>15919</v>
      </c>
      <c r="C15849" s="2" t="str">
        <f>"14679213"</f>
        <v>14679213</v>
      </c>
      <c r="D15849" s="2">
        <v>1.052</v>
      </c>
      <c r="E15849" s="2">
        <v>18</v>
      </c>
      <c r="F15849" s="2" t="s">
        <v>16</v>
      </c>
    </row>
    <row r="15850" spans="1:6" ht="25.5">
      <c r="A15850" s="2">
        <v>15847</v>
      </c>
      <c r="B15850" s="2" t="s">
        <v>15920</v>
      </c>
      <c r="C15850" s="2" t="str">
        <f>"00318108"</f>
        <v>00318108</v>
      </c>
      <c r="D15850" s="2">
        <v>2.0259999999999998</v>
      </c>
      <c r="E15850" s="2">
        <v>27</v>
      </c>
      <c r="F15850" s="2" t="s">
        <v>6</v>
      </c>
    </row>
    <row r="15851" spans="1:6" ht="25.5">
      <c r="A15851" s="2">
        <v>15848</v>
      </c>
      <c r="B15851" s="2" t="s">
        <v>15921</v>
      </c>
      <c r="C15851" s="2" t="str">
        <f>"00318116"</f>
        <v>00318116</v>
      </c>
      <c r="D15851" s="2">
        <v>0.83399999999999996</v>
      </c>
      <c r="E15851" s="2">
        <v>26</v>
      </c>
      <c r="F15851" s="2" t="s">
        <v>75</v>
      </c>
    </row>
    <row r="15852" spans="1:6" ht="25.5">
      <c r="A15852" s="2">
        <v>15849</v>
      </c>
      <c r="B15852" s="2" t="s">
        <v>15922</v>
      </c>
      <c r="C15852" s="2" t="str">
        <f>"1364503X"</f>
        <v>1364503X</v>
      </c>
      <c r="D15852" s="2">
        <v>0.90500000000000003</v>
      </c>
      <c r="E15852" s="2">
        <v>71</v>
      </c>
      <c r="F15852" s="2" t="s">
        <v>16</v>
      </c>
    </row>
    <row r="15853" spans="1:6" ht="25.5">
      <c r="A15853" s="2">
        <v>15850</v>
      </c>
      <c r="B15853" s="2" t="s">
        <v>15923</v>
      </c>
      <c r="C15853" s="2" t="str">
        <f>"14712970"</f>
        <v>14712970</v>
      </c>
      <c r="D15853" s="2">
        <v>2.82</v>
      </c>
      <c r="E15853" s="2">
        <v>139</v>
      </c>
      <c r="F15853" s="2" t="s">
        <v>16</v>
      </c>
    </row>
    <row r="15854" spans="1:6" ht="25.5">
      <c r="A15854" s="2">
        <v>15851</v>
      </c>
      <c r="B15854" s="2" t="s">
        <v>15924</v>
      </c>
      <c r="C15854" s="2" t="str">
        <f>"18687261"</f>
        <v>18687261</v>
      </c>
      <c r="D15854" s="2">
        <v>0.10100000000000001</v>
      </c>
      <c r="E15854" s="2">
        <v>1</v>
      </c>
      <c r="F15854" s="2" t="s">
        <v>12</v>
      </c>
    </row>
    <row r="15855" spans="1:6" ht="25.5">
      <c r="A15855" s="2">
        <v>15852</v>
      </c>
      <c r="B15855" s="2" t="s">
        <v>15925</v>
      </c>
      <c r="C15855" s="2" t="str">
        <f>"00318183"</f>
        <v>00318183</v>
      </c>
      <c r="D15855" s="2">
        <v>0.10100000000000001</v>
      </c>
      <c r="E15855" s="2">
        <v>2</v>
      </c>
      <c r="F15855" s="2" t="s">
        <v>12</v>
      </c>
    </row>
    <row r="15856" spans="1:6" ht="25.5">
      <c r="A15856" s="2">
        <v>15853</v>
      </c>
      <c r="B15856" s="2" t="s">
        <v>15926</v>
      </c>
      <c r="C15856" s="2" t="str">
        <f>"00318191"</f>
        <v>00318191</v>
      </c>
      <c r="D15856" s="2">
        <v>0.16500000000000001</v>
      </c>
      <c r="E15856" s="2">
        <v>10</v>
      </c>
      <c r="F15856" s="2" t="s">
        <v>16</v>
      </c>
    </row>
    <row r="15857" spans="1:6" ht="25.5">
      <c r="A15857" s="2">
        <v>15854</v>
      </c>
      <c r="B15857" s="2" t="s">
        <v>15927</v>
      </c>
      <c r="C15857" s="2" t="str">
        <f>"1086329X"</f>
        <v>1086329X</v>
      </c>
      <c r="D15857" s="2">
        <v>0.12</v>
      </c>
      <c r="E15857" s="2">
        <v>5</v>
      </c>
      <c r="F15857" s="2" t="s">
        <v>6</v>
      </c>
    </row>
    <row r="15858" spans="1:6" ht="25.5">
      <c r="A15858" s="2">
        <v>15855</v>
      </c>
      <c r="B15858" s="2" t="s">
        <v>15928</v>
      </c>
      <c r="C15858" s="2" t="str">
        <f>"19331592"</f>
        <v>19331592</v>
      </c>
      <c r="D15858" s="2">
        <v>0.85199999999999998</v>
      </c>
      <c r="E15858" s="2">
        <v>8</v>
      </c>
      <c r="F15858" s="2" t="s">
        <v>16</v>
      </c>
    </row>
    <row r="15859" spans="1:6" ht="25.5">
      <c r="A15859" s="2">
        <v>15856</v>
      </c>
      <c r="B15859" s="2" t="s">
        <v>15929</v>
      </c>
      <c r="C15859" s="2" t="str">
        <f>"10884963"</f>
        <v>10884963</v>
      </c>
      <c r="D15859" s="2">
        <v>1.8180000000000001</v>
      </c>
      <c r="E15859" s="2">
        <v>25</v>
      </c>
      <c r="F15859" s="2" t="s">
        <v>16</v>
      </c>
    </row>
    <row r="15860" spans="1:6" ht="25.5">
      <c r="A15860" s="2">
        <v>15857</v>
      </c>
      <c r="B15860" s="2" t="s">
        <v>15930</v>
      </c>
      <c r="C15860" s="2" t="str">
        <f>"15272079"</f>
        <v>15272079</v>
      </c>
      <c r="D15860" s="2">
        <v>0.435</v>
      </c>
      <c r="E15860" s="2">
        <v>7</v>
      </c>
      <c r="F15860" s="2" t="s">
        <v>6</v>
      </c>
    </row>
    <row r="15861" spans="1:6" ht="25.5">
      <c r="A15861" s="2">
        <v>15858</v>
      </c>
      <c r="B15861" s="2" t="s">
        <v>15931</v>
      </c>
      <c r="C15861" s="2" t="str">
        <f>"01914537"</f>
        <v>01914537</v>
      </c>
      <c r="D15861" s="2">
        <v>0.30499999999999999</v>
      </c>
      <c r="E15861" s="2">
        <v>9</v>
      </c>
      <c r="F15861" s="2" t="s">
        <v>6</v>
      </c>
    </row>
    <row r="15862" spans="1:6" ht="25.5">
      <c r="A15862" s="2">
        <v>15859</v>
      </c>
      <c r="B15862" s="2" t="s">
        <v>15932</v>
      </c>
      <c r="C15862" s="2" t="str">
        <f>"22105441"</f>
        <v>22105441</v>
      </c>
      <c r="D15862" s="2">
        <v>0.13500000000000001</v>
      </c>
      <c r="E15862" s="2">
        <v>1</v>
      </c>
      <c r="F15862" s="2" t="s">
        <v>75</v>
      </c>
    </row>
    <row r="15863" spans="1:6" ht="25.5">
      <c r="A15863" s="2">
        <v>15860</v>
      </c>
      <c r="B15863" s="2" t="s">
        <v>15933</v>
      </c>
      <c r="C15863" s="2" t="str">
        <f>"17479991"</f>
        <v>17479991</v>
      </c>
      <c r="D15863" s="2">
        <v>0</v>
      </c>
      <c r="E15863" s="2">
        <v>1</v>
      </c>
      <c r="F15863" s="2" t="s">
        <v>16</v>
      </c>
    </row>
    <row r="15864" spans="1:6" ht="25.5">
      <c r="A15864" s="2">
        <v>15861</v>
      </c>
      <c r="B15864" s="2" t="s">
        <v>15934</v>
      </c>
      <c r="C15864" s="2" t="str">
        <f>"00318221"</f>
        <v>00318221</v>
      </c>
      <c r="D15864" s="2">
        <v>0.16300000000000001</v>
      </c>
      <c r="E15864" s="2">
        <v>9</v>
      </c>
      <c r="F15864" s="2" t="s">
        <v>6</v>
      </c>
    </row>
    <row r="15865" spans="1:6" ht="25.5">
      <c r="A15865" s="2">
        <v>15862</v>
      </c>
      <c r="B15865" s="2" t="s">
        <v>15935</v>
      </c>
      <c r="C15865" s="2" t="str">
        <f>"17475341"</f>
        <v>17475341</v>
      </c>
      <c r="D15865" s="2">
        <v>0.38</v>
      </c>
      <c r="E15865" s="2">
        <v>12</v>
      </c>
      <c r="F15865" s="2" t="s">
        <v>16</v>
      </c>
    </row>
    <row r="15866" spans="1:6" ht="25.5">
      <c r="A15866" s="2">
        <v>15863</v>
      </c>
      <c r="B15866" s="2" t="s">
        <v>15936</v>
      </c>
      <c r="C15866" s="2" t="str">
        <f>"00318248"</f>
        <v>00318248</v>
      </c>
      <c r="D15866" s="2">
        <v>0.63900000000000001</v>
      </c>
      <c r="E15866" s="2">
        <v>32</v>
      </c>
      <c r="F15866" s="2" t="s">
        <v>6</v>
      </c>
    </row>
    <row r="15867" spans="1:6" ht="25.5">
      <c r="A15867" s="2">
        <v>15864</v>
      </c>
      <c r="B15867" s="2" t="s">
        <v>15937</v>
      </c>
      <c r="C15867" s="2" t="str">
        <f>"00483931"</f>
        <v>00483931</v>
      </c>
      <c r="D15867" s="2">
        <v>0.27600000000000002</v>
      </c>
      <c r="E15867" s="2">
        <v>17</v>
      </c>
      <c r="F15867" s="2" t="s">
        <v>6</v>
      </c>
    </row>
    <row r="15868" spans="1:6" ht="25.5">
      <c r="A15868" s="2">
        <v>15865</v>
      </c>
      <c r="B15868" s="2" t="s">
        <v>15938</v>
      </c>
      <c r="C15868" s="2" t="str">
        <f>"10863303"</f>
        <v>10863303</v>
      </c>
      <c r="D15868" s="2">
        <v>0.20100000000000001</v>
      </c>
      <c r="E15868" s="2">
        <v>3</v>
      </c>
      <c r="F15868" s="2" t="s">
        <v>6</v>
      </c>
    </row>
    <row r="15869" spans="1:6" ht="25.5">
      <c r="A15869" s="2">
        <v>15866</v>
      </c>
      <c r="B15869" s="2" t="s">
        <v>15939</v>
      </c>
      <c r="C15869" s="2" t="str">
        <f>"00318256"</f>
        <v>00318256</v>
      </c>
      <c r="D15869" s="2">
        <v>0.104</v>
      </c>
      <c r="E15869" s="2">
        <v>4</v>
      </c>
      <c r="F15869" s="2" t="s">
        <v>6</v>
      </c>
    </row>
    <row r="15870" spans="1:6" ht="25.5">
      <c r="A15870" s="2">
        <v>15867</v>
      </c>
      <c r="B15870" s="2" t="s">
        <v>15940</v>
      </c>
      <c r="C15870" s="2" t="str">
        <f>"0939978X"</f>
        <v>0939978X</v>
      </c>
      <c r="D15870" s="2">
        <v>0.223</v>
      </c>
      <c r="E15870" s="2">
        <v>17</v>
      </c>
      <c r="F15870" s="2" t="s">
        <v>12</v>
      </c>
    </row>
    <row r="15871" spans="1:6" ht="25.5">
      <c r="A15871" s="2">
        <v>15868</v>
      </c>
      <c r="B15871" s="2" t="s">
        <v>15941</v>
      </c>
      <c r="C15871" s="2" t="str">
        <f>"17581125"</f>
        <v>17581125</v>
      </c>
      <c r="D15871" s="2">
        <v>0.71199999999999997</v>
      </c>
      <c r="E15871" s="2">
        <v>27</v>
      </c>
      <c r="F15871" s="2" t="s">
        <v>16</v>
      </c>
    </row>
    <row r="15872" spans="1:6" ht="25.5">
      <c r="A15872" s="2">
        <v>15869</v>
      </c>
      <c r="B15872" s="2" t="s">
        <v>15942</v>
      </c>
      <c r="C15872" s="2" t="str">
        <f>"12860107"</f>
        <v>12860107</v>
      </c>
      <c r="D15872" s="2">
        <v>0.114</v>
      </c>
      <c r="E15872" s="2">
        <v>7</v>
      </c>
      <c r="F15872" s="2" t="s">
        <v>66</v>
      </c>
    </row>
    <row r="15873" spans="1:6" ht="25.5">
      <c r="A15873" s="2">
        <v>15870</v>
      </c>
      <c r="B15873" s="2" t="s">
        <v>15943</v>
      </c>
      <c r="C15873" s="2" t="str">
        <f>"00318299"</f>
        <v>00318299</v>
      </c>
      <c r="D15873" s="2">
        <v>0.17699999999999999</v>
      </c>
      <c r="E15873" s="2">
        <v>3</v>
      </c>
      <c r="F15873" s="2" t="s">
        <v>64</v>
      </c>
    </row>
    <row r="15874" spans="1:6" ht="25.5">
      <c r="A15874" s="2">
        <v>15871</v>
      </c>
      <c r="B15874" s="2" t="s">
        <v>15944</v>
      </c>
      <c r="C15874" s="2" t="str">
        <f>"14230321"</f>
        <v>14230321</v>
      </c>
      <c r="D15874" s="2">
        <v>1.7070000000000001</v>
      </c>
      <c r="E15874" s="2">
        <v>21</v>
      </c>
      <c r="F15874" s="2" t="s">
        <v>31</v>
      </c>
    </row>
    <row r="15875" spans="1:6" ht="25.5">
      <c r="A15875" s="2">
        <v>15872</v>
      </c>
      <c r="B15875" s="2" t="s">
        <v>15945</v>
      </c>
      <c r="C15875" s="2" t="str">
        <f>"14698188"</f>
        <v>14698188</v>
      </c>
      <c r="D15875" s="2">
        <v>1.4039999999999999</v>
      </c>
      <c r="E15875" s="2">
        <v>22</v>
      </c>
      <c r="F15875" s="2" t="s">
        <v>16</v>
      </c>
    </row>
    <row r="15876" spans="1:6" ht="25.5">
      <c r="A15876" s="2">
        <v>15873</v>
      </c>
      <c r="B15876" s="2" t="s">
        <v>15946</v>
      </c>
      <c r="C15876" s="2" t="str">
        <f>"15635325"</f>
        <v>15635325</v>
      </c>
      <c r="D15876" s="2">
        <v>0.27</v>
      </c>
      <c r="E15876" s="2">
        <v>28</v>
      </c>
      <c r="F15876" s="2" t="s">
        <v>16</v>
      </c>
    </row>
    <row r="15877" spans="1:6" ht="25.5">
      <c r="A15877" s="2">
        <v>15874</v>
      </c>
      <c r="B15877" s="2" t="s">
        <v>15947</v>
      </c>
      <c r="C15877" s="2" t="str">
        <f>"14749092"</f>
        <v>14749092</v>
      </c>
      <c r="D15877" s="2">
        <v>0.95</v>
      </c>
      <c r="E15877" s="2">
        <v>52</v>
      </c>
      <c r="F15877" s="2" t="s">
        <v>16</v>
      </c>
    </row>
    <row r="15878" spans="1:6" ht="25.5">
      <c r="A15878" s="2">
        <v>15875</v>
      </c>
      <c r="B15878" s="2" t="s">
        <v>15948</v>
      </c>
      <c r="C15878" s="2" t="str">
        <f>"05563860"</f>
        <v>05563860</v>
      </c>
      <c r="D15878" s="2">
        <v>0.17899999999999999</v>
      </c>
      <c r="E15878" s="2">
        <v>4</v>
      </c>
      <c r="F15878" s="2" t="s">
        <v>16</v>
      </c>
    </row>
    <row r="15879" spans="1:6" ht="25.5">
      <c r="A15879" s="2">
        <v>15876</v>
      </c>
      <c r="B15879" s="2" t="s">
        <v>15949</v>
      </c>
      <c r="C15879" s="2" t="str">
        <f>"00318655"</f>
        <v>00318655</v>
      </c>
      <c r="D15879" s="2">
        <v>0.70899999999999996</v>
      </c>
      <c r="E15879" s="2">
        <v>86</v>
      </c>
      <c r="F15879" s="2" t="s">
        <v>16</v>
      </c>
    </row>
    <row r="15880" spans="1:6" ht="25.5">
      <c r="A15880" s="2">
        <v>15877</v>
      </c>
      <c r="B15880" s="2" t="s">
        <v>15950</v>
      </c>
      <c r="C15880" s="2" t="str">
        <f>"16000781"</f>
        <v>16000781</v>
      </c>
      <c r="D15880" s="2">
        <v>0.69399999999999995</v>
      </c>
      <c r="E15880" s="2">
        <v>39</v>
      </c>
      <c r="F15880" s="2" t="s">
        <v>163</v>
      </c>
    </row>
    <row r="15881" spans="1:6" ht="25.5">
      <c r="A15881" s="2">
        <v>15878</v>
      </c>
      <c r="B15881" s="2" t="s">
        <v>15951</v>
      </c>
      <c r="C15881" s="2" t="str">
        <f>"15721000"</f>
        <v>15721000</v>
      </c>
      <c r="D15881" s="2">
        <v>0.57899999999999996</v>
      </c>
      <c r="E15881" s="2">
        <v>22</v>
      </c>
      <c r="F15881" s="2" t="s">
        <v>75</v>
      </c>
    </row>
    <row r="15882" spans="1:6" ht="25.5">
      <c r="A15882" s="2">
        <v>15879</v>
      </c>
      <c r="B15882" s="2" t="s">
        <v>15952</v>
      </c>
      <c r="C15882" s="2" t="str">
        <f>"00991112"</f>
        <v>00991112</v>
      </c>
      <c r="D15882" s="2">
        <v>0.88300000000000001</v>
      </c>
      <c r="E15882" s="2">
        <v>71</v>
      </c>
      <c r="F15882" s="2" t="s">
        <v>6</v>
      </c>
    </row>
    <row r="15883" spans="1:6" ht="25.5">
      <c r="A15883" s="2">
        <v>15880</v>
      </c>
      <c r="B15883" s="2" t="s">
        <v>15953</v>
      </c>
      <c r="C15883" s="2" t="str">
        <f>"0031868X"</f>
        <v>0031868X</v>
      </c>
      <c r="D15883" s="2">
        <v>0.46200000000000002</v>
      </c>
      <c r="E15883" s="2">
        <v>25</v>
      </c>
      <c r="F15883" s="2" t="s">
        <v>16</v>
      </c>
    </row>
    <row r="15884" spans="1:6" ht="25.5">
      <c r="A15884" s="2">
        <v>15881</v>
      </c>
      <c r="B15884" s="2" t="s">
        <v>15954</v>
      </c>
      <c r="C15884" s="2" t="str">
        <f>"14328364"</f>
        <v>14328364</v>
      </c>
      <c r="D15884" s="2">
        <v>0.373</v>
      </c>
      <c r="E15884" s="2">
        <v>6</v>
      </c>
      <c r="F15884" s="2" t="s">
        <v>12</v>
      </c>
    </row>
    <row r="15885" spans="1:6" ht="25.5">
      <c r="A15885" s="2">
        <v>15882</v>
      </c>
      <c r="B15885" s="2" t="s">
        <v>15955</v>
      </c>
      <c r="C15885" s="2" t="str">
        <f>"17540763"</f>
        <v>17540763</v>
      </c>
      <c r="D15885" s="2">
        <v>0.123</v>
      </c>
      <c r="E15885" s="2">
        <v>1</v>
      </c>
      <c r="F15885" s="2" t="s">
        <v>16</v>
      </c>
    </row>
    <row r="15886" spans="1:6" ht="25.5">
      <c r="A15886" s="2">
        <v>15883</v>
      </c>
      <c r="B15886" s="2" t="s">
        <v>15956</v>
      </c>
      <c r="C15886" s="2" t="str">
        <f>"15495418"</f>
        <v>15495418</v>
      </c>
      <c r="D15886" s="2">
        <v>0.627</v>
      </c>
      <c r="E15886" s="2">
        <v>51</v>
      </c>
      <c r="F15886" s="2" t="s">
        <v>6</v>
      </c>
    </row>
    <row r="15887" spans="1:6" ht="25.5">
      <c r="A15887" s="2">
        <v>15884</v>
      </c>
      <c r="B15887" s="2" t="s">
        <v>15957</v>
      </c>
      <c r="C15887" s="2" t="str">
        <f>"1387974X"</f>
        <v>1387974X</v>
      </c>
      <c r="D15887" s="2">
        <v>0.439</v>
      </c>
      <c r="E15887" s="2">
        <v>26</v>
      </c>
      <c r="F15887" s="2" t="s">
        <v>75</v>
      </c>
    </row>
    <row r="15888" spans="1:6" ht="25.5">
      <c r="A15888" s="2">
        <v>15885</v>
      </c>
      <c r="B15888" s="2" t="s">
        <v>15958</v>
      </c>
      <c r="C15888" s="2" t="str">
        <f>"15694429"</f>
        <v>15694429</v>
      </c>
      <c r="D15888" s="2">
        <v>0.83799999999999997</v>
      </c>
      <c r="E15888" s="2">
        <v>22</v>
      </c>
      <c r="F15888" s="2" t="s">
        <v>75</v>
      </c>
    </row>
    <row r="15889" spans="1:6" ht="25.5">
      <c r="A15889" s="2">
        <v>15886</v>
      </c>
      <c r="B15889" s="2" t="s">
        <v>15959</v>
      </c>
      <c r="C15889" s="2" t="str">
        <f>"21907439"</f>
        <v>21907439</v>
      </c>
      <c r="D15889" s="2">
        <v>0.75900000000000001</v>
      </c>
      <c r="E15889" s="2">
        <v>5</v>
      </c>
      <c r="F15889" s="2" t="s">
        <v>46</v>
      </c>
    </row>
    <row r="15890" spans="1:6" ht="25.5">
      <c r="A15890" s="2">
        <v>15887</v>
      </c>
      <c r="B15890" s="2" t="s">
        <v>15960</v>
      </c>
      <c r="C15890" s="2" t="str">
        <f>"20802242"</f>
        <v>20802242</v>
      </c>
      <c r="D15890" s="2">
        <v>0.314</v>
      </c>
      <c r="E15890" s="2">
        <v>10</v>
      </c>
      <c r="F15890" s="2" t="s">
        <v>169</v>
      </c>
    </row>
    <row r="15891" spans="1:6" ht="25.5">
      <c r="A15891" s="2">
        <v>15888</v>
      </c>
      <c r="B15891" s="2" t="s">
        <v>15961</v>
      </c>
      <c r="C15891" s="2" t="str">
        <f>"15735079"</f>
        <v>15735079</v>
      </c>
      <c r="D15891" s="2">
        <v>1.123</v>
      </c>
      <c r="E15891" s="2">
        <v>65</v>
      </c>
      <c r="F15891" s="2" t="s">
        <v>75</v>
      </c>
    </row>
    <row r="15892" spans="1:6" ht="25.5">
      <c r="A15892" s="2">
        <v>15889</v>
      </c>
      <c r="B15892" s="2" t="s">
        <v>15962</v>
      </c>
      <c r="C15892" s="2" t="str">
        <f>"15739058"</f>
        <v>15739058</v>
      </c>
      <c r="D15892" s="2">
        <v>0.44400000000000001</v>
      </c>
      <c r="E15892" s="2">
        <v>36</v>
      </c>
      <c r="F15892" s="2" t="s">
        <v>75</v>
      </c>
    </row>
    <row r="15893" spans="1:6" ht="25.5">
      <c r="A15893" s="2">
        <v>15890</v>
      </c>
      <c r="B15893" s="2" t="s">
        <v>15963</v>
      </c>
      <c r="C15893" s="2" t="str">
        <f>"15685284"</f>
        <v>15685284</v>
      </c>
      <c r="D15893" s="2">
        <v>0.111</v>
      </c>
      <c r="E15893" s="2">
        <v>7</v>
      </c>
      <c r="F15893" s="2" t="s">
        <v>75</v>
      </c>
    </row>
    <row r="15894" spans="1:6" ht="25.5">
      <c r="A15894" s="2">
        <v>15891</v>
      </c>
      <c r="B15894" s="2" t="s">
        <v>15964</v>
      </c>
      <c r="C15894" s="2" t="str">
        <f>"08581088"</f>
        <v>08581088</v>
      </c>
      <c r="D15894" s="2">
        <v>0.109</v>
      </c>
      <c r="E15894" s="2">
        <v>1</v>
      </c>
      <c r="F15894" s="2" t="s">
        <v>1966</v>
      </c>
    </row>
    <row r="15895" spans="1:6" ht="25.5">
      <c r="A15895" s="2">
        <v>15892</v>
      </c>
      <c r="B15895" s="2" t="s">
        <v>15965</v>
      </c>
      <c r="C15895" s="2" t="str">
        <f>"00318884"</f>
        <v>00318884</v>
      </c>
      <c r="D15895" s="2">
        <v>0.67900000000000005</v>
      </c>
      <c r="E15895" s="2">
        <v>42</v>
      </c>
      <c r="F15895" s="2" t="s">
        <v>6</v>
      </c>
    </row>
    <row r="15896" spans="1:6" ht="25.5">
      <c r="A15896" s="2">
        <v>15893</v>
      </c>
      <c r="B15896" s="2" t="s">
        <v>15966</v>
      </c>
      <c r="C15896" s="2" t="str">
        <f>"15191397"</f>
        <v>15191397</v>
      </c>
      <c r="D15896" s="2">
        <v>0.32900000000000001</v>
      </c>
      <c r="E15896" s="2">
        <v>8</v>
      </c>
      <c r="F15896" s="2" t="s">
        <v>159</v>
      </c>
    </row>
    <row r="15897" spans="1:6" ht="25.5">
      <c r="A15897" s="2">
        <v>15894</v>
      </c>
      <c r="B15897" s="2" t="s">
        <v>15967</v>
      </c>
      <c r="C15897" s="2" t="str">
        <f>"03784371"</f>
        <v>03784371</v>
      </c>
      <c r="D15897" s="2">
        <v>0.63400000000000001</v>
      </c>
      <c r="E15897" s="2">
        <v>87</v>
      </c>
      <c r="F15897" s="2" t="s">
        <v>75</v>
      </c>
    </row>
    <row r="15898" spans="1:6" ht="25.5">
      <c r="A15898" s="2">
        <v>15895</v>
      </c>
      <c r="B15898" s="2" t="s">
        <v>15968</v>
      </c>
      <c r="C15898" s="2" t="str">
        <f>"09214526"</f>
        <v>09214526</v>
      </c>
      <c r="D15898" s="2">
        <v>0.54200000000000004</v>
      </c>
      <c r="E15898" s="2">
        <v>65</v>
      </c>
      <c r="F15898" s="2" t="s">
        <v>75</v>
      </c>
    </row>
    <row r="15899" spans="1:6" ht="25.5">
      <c r="A15899" s="2">
        <v>15896</v>
      </c>
      <c r="B15899" s="2" t="s">
        <v>15969</v>
      </c>
      <c r="C15899" s="2" t="str">
        <f>"09214534"</f>
        <v>09214534</v>
      </c>
      <c r="D15899" s="2">
        <v>0.496</v>
      </c>
      <c r="E15899" s="2">
        <v>63</v>
      </c>
      <c r="F15899" s="2" t="s">
        <v>75</v>
      </c>
    </row>
    <row r="15900" spans="1:6" ht="25.5">
      <c r="A15900" s="2">
        <v>15897</v>
      </c>
      <c r="B15900" s="2" t="s">
        <v>15970</v>
      </c>
      <c r="C15900" s="2" t="str">
        <f>"01672789"</f>
        <v>01672789</v>
      </c>
      <c r="D15900" s="2">
        <v>0.97599999999999998</v>
      </c>
      <c r="E15900" s="2">
        <v>83</v>
      </c>
      <c r="F15900" s="2" t="s">
        <v>75</v>
      </c>
    </row>
    <row r="15901" spans="1:6" ht="25.5">
      <c r="A15901" s="2">
        <v>15898</v>
      </c>
      <c r="B15901" s="2" t="s">
        <v>15971</v>
      </c>
      <c r="C15901" s="2" t="str">
        <f>"13869477"</f>
        <v>13869477</v>
      </c>
      <c r="D15901" s="2">
        <v>0.63900000000000001</v>
      </c>
      <c r="E15901" s="2">
        <v>48</v>
      </c>
      <c r="F15901" s="2" t="s">
        <v>75</v>
      </c>
    </row>
    <row r="15902" spans="1:6" ht="25.5">
      <c r="A15902" s="2">
        <v>15899</v>
      </c>
      <c r="B15902" s="2" t="s">
        <v>15972</v>
      </c>
      <c r="C15902" s="2" t="str">
        <f>"11143800"</f>
        <v>11143800</v>
      </c>
      <c r="D15902" s="2">
        <v>0.192</v>
      </c>
      <c r="E15902" s="2">
        <v>2</v>
      </c>
      <c r="F15902" s="2" t="s">
        <v>11631</v>
      </c>
    </row>
    <row r="15903" spans="1:6" ht="25.5">
      <c r="A15903" s="2">
        <v>15900</v>
      </c>
      <c r="B15903" s="2" t="s">
        <v>15973</v>
      </c>
      <c r="C15903" s="2" t="str">
        <f>"15413152"</f>
        <v>15413152</v>
      </c>
      <c r="D15903" s="2">
        <v>0.21299999999999999</v>
      </c>
      <c r="E15903" s="2">
        <v>12</v>
      </c>
      <c r="F15903" s="2" t="s">
        <v>16</v>
      </c>
    </row>
    <row r="15904" spans="1:6" ht="25.5">
      <c r="A15904" s="2">
        <v>15901</v>
      </c>
      <c r="B15904" s="2" t="s">
        <v>15974</v>
      </c>
      <c r="C15904" s="2" t="str">
        <f>"15413144"</f>
        <v>15413144</v>
      </c>
      <c r="D15904" s="2">
        <v>0.496</v>
      </c>
      <c r="E15904" s="2">
        <v>26</v>
      </c>
      <c r="F15904" s="2" t="s">
        <v>16</v>
      </c>
    </row>
    <row r="15905" spans="1:6" ht="25.5">
      <c r="A15905" s="2">
        <v>15902</v>
      </c>
      <c r="B15905" s="2" t="s">
        <v>15975</v>
      </c>
      <c r="C15905" s="2" t="str">
        <f>"14783975"</f>
        <v>14783975</v>
      </c>
      <c r="D15905" s="2">
        <v>1.2849999999999999</v>
      </c>
      <c r="E15905" s="2">
        <v>36</v>
      </c>
      <c r="F15905" s="2" t="s">
        <v>16</v>
      </c>
    </row>
    <row r="15906" spans="1:6" ht="25.5">
      <c r="A15906" s="2">
        <v>15903</v>
      </c>
      <c r="B15906" s="2" t="s">
        <v>15976</v>
      </c>
      <c r="C15906" s="2" t="str">
        <f>"14639084"</f>
        <v>14639084</v>
      </c>
      <c r="D15906" s="2">
        <v>1.649</v>
      </c>
      <c r="E15906" s="2">
        <v>110</v>
      </c>
      <c r="F15906" s="2" t="s">
        <v>16</v>
      </c>
    </row>
    <row r="15907" spans="1:6" ht="25.5">
      <c r="A15907" s="2">
        <v>15904</v>
      </c>
      <c r="B15907" s="2" t="s">
        <v>15977</v>
      </c>
      <c r="C15907" s="2" t="str">
        <f>"18744907"</f>
        <v>18744907</v>
      </c>
      <c r="D15907" s="2">
        <v>1.3260000000000001</v>
      </c>
      <c r="E15907" s="2">
        <v>13</v>
      </c>
      <c r="F15907" s="2" t="s">
        <v>75</v>
      </c>
    </row>
    <row r="15908" spans="1:6" ht="25.5">
      <c r="A15908" s="2">
        <v>15905</v>
      </c>
      <c r="B15908" s="2" t="s">
        <v>15978</v>
      </c>
      <c r="C15908" s="2" t="str">
        <f>"17425786"</f>
        <v>17425786</v>
      </c>
      <c r="D15908" s="2">
        <v>0.40100000000000002</v>
      </c>
      <c r="E15908" s="2">
        <v>4</v>
      </c>
      <c r="F15908" s="2" t="s">
        <v>16</v>
      </c>
    </row>
    <row r="15909" spans="1:6" ht="25.5">
      <c r="A15909" s="2">
        <v>15906</v>
      </c>
      <c r="B15909" s="2" t="s">
        <v>15979</v>
      </c>
      <c r="C15909" s="2" t="str">
        <f>"02723646"</f>
        <v>02723646</v>
      </c>
      <c r="D15909" s="2">
        <v>0.41</v>
      </c>
      <c r="E15909" s="2">
        <v>24</v>
      </c>
      <c r="F15909" s="2" t="s">
        <v>6</v>
      </c>
    </row>
    <row r="15910" spans="1:6" ht="25.5">
      <c r="A15910" s="2">
        <v>15907</v>
      </c>
      <c r="B15910" s="2" t="s">
        <v>15980</v>
      </c>
      <c r="C15910" s="2" t="str">
        <f>"10479651"</f>
        <v>10479651</v>
      </c>
      <c r="D15910" s="2">
        <v>0.29299999999999998</v>
      </c>
      <c r="E15910" s="2">
        <v>30</v>
      </c>
      <c r="F15910" s="2" t="s">
        <v>16</v>
      </c>
    </row>
    <row r="15911" spans="1:6" ht="25.5">
      <c r="A15911" s="2">
        <v>15908</v>
      </c>
      <c r="B15911" s="2" t="s">
        <v>15981</v>
      </c>
      <c r="C15911" s="2" t="str">
        <f>"10299599"</f>
        <v>10299599</v>
      </c>
      <c r="D15911" s="2">
        <v>0.35199999999999998</v>
      </c>
      <c r="E15911" s="2">
        <v>9</v>
      </c>
      <c r="F15911" s="2" t="s">
        <v>75</v>
      </c>
    </row>
    <row r="15912" spans="1:6" ht="25.5">
      <c r="A15912" s="2">
        <v>15909</v>
      </c>
      <c r="B15912" s="2" t="s">
        <v>15982</v>
      </c>
      <c r="C15912" s="2" t="str">
        <f>"09285105"</f>
        <v>09285105</v>
      </c>
      <c r="D15912" s="2">
        <v>0.1</v>
      </c>
      <c r="E15912" s="2">
        <v>4</v>
      </c>
      <c r="F15912" s="2" t="s">
        <v>75</v>
      </c>
    </row>
    <row r="15913" spans="1:6" ht="25.5">
      <c r="A15913" s="2">
        <v>15910</v>
      </c>
      <c r="B15913" s="2" t="s">
        <v>15983</v>
      </c>
      <c r="C15913" s="2" t="str">
        <f>"10941622"</f>
        <v>10941622</v>
      </c>
      <c r="D15913" s="2">
        <v>1.84</v>
      </c>
      <c r="E15913" s="2">
        <v>167</v>
      </c>
      <c r="F15913" s="2" t="s">
        <v>6</v>
      </c>
    </row>
    <row r="15914" spans="1:6" ht="25.5">
      <c r="A15914" s="2">
        <v>15911</v>
      </c>
      <c r="B15914" s="2" t="s">
        <v>15984</v>
      </c>
      <c r="C15914" s="2" t="str">
        <f>"10980121"</f>
        <v>10980121</v>
      </c>
      <c r="D15914" s="2">
        <v>2.3929999999999998</v>
      </c>
      <c r="E15914" s="2">
        <v>269</v>
      </c>
      <c r="F15914" s="2" t="s">
        <v>6</v>
      </c>
    </row>
    <row r="15915" spans="1:6" ht="25.5">
      <c r="A15915" s="2">
        <v>15912</v>
      </c>
      <c r="B15915" s="2" t="s">
        <v>15985</v>
      </c>
      <c r="C15915" s="2" t="str">
        <f>"1089490X"</f>
        <v>1089490X</v>
      </c>
      <c r="D15915" s="2">
        <v>1.97</v>
      </c>
      <c r="E15915" s="2">
        <v>132</v>
      </c>
      <c r="F15915" s="2" t="s">
        <v>6</v>
      </c>
    </row>
    <row r="15916" spans="1:6" ht="25.5">
      <c r="A15916" s="2">
        <v>15913</v>
      </c>
      <c r="B15916" s="2" t="s">
        <v>15986</v>
      </c>
      <c r="C15916" s="2" t="str">
        <f>"15507998"</f>
        <v>15507998</v>
      </c>
      <c r="D15916" s="2">
        <v>2.0510000000000002</v>
      </c>
      <c r="E15916" s="2">
        <v>220</v>
      </c>
      <c r="F15916" s="2" t="s">
        <v>6</v>
      </c>
    </row>
    <row r="15917" spans="1:6" ht="25.5">
      <c r="A15917" s="2">
        <v>15914</v>
      </c>
      <c r="B15917" s="2" t="s">
        <v>15987</v>
      </c>
      <c r="C15917" s="2" t="str">
        <f>"15393755"</f>
        <v>15393755</v>
      </c>
      <c r="D15917" s="2">
        <v>1.0589999999999999</v>
      </c>
      <c r="E15917" s="2">
        <v>137</v>
      </c>
      <c r="F15917" s="2" t="s">
        <v>6</v>
      </c>
    </row>
    <row r="15918" spans="1:6" ht="25.5">
      <c r="A15918" s="2">
        <v>15915</v>
      </c>
      <c r="B15918" s="2" t="s">
        <v>15988</v>
      </c>
      <c r="C15918" s="2" t="str">
        <f>"10797114"</f>
        <v>10797114</v>
      </c>
      <c r="D15918" s="2">
        <v>4.5369999999999999</v>
      </c>
      <c r="E15918" s="2">
        <v>395</v>
      </c>
      <c r="F15918" s="2" t="s">
        <v>6</v>
      </c>
    </row>
    <row r="15919" spans="1:6" ht="25.5">
      <c r="A15919" s="2">
        <v>15916</v>
      </c>
      <c r="B15919" s="2" t="s">
        <v>15989</v>
      </c>
      <c r="C15919" s="2" t="str">
        <f>"10984402"</f>
        <v>10984402</v>
      </c>
      <c r="D15919" s="2">
        <v>1.0680000000000001</v>
      </c>
      <c r="E15919" s="2">
        <v>35</v>
      </c>
      <c r="F15919" s="2" t="s">
        <v>6</v>
      </c>
    </row>
    <row r="15920" spans="1:6" ht="25.5">
      <c r="A15920" s="2">
        <v>15917</v>
      </c>
      <c r="B15920" s="2" t="s">
        <v>15990</v>
      </c>
      <c r="C15920" s="2" t="str">
        <f>"15549178"</f>
        <v>15549178</v>
      </c>
      <c r="D15920" s="2">
        <v>0.85099999999999998</v>
      </c>
      <c r="E15920" s="2">
        <v>15</v>
      </c>
      <c r="F15920" s="2" t="s">
        <v>6</v>
      </c>
    </row>
    <row r="15921" spans="1:6" ht="25.5">
      <c r="A15921" s="2">
        <v>15918</v>
      </c>
      <c r="B15921" s="2" t="s">
        <v>15991</v>
      </c>
      <c r="C15921" s="2" t="str">
        <f>"21603308"</f>
        <v>21603308</v>
      </c>
      <c r="D15921" s="2">
        <v>6.1749999999999998</v>
      </c>
      <c r="E15921" s="2">
        <v>9</v>
      </c>
      <c r="F15921" s="2" t="s">
        <v>6</v>
      </c>
    </row>
    <row r="15922" spans="1:6" ht="25.5">
      <c r="A15922" s="2">
        <v>15919</v>
      </c>
      <c r="B15922" s="2" t="s">
        <v>15992</v>
      </c>
      <c r="C15922" s="2" t="str">
        <f>"15386724"</f>
        <v>15386724</v>
      </c>
      <c r="D15922" s="2">
        <v>1.27</v>
      </c>
      <c r="E15922" s="2">
        <v>86</v>
      </c>
      <c r="F15922" s="2" t="s">
        <v>6</v>
      </c>
    </row>
    <row r="15923" spans="1:6" ht="25.5">
      <c r="A15923" s="2">
        <v>15920</v>
      </c>
      <c r="B15923" s="2" t="s">
        <v>15993</v>
      </c>
      <c r="C15923" s="2" t="str">
        <f>"18731600"</f>
        <v>18731600</v>
      </c>
      <c r="D15923" s="2">
        <v>0.65700000000000003</v>
      </c>
      <c r="E15923" s="2">
        <v>21</v>
      </c>
      <c r="F15923" s="2" t="s">
        <v>75</v>
      </c>
    </row>
    <row r="15924" spans="1:6" ht="25.5">
      <c r="A15924" s="2">
        <v>15921</v>
      </c>
      <c r="B15924" s="2" t="s">
        <v>15994</v>
      </c>
      <c r="C15924" s="2" t="str">
        <f>"11201797"</f>
        <v>11201797</v>
      </c>
      <c r="D15924" s="2">
        <v>0.39600000000000002</v>
      </c>
      <c r="E15924" s="2">
        <v>18</v>
      </c>
      <c r="F15924" s="2" t="s">
        <v>190</v>
      </c>
    </row>
    <row r="15925" spans="1:6" ht="25.5">
      <c r="A15925" s="2">
        <v>15922</v>
      </c>
      <c r="B15925" s="2" t="s">
        <v>15995</v>
      </c>
      <c r="C15925" s="2" t="str">
        <f>"00318949"</f>
        <v>00318949</v>
      </c>
      <c r="D15925" s="2">
        <v>0.33300000000000002</v>
      </c>
      <c r="E15925" s="2">
        <v>37</v>
      </c>
      <c r="F15925" s="2" t="s">
        <v>16</v>
      </c>
    </row>
    <row r="15926" spans="1:6" ht="25.5">
      <c r="A15926" s="2">
        <v>15923</v>
      </c>
      <c r="B15926" s="2" t="s">
        <v>15996</v>
      </c>
      <c r="C15926" s="2" t="str">
        <f>"18626319"</f>
        <v>18626319</v>
      </c>
      <c r="D15926" s="2">
        <v>0.78800000000000003</v>
      </c>
      <c r="E15926" s="2">
        <v>67</v>
      </c>
      <c r="F15926" s="2" t="s">
        <v>12</v>
      </c>
    </row>
    <row r="15927" spans="1:6" ht="25.5">
      <c r="A15927" s="2">
        <v>15924</v>
      </c>
      <c r="B15927" s="2" t="s">
        <v>15997</v>
      </c>
      <c r="C15927" s="2" t="str">
        <f>"15213951"</f>
        <v>15213951</v>
      </c>
      <c r="D15927" s="2">
        <v>0.77500000000000002</v>
      </c>
      <c r="E15927" s="2">
        <v>65</v>
      </c>
      <c r="F15927" s="2" t="s">
        <v>12</v>
      </c>
    </row>
    <row r="15928" spans="1:6" ht="25.5">
      <c r="A15928" s="2">
        <v>15925</v>
      </c>
      <c r="B15928" s="2" t="s">
        <v>15998</v>
      </c>
      <c r="C15928" s="2" t="str">
        <f>"18626351"</f>
        <v>18626351</v>
      </c>
      <c r="D15928" s="2">
        <v>0.39700000000000002</v>
      </c>
      <c r="E15928" s="2">
        <v>27</v>
      </c>
      <c r="F15928" s="2" t="s">
        <v>12</v>
      </c>
    </row>
    <row r="15929" spans="1:6" ht="25.5">
      <c r="A15929" s="2">
        <v>15926</v>
      </c>
      <c r="B15929" s="2" t="s">
        <v>15999</v>
      </c>
      <c r="C15929" s="2" t="str">
        <f>"18626270"</f>
        <v>18626270</v>
      </c>
      <c r="D15929" s="2">
        <v>1.2749999999999999</v>
      </c>
      <c r="E15929" s="2">
        <v>27</v>
      </c>
      <c r="F15929" s="2" t="s">
        <v>12</v>
      </c>
    </row>
    <row r="15930" spans="1:6" ht="25.5">
      <c r="A15930" s="2">
        <v>15927</v>
      </c>
      <c r="B15930" s="2" t="s">
        <v>16000</v>
      </c>
      <c r="C15930" s="2" t="str">
        <f>"00913847"</f>
        <v>00913847</v>
      </c>
      <c r="D15930" s="2">
        <v>0.434</v>
      </c>
      <c r="E15930" s="2">
        <v>22</v>
      </c>
      <c r="F15930" s="2" t="s">
        <v>6</v>
      </c>
    </row>
    <row r="15931" spans="1:6" ht="25.5">
      <c r="A15931" s="2">
        <v>15928</v>
      </c>
      <c r="B15931" s="2" t="s">
        <v>16001</v>
      </c>
      <c r="C15931" s="2" t="str">
        <f>"08982759"</f>
        <v>08982759</v>
      </c>
      <c r="D15931" s="2">
        <v>0.122</v>
      </c>
      <c r="E15931" s="2">
        <v>12</v>
      </c>
      <c r="F15931" s="2" t="s">
        <v>6</v>
      </c>
    </row>
    <row r="15932" spans="1:6" ht="25.5">
      <c r="A15932" s="2">
        <v>15929</v>
      </c>
      <c r="B15932" s="2" t="s">
        <v>16002</v>
      </c>
      <c r="C15932" s="2" t="str">
        <f>"10363831"</f>
        <v>10363831</v>
      </c>
      <c r="D15932" s="2">
        <v>0.1</v>
      </c>
      <c r="E15932" s="2">
        <v>3</v>
      </c>
      <c r="F15932" s="2" t="s">
        <v>127</v>
      </c>
    </row>
    <row r="15933" spans="1:6" ht="25.5">
      <c r="A15933" s="2">
        <v>15930</v>
      </c>
      <c r="B15933" s="2" t="s">
        <v>16003</v>
      </c>
      <c r="C15933" s="2" t="str">
        <f>"01371282"</f>
        <v>01371282</v>
      </c>
      <c r="D15933" s="2">
        <v>0.221</v>
      </c>
      <c r="E15933" s="2">
        <v>4</v>
      </c>
      <c r="F15933" s="2" t="s">
        <v>169</v>
      </c>
    </row>
    <row r="15934" spans="1:6" ht="25.5">
      <c r="A15934" s="2">
        <v>15931</v>
      </c>
      <c r="B15934" s="2" t="s">
        <v>16004</v>
      </c>
      <c r="C15934" s="2" t="str">
        <f>"17533562"</f>
        <v>17533562</v>
      </c>
      <c r="D15934" s="2">
        <v>0.27700000000000002</v>
      </c>
      <c r="E15934" s="2">
        <v>11</v>
      </c>
      <c r="F15934" s="2" t="s">
        <v>16</v>
      </c>
    </row>
    <row r="15935" spans="1:6" ht="25.5">
      <c r="A15935" s="2">
        <v>15932</v>
      </c>
      <c r="B15935" s="2" t="s">
        <v>16005</v>
      </c>
      <c r="C15935" s="2" t="str">
        <f>"00319104"</f>
        <v>00319104</v>
      </c>
      <c r="D15935" s="2">
        <v>0.34699999999999998</v>
      </c>
      <c r="E15935" s="2">
        <v>19</v>
      </c>
      <c r="F15935" s="2" t="s">
        <v>16</v>
      </c>
    </row>
    <row r="15936" spans="1:6" ht="25.5">
      <c r="A15936" s="2">
        <v>15933</v>
      </c>
      <c r="B15936" s="2" t="s">
        <v>16006</v>
      </c>
      <c r="C15936" s="2" t="str">
        <f>"14322021"</f>
        <v>14322021</v>
      </c>
      <c r="D15936" s="2">
        <v>0.65200000000000002</v>
      </c>
      <c r="E15936" s="2">
        <v>44</v>
      </c>
      <c r="F15936" s="2" t="s">
        <v>12</v>
      </c>
    </row>
    <row r="15937" spans="1:6" ht="25.5">
      <c r="A15937" s="2">
        <v>15934</v>
      </c>
      <c r="B15937" s="2" t="s">
        <v>16007</v>
      </c>
      <c r="C15937" s="2" t="str">
        <f>"14747065"</f>
        <v>14747065</v>
      </c>
      <c r="D15937" s="2">
        <v>0.42299999999999999</v>
      </c>
      <c r="E15937" s="2">
        <v>36</v>
      </c>
      <c r="F15937" s="2" t="s">
        <v>16</v>
      </c>
    </row>
    <row r="15938" spans="1:6" ht="25.5">
      <c r="A15938" s="2">
        <v>15935</v>
      </c>
      <c r="B15938" s="2" t="s">
        <v>16008</v>
      </c>
      <c r="C15938" s="2" t="str">
        <f>"00319120"</f>
        <v>00319120</v>
      </c>
      <c r="D15938" s="2">
        <v>0.25800000000000001</v>
      </c>
      <c r="E15938" s="2">
        <v>8</v>
      </c>
      <c r="F15938" s="2" t="s">
        <v>16</v>
      </c>
    </row>
    <row r="15939" spans="1:6" ht="25.5">
      <c r="A15939" s="2">
        <v>15936</v>
      </c>
      <c r="B15939" s="2" t="s">
        <v>16009</v>
      </c>
      <c r="C15939" s="2" t="str">
        <f>"08361398"</f>
        <v>08361398</v>
      </c>
      <c r="D15939" s="2">
        <v>0.193</v>
      </c>
      <c r="E15939" s="2">
        <v>12</v>
      </c>
      <c r="F15939" s="2" t="s">
        <v>64</v>
      </c>
    </row>
    <row r="15940" spans="1:6" ht="25.5">
      <c r="A15940" s="2">
        <v>15937</v>
      </c>
      <c r="B15940" s="2" t="s">
        <v>16010</v>
      </c>
      <c r="C15940" s="2" t="str">
        <f>"13616560"</f>
        <v>13616560</v>
      </c>
      <c r="D15940" s="2">
        <v>1.2050000000000001</v>
      </c>
      <c r="E15940" s="2">
        <v>113</v>
      </c>
      <c r="F15940" s="2" t="s">
        <v>16</v>
      </c>
    </row>
    <row r="15941" spans="1:6" ht="25.5">
      <c r="A15941" s="2">
        <v>15938</v>
      </c>
      <c r="B15941" s="2" t="s">
        <v>16011</v>
      </c>
      <c r="C15941" s="2" t="str">
        <f>"14226960"</f>
        <v>14226960</v>
      </c>
      <c r="D15941" s="2">
        <v>0.15</v>
      </c>
      <c r="E15941" s="2">
        <v>8</v>
      </c>
      <c r="F15941" s="2" t="s">
        <v>31</v>
      </c>
    </row>
    <row r="15942" spans="1:6" ht="25.5">
      <c r="A15942" s="2">
        <v>15939</v>
      </c>
      <c r="B15942" s="2" t="s">
        <v>16012</v>
      </c>
      <c r="C15942" s="2" t="str">
        <f>"03759601"</f>
        <v>03759601</v>
      </c>
      <c r="D15942" s="2">
        <v>0.76800000000000002</v>
      </c>
      <c r="E15942" s="2">
        <v>115</v>
      </c>
      <c r="F15942" s="2" t="s">
        <v>75</v>
      </c>
    </row>
    <row r="15943" spans="1:6" ht="25.5">
      <c r="A15943" s="2">
        <v>15940</v>
      </c>
      <c r="B15943" s="2" t="s">
        <v>16013</v>
      </c>
      <c r="C15943" s="2" t="str">
        <f>"03702693"</f>
        <v>03702693</v>
      </c>
      <c r="D15943" s="2">
        <v>3.0619999999999998</v>
      </c>
      <c r="E15943" s="2">
        <v>186</v>
      </c>
      <c r="F15943" s="2" t="s">
        <v>75</v>
      </c>
    </row>
    <row r="15944" spans="1:6" ht="25.5">
      <c r="A15944" s="2">
        <v>15941</v>
      </c>
      <c r="B15944" s="2" t="s">
        <v>16014</v>
      </c>
      <c r="C15944" s="2" t="str">
        <f>"1562692X"</f>
        <v>1562692X</v>
      </c>
      <c r="D15944" s="2">
        <v>0.54</v>
      </c>
      <c r="E15944" s="2">
        <v>28</v>
      </c>
      <c r="F15944" s="2" t="s">
        <v>129</v>
      </c>
    </row>
    <row r="15945" spans="1:6" ht="25.5">
      <c r="A15945" s="2">
        <v>15942</v>
      </c>
      <c r="B15945" s="2" t="s">
        <v>16015</v>
      </c>
      <c r="C15945" s="2" t="str">
        <f>"10897666"</f>
        <v>10897666</v>
      </c>
      <c r="D15945" s="2">
        <v>1.0980000000000001</v>
      </c>
      <c r="E15945" s="2">
        <v>98</v>
      </c>
      <c r="F15945" s="2" t="s">
        <v>6</v>
      </c>
    </row>
    <row r="15946" spans="1:6" ht="25.5">
      <c r="A15946" s="2">
        <v>15943</v>
      </c>
      <c r="B15946" s="2" t="s">
        <v>16016</v>
      </c>
      <c r="C15946" s="2" t="str">
        <f>"15710645"</f>
        <v>15710645</v>
      </c>
      <c r="D15946" s="2">
        <v>1.216</v>
      </c>
      <c r="E15946" s="2">
        <v>25</v>
      </c>
      <c r="F15946" s="2" t="s">
        <v>75</v>
      </c>
    </row>
    <row r="15947" spans="1:6" ht="25.5">
      <c r="A15947" s="2">
        <v>15944</v>
      </c>
      <c r="B15947" s="2" t="s">
        <v>16017</v>
      </c>
      <c r="C15947" s="2" t="str">
        <f>"0031918X"</f>
        <v>0031918X</v>
      </c>
      <c r="D15947" s="2">
        <v>0.442</v>
      </c>
      <c r="E15947" s="2">
        <v>19</v>
      </c>
      <c r="F15947" s="2" t="s">
        <v>129</v>
      </c>
    </row>
    <row r="15948" spans="1:6" ht="25.5">
      <c r="A15948" s="2">
        <v>15945</v>
      </c>
      <c r="B15948" s="2" t="s">
        <v>16018</v>
      </c>
      <c r="C15948" s="2" t="str">
        <f>"15318559"</f>
        <v>15318559</v>
      </c>
      <c r="D15948" s="2">
        <v>0.57599999999999996</v>
      </c>
      <c r="E15948" s="2">
        <v>20</v>
      </c>
      <c r="F15948" s="2" t="s">
        <v>129</v>
      </c>
    </row>
    <row r="15949" spans="1:6" ht="25.5">
      <c r="A15949" s="2">
        <v>15946</v>
      </c>
      <c r="B15949" s="2" t="s">
        <v>16019</v>
      </c>
      <c r="C15949" s="2" t="str">
        <f>"15474771"</f>
        <v>15474771</v>
      </c>
      <c r="D15949" s="2">
        <v>0.27500000000000002</v>
      </c>
      <c r="E15949" s="2">
        <v>7</v>
      </c>
      <c r="F15949" s="2" t="s">
        <v>129</v>
      </c>
    </row>
    <row r="15950" spans="1:6" ht="25.5">
      <c r="A15950" s="2">
        <v>15947</v>
      </c>
      <c r="B15950" s="2" t="s">
        <v>16020</v>
      </c>
      <c r="C15950" s="2" t="str">
        <f>"10897674"</f>
        <v>10897674</v>
      </c>
      <c r="D15950" s="2">
        <v>1.113</v>
      </c>
      <c r="E15950" s="2">
        <v>102</v>
      </c>
      <c r="F15950" s="2" t="s">
        <v>6</v>
      </c>
    </row>
    <row r="15951" spans="1:6" ht="25.5">
      <c r="A15951" s="2">
        <v>15948</v>
      </c>
      <c r="B15951" s="2" t="s">
        <v>16021</v>
      </c>
      <c r="C15951" s="2" t="str">
        <f>"22126864"</f>
        <v>22126864</v>
      </c>
      <c r="D15951" s="2">
        <v>0</v>
      </c>
      <c r="E15951" s="2">
        <v>0</v>
      </c>
      <c r="F15951" s="2" t="s">
        <v>75</v>
      </c>
    </row>
    <row r="15952" spans="1:6" ht="25.5">
      <c r="A15952" s="2">
        <v>15949</v>
      </c>
      <c r="B15952" s="2" t="s">
        <v>16022</v>
      </c>
      <c r="C15952" s="2" t="str">
        <f>"00319201"</f>
        <v>00319201</v>
      </c>
      <c r="D15952" s="2">
        <v>1.7529999999999999</v>
      </c>
      <c r="E15952" s="2">
        <v>64</v>
      </c>
      <c r="F15952" s="2" t="s">
        <v>75</v>
      </c>
    </row>
    <row r="15953" spans="1:6" ht="25.5">
      <c r="A15953" s="2">
        <v>15950</v>
      </c>
      <c r="B15953" s="2" t="s">
        <v>16023</v>
      </c>
      <c r="C15953" s="2" t="str">
        <f>"10906460"</f>
        <v>10906460</v>
      </c>
      <c r="D15953" s="2">
        <v>0.46500000000000002</v>
      </c>
      <c r="E15953" s="2">
        <v>26</v>
      </c>
      <c r="F15953" s="2" t="s">
        <v>129</v>
      </c>
    </row>
    <row r="15954" spans="1:6" ht="25.5">
      <c r="A15954" s="2">
        <v>15951</v>
      </c>
      <c r="B15954" s="2" t="s">
        <v>16024</v>
      </c>
      <c r="C15954" s="2" t="str">
        <f>"18753892"</f>
        <v>18753892</v>
      </c>
      <c r="D15954" s="2">
        <v>0.24199999999999999</v>
      </c>
      <c r="E15954" s="2">
        <v>9</v>
      </c>
      <c r="F15954" s="2" t="s">
        <v>75</v>
      </c>
    </row>
    <row r="15955" spans="1:6" ht="25.5">
      <c r="A15955" s="2">
        <v>15952</v>
      </c>
      <c r="B15955" s="2" t="s">
        <v>16025</v>
      </c>
      <c r="C15955" s="2" t="str">
        <f>"03701573"</f>
        <v>03701573</v>
      </c>
      <c r="D15955" s="2">
        <v>10.055999999999999</v>
      </c>
      <c r="E15955" s="2">
        <v>171</v>
      </c>
      <c r="F15955" s="2" t="s">
        <v>75</v>
      </c>
    </row>
    <row r="15956" spans="1:6" ht="25.5">
      <c r="A15956" s="2">
        <v>15953</v>
      </c>
      <c r="B15956" s="2" t="s">
        <v>16026</v>
      </c>
      <c r="C15956" s="2" t="str">
        <f>"20902239"</f>
        <v>20902239</v>
      </c>
      <c r="D15956" s="2">
        <v>0.13700000000000001</v>
      </c>
      <c r="E15956" s="2">
        <v>2</v>
      </c>
      <c r="F15956" s="2" t="s">
        <v>6</v>
      </c>
    </row>
    <row r="15957" spans="1:6" ht="25.5">
      <c r="A15957" s="2">
        <v>15954</v>
      </c>
      <c r="B15957" s="2" t="s">
        <v>16027</v>
      </c>
      <c r="C15957" s="2" t="str">
        <f>"14684780"</f>
        <v>14684780</v>
      </c>
      <c r="D15957" s="2">
        <v>0.83599999999999997</v>
      </c>
      <c r="E15957" s="2">
        <v>39</v>
      </c>
      <c r="F15957" s="2" t="s">
        <v>16</v>
      </c>
    </row>
    <row r="15958" spans="1:6" ht="25.5">
      <c r="A15958" s="2">
        <v>15955</v>
      </c>
      <c r="B15958" s="2" t="s">
        <v>16028</v>
      </c>
      <c r="C15958" s="2" t="str">
        <f>"09406689"</f>
        <v>09406689</v>
      </c>
      <c r="D15958" s="2">
        <v>0.16200000000000001</v>
      </c>
      <c r="E15958" s="2">
        <v>13</v>
      </c>
      <c r="F15958" s="2" t="s">
        <v>12</v>
      </c>
    </row>
    <row r="15959" spans="1:6" ht="25.5">
      <c r="A15959" s="2">
        <v>15956</v>
      </c>
      <c r="B15959" s="2" t="s">
        <v>16029</v>
      </c>
      <c r="C15959" s="2" t="str">
        <f>"13993054"</f>
        <v>13993054</v>
      </c>
      <c r="D15959" s="2">
        <v>1.3580000000000001</v>
      </c>
      <c r="E15959" s="2">
        <v>87</v>
      </c>
      <c r="F15959" s="2" t="s">
        <v>16</v>
      </c>
    </row>
    <row r="15960" spans="1:6" ht="25.5">
      <c r="A15960" s="2">
        <v>15957</v>
      </c>
      <c r="B15960" s="2" t="s">
        <v>16030</v>
      </c>
      <c r="C15960" s="2" t="str">
        <f>"15222152"</f>
        <v>15222152</v>
      </c>
      <c r="D15960" s="2">
        <v>0.85699999999999998</v>
      </c>
      <c r="E15960" s="2">
        <v>54</v>
      </c>
      <c r="F15960" s="2" t="s">
        <v>6</v>
      </c>
    </row>
    <row r="15961" spans="1:6" ht="25.5">
      <c r="A15961" s="2">
        <v>15958</v>
      </c>
      <c r="B15961" s="2" t="s">
        <v>16031</v>
      </c>
      <c r="C15961" s="2" t="str">
        <f>"08855765"</f>
        <v>08855765</v>
      </c>
      <c r="D15961" s="2">
        <v>0.51900000000000002</v>
      </c>
      <c r="E15961" s="2">
        <v>51</v>
      </c>
      <c r="F15961" s="2" t="s">
        <v>6</v>
      </c>
    </row>
    <row r="15962" spans="1:6" ht="25.5">
      <c r="A15962" s="2">
        <v>15959</v>
      </c>
      <c r="B15962" s="2" t="s">
        <v>16032</v>
      </c>
      <c r="C15962" s="2" t="str">
        <f>"07486642"</f>
        <v>07486642</v>
      </c>
      <c r="D15962" s="2">
        <v>0.13400000000000001</v>
      </c>
      <c r="E15962" s="2">
        <v>15</v>
      </c>
      <c r="F15962" s="2" t="s">
        <v>6</v>
      </c>
    </row>
    <row r="15963" spans="1:6" ht="25.5">
      <c r="A15963" s="2">
        <v>15960</v>
      </c>
      <c r="B15963" s="2" t="s">
        <v>16033</v>
      </c>
      <c r="C15963" s="2" t="str">
        <f>"13653032"</f>
        <v>13653032</v>
      </c>
      <c r="D15963" s="2">
        <v>0.63500000000000001</v>
      </c>
      <c r="E15963" s="2">
        <v>35</v>
      </c>
      <c r="F15963" s="2" t="s">
        <v>16</v>
      </c>
    </row>
    <row r="15964" spans="1:6" ht="25.5">
      <c r="A15964" s="2">
        <v>15961</v>
      </c>
      <c r="B15964" s="2" t="s">
        <v>16034</v>
      </c>
      <c r="C15964" s="2" t="str">
        <f>"15312267"</f>
        <v>15312267</v>
      </c>
      <c r="D15964" s="2">
        <v>1.1379999999999999</v>
      </c>
      <c r="E15964" s="2">
        <v>66</v>
      </c>
      <c r="F15964" s="2" t="s">
        <v>6</v>
      </c>
    </row>
    <row r="15965" spans="1:6" ht="25.5">
      <c r="A15965" s="2">
        <v>15962</v>
      </c>
      <c r="B15965" s="2" t="s">
        <v>16035</v>
      </c>
      <c r="C15965" s="2" t="str">
        <f>"09673334"</f>
        <v>09673334</v>
      </c>
      <c r="D15965" s="2">
        <v>0.52100000000000002</v>
      </c>
      <c r="E15965" s="2">
        <v>53</v>
      </c>
      <c r="F15965" s="2" t="s">
        <v>16</v>
      </c>
    </row>
    <row r="15966" spans="1:6" ht="25.5">
      <c r="A15966" s="2">
        <v>15963</v>
      </c>
      <c r="B15966" s="2" t="s">
        <v>16036</v>
      </c>
      <c r="C15966" s="2" t="str">
        <f>"18029973"</f>
        <v>18029973</v>
      </c>
      <c r="D15966" s="2">
        <v>0.499</v>
      </c>
      <c r="E15966" s="2">
        <v>44</v>
      </c>
      <c r="F15966" s="2" t="s">
        <v>208</v>
      </c>
    </row>
    <row r="15967" spans="1:6" ht="25.5">
      <c r="A15967" s="2">
        <v>15964</v>
      </c>
      <c r="B15967" s="2" t="s">
        <v>16037</v>
      </c>
      <c r="C15967" s="2" t="str">
        <f>"15221210"</f>
        <v>15221210</v>
      </c>
      <c r="D15967" s="2">
        <v>15.156000000000001</v>
      </c>
      <c r="E15967" s="2">
        <v>228</v>
      </c>
      <c r="F15967" s="2" t="s">
        <v>6</v>
      </c>
    </row>
    <row r="15968" spans="1:6" ht="25.5">
      <c r="A15968" s="2">
        <v>15965</v>
      </c>
      <c r="B15968" s="2" t="s">
        <v>16038</v>
      </c>
      <c r="C15968" s="2" t="str">
        <f>"15489221"</f>
        <v>15489221</v>
      </c>
      <c r="D15968" s="2">
        <v>3.661</v>
      </c>
      <c r="E15968" s="2">
        <v>76</v>
      </c>
      <c r="F15968" s="2" t="s">
        <v>6</v>
      </c>
    </row>
    <row r="15969" spans="1:6" ht="25.5">
      <c r="A15969" s="2">
        <v>15966</v>
      </c>
      <c r="B15969" s="2" t="s">
        <v>16039</v>
      </c>
      <c r="C15969" s="2" t="str">
        <f>"00319384"</f>
        <v>00319384</v>
      </c>
      <c r="D15969" s="2">
        <v>1.069</v>
      </c>
      <c r="E15969" s="2">
        <v>92</v>
      </c>
      <c r="F15969" s="2" t="s">
        <v>6</v>
      </c>
    </row>
    <row r="15970" spans="1:6" ht="25.5">
      <c r="A15970" s="2">
        <v>15967</v>
      </c>
      <c r="B15970" s="2" t="s">
        <v>16040</v>
      </c>
      <c r="C15970" s="2" t="str">
        <f>"09715894"</f>
        <v>09715894</v>
      </c>
      <c r="D15970" s="2">
        <v>0.29299999999999998</v>
      </c>
      <c r="E15970" s="2">
        <v>11</v>
      </c>
      <c r="F15970" s="2" t="s">
        <v>488</v>
      </c>
    </row>
    <row r="15971" spans="1:6" ht="25.5">
      <c r="A15971" s="2">
        <v>15968</v>
      </c>
      <c r="B15971" s="2" t="s">
        <v>16041</v>
      </c>
      <c r="C15971" s="2" t="str">
        <f>"17350581"</f>
        <v>17350581</v>
      </c>
      <c r="D15971" s="2">
        <v>0.14499999999999999</v>
      </c>
      <c r="E15971" s="2">
        <v>4</v>
      </c>
      <c r="F15971" s="2" t="s">
        <v>299</v>
      </c>
    </row>
    <row r="15972" spans="1:6" ht="25.5">
      <c r="A15972" s="2">
        <v>15969</v>
      </c>
      <c r="B15972" s="2" t="s">
        <v>16042</v>
      </c>
      <c r="C15972" s="2" t="str">
        <f>"00319406"</f>
        <v>00319406</v>
      </c>
      <c r="D15972" s="2">
        <v>0.54700000000000004</v>
      </c>
      <c r="E15972" s="2">
        <v>26</v>
      </c>
      <c r="F15972" s="2" t="s">
        <v>75</v>
      </c>
    </row>
    <row r="15973" spans="1:6" ht="25.5">
      <c r="A15973" s="2">
        <v>15970</v>
      </c>
      <c r="B15973" s="2" t="s">
        <v>16043</v>
      </c>
      <c r="C15973" s="2" t="str">
        <f>"03000508"</f>
        <v>03000508</v>
      </c>
      <c r="D15973" s="2">
        <v>0.26500000000000001</v>
      </c>
      <c r="E15973" s="2">
        <v>6</v>
      </c>
      <c r="F15973" s="2" t="s">
        <v>64</v>
      </c>
    </row>
    <row r="15974" spans="1:6" ht="25.5">
      <c r="A15974" s="2">
        <v>15971</v>
      </c>
      <c r="B15974" s="2" t="s">
        <v>16044</v>
      </c>
      <c r="C15974" s="2" t="str">
        <f>"13582267"</f>
        <v>13582267</v>
      </c>
      <c r="D15974" s="2">
        <v>0.27300000000000002</v>
      </c>
      <c r="E15974" s="2">
        <v>28</v>
      </c>
      <c r="F15974" s="2" t="s">
        <v>16</v>
      </c>
    </row>
    <row r="15975" spans="1:6" ht="25.5">
      <c r="A15975" s="2">
        <v>15972</v>
      </c>
      <c r="B15975" s="2" t="s">
        <v>16045</v>
      </c>
      <c r="C15975" s="2" t="str">
        <f>"09593985"</f>
        <v>09593985</v>
      </c>
      <c r="D15975" s="2">
        <v>0.51900000000000002</v>
      </c>
      <c r="E15975" s="2">
        <v>23</v>
      </c>
      <c r="F15975" s="2" t="s">
        <v>16</v>
      </c>
    </row>
    <row r="15976" spans="1:6" ht="25.5">
      <c r="A15976" s="2">
        <v>15973</v>
      </c>
      <c r="B15976" s="2" t="s">
        <v>16046</v>
      </c>
      <c r="C15976" s="2" t="str">
        <f>"18094481"</f>
        <v>18094481</v>
      </c>
      <c r="D15976" s="2">
        <v>0.44800000000000001</v>
      </c>
      <c r="E15976" s="2">
        <v>6</v>
      </c>
      <c r="F15976" s="2" t="s">
        <v>159</v>
      </c>
    </row>
    <row r="15977" spans="1:6" ht="25.5">
      <c r="A15977" s="2">
        <v>15974</v>
      </c>
      <c r="B15977" s="2" t="s">
        <v>16047</v>
      </c>
      <c r="C15977" s="2" t="str">
        <f>"10991565"</f>
        <v>10991565</v>
      </c>
      <c r="D15977" s="2">
        <v>0.70299999999999996</v>
      </c>
      <c r="E15977" s="2">
        <v>39</v>
      </c>
      <c r="F15977" s="2" t="s">
        <v>16</v>
      </c>
    </row>
    <row r="15978" spans="1:6" ht="25.5">
      <c r="A15978" s="2">
        <v>15975</v>
      </c>
      <c r="B15978" s="2" t="s">
        <v>16048</v>
      </c>
      <c r="C15978" s="2" t="str">
        <f>"00319422"</f>
        <v>00319422</v>
      </c>
      <c r="D15978" s="2">
        <v>1.0029999999999999</v>
      </c>
      <c r="E15978" s="2">
        <v>101</v>
      </c>
      <c r="F15978" s="2" t="s">
        <v>16</v>
      </c>
    </row>
    <row r="15979" spans="1:6" ht="25.5">
      <c r="A15979" s="2">
        <v>15976</v>
      </c>
      <c r="B15979" s="2" t="s">
        <v>16049</v>
      </c>
      <c r="C15979" s="2" t="str">
        <f>"18743900"</f>
        <v>18743900</v>
      </c>
      <c r="D15979" s="2">
        <v>0.48599999999999999</v>
      </c>
      <c r="E15979" s="2">
        <v>13</v>
      </c>
      <c r="F15979" s="2" t="s">
        <v>75</v>
      </c>
    </row>
    <row r="15980" spans="1:6" ht="25.5">
      <c r="A15980" s="2">
        <v>15977</v>
      </c>
      <c r="B15980" s="2" t="s">
        <v>16050</v>
      </c>
      <c r="C15980" s="2" t="str">
        <f>"1572980X"</f>
        <v>1572980X</v>
      </c>
      <c r="D15980" s="2">
        <v>1.3220000000000001</v>
      </c>
      <c r="E15980" s="2">
        <v>36</v>
      </c>
      <c r="F15980" s="2" t="s">
        <v>75</v>
      </c>
    </row>
    <row r="15981" spans="1:6" ht="25.5">
      <c r="A15981" s="2">
        <v>15978</v>
      </c>
      <c r="B15981" s="2" t="s">
        <v>16051</v>
      </c>
      <c r="C15981" s="2" t="str">
        <f>"0340269X"</f>
        <v>0340269X</v>
      </c>
      <c r="D15981" s="2">
        <v>0.36199999999999999</v>
      </c>
      <c r="E15981" s="2">
        <v>19</v>
      </c>
      <c r="F15981" s="2" t="s">
        <v>12</v>
      </c>
    </row>
    <row r="15982" spans="1:6" ht="25.5">
      <c r="A15982" s="2">
        <v>15979</v>
      </c>
      <c r="B15982" s="2" t="s">
        <v>16052</v>
      </c>
      <c r="C15982" s="2" t="str">
        <f>"09447113"</f>
        <v>09447113</v>
      </c>
      <c r="D15982" s="2">
        <v>0.95199999999999996</v>
      </c>
      <c r="E15982" s="2">
        <v>64</v>
      </c>
      <c r="F15982" s="2" t="s">
        <v>12</v>
      </c>
    </row>
    <row r="15983" spans="1:6" ht="25.5">
      <c r="A15983" s="2">
        <v>15980</v>
      </c>
      <c r="B15983" s="2" t="s">
        <v>16053</v>
      </c>
      <c r="C15983" s="2" t="str">
        <f>"00319449"</f>
        <v>00319449</v>
      </c>
      <c r="D15983" s="2">
        <v>0.13500000000000001</v>
      </c>
      <c r="E15983" s="2">
        <v>12</v>
      </c>
      <c r="F15983" s="2" t="s">
        <v>488</v>
      </c>
    </row>
    <row r="15984" spans="1:6" ht="25.5">
      <c r="A15984" s="2">
        <v>15981</v>
      </c>
      <c r="B15984" s="2" t="s">
        <v>16054</v>
      </c>
      <c r="C15984" s="2" t="str">
        <f>"00319457"</f>
        <v>00319457</v>
      </c>
      <c r="D15984" s="2">
        <v>0.20399999999999999</v>
      </c>
      <c r="E15984" s="2">
        <v>8</v>
      </c>
      <c r="F15984" s="2" t="s">
        <v>192</v>
      </c>
    </row>
    <row r="15985" spans="1:6" ht="25.5">
      <c r="A15985" s="2">
        <v>15982</v>
      </c>
      <c r="B15985" s="2" t="s">
        <v>16055</v>
      </c>
      <c r="C15985" s="2" t="str">
        <f>"00792047"</f>
        <v>00792047</v>
      </c>
      <c r="D15985" s="2">
        <v>0.22800000000000001</v>
      </c>
      <c r="E15985" s="2">
        <v>17</v>
      </c>
      <c r="F15985" s="2" t="s">
        <v>288</v>
      </c>
    </row>
    <row r="15986" spans="1:6" ht="25.5">
      <c r="A15986" s="2">
        <v>15983</v>
      </c>
      <c r="B15986" s="2" t="s">
        <v>16056</v>
      </c>
      <c r="C15986" s="2" t="str">
        <f>"03342123"</f>
        <v>03342123</v>
      </c>
      <c r="D15986" s="2">
        <v>0.434</v>
      </c>
      <c r="E15986" s="2">
        <v>24</v>
      </c>
      <c r="F15986" s="2" t="s">
        <v>75</v>
      </c>
    </row>
    <row r="15987" spans="1:6" ht="25.5">
      <c r="A15987" s="2">
        <v>15984</v>
      </c>
      <c r="B15987" s="2" t="s">
        <v>16057</v>
      </c>
      <c r="C15987" s="2" t="str">
        <f>"15932095"</f>
        <v>15932095</v>
      </c>
      <c r="D15987" s="2">
        <v>0.39800000000000002</v>
      </c>
      <c r="E15987" s="2">
        <v>25</v>
      </c>
      <c r="F15987" s="2" t="s">
        <v>190</v>
      </c>
    </row>
    <row r="15988" spans="1:6" ht="25.5">
      <c r="A15988" s="2">
        <v>15985</v>
      </c>
      <c r="B15988" s="2" t="s">
        <v>16058</v>
      </c>
      <c r="C15988" s="2" t="str">
        <f>"0031949X"</f>
        <v>0031949X</v>
      </c>
      <c r="D15988" s="2">
        <v>1.246</v>
      </c>
      <c r="E15988" s="2">
        <v>80</v>
      </c>
      <c r="F15988" s="2" t="s">
        <v>6</v>
      </c>
    </row>
    <row r="15989" spans="1:6" ht="25.5">
      <c r="A15989" s="2">
        <v>15986</v>
      </c>
      <c r="B15989" s="2" t="s">
        <v>16059</v>
      </c>
      <c r="C15989" s="2" t="str">
        <f>"17652847"</f>
        <v>17652847</v>
      </c>
      <c r="D15989" s="2">
        <v>0.126</v>
      </c>
      <c r="E15989" s="2">
        <v>5</v>
      </c>
      <c r="F15989" s="2" t="s">
        <v>66</v>
      </c>
    </row>
    <row r="15990" spans="1:6" ht="25.5">
      <c r="A15990" s="2">
        <v>15987</v>
      </c>
      <c r="B15990" s="2" t="s">
        <v>16060</v>
      </c>
      <c r="C15990" s="2" t="str">
        <f>"10991573"</f>
        <v>10991573</v>
      </c>
      <c r="D15990" s="2">
        <v>0.71799999999999997</v>
      </c>
      <c r="E15990" s="2">
        <v>65</v>
      </c>
      <c r="F15990" s="2" t="s">
        <v>16</v>
      </c>
    </row>
    <row r="15991" spans="1:6" ht="25.5">
      <c r="A15991" s="2">
        <v>15988</v>
      </c>
      <c r="B15991" s="2" t="s">
        <v>16061</v>
      </c>
      <c r="C15991" s="2" t="str">
        <f>"00788228"</f>
        <v>00788228</v>
      </c>
      <c r="D15991" s="2">
        <v>0.10100000000000001</v>
      </c>
      <c r="E15991" s="2">
        <v>2</v>
      </c>
      <c r="F15991" s="2" t="s">
        <v>43</v>
      </c>
    </row>
    <row r="15992" spans="1:6" ht="25.5">
      <c r="A15992" s="2">
        <v>15989</v>
      </c>
      <c r="B15992" s="2" t="s">
        <v>16062</v>
      </c>
      <c r="C15992" s="2" t="str">
        <f>"15788830"</f>
        <v>15788830</v>
      </c>
      <c r="D15992" s="2">
        <v>0.115</v>
      </c>
      <c r="E15992" s="2">
        <v>5</v>
      </c>
      <c r="F15992" s="2" t="s">
        <v>351</v>
      </c>
    </row>
    <row r="15993" spans="1:6" ht="25.5">
      <c r="A15993" s="2">
        <v>15990</v>
      </c>
      <c r="B15993" s="2" t="s">
        <v>16063</v>
      </c>
      <c r="C15993" s="2" t="str">
        <f>"03699420"</f>
        <v>03699420</v>
      </c>
      <c r="D15993" s="2">
        <v>0.318</v>
      </c>
      <c r="E15993" s="2">
        <v>20</v>
      </c>
      <c r="F15993" s="2" t="s">
        <v>16</v>
      </c>
    </row>
    <row r="15994" spans="1:6" ht="25.5">
      <c r="A15994" s="2">
        <v>15991</v>
      </c>
      <c r="B15994" s="2" t="s">
        <v>16064</v>
      </c>
      <c r="C15994" s="2" t="str">
        <f>"1755148X"</f>
        <v>1755148X</v>
      </c>
      <c r="D15994" s="2">
        <v>1.86</v>
      </c>
      <c r="E15994" s="2">
        <v>63</v>
      </c>
      <c r="F15994" s="2" t="s">
        <v>16</v>
      </c>
    </row>
    <row r="15995" spans="1:6" ht="25.5">
      <c r="A15995" s="2">
        <v>15992</v>
      </c>
      <c r="B15995" s="2" t="s">
        <v>16065</v>
      </c>
      <c r="C15995" s="2" t="str">
        <f>"14360179"</f>
        <v>14360179</v>
      </c>
      <c r="D15995" s="2">
        <v>0.10199999999999999</v>
      </c>
      <c r="E15995" s="2">
        <v>2</v>
      </c>
      <c r="F15995" s="2" t="s">
        <v>12</v>
      </c>
    </row>
    <row r="15996" spans="1:6" ht="25.5">
      <c r="A15996" s="2">
        <v>15993</v>
      </c>
      <c r="B15996" s="2" t="s">
        <v>16066</v>
      </c>
      <c r="C15996" s="2" t="str">
        <f>"03732568"</f>
        <v>03732568</v>
      </c>
      <c r="D15996" s="2">
        <v>0.15</v>
      </c>
      <c r="E15996" s="2">
        <v>6</v>
      </c>
      <c r="F15996" s="2" t="s">
        <v>351</v>
      </c>
    </row>
    <row r="15997" spans="1:6" ht="25.5">
      <c r="A15997" s="2">
        <v>15994</v>
      </c>
      <c r="B15997" s="2" t="s">
        <v>16067</v>
      </c>
      <c r="C15997" s="2" t="str">
        <f>"15737403"</f>
        <v>15737403</v>
      </c>
      <c r="D15997" s="2">
        <v>0.61</v>
      </c>
      <c r="E15997" s="2">
        <v>36</v>
      </c>
      <c r="F15997" s="2" t="s">
        <v>75</v>
      </c>
    </row>
    <row r="15998" spans="1:6" ht="25.5">
      <c r="A15998" s="2">
        <v>15995</v>
      </c>
      <c r="B15998" s="2" t="s">
        <v>16068</v>
      </c>
      <c r="C15998" s="2" t="str">
        <f>"17518059"</f>
        <v>17518059</v>
      </c>
      <c r="D15998" s="2">
        <v>0.26</v>
      </c>
      <c r="E15998" s="2">
        <v>5</v>
      </c>
      <c r="F15998" s="2" t="s">
        <v>16</v>
      </c>
    </row>
    <row r="15999" spans="1:6" ht="25.5">
      <c r="A15999" s="2">
        <v>15996</v>
      </c>
      <c r="B15999" s="2" t="s">
        <v>16069</v>
      </c>
      <c r="C15999" s="2" t="str">
        <f>"01434004"</f>
        <v>01434004</v>
      </c>
      <c r="D15999" s="2">
        <v>1.177</v>
      </c>
      <c r="E15999" s="2">
        <v>76</v>
      </c>
      <c r="F15999" s="2" t="s">
        <v>16</v>
      </c>
    </row>
    <row r="16000" spans="1:6" ht="25.5">
      <c r="A16000" s="2">
        <v>15997</v>
      </c>
      <c r="B16000" s="2" t="s">
        <v>16070</v>
      </c>
      <c r="C16000" s="2" t="str">
        <f>"00320447"</f>
        <v>00320447</v>
      </c>
      <c r="D16000" s="2">
        <v>0.216</v>
      </c>
      <c r="E16000" s="2">
        <v>11</v>
      </c>
      <c r="F16000" s="2" t="s">
        <v>6</v>
      </c>
    </row>
    <row r="16001" spans="1:6" ht="25.5">
      <c r="A16001" s="2">
        <v>15998</v>
      </c>
      <c r="B16001" s="2" t="s">
        <v>16071</v>
      </c>
      <c r="C16001" s="2" t="str">
        <f>"09611371"</f>
        <v>09611371</v>
      </c>
      <c r="D16001" s="2">
        <v>0.124</v>
      </c>
      <c r="E16001" s="2">
        <v>4</v>
      </c>
      <c r="F16001" s="2" t="s">
        <v>16</v>
      </c>
    </row>
    <row r="16002" spans="1:6" ht="25.5">
      <c r="A16002" s="2">
        <v>15999</v>
      </c>
      <c r="B16002" s="2" t="s">
        <v>16072</v>
      </c>
      <c r="C16002" s="2" t="str">
        <f>"00320544"</f>
        <v>00320544</v>
      </c>
      <c r="D16002" s="2">
        <v>0.105</v>
      </c>
      <c r="E16002" s="2">
        <v>6</v>
      </c>
      <c r="F16002" s="2" t="s">
        <v>64</v>
      </c>
    </row>
    <row r="16003" spans="1:6" ht="25.5">
      <c r="A16003" s="2">
        <v>16000</v>
      </c>
      <c r="B16003" s="2" t="s">
        <v>16073</v>
      </c>
      <c r="C16003" s="2" t="str">
        <f>"00320633"</f>
        <v>00320633</v>
      </c>
      <c r="D16003" s="2">
        <v>1.1080000000000001</v>
      </c>
      <c r="E16003" s="2">
        <v>56</v>
      </c>
      <c r="F16003" s="2" t="s">
        <v>16</v>
      </c>
    </row>
    <row r="16004" spans="1:6" ht="25.5">
      <c r="A16004" s="2">
        <v>16001</v>
      </c>
      <c r="B16004" s="2" t="s">
        <v>16074</v>
      </c>
      <c r="C16004" s="2" t="str">
        <f>"14792605"</f>
        <v>14792605</v>
      </c>
      <c r="D16004" s="2">
        <v>0.1</v>
      </c>
      <c r="E16004" s="2">
        <v>1</v>
      </c>
      <c r="F16004" s="2" t="s">
        <v>16</v>
      </c>
    </row>
    <row r="16005" spans="1:6" ht="25.5">
      <c r="A16005" s="2">
        <v>16002</v>
      </c>
      <c r="B16005" s="2" t="s">
        <v>16075</v>
      </c>
      <c r="C16005" s="2" t="str">
        <f>"18808247"</f>
        <v>18808247</v>
      </c>
      <c r="D16005" s="2">
        <v>0.34799999999999998</v>
      </c>
      <c r="E16005" s="2">
        <v>9</v>
      </c>
      <c r="F16005" s="2" t="s">
        <v>131</v>
      </c>
    </row>
    <row r="16006" spans="1:6" ht="25.5">
      <c r="A16006" s="2">
        <v>16003</v>
      </c>
      <c r="B16006" s="2" t="s">
        <v>16076</v>
      </c>
      <c r="C16006" s="2" t="str">
        <f>"00012610"</f>
        <v>00012610</v>
      </c>
      <c r="D16006" s="2">
        <v>0.112</v>
      </c>
      <c r="E16006" s="2">
        <v>5</v>
      </c>
      <c r="F16006" s="2" t="s">
        <v>6</v>
      </c>
    </row>
    <row r="16007" spans="1:6" ht="25.5">
      <c r="A16007" s="2">
        <v>16004</v>
      </c>
      <c r="B16007" s="2" t="s">
        <v>16077</v>
      </c>
      <c r="C16007" s="2" t="str">
        <f>"10407340"</f>
        <v>10407340</v>
      </c>
      <c r="D16007" s="2">
        <v>0.10100000000000001</v>
      </c>
      <c r="E16007" s="2">
        <v>1</v>
      </c>
      <c r="F16007" s="2" t="s">
        <v>6</v>
      </c>
    </row>
    <row r="16008" spans="1:6" ht="25.5">
      <c r="A16008" s="2">
        <v>16005</v>
      </c>
      <c r="B16008" s="2" t="s">
        <v>16078</v>
      </c>
      <c r="C16008" s="2" t="str">
        <f>"15480755"</f>
        <v>15480755</v>
      </c>
      <c r="D16008" s="2">
        <v>0.105</v>
      </c>
      <c r="E16008" s="2">
        <v>1</v>
      </c>
      <c r="F16008" s="2" t="s">
        <v>16</v>
      </c>
    </row>
    <row r="16009" spans="1:6" ht="25.5">
      <c r="A16009" s="2">
        <v>16006</v>
      </c>
      <c r="B16009" s="2" t="s">
        <v>16079</v>
      </c>
      <c r="C16009" s="2" t="str">
        <f>"16756215"</f>
        <v>16756215</v>
      </c>
      <c r="D16009" s="2">
        <v>0.10299999999999999</v>
      </c>
      <c r="E16009" s="2">
        <v>0</v>
      </c>
      <c r="F16009" s="2" t="s">
        <v>37</v>
      </c>
    </row>
    <row r="16010" spans="1:6" ht="25.5">
      <c r="A16010" s="2">
        <v>16007</v>
      </c>
      <c r="B16010" s="2" t="s">
        <v>16080</v>
      </c>
      <c r="C16010" s="2" t="str">
        <f>"14664518"</f>
        <v>14664518</v>
      </c>
      <c r="D16010" s="2">
        <v>0.34599999999999997</v>
      </c>
      <c r="E16010" s="2">
        <v>13</v>
      </c>
      <c r="F16010" s="2" t="s">
        <v>6</v>
      </c>
    </row>
    <row r="16011" spans="1:6" ht="25.5">
      <c r="A16011" s="2">
        <v>16008</v>
      </c>
      <c r="B16011" s="2" t="s">
        <v>16081</v>
      </c>
      <c r="C16011" s="2" t="str">
        <f>"13600583"</f>
        <v>13600583</v>
      </c>
      <c r="D16011" s="2">
        <v>0.65300000000000002</v>
      </c>
      <c r="E16011" s="2">
        <v>16</v>
      </c>
      <c r="F16011" s="2" t="s">
        <v>16</v>
      </c>
    </row>
    <row r="16012" spans="1:6" ht="25.5">
      <c r="A16012" s="2">
        <v>16009</v>
      </c>
      <c r="B16012" s="2" t="s">
        <v>16082</v>
      </c>
      <c r="C16012" s="2" t="str">
        <f>"14730952"</f>
        <v>14730952</v>
      </c>
      <c r="D16012" s="2">
        <v>1.4219999999999999</v>
      </c>
      <c r="E16012" s="2">
        <v>20</v>
      </c>
      <c r="F16012" s="2" t="s">
        <v>16</v>
      </c>
    </row>
    <row r="16013" spans="1:6" ht="25.5">
      <c r="A16013" s="2">
        <v>16010</v>
      </c>
      <c r="B16013" s="2" t="s">
        <v>16083</v>
      </c>
      <c r="C16013" s="2" t="str">
        <f>"1470000X"</f>
        <v>1470000X</v>
      </c>
      <c r="D16013" s="2">
        <v>0.69899999999999995</v>
      </c>
      <c r="E16013" s="2">
        <v>14</v>
      </c>
      <c r="F16013" s="2" t="s">
        <v>6</v>
      </c>
    </row>
    <row r="16014" spans="1:6" ht="25.5">
      <c r="A16014" s="2">
        <v>16011</v>
      </c>
      <c r="B16014" s="2" t="s">
        <v>16084</v>
      </c>
      <c r="C16014" s="2" t="str">
        <f>"14322048"</f>
        <v>14322048</v>
      </c>
      <c r="D16014" s="2">
        <v>1.262</v>
      </c>
      <c r="E16014" s="2">
        <v>95</v>
      </c>
      <c r="F16014" s="2" t="s">
        <v>12</v>
      </c>
    </row>
    <row r="16015" spans="1:6" ht="25.5">
      <c r="A16015" s="2">
        <v>16012</v>
      </c>
      <c r="B16015" s="2" t="s">
        <v>16085</v>
      </c>
      <c r="C16015" s="2" t="str">
        <f>"01008358"</f>
        <v>01008358</v>
      </c>
      <c r="D16015" s="2">
        <v>0.41299999999999998</v>
      </c>
      <c r="E16015" s="2">
        <v>14</v>
      </c>
      <c r="F16015" s="2" t="s">
        <v>159</v>
      </c>
    </row>
    <row r="16016" spans="1:6" ht="25.5">
      <c r="A16016" s="2">
        <v>16013</v>
      </c>
      <c r="B16016" s="2" t="s">
        <v>16086</v>
      </c>
      <c r="C16016" s="2" t="str">
        <f>"14390221"</f>
        <v>14390221</v>
      </c>
      <c r="D16016" s="2">
        <v>0.66700000000000004</v>
      </c>
      <c r="E16016" s="2">
        <v>70</v>
      </c>
      <c r="F16016" s="2" t="s">
        <v>12</v>
      </c>
    </row>
    <row r="16017" spans="1:6" ht="25.5">
      <c r="A16017" s="2">
        <v>16014</v>
      </c>
      <c r="B16017" s="2" t="s">
        <v>16087</v>
      </c>
      <c r="C16017" s="2" t="str">
        <f>"14719053"</f>
        <v>14719053</v>
      </c>
      <c r="D16017" s="2">
        <v>1.9970000000000001</v>
      </c>
      <c r="E16017" s="2">
        <v>87</v>
      </c>
      <c r="F16017" s="2" t="s">
        <v>16</v>
      </c>
    </row>
    <row r="16018" spans="1:6" ht="25.5">
      <c r="A16018" s="2">
        <v>16015</v>
      </c>
      <c r="B16018" s="2" t="s">
        <v>16088</v>
      </c>
      <c r="C16018" s="2" t="str">
        <f>"15735036"</f>
        <v>15735036</v>
      </c>
      <c r="D16018" s="2">
        <v>1.2070000000000001</v>
      </c>
      <c r="E16018" s="2">
        <v>98</v>
      </c>
      <c r="F16018" s="2" t="s">
        <v>75</v>
      </c>
    </row>
    <row r="16019" spans="1:6" ht="25.5">
      <c r="A16019" s="2">
        <v>16016</v>
      </c>
      <c r="B16019" s="2" t="s">
        <v>16089</v>
      </c>
      <c r="C16019" s="2" t="str">
        <f>"09725210"</f>
        <v>09725210</v>
      </c>
      <c r="D16019" s="2">
        <v>0.13300000000000001</v>
      </c>
      <c r="E16019" s="2">
        <v>1</v>
      </c>
      <c r="F16019" s="2" t="s">
        <v>488</v>
      </c>
    </row>
    <row r="16020" spans="1:6" ht="25.5">
      <c r="A16020" s="2">
        <v>16017</v>
      </c>
      <c r="B16020" s="2" t="s">
        <v>16090</v>
      </c>
      <c r="C16020" s="2" t="str">
        <f>"14358603"</f>
        <v>14358603</v>
      </c>
      <c r="D16020" s="2">
        <v>0.86799999999999999</v>
      </c>
      <c r="E16020" s="2">
        <v>46</v>
      </c>
      <c r="F16020" s="2" t="s">
        <v>16</v>
      </c>
    </row>
    <row r="16021" spans="1:6" ht="25.5">
      <c r="A16021" s="2">
        <v>16018</v>
      </c>
      <c r="B16021" s="2" t="s">
        <v>16091</v>
      </c>
      <c r="C16021" s="2" t="str">
        <f>"11263504"</f>
        <v>11263504</v>
      </c>
      <c r="D16021" s="2">
        <v>0.6</v>
      </c>
      <c r="E16021" s="2">
        <v>20</v>
      </c>
      <c r="F16021" s="2" t="s">
        <v>16</v>
      </c>
    </row>
    <row r="16022" spans="1:6" ht="25.5">
      <c r="A16022" s="2">
        <v>16019</v>
      </c>
      <c r="B16022" s="2" t="s">
        <v>16092</v>
      </c>
      <c r="C16022" s="2" t="str">
        <f>"13476114"</f>
        <v>13476114</v>
      </c>
      <c r="D16022" s="2">
        <v>0.38700000000000001</v>
      </c>
      <c r="E16022" s="2">
        <v>21</v>
      </c>
      <c r="F16022" s="2" t="s">
        <v>131</v>
      </c>
    </row>
    <row r="16023" spans="1:6" ht="25.5">
      <c r="A16023" s="2">
        <v>16020</v>
      </c>
      <c r="B16023" s="2" t="s">
        <v>16093</v>
      </c>
      <c r="C16023" s="2" t="str">
        <f>"14677652"</f>
        <v>14677652</v>
      </c>
      <c r="D16023" s="2">
        <v>2.052</v>
      </c>
      <c r="E16023" s="2">
        <v>47</v>
      </c>
      <c r="F16023" s="2" t="s">
        <v>16</v>
      </c>
    </row>
    <row r="16024" spans="1:6" ht="25.5">
      <c r="A16024" s="2">
        <v>16021</v>
      </c>
      <c r="B16024" s="2" t="s">
        <v>16094</v>
      </c>
      <c r="C16024" s="2" t="str">
        <f>"18635474"</f>
        <v>18635474</v>
      </c>
      <c r="D16024" s="2">
        <v>0.42499999999999999</v>
      </c>
      <c r="E16024" s="2">
        <v>10</v>
      </c>
      <c r="F16024" s="2" t="s">
        <v>131</v>
      </c>
    </row>
    <row r="16025" spans="1:6" ht="25.5">
      <c r="A16025" s="2">
        <v>16022</v>
      </c>
      <c r="B16025" s="2" t="s">
        <v>16095</v>
      </c>
      <c r="C16025" s="2" t="str">
        <f>"14390523"</f>
        <v>14390523</v>
      </c>
      <c r="D16025" s="2">
        <v>0.625</v>
      </c>
      <c r="E16025" s="2">
        <v>43</v>
      </c>
      <c r="F16025" s="2" t="s">
        <v>16</v>
      </c>
    </row>
    <row r="16026" spans="1:6" ht="25.5">
      <c r="A16026" s="2">
        <v>16023</v>
      </c>
      <c r="B16026" s="2" t="s">
        <v>16096</v>
      </c>
      <c r="C16026" s="2" t="str">
        <f>"1532298X"</f>
        <v>1532298X</v>
      </c>
      <c r="D16026" s="2">
        <v>5.0430000000000001</v>
      </c>
      <c r="E16026" s="2">
        <v>217</v>
      </c>
      <c r="F16026" s="2" t="s">
        <v>6</v>
      </c>
    </row>
    <row r="16027" spans="1:6" ht="25.5">
      <c r="A16027" s="2">
        <v>16024</v>
      </c>
      <c r="B16027" s="2" t="s">
        <v>16097</v>
      </c>
      <c r="C16027" s="2" t="str">
        <f>"13653040"</f>
        <v>13653040</v>
      </c>
      <c r="D16027" s="2">
        <v>2.1579999999999999</v>
      </c>
      <c r="E16027" s="2">
        <v>112</v>
      </c>
      <c r="F16027" s="2" t="s">
        <v>16</v>
      </c>
    </row>
    <row r="16028" spans="1:6" ht="25.5">
      <c r="A16028" s="2">
        <v>16025</v>
      </c>
      <c r="B16028" s="2" t="s">
        <v>16098</v>
      </c>
      <c r="C16028" s="2" t="str">
        <f>"09722025"</f>
        <v>09722025</v>
      </c>
      <c r="D16028" s="2">
        <v>0.108</v>
      </c>
      <c r="E16028" s="2">
        <v>6</v>
      </c>
      <c r="F16028" s="2" t="s">
        <v>488</v>
      </c>
    </row>
    <row r="16029" spans="1:6" ht="25.5">
      <c r="A16029" s="2">
        <v>16026</v>
      </c>
      <c r="B16029" s="2" t="s">
        <v>16099</v>
      </c>
      <c r="C16029" s="2" t="str">
        <f>"1432203X"</f>
        <v>1432203X</v>
      </c>
      <c r="D16029" s="2">
        <v>0.85</v>
      </c>
      <c r="E16029" s="2">
        <v>63</v>
      </c>
      <c r="F16029" s="2" t="s">
        <v>12</v>
      </c>
    </row>
    <row r="16030" spans="1:6" ht="25.5">
      <c r="A16030" s="2">
        <v>16027</v>
      </c>
      <c r="B16030" s="2" t="s">
        <v>16100</v>
      </c>
      <c r="C16030" s="2" t="str">
        <f>"15735044"</f>
        <v>15735044</v>
      </c>
      <c r="D16030" s="2">
        <v>0.75600000000000001</v>
      </c>
      <c r="E16030" s="2">
        <v>46</v>
      </c>
      <c r="F16030" s="2" t="s">
        <v>75</v>
      </c>
    </row>
    <row r="16031" spans="1:6" ht="25.5">
      <c r="A16031" s="2">
        <v>16028</v>
      </c>
      <c r="B16031" s="2" t="s">
        <v>16101</v>
      </c>
      <c r="C16031" s="2" t="str">
        <f>"01912917"</f>
        <v>01912917</v>
      </c>
      <c r="D16031" s="2">
        <v>0.75600000000000001</v>
      </c>
      <c r="E16031" s="2">
        <v>65</v>
      </c>
      <c r="F16031" s="2" t="s">
        <v>6</v>
      </c>
    </row>
    <row r="16032" spans="1:6" ht="25.5">
      <c r="A16032" s="2">
        <v>16029</v>
      </c>
      <c r="B16032" s="2" t="s">
        <v>16102</v>
      </c>
      <c r="C16032" s="2" t="str">
        <f>"15735052"</f>
        <v>15735052</v>
      </c>
      <c r="D16032" s="2">
        <v>0.83199999999999996</v>
      </c>
      <c r="E16032" s="2">
        <v>61</v>
      </c>
      <c r="F16032" s="2" t="s">
        <v>75</v>
      </c>
    </row>
    <row r="16033" spans="1:6" ht="25.5">
      <c r="A16033" s="2">
        <v>16030</v>
      </c>
      <c r="B16033" s="2" t="s">
        <v>16103</v>
      </c>
      <c r="C16033" s="2" t="str">
        <f>"17551668"</f>
        <v>17551668</v>
      </c>
      <c r="D16033" s="2">
        <v>0.54900000000000004</v>
      </c>
      <c r="E16033" s="2">
        <v>7</v>
      </c>
      <c r="F16033" s="2" t="s">
        <v>16</v>
      </c>
    </row>
    <row r="16034" spans="1:6" ht="25.5">
      <c r="A16034" s="2">
        <v>16031</v>
      </c>
      <c r="B16034" s="2" t="s">
        <v>16104</v>
      </c>
      <c r="C16034" s="2" t="str">
        <f>"20323921"</f>
        <v>20323921</v>
      </c>
      <c r="D16034" s="2">
        <v>0.47899999999999998</v>
      </c>
      <c r="E16034" s="2">
        <v>6</v>
      </c>
      <c r="F16034" s="2" t="s">
        <v>161</v>
      </c>
    </row>
    <row r="16035" spans="1:6" ht="25.5">
      <c r="A16035" s="2">
        <v>16032</v>
      </c>
      <c r="B16035" s="2" t="s">
        <v>16105</v>
      </c>
      <c r="C16035" s="2" t="str">
        <f>"00320838"</f>
        <v>00320838</v>
      </c>
      <c r="D16035" s="2">
        <v>0.1</v>
      </c>
      <c r="E16035" s="2">
        <v>1</v>
      </c>
      <c r="F16035" s="2" t="s">
        <v>16</v>
      </c>
    </row>
    <row r="16036" spans="1:6" ht="25.5">
      <c r="A16036" s="2">
        <v>16033</v>
      </c>
      <c r="B16036" s="2" t="s">
        <v>16106</v>
      </c>
      <c r="C16036" s="2" t="str">
        <f>"15739104"</f>
        <v>15739104</v>
      </c>
      <c r="D16036" s="2">
        <v>1.04</v>
      </c>
      <c r="E16036" s="2">
        <v>34</v>
      </c>
      <c r="F16036" s="2" t="s">
        <v>75</v>
      </c>
    </row>
    <row r="16037" spans="1:6" ht="25.5">
      <c r="A16037" s="2">
        <v>16034</v>
      </c>
      <c r="B16037" s="2" t="s">
        <v>16107</v>
      </c>
      <c r="C16037" s="2" t="str">
        <f>"1479263X"</f>
        <v>1479263X</v>
      </c>
      <c r="D16037" s="2">
        <v>0.36</v>
      </c>
      <c r="E16037" s="2">
        <v>16</v>
      </c>
      <c r="F16037" s="2" t="s">
        <v>16</v>
      </c>
    </row>
    <row r="16038" spans="1:6" ht="25.5">
      <c r="A16038" s="2">
        <v>16035</v>
      </c>
      <c r="B16038" s="2" t="s">
        <v>16108</v>
      </c>
      <c r="C16038" s="2" t="str">
        <f>"15735087"</f>
        <v>15735087</v>
      </c>
      <c r="D16038" s="2">
        <v>0.63700000000000001</v>
      </c>
      <c r="E16038" s="2">
        <v>53</v>
      </c>
      <c r="F16038" s="2" t="s">
        <v>75</v>
      </c>
    </row>
    <row r="16039" spans="1:6" ht="25.5">
      <c r="A16039" s="2">
        <v>16036</v>
      </c>
      <c r="B16039" s="2" t="s">
        <v>16109</v>
      </c>
      <c r="C16039" s="2" t="str">
        <f>"1365313X"</f>
        <v>1365313X</v>
      </c>
      <c r="D16039" s="2">
        <v>3.5369999999999999</v>
      </c>
      <c r="E16039" s="2">
        <v>157</v>
      </c>
      <c r="F16039" s="2" t="s">
        <v>16</v>
      </c>
    </row>
    <row r="16040" spans="1:6" ht="25.5">
      <c r="A16040" s="2">
        <v>16037</v>
      </c>
      <c r="B16040" s="2" t="s">
        <v>16110</v>
      </c>
      <c r="C16040" s="2" t="str">
        <f>"17464811"</f>
        <v>17464811</v>
      </c>
      <c r="D16040" s="2">
        <v>1.306</v>
      </c>
      <c r="E16040" s="2">
        <v>18</v>
      </c>
      <c r="F16040" s="2" t="s">
        <v>16</v>
      </c>
    </row>
    <row r="16041" spans="1:6" ht="25.5">
      <c r="A16041" s="2">
        <v>16038</v>
      </c>
      <c r="B16041" s="2" t="s">
        <v>16111</v>
      </c>
      <c r="C16041" s="2" t="str">
        <f>"15735028"</f>
        <v>15735028</v>
      </c>
      <c r="D16041" s="2">
        <v>1.7689999999999999</v>
      </c>
      <c r="E16041" s="2">
        <v>112</v>
      </c>
      <c r="F16041" s="2" t="s">
        <v>75</v>
      </c>
    </row>
    <row r="16042" spans="1:6" ht="25.5">
      <c r="A16042" s="2">
        <v>16039</v>
      </c>
      <c r="B16042" s="2" t="s">
        <v>16112</v>
      </c>
      <c r="C16042" s="2" t="str">
        <f>"07359640"</f>
        <v>07359640</v>
      </c>
      <c r="D16042" s="2">
        <v>0.80500000000000005</v>
      </c>
      <c r="E16042" s="2">
        <v>41</v>
      </c>
      <c r="F16042" s="2" t="s">
        <v>6</v>
      </c>
    </row>
    <row r="16043" spans="1:6" ht="25.5">
      <c r="A16043" s="2">
        <v>16040</v>
      </c>
      <c r="B16043" s="2" t="s">
        <v>16113</v>
      </c>
      <c r="C16043" s="2" t="str">
        <f>"18363644"</f>
        <v>18363644</v>
      </c>
      <c r="D16043" s="2">
        <v>0.27</v>
      </c>
      <c r="E16043" s="2">
        <v>6</v>
      </c>
      <c r="F16043" s="2" t="s">
        <v>127</v>
      </c>
    </row>
    <row r="16044" spans="1:6" ht="25.5">
      <c r="A16044" s="2">
        <v>16041</v>
      </c>
      <c r="B16044" s="2" t="s">
        <v>16114</v>
      </c>
      <c r="C16044" s="2" t="str">
        <f>"13653059"</f>
        <v>13653059</v>
      </c>
      <c r="D16044" s="2">
        <v>0.997</v>
      </c>
      <c r="E16044" s="2">
        <v>44</v>
      </c>
      <c r="F16044" s="2" t="s">
        <v>16</v>
      </c>
    </row>
    <row r="16045" spans="1:6" ht="25.5">
      <c r="A16045" s="2">
        <v>16042</v>
      </c>
      <c r="B16045" s="2" t="s">
        <v>16115</v>
      </c>
      <c r="C16045" s="2" t="str">
        <f>"18125387"</f>
        <v>18125387</v>
      </c>
      <c r="D16045" s="2">
        <v>0.26200000000000001</v>
      </c>
      <c r="E16045" s="2">
        <v>7</v>
      </c>
      <c r="F16045" s="2" t="s">
        <v>43</v>
      </c>
    </row>
    <row r="16046" spans="1:6" ht="25.5">
      <c r="A16046" s="2">
        <v>16043</v>
      </c>
      <c r="B16046" s="2" t="s">
        <v>16116</v>
      </c>
      <c r="C16046" s="2" t="str">
        <f>"15322548"</f>
        <v>15322548</v>
      </c>
      <c r="D16046" s="2">
        <v>3.2789999999999999</v>
      </c>
      <c r="E16046" s="2">
        <v>175</v>
      </c>
      <c r="F16046" s="2" t="s">
        <v>6</v>
      </c>
    </row>
    <row r="16047" spans="1:6" ht="25.5">
      <c r="A16047" s="2">
        <v>16044</v>
      </c>
      <c r="B16047" s="2" t="s">
        <v>16117</v>
      </c>
      <c r="C16047" s="2" t="str">
        <f>"18732690"</f>
        <v>18732690</v>
      </c>
      <c r="D16047" s="2">
        <v>0.996</v>
      </c>
      <c r="E16047" s="2">
        <v>63</v>
      </c>
      <c r="F16047" s="2" t="s">
        <v>190</v>
      </c>
    </row>
    <row r="16048" spans="1:6" ht="25.5">
      <c r="A16048" s="2">
        <v>16045</v>
      </c>
      <c r="B16048" s="2" t="s">
        <v>16118</v>
      </c>
      <c r="C16048" s="2" t="str">
        <f>"13491008"</f>
        <v>13491008</v>
      </c>
      <c r="D16048" s="2">
        <v>0.52300000000000002</v>
      </c>
      <c r="E16048" s="2">
        <v>24</v>
      </c>
      <c r="F16048" s="2" t="s">
        <v>131</v>
      </c>
    </row>
    <row r="16049" spans="1:6" ht="25.5">
      <c r="A16049" s="2">
        <v>16046</v>
      </c>
      <c r="B16049" s="2" t="s">
        <v>16119</v>
      </c>
      <c r="C16049" s="2" t="str">
        <f>"08152195"</f>
        <v>08152195</v>
      </c>
      <c r="D16049" s="2">
        <v>0.31</v>
      </c>
      <c r="E16049" s="2">
        <v>9</v>
      </c>
      <c r="F16049" s="2" t="s">
        <v>127</v>
      </c>
    </row>
    <row r="16050" spans="1:6" ht="25.5">
      <c r="A16050" s="2">
        <v>16047</v>
      </c>
      <c r="B16050" s="2" t="s">
        <v>16120</v>
      </c>
      <c r="C16050" s="2" t="str">
        <f>"12122580"</f>
        <v>12122580</v>
      </c>
      <c r="D16050" s="2">
        <v>0.25600000000000001</v>
      </c>
      <c r="E16050" s="2">
        <v>5</v>
      </c>
      <c r="F16050" s="2" t="s">
        <v>208</v>
      </c>
    </row>
    <row r="16051" spans="1:6" ht="25.5">
      <c r="A16051" s="2">
        <v>16048</v>
      </c>
      <c r="B16051" s="2" t="s">
        <v>16121</v>
      </c>
      <c r="C16051" s="2" t="str">
        <f>"18816754"</f>
        <v>18816754</v>
      </c>
      <c r="D16051" s="2">
        <v>0.34100000000000003</v>
      </c>
      <c r="E16051" s="2">
        <v>4</v>
      </c>
      <c r="F16051" s="2" t="s">
        <v>131</v>
      </c>
    </row>
    <row r="16052" spans="1:6" ht="25.5">
      <c r="A16052" s="2">
        <v>16049</v>
      </c>
      <c r="B16052" s="2" t="s">
        <v>16122</v>
      </c>
      <c r="C16052" s="2" t="str">
        <f>"01689452"</f>
        <v>01689452</v>
      </c>
      <c r="D16052" s="2">
        <v>1.03</v>
      </c>
      <c r="E16052" s="2">
        <v>80</v>
      </c>
      <c r="F16052" s="2" t="s">
        <v>732</v>
      </c>
    </row>
    <row r="16053" spans="1:6" ht="25.5">
      <c r="A16053" s="2">
        <v>16050</v>
      </c>
      <c r="B16053" s="2" t="s">
        <v>16123</v>
      </c>
      <c r="C16053" s="2" t="str">
        <f>"15592316"</f>
        <v>15592316</v>
      </c>
      <c r="D16053" s="2">
        <v>0.58499999999999996</v>
      </c>
      <c r="E16053" s="2">
        <v>19</v>
      </c>
      <c r="F16053" s="2" t="s">
        <v>6</v>
      </c>
    </row>
    <row r="16054" spans="1:6" ht="25.5">
      <c r="A16054" s="2">
        <v>16051</v>
      </c>
      <c r="B16054" s="2" t="s">
        <v>16124</v>
      </c>
      <c r="C16054" s="2" t="str">
        <f>"12141178"</f>
        <v>12141178</v>
      </c>
      <c r="D16054" s="2">
        <v>0.495</v>
      </c>
      <c r="E16054" s="2">
        <v>21</v>
      </c>
      <c r="F16054" s="2" t="s">
        <v>208</v>
      </c>
    </row>
    <row r="16055" spans="1:6" ht="25.5">
      <c r="A16055" s="2">
        <v>16052</v>
      </c>
      <c r="B16055" s="2" t="s">
        <v>16125</v>
      </c>
      <c r="C16055" s="2" t="str">
        <f>"14421984"</f>
        <v>14421984</v>
      </c>
      <c r="D16055" s="2">
        <v>0.36</v>
      </c>
      <c r="E16055" s="2">
        <v>25</v>
      </c>
      <c r="F16055" s="2" t="s">
        <v>16</v>
      </c>
    </row>
    <row r="16056" spans="1:6" ht="25.5">
      <c r="A16056" s="2">
        <v>16053</v>
      </c>
      <c r="B16056" s="2" t="s">
        <v>16126</v>
      </c>
      <c r="C16056" s="2" t="str">
        <f>"16156110"</f>
        <v>16156110</v>
      </c>
      <c r="D16056" s="2">
        <v>0.66400000000000003</v>
      </c>
      <c r="E16056" s="2">
        <v>51</v>
      </c>
      <c r="F16056" s="2" t="s">
        <v>288</v>
      </c>
    </row>
    <row r="16057" spans="1:6" ht="25.5">
      <c r="A16057" s="2">
        <v>16054</v>
      </c>
      <c r="B16057" s="2" t="s">
        <v>16127</v>
      </c>
      <c r="C16057" s="2" t="str">
        <f>"18173721"</f>
        <v>18173721</v>
      </c>
      <c r="D16057" s="2">
        <v>0.193</v>
      </c>
      <c r="E16057" s="2">
        <v>9</v>
      </c>
      <c r="F16057" s="2" t="s">
        <v>2282</v>
      </c>
    </row>
    <row r="16058" spans="1:6" ht="25.5">
      <c r="A16058" s="2">
        <v>16055</v>
      </c>
      <c r="B16058" s="2" t="s">
        <v>16128</v>
      </c>
      <c r="C16058" s="2" t="str">
        <f>"18806821"</f>
        <v>18806821</v>
      </c>
      <c r="D16058" s="2">
        <v>0.185</v>
      </c>
      <c r="E16058" s="2">
        <v>3</v>
      </c>
      <c r="F16058" s="2" t="s">
        <v>131</v>
      </c>
    </row>
    <row r="16059" spans="1:6" ht="25.5">
      <c r="A16059" s="2">
        <v>16056</v>
      </c>
      <c r="B16059" s="2" t="s">
        <v>16129</v>
      </c>
      <c r="C16059" s="2" t="str">
        <f>"15728986"</f>
        <v>15728986</v>
      </c>
      <c r="D16059" s="2">
        <v>0.60899999999999999</v>
      </c>
      <c r="E16059" s="2">
        <v>39</v>
      </c>
      <c r="F16059" s="2" t="s">
        <v>6</v>
      </c>
    </row>
    <row r="16060" spans="1:6" ht="25.5">
      <c r="A16060" s="2">
        <v>16057</v>
      </c>
      <c r="B16060" s="2" t="s">
        <v>16130</v>
      </c>
      <c r="C16060" s="2" t="str">
        <f>"19475772"</f>
        <v>19475772</v>
      </c>
      <c r="D16060" s="2">
        <v>0.245</v>
      </c>
      <c r="E16060" s="2">
        <v>4</v>
      </c>
      <c r="F16060" s="2" t="s">
        <v>6</v>
      </c>
    </row>
    <row r="16061" spans="1:6" ht="25.5">
      <c r="A16061" s="2">
        <v>16058</v>
      </c>
      <c r="B16061" s="2" t="s">
        <v>16131</v>
      </c>
      <c r="C16061" s="2" t="str">
        <f>"13616587"</f>
        <v>13616587</v>
      </c>
      <c r="D16061" s="2">
        <v>1.1020000000000001</v>
      </c>
      <c r="E16061" s="2">
        <v>71</v>
      </c>
      <c r="F16061" s="2" t="s">
        <v>16</v>
      </c>
    </row>
    <row r="16062" spans="1:6" ht="25.5">
      <c r="A16062" s="2">
        <v>16059</v>
      </c>
      <c r="B16062" s="2" t="s">
        <v>16132</v>
      </c>
      <c r="C16062" s="2" t="str">
        <f>"1063780X"</f>
        <v>1063780X</v>
      </c>
      <c r="D16062" s="2">
        <v>0.40799999999999997</v>
      </c>
      <c r="E16062" s="2">
        <v>27</v>
      </c>
      <c r="F16062" s="2" t="s">
        <v>129</v>
      </c>
    </row>
    <row r="16063" spans="1:6" ht="25.5">
      <c r="A16063" s="2">
        <v>16060</v>
      </c>
      <c r="B16063" s="2" t="s">
        <v>16133</v>
      </c>
      <c r="C16063" s="2" t="str">
        <f>"16128869"</f>
        <v>16128869</v>
      </c>
      <c r="D16063" s="2">
        <v>1.1240000000000001</v>
      </c>
      <c r="E16063" s="2">
        <v>34</v>
      </c>
      <c r="F16063" s="2" t="s">
        <v>12</v>
      </c>
    </row>
    <row r="16064" spans="1:6" ht="25.5">
      <c r="A16064" s="2">
        <v>16061</v>
      </c>
      <c r="B16064" s="2" t="s">
        <v>16134</v>
      </c>
      <c r="C16064" s="2" t="str">
        <f>"10090630"</f>
        <v>10090630</v>
      </c>
      <c r="D16064" s="2">
        <v>0.27500000000000002</v>
      </c>
      <c r="E16064" s="2">
        <v>13</v>
      </c>
      <c r="F16064" s="2" t="s">
        <v>16</v>
      </c>
    </row>
    <row r="16065" spans="1:6" ht="25.5">
      <c r="A16065" s="2">
        <v>16062</v>
      </c>
      <c r="B16065" s="2" t="s">
        <v>16135</v>
      </c>
      <c r="C16065" s="2" t="str">
        <f>"13616595"</f>
        <v>13616595</v>
      </c>
      <c r="D16065" s="2">
        <v>0.625</v>
      </c>
      <c r="E16065" s="2">
        <v>62</v>
      </c>
      <c r="F16065" s="2" t="s">
        <v>16</v>
      </c>
    </row>
    <row r="16066" spans="1:6" ht="25.5">
      <c r="A16066" s="2">
        <v>16063</v>
      </c>
      <c r="B16066" s="2" t="s">
        <v>16136</v>
      </c>
      <c r="C16066" s="2" t="str">
        <f>"10959890"</f>
        <v>10959890</v>
      </c>
      <c r="D16066" s="2">
        <v>0.64200000000000002</v>
      </c>
      <c r="E16066" s="2">
        <v>39</v>
      </c>
      <c r="F16066" s="2" t="s">
        <v>6</v>
      </c>
    </row>
    <row r="16067" spans="1:6" ht="25.5">
      <c r="A16067" s="2">
        <v>16064</v>
      </c>
      <c r="B16067" s="2" t="s">
        <v>16137</v>
      </c>
      <c r="C16067" s="2" t="str">
        <f>"15571955"</f>
        <v>15571955</v>
      </c>
      <c r="D16067" s="2">
        <v>1.0860000000000001</v>
      </c>
      <c r="E16067" s="2">
        <v>22</v>
      </c>
      <c r="F16067" s="2" t="s">
        <v>6</v>
      </c>
    </row>
    <row r="16068" spans="1:6" ht="25.5">
      <c r="A16068" s="2">
        <v>16065</v>
      </c>
      <c r="B16068" s="2" t="s">
        <v>16138</v>
      </c>
      <c r="C16068" s="2" t="str">
        <f>"15294242"</f>
        <v>15294242</v>
      </c>
      <c r="D16068" s="2">
        <v>1.784</v>
      </c>
      <c r="E16068" s="2">
        <v>104</v>
      </c>
      <c r="F16068" s="2" t="s">
        <v>6</v>
      </c>
    </row>
    <row r="16069" spans="1:6" ht="25.5">
      <c r="A16069" s="2">
        <v>16066</v>
      </c>
      <c r="B16069" s="2" t="s">
        <v>16139</v>
      </c>
      <c r="C16069" s="2" t="str">
        <f>"00919578"</f>
        <v>00919578</v>
      </c>
      <c r="D16069" s="2">
        <v>0.13900000000000001</v>
      </c>
      <c r="E16069" s="2">
        <v>9</v>
      </c>
      <c r="F16069" s="2" t="s">
        <v>6</v>
      </c>
    </row>
    <row r="16070" spans="1:6" ht="25.5">
      <c r="A16070" s="2">
        <v>16067</v>
      </c>
      <c r="B16070" s="2" t="s">
        <v>16140</v>
      </c>
      <c r="C16070" s="2" t="str">
        <f>"14658011"</f>
        <v>14658011</v>
      </c>
      <c r="D16070" s="2">
        <v>0.34699999999999998</v>
      </c>
      <c r="E16070" s="2">
        <v>23</v>
      </c>
      <c r="F16070" s="2" t="s">
        <v>16</v>
      </c>
    </row>
    <row r="16071" spans="1:6" ht="25.5">
      <c r="A16071" s="2">
        <v>16068</v>
      </c>
      <c r="B16071" s="2" t="s">
        <v>16141</v>
      </c>
      <c r="C16071" s="2" t="str">
        <f>"15501841"</f>
        <v>15501841</v>
      </c>
      <c r="D16071" s="2">
        <v>0.152</v>
      </c>
      <c r="E16071" s="2">
        <v>11</v>
      </c>
      <c r="F16071" s="2" t="s">
        <v>6</v>
      </c>
    </row>
    <row r="16072" spans="1:6" ht="25.5">
      <c r="A16072" s="2">
        <v>16069</v>
      </c>
      <c r="B16072" s="2" t="s">
        <v>16142</v>
      </c>
      <c r="C16072" s="2" t="str">
        <f>"13691635"</f>
        <v>13691635</v>
      </c>
      <c r="D16072" s="2">
        <v>0.61</v>
      </c>
      <c r="E16072" s="2">
        <v>40</v>
      </c>
      <c r="F16072" s="2" t="s">
        <v>16</v>
      </c>
    </row>
    <row r="16073" spans="1:6" ht="25.5">
      <c r="A16073" s="2">
        <v>16070</v>
      </c>
      <c r="B16073" s="2" t="s">
        <v>16143</v>
      </c>
      <c r="C16073" s="2" t="str">
        <f>"18365132"</f>
        <v>18365132</v>
      </c>
      <c r="D16073" s="2">
        <v>0.10100000000000001</v>
      </c>
      <c r="E16073" s="2">
        <v>2</v>
      </c>
      <c r="F16073" s="2" t="s">
        <v>127</v>
      </c>
    </row>
    <row r="16074" spans="1:6" ht="25.5">
      <c r="A16074" s="2">
        <v>16071</v>
      </c>
      <c r="B16074" s="2" t="s">
        <v>16144</v>
      </c>
      <c r="C16074" s="2" t="str">
        <f>"14710676"</f>
        <v>14710676</v>
      </c>
      <c r="D16074" s="2">
        <v>0.498</v>
      </c>
      <c r="E16074" s="2">
        <v>29</v>
      </c>
      <c r="F16074" s="2" t="s">
        <v>16</v>
      </c>
    </row>
    <row r="16075" spans="1:6" ht="25.5">
      <c r="A16075" s="2">
        <v>16072</v>
      </c>
      <c r="B16075" s="2" t="s">
        <v>16145</v>
      </c>
      <c r="C16075" s="2" t="str">
        <f>"15457885"</f>
        <v>15457885</v>
      </c>
      <c r="D16075" s="2">
        <v>6.2060000000000004</v>
      </c>
      <c r="E16075" s="2">
        <v>133</v>
      </c>
      <c r="F16075" s="2" t="s">
        <v>6</v>
      </c>
    </row>
    <row r="16076" spans="1:6" ht="25.5">
      <c r="A16076" s="2">
        <v>16073</v>
      </c>
      <c r="B16076" s="2" t="s">
        <v>16146</v>
      </c>
      <c r="C16076" s="2" t="str">
        <f>"15537358"</f>
        <v>15537358</v>
      </c>
      <c r="D16076" s="2">
        <v>2.6909999999999998</v>
      </c>
      <c r="E16076" s="2">
        <v>72</v>
      </c>
      <c r="F16076" s="2" t="s">
        <v>6</v>
      </c>
    </row>
    <row r="16077" spans="1:6" ht="25.5">
      <c r="A16077" s="2">
        <v>16074</v>
      </c>
      <c r="B16077" s="2" t="s">
        <v>16147</v>
      </c>
      <c r="C16077" s="2" t="str">
        <f>"21573999"</f>
        <v>21573999</v>
      </c>
      <c r="D16077" s="2">
        <v>0.56999999999999995</v>
      </c>
      <c r="E16077" s="2">
        <v>12</v>
      </c>
      <c r="F16077" s="2" t="s">
        <v>6</v>
      </c>
    </row>
    <row r="16078" spans="1:6" ht="25.5">
      <c r="A16078" s="2">
        <v>16075</v>
      </c>
      <c r="B16078" s="2" t="s">
        <v>16148</v>
      </c>
      <c r="C16078" s="2" t="str">
        <f>"15537404"</f>
        <v>15537404</v>
      </c>
      <c r="D16078" s="2">
        <v>5.375</v>
      </c>
      <c r="E16078" s="2">
        <v>93</v>
      </c>
      <c r="F16078" s="2" t="s">
        <v>6</v>
      </c>
    </row>
    <row r="16079" spans="1:6" ht="25.5">
      <c r="A16079" s="2">
        <v>16076</v>
      </c>
      <c r="B16079" s="2" t="s">
        <v>16149</v>
      </c>
      <c r="C16079" s="2" t="str">
        <f>"15491676"</f>
        <v>15491676</v>
      </c>
      <c r="D16079" s="2">
        <v>4.1050000000000004</v>
      </c>
      <c r="E16079" s="2">
        <v>105</v>
      </c>
      <c r="F16079" s="2" t="s">
        <v>6</v>
      </c>
    </row>
    <row r="16080" spans="1:6" ht="25.5">
      <c r="A16080" s="2">
        <v>16077</v>
      </c>
      <c r="B16080" s="2" t="s">
        <v>16150</v>
      </c>
      <c r="C16080" s="2" t="str">
        <f>"19352735"</f>
        <v>19352735</v>
      </c>
      <c r="D16080" s="2">
        <v>1.7270000000000001</v>
      </c>
      <c r="E16080" s="2">
        <v>40</v>
      </c>
      <c r="F16080" s="2" t="s">
        <v>6</v>
      </c>
    </row>
    <row r="16081" spans="1:6" ht="25.5">
      <c r="A16081" s="2">
        <v>16078</v>
      </c>
      <c r="B16081" s="2" t="s">
        <v>16151</v>
      </c>
      <c r="C16081" s="2" t="str">
        <f>"19326203"</f>
        <v>19326203</v>
      </c>
      <c r="D16081" s="2">
        <v>1.512</v>
      </c>
      <c r="E16081" s="2">
        <v>101</v>
      </c>
      <c r="F16081" s="2" t="s">
        <v>6</v>
      </c>
    </row>
    <row r="16082" spans="1:6" ht="25.5">
      <c r="A16082" s="2">
        <v>16079</v>
      </c>
      <c r="B16082" s="2" t="s">
        <v>16152</v>
      </c>
      <c r="C16082" s="2" t="str">
        <f>"15537374"</f>
        <v>15537374</v>
      </c>
      <c r="D16082" s="2">
        <v>3.62</v>
      </c>
      <c r="E16082" s="2">
        <v>78</v>
      </c>
      <c r="F16082" s="2" t="s">
        <v>6</v>
      </c>
    </row>
    <row r="16083" spans="1:6" ht="25.5">
      <c r="A16083" s="2">
        <v>16080</v>
      </c>
      <c r="B16083" s="2" t="s">
        <v>16153</v>
      </c>
      <c r="C16083" s="2" t="str">
        <f>"00484474"</f>
        <v>00484474</v>
      </c>
      <c r="D16083" s="2">
        <v>0.1</v>
      </c>
      <c r="E16083" s="2">
        <v>1</v>
      </c>
      <c r="F16083" s="2" t="s">
        <v>6</v>
      </c>
    </row>
    <row r="16084" spans="1:6" ht="25.5">
      <c r="A16084" s="2">
        <v>16081</v>
      </c>
      <c r="B16084" s="2" t="s">
        <v>16154</v>
      </c>
      <c r="C16084" s="2" t="str">
        <f>"19446489"</f>
        <v>19446489</v>
      </c>
      <c r="D16084" s="2">
        <v>0.124</v>
      </c>
      <c r="E16084" s="2">
        <v>2</v>
      </c>
      <c r="F16084" s="2" t="s">
        <v>6</v>
      </c>
    </row>
    <row r="16085" spans="1:6" ht="25.5">
      <c r="A16085" s="2">
        <v>16082</v>
      </c>
      <c r="B16085" s="2" t="s">
        <v>16155</v>
      </c>
      <c r="C16085" s="2" t="str">
        <f>"19341482"</f>
        <v>19341482</v>
      </c>
      <c r="D16085" s="2">
        <v>0.443</v>
      </c>
      <c r="E16085" s="2">
        <v>14</v>
      </c>
      <c r="F16085" s="2" t="s">
        <v>6</v>
      </c>
    </row>
    <row r="16086" spans="1:6" ht="25.5">
      <c r="A16086" s="2">
        <v>16083</v>
      </c>
      <c r="B16086" s="2" t="s">
        <v>16156</v>
      </c>
      <c r="C16086" s="2" t="str">
        <f>"00308129"</f>
        <v>00308129</v>
      </c>
      <c r="D16086" s="2">
        <v>0.31900000000000001</v>
      </c>
      <c r="E16086" s="2">
        <v>12</v>
      </c>
      <c r="F16086" s="2" t="s">
        <v>6</v>
      </c>
    </row>
    <row r="16087" spans="1:6" ht="25.5">
      <c r="A16087" s="2">
        <v>16084</v>
      </c>
      <c r="B16087" s="2" t="s">
        <v>16157</v>
      </c>
      <c r="C16087" s="2" t="str">
        <f>"15700747"</f>
        <v>15700747</v>
      </c>
      <c r="D16087" s="2">
        <v>0.154</v>
      </c>
      <c r="E16087" s="2">
        <v>4</v>
      </c>
      <c r="F16087" s="2" t="s">
        <v>75</v>
      </c>
    </row>
    <row r="16088" spans="1:6" ht="25.5">
      <c r="A16088" s="2">
        <v>16085</v>
      </c>
      <c r="B16088" s="2" t="s">
        <v>16158</v>
      </c>
      <c r="C16088" s="2" t="str">
        <f>"16136055"</f>
        <v>16136055</v>
      </c>
      <c r="D16088" s="2">
        <v>0.108</v>
      </c>
      <c r="E16088" s="2">
        <v>4</v>
      </c>
      <c r="F16088" s="2" t="s">
        <v>12</v>
      </c>
    </row>
    <row r="16089" spans="1:6">
      <c r="A16089" s="2">
        <v>16086</v>
      </c>
      <c r="B16089" s="2" t="s">
        <v>16159</v>
      </c>
      <c r="C16089" s="2" t="str">
        <f>"0"</f>
        <v>0</v>
      </c>
      <c r="D16089" s="2">
        <v>0.11799999999999999</v>
      </c>
      <c r="E16089" s="2">
        <v>5</v>
      </c>
      <c r="F16089" s="2" t="s">
        <v>19</v>
      </c>
    </row>
    <row r="16090" spans="1:6" ht="25.5">
      <c r="A16090" s="2">
        <v>16087</v>
      </c>
      <c r="B16090" s="2" t="s">
        <v>16160</v>
      </c>
      <c r="C16090" s="2" t="str">
        <f>"14388790"</f>
        <v>14388790</v>
      </c>
      <c r="D16090" s="2">
        <v>0.189</v>
      </c>
      <c r="E16090" s="2">
        <v>26</v>
      </c>
      <c r="F16090" s="2" t="s">
        <v>12</v>
      </c>
    </row>
    <row r="16091" spans="1:6" ht="25.5">
      <c r="A16091" s="2">
        <v>16088</v>
      </c>
      <c r="B16091" s="2" t="s">
        <v>16161</v>
      </c>
      <c r="C16091" s="2" t="str">
        <f>"1105848X"</f>
        <v>1105848X</v>
      </c>
      <c r="D16091" s="2">
        <v>0.12</v>
      </c>
      <c r="E16091" s="2">
        <v>3</v>
      </c>
      <c r="F16091" s="2" t="s">
        <v>313</v>
      </c>
    </row>
    <row r="16092" spans="1:6" ht="25.5">
      <c r="A16092" s="2">
        <v>16089</v>
      </c>
      <c r="B16092" s="2" t="s">
        <v>16162</v>
      </c>
      <c r="C16092" s="2" t="str">
        <f>"08677077"</f>
        <v>08677077</v>
      </c>
      <c r="D16092" s="2">
        <v>0.2</v>
      </c>
      <c r="E16092" s="2">
        <v>10</v>
      </c>
      <c r="F16092" s="2" t="s">
        <v>169</v>
      </c>
    </row>
    <row r="16093" spans="1:6" ht="25.5">
      <c r="A16093" s="2">
        <v>16090</v>
      </c>
      <c r="B16093" s="2" t="s">
        <v>16163</v>
      </c>
      <c r="C16093" s="2" t="str">
        <f>"13335286"</f>
        <v>13335286</v>
      </c>
      <c r="D16093" s="2">
        <v>0.1</v>
      </c>
      <c r="E16093" s="2">
        <v>2</v>
      </c>
      <c r="F16093" s="2" t="s">
        <v>149</v>
      </c>
    </row>
    <row r="16094" spans="1:6" ht="25.5">
      <c r="A16094" s="2">
        <v>16091</v>
      </c>
      <c r="B16094" s="2" t="s">
        <v>16164</v>
      </c>
      <c r="C16094" s="2" t="str">
        <f>"15431789"</f>
        <v>15431789</v>
      </c>
      <c r="D16094" s="2">
        <v>0.112</v>
      </c>
      <c r="E16094" s="2">
        <v>2</v>
      </c>
      <c r="F16094" s="2" t="s">
        <v>6</v>
      </c>
    </row>
    <row r="16095" spans="1:6" ht="25.5">
      <c r="A16095" s="2">
        <v>16092</v>
      </c>
      <c r="B16095" s="2" t="s">
        <v>16165</v>
      </c>
      <c r="C16095" s="2" t="str">
        <f>"03034178"</f>
        <v>03034178</v>
      </c>
      <c r="D16095" s="2">
        <v>0.1</v>
      </c>
      <c r="E16095" s="2">
        <v>5</v>
      </c>
      <c r="F16095" s="2" t="s">
        <v>12</v>
      </c>
    </row>
    <row r="16096" spans="1:6" ht="25.5">
      <c r="A16096" s="2">
        <v>16093</v>
      </c>
      <c r="B16096" s="2" t="s">
        <v>16166</v>
      </c>
      <c r="C16096" s="2" t="str">
        <f>"0304422X"</f>
        <v>0304422X</v>
      </c>
      <c r="D16096" s="2">
        <v>1.0860000000000001</v>
      </c>
      <c r="E16096" s="2">
        <v>26</v>
      </c>
      <c r="F16096" s="2" t="s">
        <v>75</v>
      </c>
    </row>
    <row r="16097" spans="1:6" ht="25.5">
      <c r="A16097" s="2">
        <v>16094</v>
      </c>
      <c r="B16097" s="2" t="s">
        <v>16167</v>
      </c>
      <c r="C16097" s="2" t="str">
        <f>"03335372"</f>
        <v>03335372</v>
      </c>
      <c r="D16097" s="2">
        <v>0.122</v>
      </c>
      <c r="E16097" s="2">
        <v>12</v>
      </c>
      <c r="F16097" s="2" t="s">
        <v>6</v>
      </c>
    </row>
    <row r="16098" spans="1:6" ht="25.5">
      <c r="A16098" s="2">
        <v>16095</v>
      </c>
      <c r="B16098" s="2" t="s">
        <v>16168</v>
      </c>
      <c r="C16098" s="2" t="str">
        <f>"00322024"</f>
        <v>00322024</v>
      </c>
      <c r="D16098" s="2">
        <v>0.1</v>
      </c>
      <c r="E16098" s="2">
        <v>3</v>
      </c>
      <c r="F16098" s="2" t="s">
        <v>66</v>
      </c>
    </row>
    <row r="16099" spans="1:6" ht="25.5">
      <c r="A16099" s="2">
        <v>16096</v>
      </c>
      <c r="B16099" s="2" t="s">
        <v>16169</v>
      </c>
      <c r="C16099" s="2" t="str">
        <f>"00322032"</f>
        <v>00322032</v>
      </c>
      <c r="D16099" s="2">
        <v>0.10100000000000001</v>
      </c>
      <c r="E16099" s="2">
        <v>1</v>
      </c>
      <c r="F16099" s="2" t="s">
        <v>6</v>
      </c>
    </row>
    <row r="16100" spans="1:6" ht="25.5">
      <c r="A16100" s="2">
        <v>16097</v>
      </c>
      <c r="B16100" s="2" t="s">
        <v>16170</v>
      </c>
      <c r="C16100" s="2" t="str">
        <f>"00322156"</f>
        <v>00322156</v>
      </c>
      <c r="D16100" s="2">
        <v>0.1</v>
      </c>
      <c r="E16100" s="2">
        <v>1</v>
      </c>
      <c r="F16100" s="2" t="s">
        <v>16</v>
      </c>
    </row>
    <row r="16101" spans="1:6" ht="25.5">
      <c r="A16101" s="2">
        <v>16098</v>
      </c>
      <c r="B16101" s="2" t="s">
        <v>16171</v>
      </c>
      <c r="C16101" s="2" t="str">
        <f>"00322202"</f>
        <v>00322202</v>
      </c>
      <c r="D16101" s="2">
        <v>0.10100000000000001</v>
      </c>
      <c r="E16101" s="2">
        <v>1</v>
      </c>
      <c r="F16101" s="2" t="s">
        <v>16</v>
      </c>
    </row>
    <row r="16102" spans="1:6" ht="25.5">
      <c r="A16102" s="2">
        <v>16099</v>
      </c>
      <c r="B16102" s="2" t="s">
        <v>16172</v>
      </c>
      <c r="C16102" s="2" t="str">
        <f>"16156617"</f>
        <v>16156617</v>
      </c>
      <c r="D16102" s="2">
        <v>0.224</v>
      </c>
      <c r="E16102" s="2">
        <v>6</v>
      </c>
      <c r="F16102" s="2" t="s">
        <v>12</v>
      </c>
    </row>
    <row r="16103" spans="1:6" ht="25.5">
      <c r="A16103" s="2">
        <v>16100</v>
      </c>
      <c r="B16103" s="2" t="s">
        <v>16173</v>
      </c>
      <c r="C16103" s="2" t="str">
        <f>"15330303"</f>
        <v>15330303</v>
      </c>
      <c r="D16103" s="2">
        <v>0.255</v>
      </c>
      <c r="E16103" s="2">
        <v>8</v>
      </c>
      <c r="F16103" s="2" t="s">
        <v>6</v>
      </c>
    </row>
    <row r="16104" spans="1:6" ht="25.5">
      <c r="A16104" s="2">
        <v>16101</v>
      </c>
      <c r="B16104" s="2" t="s">
        <v>16174</v>
      </c>
      <c r="C16104" s="2" t="str">
        <f>"03354997"</f>
        <v>03354997</v>
      </c>
      <c r="D16104" s="2">
        <v>0.125</v>
      </c>
      <c r="E16104" s="2">
        <v>7</v>
      </c>
      <c r="F16104" s="2" t="s">
        <v>66</v>
      </c>
    </row>
    <row r="16105" spans="1:6" ht="25.5">
      <c r="A16105" s="2">
        <v>16102</v>
      </c>
      <c r="B16105" s="2" t="s">
        <v>16175</v>
      </c>
      <c r="C16105" s="2" t="str">
        <f>"14322056"</f>
        <v>14322056</v>
      </c>
      <c r="D16105" s="2">
        <v>0.88500000000000001</v>
      </c>
      <c r="E16105" s="2">
        <v>49</v>
      </c>
      <c r="F16105" s="2" t="s">
        <v>12</v>
      </c>
    </row>
    <row r="16106" spans="1:6" ht="25.5">
      <c r="A16106" s="2">
        <v>16103</v>
      </c>
      <c r="B16106" s="2" t="s">
        <v>16176</v>
      </c>
      <c r="C16106" s="2" t="str">
        <f>"00322490"</f>
        <v>00322490</v>
      </c>
      <c r="D16106" s="2">
        <v>0.153</v>
      </c>
      <c r="E16106" s="2">
        <v>13</v>
      </c>
      <c r="F16106" s="2" t="s">
        <v>12</v>
      </c>
    </row>
    <row r="16107" spans="1:6" ht="25.5">
      <c r="A16107" s="2">
        <v>16104</v>
      </c>
      <c r="B16107" s="2" t="s">
        <v>16177</v>
      </c>
      <c r="C16107" s="2" t="str">
        <f>"1088937X"</f>
        <v>1088937X</v>
      </c>
      <c r="D16107" s="2">
        <v>0.14499999999999999</v>
      </c>
      <c r="E16107" s="2">
        <v>14</v>
      </c>
      <c r="F16107" s="2" t="s">
        <v>16</v>
      </c>
    </row>
    <row r="16108" spans="1:6" ht="25.5">
      <c r="A16108" s="2">
        <v>16105</v>
      </c>
      <c r="B16108" s="2" t="s">
        <v>16178</v>
      </c>
      <c r="C16108" s="2" t="str">
        <f>"15552934"</f>
        <v>15552934</v>
      </c>
      <c r="D16108" s="2">
        <v>0.14699999999999999</v>
      </c>
      <c r="E16108" s="2">
        <v>1</v>
      </c>
      <c r="F16108" s="2" t="s">
        <v>12</v>
      </c>
    </row>
    <row r="16109" spans="1:6" ht="25.5">
      <c r="A16109" s="2">
        <v>16106</v>
      </c>
      <c r="B16109" s="2" t="s">
        <v>16179</v>
      </c>
      <c r="C16109" s="2" t="str">
        <f>"14753057"</f>
        <v>14753057</v>
      </c>
      <c r="D16109" s="2">
        <v>0.29899999999999999</v>
      </c>
      <c r="E16109" s="2">
        <v>18</v>
      </c>
      <c r="F16109" s="2" t="s">
        <v>16</v>
      </c>
    </row>
    <row r="16110" spans="1:6" ht="25.5">
      <c r="A16110" s="2">
        <v>16107</v>
      </c>
      <c r="B16110" s="2" t="s">
        <v>16180</v>
      </c>
      <c r="C16110" s="2" t="str">
        <f>"08000395"</f>
        <v>08000395</v>
      </c>
      <c r="D16110" s="2">
        <v>0.66500000000000004</v>
      </c>
      <c r="E16110" s="2">
        <v>27</v>
      </c>
      <c r="F16110" s="2" t="s">
        <v>151</v>
      </c>
    </row>
    <row r="16111" spans="1:6" ht="25.5">
      <c r="A16111" s="2">
        <v>16108</v>
      </c>
      <c r="B16111" s="2" t="s">
        <v>16181</v>
      </c>
      <c r="C16111" s="2" t="str">
        <f>"18739652"</f>
        <v>18739652</v>
      </c>
      <c r="D16111" s="2">
        <v>0.54200000000000004</v>
      </c>
      <c r="E16111" s="2">
        <v>9</v>
      </c>
      <c r="F16111" s="2" t="s">
        <v>75</v>
      </c>
    </row>
    <row r="16112" spans="1:6" ht="25.5">
      <c r="A16112" s="2">
        <v>16109</v>
      </c>
      <c r="B16112" s="2" t="s">
        <v>16182</v>
      </c>
      <c r="C16112" s="2" t="str">
        <f>"15614263"</f>
        <v>15614263</v>
      </c>
      <c r="D16112" s="2">
        <v>0.37</v>
      </c>
      <c r="E16112" s="2">
        <v>5</v>
      </c>
      <c r="F16112" s="2" t="s">
        <v>16</v>
      </c>
    </row>
    <row r="16113" spans="1:6" ht="25.5">
      <c r="A16113" s="2">
        <v>16110</v>
      </c>
      <c r="B16113" s="2" t="s">
        <v>16183</v>
      </c>
      <c r="C16113" s="2" t="str">
        <f>"10986111"</f>
        <v>10986111</v>
      </c>
      <c r="D16113" s="2">
        <v>1.089</v>
      </c>
      <c r="E16113" s="2">
        <v>12</v>
      </c>
      <c r="F16113" s="2" t="s">
        <v>6</v>
      </c>
    </row>
    <row r="16114" spans="1:6" ht="25.5">
      <c r="A16114" s="2">
        <v>16111</v>
      </c>
      <c r="B16114" s="2" t="s">
        <v>16184</v>
      </c>
      <c r="C16114" s="2" t="str">
        <f>"1363951X"</f>
        <v>1363951X</v>
      </c>
      <c r="D16114" s="2">
        <v>0.52400000000000002</v>
      </c>
      <c r="E16114" s="2">
        <v>19</v>
      </c>
      <c r="F16114" s="2" t="s">
        <v>16</v>
      </c>
    </row>
    <row r="16115" spans="1:6" ht="25.5">
      <c r="A16115" s="2">
        <v>16112</v>
      </c>
      <c r="B16115" s="2" t="s">
        <v>16185</v>
      </c>
      <c r="C16115" s="2" t="str">
        <f>"10439463"</f>
        <v>10439463</v>
      </c>
      <c r="D16115" s="2">
        <v>0.58899999999999997</v>
      </c>
      <c r="E16115" s="2">
        <v>5</v>
      </c>
      <c r="F16115" s="2" t="s">
        <v>6</v>
      </c>
    </row>
    <row r="16116" spans="1:6" ht="25.5">
      <c r="A16116" s="2">
        <v>16113</v>
      </c>
      <c r="B16116" s="2" t="s">
        <v>16186</v>
      </c>
      <c r="C16116" s="2" t="str">
        <f>"00484717"</f>
        <v>00484717</v>
      </c>
      <c r="D16116" s="2">
        <v>0.10100000000000001</v>
      </c>
      <c r="E16116" s="2">
        <v>1</v>
      </c>
      <c r="F16116" s="2" t="s">
        <v>190</v>
      </c>
    </row>
    <row r="16117" spans="1:6" ht="25.5">
      <c r="A16117" s="2">
        <v>16114</v>
      </c>
      <c r="B16117" s="2" t="s">
        <v>16187</v>
      </c>
      <c r="C16117" s="2" t="str">
        <f>"14708442"</f>
        <v>14708442</v>
      </c>
      <c r="D16117" s="2">
        <v>0.217</v>
      </c>
      <c r="E16117" s="2">
        <v>26</v>
      </c>
      <c r="F16117" s="2" t="s">
        <v>16</v>
      </c>
    </row>
    <row r="16118" spans="1:6" ht="25.5">
      <c r="A16118" s="2">
        <v>16115</v>
      </c>
      <c r="B16118" s="2" t="s">
        <v>16188</v>
      </c>
      <c r="C16118" s="2" t="str">
        <f>"14494035"</f>
        <v>14494035</v>
      </c>
      <c r="D16118" s="2">
        <v>0.27900000000000003</v>
      </c>
      <c r="E16118" s="2">
        <v>9</v>
      </c>
      <c r="F16118" s="2" t="s">
        <v>75</v>
      </c>
    </row>
    <row r="16119" spans="1:6">
      <c r="A16119" s="2">
        <v>16116</v>
      </c>
      <c r="B16119" s="2" t="s">
        <v>16189</v>
      </c>
      <c r="C16119" s="2" t="str">
        <f>"0"</f>
        <v>0</v>
      </c>
      <c r="D16119" s="2">
        <v>0.14399999999999999</v>
      </c>
      <c r="E16119" s="2">
        <v>5</v>
      </c>
      <c r="F16119" s="2" t="s">
        <v>6</v>
      </c>
    </row>
    <row r="16120" spans="1:6" ht="25.5">
      <c r="A16120" s="2">
        <v>16117</v>
      </c>
      <c r="B16120" s="2" t="s">
        <v>16190</v>
      </c>
      <c r="C16120" s="2" t="str">
        <f>"14782103"</f>
        <v>14782103</v>
      </c>
      <c r="D16120" s="2">
        <v>0.16200000000000001</v>
      </c>
      <c r="E16120" s="2">
        <v>3</v>
      </c>
      <c r="F16120" s="2" t="s">
        <v>16</v>
      </c>
    </row>
    <row r="16121" spans="1:6" ht="25.5">
      <c r="A16121" s="2">
        <v>16118</v>
      </c>
      <c r="B16121" s="2" t="s">
        <v>16191</v>
      </c>
      <c r="C16121" s="2" t="str">
        <f>"15527468"</f>
        <v>15527468</v>
      </c>
      <c r="D16121" s="2">
        <v>0.52200000000000002</v>
      </c>
      <c r="E16121" s="2">
        <v>16</v>
      </c>
      <c r="F16121" s="2" t="s">
        <v>6</v>
      </c>
    </row>
    <row r="16122" spans="1:6" ht="25.5">
      <c r="A16122" s="2">
        <v>16119</v>
      </c>
      <c r="B16122" s="2" t="s">
        <v>16192</v>
      </c>
      <c r="C16122" s="2" t="str">
        <f>"01465945"</f>
        <v>01465945</v>
      </c>
      <c r="D16122" s="2">
        <v>0.104</v>
      </c>
      <c r="E16122" s="2">
        <v>8</v>
      </c>
      <c r="F16122" s="2" t="s">
        <v>6</v>
      </c>
    </row>
    <row r="16123" spans="1:6" ht="25.5">
      <c r="A16123" s="2">
        <v>16120</v>
      </c>
      <c r="B16123" s="2" t="s">
        <v>16193</v>
      </c>
      <c r="C16123" s="2" t="str">
        <f>"15730891"</f>
        <v>15730891</v>
      </c>
      <c r="D16123" s="2">
        <v>1.1739999999999999</v>
      </c>
      <c r="E16123" s="2">
        <v>26</v>
      </c>
      <c r="F16123" s="2" t="s">
        <v>75</v>
      </c>
    </row>
    <row r="16124" spans="1:6" ht="25.5">
      <c r="A16124" s="2">
        <v>16121</v>
      </c>
      <c r="B16124" s="2" t="s">
        <v>16194</v>
      </c>
      <c r="C16124" s="2" t="str">
        <f>"14701006"</f>
        <v>14701006</v>
      </c>
      <c r="D16124" s="2">
        <v>0.45700000000000002</v>
      </c>
      <c r="E16124" s="2">
        <v>13</v>
      </c>
      <c r="F16124" s="2" t="s">
        <v>16</v>
      </c>
    </row>
    <row r="16125" spans="1:6" ht="25.5">
      <c r="A16125" s="2">
        <v>16122</v>
      </c>
      <c r="B16125" s="2" t="s">
        <v>16195</v>
      </c>
      <c r="C16125" s="2" t="str">
        <f>"15410072"</f>
        <v>15410072</v>
      </c>
      <c r="D16125" s="2">
        <v>0.755</v>
      </c>
      <c r="E16125" s="2">
        <v>25</v>
      </c>
      <c r="F16125" s="2" t="s">
        <v>16</v>
      </c>
    </row>
    <row r="16126" spans="1:6" ht="25.5">
      <c r="A16126" s="2">
        <v>16123</v>
      </c>
      <c r="B16126" s="2" t="s">
        <v>16196</v>
      </c>
      <c r="C16126" s="2" t="str">
        <f>"18460828"</f>
        <v>18460828</v>
      </c>
      <c r="D16126" s="2">
        <v>0.10100000000000001</v>
      </c>
      <c r="E16126" s="2">
        <v>4</v>
      </c>
      <c r="F16126" s="2" t="s">
        <v>149</v>
      </c>
    </row>
    <row r="16127" spans="1:6" ht="25.5">
      <c r="A16127" s="2">
        <v>16124</v>
      </c>
      <c r="B16127" s="2" t="s">
        <v>16197</v>
      </c>
      <c r="C16127" s="2" t="str">
        <f>"01041428"</f>
        <v>01041428</v>
      </c>
      <c r="D16127" s="2">
        <v>0.22800000000000001</v>
      </c>
      <c r="E16127" s="2">
        <v>8</v>
      </c>
      <c r="F16127" s="2" t="s">
        <v>159</v>
      </c>
    </row>
    <row r="16128" spans="1:6" ht="25.5">
      <c r="A16128" s="2">
        <v>16125</v>
      </c>
      <c r="B16128" s="2" t="s">
        <v>16198</v>
      </c>
      <c r="C16128" s="2" t="str">
        <f>"00322725"</f>
        <v>00322725</v>
      </c>
      <c r="D16128" s="2">
        <v>0.17699999999999999</v>
      </c>
      <c r="E16128" s="2">
        <v>15</v>
      </c>
      <c r="F16128" s="2" t="s">
        <v>169</v>
      </c>
    </row>
    <row r="16129" spans="1:6" ht="25.5">
      <c r="A16129" s="2">
        <v>16126</v>
      </c>
      <c r="B16129" s="2" t="s">
        <v>16199</v>
      </c>
      <c r="C16129" s="2" t="str">
        <f>"03700747"</f>
        <v>03700747</v>
      </c>
      <c r="D16129" s="2">
        <v>0.106</v>
      </c>
      <c r="E16129" s="2">
        <v>6</v>
      </c>
      <c r="F16129" s="2" t="s">
        <v>169</v>
      </c>
    </row>
    <row r="16130" spans="1:6" ht="25.5">
      <c r="A16130" s="2">
        <v>16127</v>
      </c>
      <c r="B16130" s="2" t="s">
        <v>16200</v>
      </c>
      <c r="C16130" s="2" t="str">
        <f>"0412257X"</f>
        <v>0412257X</v>
      </c>
      <c r="D16130" s="2">
        <v>0.11700000000000001</v>
      </c>
      <c r="E16130" s="2">
        <v>2</v>
      </c>
      <c r="F16130" s="2" t="s">
        <v>16</v>
      </c>
    </row>
    <row r="16131" spans="1:6" ht="25.5">
      <c r="A16131" s="2">
        <v>16128</v>
      </c>
      <c r="B16131" s="2" t="s">
        <v>16200</v>
      </c>
      <c r="C16131" s="2" t="str">
        <f>"11209488"</f>
        <v>11209488</v>
      </c>
      <c r="D16131" s="2">
        <v>0</v>
      </c>
      <c r="E16131" s="2">
        <v>0</v>
      </c>
      <c r="F16131" s="2" t="s">
        <v>190</v>
      </c>
    </row>
    <row r="16132" spans="1:6" ht="25.5">
      <c r="A16132" s="2">
        <v>16129</v>
      </c>
      <c r="B16132" s="2" t="s">
        <v>16201</v>
      </c>
      <c r="C16132" s="2" t="str">
        <f>"12308013"</f>
        <v>12308013</v>
      </c>
      <c r="D16132" s="2">
        <v>0.192</v>
      </c>
      <c r="E16132" s="2">
        <v>4</v>
      </c>
      <c r="F16132" s="2" t="s">
        <v>169</v>
      </c>
    </row>
    <row r="16133" spans="1:6" ht="25.5">
      <c r="A16133" s="2">
        <v>16130</v>
      </c>
      <c r="B16133" s="2" t="s">
        <v>16202</v>
      </c>
      <c r="C16133" s="2" t="str">
        <f>"16418190"</f>
        <v>16418190</v>
      </c>
      <c r="D16133" s="2">
        <v>0.219</v>
      </c>
      <c r="E16133" s="2">
        <v>11</v>
      </c>
      <c r="F16133" s="2" t="s">
        <v>169</v>
      </c>
    </row>
    <row r="16134" spans="1:6" ht="25.5">
      <c r="A16134" s="2">
        <v>16131</v>
      </c>
      <c r="B16134" s="2" t="s">
        <v>16203</v>
      </c>
      <c r="C16134" s="2" t="str">
        <f>"08670730"</f>
        <v>08670730</v>
      </c>
      <c r="D16134" s="2">
        <v>0</v>
      </c>
      <c r="E16134" s="2">
        <v>6</v>
      </c>
      <c r="F16134" s="2" t="s">
        <v>169</v>
      </c>
    </row>
    <row r="16135" spans="1:6" ht="25.5">
      <c r="A16135" s="2">
        <v>16132</v>
      </c>
      <c r="B16135" s="2" t="s">
        <v>16204</v>
      </c>
      <c r="C16135" s="2" t="str">
        <f>"18994741"</f>
        <v>18994741</v>
      </c>
      <c r="D16135" s="2">
        <v>0.20300000000000001</v>
      </c>
      <c r="E16135" s="2">
        <v>4</v>
      </c>
      <c r="F16135" s="2" t="s">
        <v>169</v>
      </c>
    </row>
    <row r="16136" spans="1:6" ht="25.5">
      <c r="A16136" s="2">
        <v>16133</v>
      </c>
      <c r="B16136" s="2" t="s">
        <v>16205</v>
      </c>
      <c r="C16136" s="2" t="str">
        <f>"15052249"</f>
        <v>15052249</v>
      </c>
      <c r="D16136" s="2">
        <v>0.27600000000000002</v>
      </c>
      <c r="E16136" s="2">
        <v>16</v>
      </c>
      <c r="F16136" s="2" t="s">
        <v>169</v>
      </c>
    </row>
    <row r="16137" spans="1:6" ht="25.5">
      <c r="A16137" s="2">
        <v>16134</v>
      </c>
      <c r="B16137" s="2" t="s">
        <v>16206</v>
      </c>
      <c r="C16137" s="2" t="str">
        <f>"12301485"</f>
        <v>12301485</v>
      </c>
      <c r="D16137" s="2">
        <v>0.217</v>
      </c>
      <c r="E16137" s="2">
        <v>23</v>
      </c>
      <c r="F16137" s="2" t="s">
        <v>169</v>
      </c>
    </row>
    <row r="16138" spans="1:6" ht="25.5">
      <c r="A16138" s="2">
        <v>16135</v>
      </c>
      <c r="B16138" s="2" t="s">
        <v>16207</v>
      </c>
      <c r="C16138" s="2" t="str">
        <f>"12300322"</f>
        <v>12300322</v>
      </c>
      <c r="D16138" s="2">
        <v>0.17</v>
      </c>
      <c r="E16138" s="2">
        <v>4</v>
      </c>
      <c r="F16138" s="2" t="s">
        <v>169</v>
      </c>
    </row>
    <row r="16139" spans="1:6" ht="25.5">
      <c r="A16139" s="2">
        <v>16136</v>
      </c>
      <c r="B16139" s="2" t="s">
        <v>16208</v>
      </c>
      <c r="C16139" s="2" t="str">
        <f>"14254689"</f>
        <v>14254689</v>
      </c>
      <c r="D16139" s="2">
        <v>0.10100000000000001</v>
      </c>
      <c r="E16139" s="2">
        <v>1</v>
      </c>
      <c r="F16139" s="2" t="s">
        <v>169</v>
      </c>
    </row>
    <row r="16140" spans="1:6" ht="25.5">
      <c r="A16140" s="2">
        <v>16137</v>
      </c>
      <c r="B16140" s="2" t="s">
        <v>16209</v>
      </c>
      <c r="C16140" s="2" t="str">
        <f>"17331331"</f>
        <v>17331331</v>
      </c>
      <c r="D16140" s="2">
        <v>0.27400000000000002</v>
      </c>
      <c r="E16140" s="2">
        <v>15</v>
      </c>
      <c r="F16140" s="2" t="s">
        <v>169</v>
      </c>
    </row>
    <row r="16141" spans="1:6" ht="25.5">
      <c r="A16141" s="2">
        <v>16138</v>
      </c>
      <c r="B16141" s="2" t="s">
        <v>16210</v>
      </c>
      <c r="C16141" s="2" t="str">
        <f>"12339687"</f>
        <v>12339687</v>
      </c>
      <c r="D16141" s="2">
        <v>0.18</v>
      </c>
      <c r="E16141" s="2">
        <v>15</v>
      </c>
      <c r="F16141" s="2" t="s">
        <v>169</v>
      </c>
    </row>
    <row r="16142" spans="1:6" ht="25.5">
      <c r="A16142" s="2">
        <v>16139</v>
      </c>
      <c r="B16142" s="2" t="s">
        <v>16211</v>
      </c>
      <c r="C16142" s="2" t="str">
        <f>"1733134X"</f>
        <v>1733134X</v>
      </c>
      <c r="D16142" s="2">
        <v>0.17899999999999999</v>
      </c>
      <c r="E16142" s="2">
        <v>4</v>
      </c>
      <c r="F16142" s="2" t="s">
        <v>169</v>
      </c>
    </row>
    <row r="16143" spans="1:6" ht="25.5">
      <c r="A16143" s="2">
        <v>16140</v>
      </c>
      <c r="B16143" s="2" t="s">
        <v>16212</v>
      </c>
      <c r="C16143" s="2" t="str">
        <f>"00792985"</f>
        <v>00792985</v>
      </c>
      <c r="D16143" s="2">
        <v>0.11799999999999999</v>
      </c>
      <c r="E16143" s="2">
        <v>6</v>
      </c>
      <c r="F16143" s="2" t="s">
        <v>169</v>
      </c>
    </row>
    <row r="16144" spans="1:6" ht="25.5">
      <c r="A16144" s="2">
        <v>16141</v>
      </c>
      <c r="B16144" s="2" t="s">
        <v>16213</v>
      </c>
      <c r="C16144" s="2" t="str">
        <f>"15051773"</f>
        <v>15051773</v>
      </c>
      <c r="D16144" s="2">
        <v>0.23400000000000001</v>
      </c>
      <c r="E16144" s="2">
        <v>13</v>
      </c>
      <c r="F16144" s="2" t="s">
        <v>169</v>
      </c>
    </row>
    <row r="16145" spans="1:6" ht="25.5">
      <c r="A16145" s="2">
        <v>16142</v>
      </c>
      <c r="B16145" s="2" t="s">
        <v>16214</v>
      </c>
      <c r="C16145" s="2" t="str">
        <f>"12332585"</f>
        <v>12332585</v>
      </c>
      <c r="D16145" s="2">
        <v>0.22</v>
      </c>
      <c r="E16145" s="2">
        <v>4</v>
      </c>
      <c r="F16145" s="2" t="s">
        <v>169</v>
      </c>
    </row>
    <row r="16146" spans="1:6" ht="25.5">
      <c r="A16146" s="2">
        <v>16143</v>
      </c>
      <c r="B16146" s="2" t="s">
        <v>16215</v>
      </c>
      <c r="C16146" s="2" t="str">
        <f>"01380338"</f>
        <v>01380338</v>
      </c>
      <c r="D16146" s="2">
        <v>0.41</v>
      </c>
      <c r="E16146" s="2">
        <v>14</v>
      </c>
      <c r="F16146" s="2" t="s">
        <v>169</v>
      </c>
    </row>
    <row r="16147" spans="1:6" ht="25.5">
      <c r="A16147" s="2">
        <v>16144</v>
      </c>
      <c r="B16147" s="2" t="s">
        <v>16216</v>
      </c>
      <c r="C16147" s="2" t="str">
        <f>"07183399"</f>
        <v>07183399</v>
      </c>
      <c r="D16147" s="2">
        <v>0.10199999999999999</v>
      </c>
      <c r="E16147" s="2">
        <v>1</v>
      </c>
      <c r="F16147" s="2" t="s">
        <v>182</v>
      </c>
    </row>
    <row r="16148" spans="1:6" ht="25.5">
      <c r="A16148" s="2">
        <v>16145</v>
      </c>
      <c r="B16148" s="2" t="s">
        <v>16217</v>
      </c>
      <c r="C16148" s="2" t="str">
        <f>"11209496"</f>
        <v>11209496</v>
      </c>
      <c r="D16148" s="2">
        <v>0.10100000000000001</v>
      </c>
      <c r="E16148" s="2">
        <v>1</v>
      </c>
      <c r="F16148" s="2" t="s">
        <v>190</v>
      </c>
    </row>
    <row r="16149" spans="1:6" ht="25.5">
      <c r="A16149" s="2">
        <v>16146</v>
      </c>
      <c r="B16149" s="2" t="s">
        <v>16218</v>
      </c>
      <c r="C16149" s="2" t="str">
        <f>"14764989"</f>
        <v>14764989</v>
      </c>
      <c r="D16149" s="2">
        <v>4.32</v>
      </c>
      <c r="E16149" s="2">
        <v>26</v>
      </c>
      <c r="F16149" s="2" t="s">
        <v>16</v>
      </c>
    </row>
    <row r="16150" spans="1:6" ht="25.5">
      <c r="A16150" s="2">
        <v>16147</v>
      </c>
      <c r="B16150" s="2" t="s">
        <v>16219</v>
      </c>
      <c r="C16150" s="2" t="str">
        <f>"15736687"</f>
        <v>15736687</v>
      </c>
      <c r="D16150" s="2">
        <v>2.9849999999999999</v>
      </c>
      <c r="E16150" s="2">
        <v>26</v>
      </c>
      <c r="F16150" s="2" t="s">
        <v>6</v>
      </c>
    </row>
    <row r="16151" spans="1:6" ht="25.5">
      <c r="A16151" s="2">
        <v>16148</v>
      </c>
      <c r="B16151" s="2" t="s">
        <v>16220</v>
      </c>
      <c r="C16151" s="2" t="str">
        <f>"10917675"</f>
        <v>10917675</v>
      </c>
      <c r="D16151" s="2">
        <v>2.5609999999999999</v>
      </c>
      <c r="E16151" s="2">
        <v>40</v>
      </c>
      <c r="F16151" s="2" t="s">
        <v>16</v>
      </c>
    </row>
    <row r="16152" spans="1:6" ht="25.5">
      <c r="A16152" s="2">
        <v>16149</v>
      </c>
      <c r="B16152" s="2" t="s">
        <v>16221</v>
      </c>
      <c r="C16152" s="2" t="str">
        <f>"09626298"</f>
        <v>09626298</v>
      </c>
      <c r="D16152" s="2">
        <v>1.8720000000000001</v>
      </c>
      <c r="E16152" s="2">
        <v>48</v>
      </c>
      <c r="F16152" s="2" t="s">
        <v>75</v>
      </c>
    </row>
    <row r="16153" spans="1:6" ht="25.5">
      <c r="A16153" s="2">
        <v>16150</v>
      </c>
      <c r="B16153" s="2" t="s">
        <v>16222</v>
      </c>
      <c r="C16153" s="2" t="str">
        <f>"14679221"</f>
        <v>14679221</v>
      </c>
      <c r="D16153" s="2">
        <v>1.1259999999999999</v>
      </c>
      <c r="E16153" s="2">
        <v>40</v>
      </c>
      <c r="F16153" s="2" t="s">
        <v>16</v>
      </c>
    </row>
    <row r="16154" spans="1:6" ht="25.5">
      <c r="A16154" s="2">
        <v>16151</v>
      </c>
      <c r="B16154" s="2" t="s">
        <v>16223</v>
      </c>
      <c r="C16154" s="2" t="str">
        <f>"00323179"</f>
        <v>00323179</v>
      </c>
      <c r="D16154" s="2">
        <v>0.6</v>
      </c>
      <c r="E16154" s="2">
        <v>16</v>
      </c>
      <c r="F16154" s="2" t="s">
        <v>16</v>
      </c>
    </row>
    <row r="16155" spans="1:6" ht="25.5">
      <c r="A16155" s="2">
        <v>16152</v>
      </c>
      <c r="B16155" s="2" t="s">
        <v>16224</v>
      </c>
      <c r="C16155" s="2" t="str">
        <f>"10659129"</f>
        <v>10659129</v>
      </c>
      <c r="D16155" s="2">
        <v>1.4730000000000001</v>
      </c>
      <c r="E16155" s="2">
        <v>32</v>
      </c>
      <c r="F16155" s="2" t="s">
        <v>6</v>
      </c>
    </row>
    <row r="16156" spans="1:6" ht="25.5">
      <c r="A16156" s="2">
        <v>16153</v>
      </c>
      <c r="B16156" s="2" t="s">
        <v>16225</v>
      </c>
      <c r="C16156" s="2" t="str">
        <f>"00323187"</f>
        <v>00323187</v>
      </c>
      <c r="D16156" s="2">
        <v>0.14099999999999999</v>
      </c>
      <c r="E16156" s="2">
        <v>6</v>
      </c>
      <c r="F16156" s="2" t="s">
        <v>16</v>
      </c>
    </row>
    <row r="16157" spans="1:6" ht="25.5">
      <c r="A16157" s="2">
        <v>16154</v>
      </c>
      <c r="B16157" s="2" t="s">
        <v>16226</v>
      </c>
      <c r="C16157" s="2" t="str">
        <f>"1538165X"</f>
        <v>1538165X</v>
      </c>
      <c r="D16157" s="2">
        <v>0.35</v>
      </c>
      <c r="E16157" s="2">
        <v>23</v>
      </c>
      <c r="F16157" s="2" t="s">
        <v>6</v>
      </c>
    </row>
    <row r="16158" spans="1:6" ht="25.5">
      <c r="A16158" s="2">
        <v>16155</v>
      </c>
      <c r="B16158" s="2" t="s">
        <v>16227</v>
      </c>
      <c r="C16158" s="2" t="str">
        <f>"14679248"</f>
        <v>14679248</v>
      </c>
      <c r="D16158" s="2">
        <v>0.92200000000000004</v>
      </c>
      <c r="E16158" s="2">
        <v>36</v>
      </c>
      <c r="F16158" s="2" t="s">
        <v>16</v>
      </c>
    </row>
    <row r="16159" spans="1:6" ht="25.5">
      <c r="A16159" s="2">
        <v>16156</v>
      </c>
      <c r="B16159" s="2" t="s">
        <v>16228</v>
      </c>
      <c r="C16159" s="2" t="str">
        <f>"14789302"</f>
        <v>14789302</v>
      </c>
      <c r="D16159" s="2">
        <v>0.83699999999999997</v>
      </c>
      <c r="E16159" s="2">
        <v>10</v>
      </c>
      <c r="F16159" s="2" t="s">
        <v>16</v>
      </c>
    </row>
    <row r="16160" spans="1:6" ht="25.5">
      <c r="A16160" s="2">
        <v>16157</v>
      </c>
      <c r="B16160" s="2" t="s">
        <v>16229</v>
      </c>
      <c r="C16160" s="2" t="str">
        <f>"15527476"</f>
        <v>15527476</v>
      </c>
      <c r="D16160" s="2">
        <v>1.06</v>
      </c>
      <c r="E16160" s="2">
        <v>24</v>
      </c>
      <c r="F16160" s="2" t="s">
        <v>6</v>
      </c>
    </row>
    <row r="16161" spans="1:6" ht="25.5">
      <c r="A16161" s="2">
        <v>16158</v>
      </c>
      <c r="B16161" s="2" t="s">
        <v>16230</v>
      </c>
      <c r="C16161" s="2" t="str">
        <f>"14051060"</f>
        <v>14051060</v>
      </c>
      <c r="D16161" s="2">
        <v>0.11799999999999999</v>
      </c>
      <c r="E16161" s="2">
        <v>5</v>
      </c>
      <c r="F16161" s="2" t="s">
        <v>200</v>
      </c>
    </row>
    <row r="16162" spans="1:6" ht="25.5">
      <c r="A16162" s="2">
        <v>16159</v>
      </c>
      <c r="B16162" s="2" t="s">
        <v>16231</v>
      </c>
      <c r="C16162" s="2" t="str">
        <f>"11308001"</f>
        <v>11308001</v>
      </c>
      <c r="D16162" s="2">
        <v>0.10100000000000001</v>
      </c>
      <c r="E16162" s="2">
        <v>1</v>
      </c>
      <c r="F16162" s="2" t="s">
        <v>351</v>
      </c>
    </row>
    <row r="16163" spans="1:6" ht="25.5">
      <c r="A16163" s="2">
        <v>16160</v>
      </c>
      <c r="B16163" s="2" t="s">
        <v>16232</v>
      </c>
      <c r="C16163" s="2" t="str">
        <f>"00323233"</f>
        <v>00323233</v>
      </c>
      <c r="D16163" s="2">
        <v>0.33300000000000002</v>
      </c>
      <c r="E16163" s="2">
        <v>8</v>
      </c>
      <c r="F16163" s="2" t="s">
        <v>208</v>
      </c>
    </row>
    <row r="16164" spans="1:6" ht="25.5">
      <c r="A16164" s="2">
        <v>16161</v>
      </c>
      <c r="B16164" s="2" t="s">
        <v>16233</v>
      </c>
      <c r="C16164" s="2" t="str">
        <f>"14679256"</f>
        <v>14679256</v>
      </c>
      <c r="D16164" s="2">
        <v>0.438</v>
      </c>
      <c r="E16164" s="2">
        <v>9</v>
      </c>
      <c r="F16164" s="2" t="s">
        <v>16</v>
      </c>
    </row>
    <row r="16165" spans="1:6" ht="25.5">
      <c r="A16165" s="2">
        <v>16162</v>
      </c>
      <c r="B16165" s="2" t="s">
        <v>16234</v>
      </c>
      <c r="C16165" s="2" t="str">
        <f>"15555623"</f>
        <v>15555623</v>
      </c>
      <c r="D16165" s="2">
        <v>0.29399999999999998</v>
      </c>
      <c r="E16165" s="2">
        <v>5</v>
      </c>
      <c r="F16165" s="2" t="s">
        <v>16</v>
      </c>
    </row>
    <row r="16166" spans="1:6" ht="25.5">
      <c r="A16166" s="2">
        <v>16163</v>
      </c>
      <c r="B16166" s="2" t="s">
        <v>16235</v>
      </c>
      <c r="C16166" s="2" t="str">
        <f>"15527514"</f>
        <v>15527514</v>
      </c>
      <c r="D16166" s="2">
        <v>1.079</v>
      </c>
      <c r="E16166" s="2">
        <v>33</v>
      </c>
      <c r="F16166" s="2" t="s">
        <v>6</v>
      </c>
    </row>
    <row r="16167" spans="1:6" ht="25.5">
      <c r="A16167" s="2">
        <v>16164</v>
      </c>
      <c r="B16167" s="2" t="s">
        <v>16236</v>
      </c>
      <c r="C16167" s="2" t="str">
        <f>"14715457"</f>
        <v>14715457</v>
      </c>
      <c r="D16167" s="2">
        <v>0.30599999999999999</v>
      </c>
      <c r="E16167" s="2">
        <v>10</v>
      </c>
      <c r="F16167" s="2" t="s">
        <v>6</v>
      </c>
    </row>
    <row r="16168" spans="1:6" ht="25.5">
      <c r="A16168" s="2">
        <v>16165</v>
      </c>
      <c r="B16168" s="2" t="s">
        <v>16237</v>
      </c>
      <c r="C16168" s="2" t="str">
        <f>"17439248"</f>
        <v>17439248</v>
      </c>
      <c r="D16168" s="2">
        <v>0.19</v>
      </c>
      <c r="E16168" s="2">
        <v>2</v>
      </c>
      <c r="F16168" s="2" t="s">
        <v>16</v>
      </c>
    </row>
    <row r="16169" spans="1:6" ht="25.5">
      <c r="A16169" s="2">
        <v>16166</v>
      </c>
      <c r="B16169" s="2" t="s">
        <v>16238</v>
      </c>
      <c r="C16169" s="2" t="str">
        <f>"1470594X"</f>
        <v>1470594X</v>
      </c>
      <c r="D16169" s="2">
        <v>0.26500000000000001</v>
      </c>
      <c r="E16169" s="2">
        <v>4</v>
      </c>
      <c r="F16169" s="2" t="s">
        <v>6</v>
      </c>
    </row>
    <row r="16170" spans="1:6" ht="25.5">
      <c r="A16170" s="2">
        <v>16167</v>
      </c>
      <c r="B16170" s="2" t="s">
        <v>16239</v>
      </c>
      <c r="C16170" s="2" t="str">
        <f>"14701014"</f>
        <v>14701014</v>
      </c>
      <c r="D16170" s="2">
        <v>0.47299999999999998</v>
      </c>
      <c r="E16170" s="2">
        <v>8</v>
      </c>
      <c r="F16170" s="2" t="s">
        <v>16</v>
      </c>
    </row>
    <row r="16171" spans="1:6" ht="25.5">
      <c r="A16171" s="2">
        <v>16168</v>
      </c>
      <c r="B16171" s="2" t="s">
        <v>16240</v>
      </c>
      <c r="C16171" s="2" t="str">
        <f>"00323470"</f>
        <v>00323470</v>
      </c>
      <c r="D16171" s="2">
        <v>0.23</v>
      </c>
      <c r="E16171" s="2">
        <v>10</v>
      </c>
      <c r="F16171" s="2" t="s">
        <v>12</v>
      </c>
    </row>
    <row r="16172" spans="1:6" ht="25.5">
      <c r="A16172" s="2">
        <v>16169</v>
      </c>
      <c r="B16172" s="2" t="s">
        <v>16241</v>
      </c>
      <c r="C16172" s="2" t="str">
        <f>"19538286"</f>
        <v>19538286</v>
      </c>
      <c r="D16172" s="2">
        <v>0.26</v>
      </c>
      <c r="E16172" s="2">
        <v>5</v>
      </c>
      <c r="F16172" s="2" t="s">
        <v>66</v>
      </c>
    </row>
    <row r="16173" spans="1:6" ht="25.5">
      <c r="A16173" s="2">
        <v>16170</v>
      </c>
      <c r="B16173" s="2" t="s">
        <v>16242</v>
      </c>
      <c r="C16173" s="2" t="str">
        <f>"13921681"</f>
        <v>13921681</v>
      </c>
      <c r="D16173" s="2">
        <v>0</v>
      </c>
      <c r="E16173" s="2">
        <v>1</v>
      </c>
      <c r="F16173" s="2" t="s">
        <v>426</v>
      </c>
    </row>
    <row r="16174" spans="1:6" ht="25.5">
      <c r="A16174" s="2">
        <v>16171</v>
      </c>
      <c r="B16174" s="2" t="s">
        <v>16243</v>
      </c>
      <c r="C16174" s="2" t="str">
        <f>"00323497"</f>
        <v>00323497</v>
      </c>
      <c r="D16174" s="2">
        <v>0.26200000000000001</v>
      </c>
      <c r="E16174" s="2">
        <v>12</v>
      </c>
      <c r="F16174" s="2" t="s">
        <v>16</v>
      </c>
    </row>
    <row r="16175" spans="1:6" ht="25.5">
      <c r="A16175" s="2">
        <v>16172</v>
      </c>
      <c r="B16175" s="2" t="s">
        <v>16244</v>
      </c>
      <c r="C16175" s="2" t="str">
        <f>"13307142"</f>
        <v>13307142</v>
      </c>
      <c r="D16175" s="2">
        <v>0.188</v>
      </c>
      <c r="E16175" s="2">
        <v>2</v>
      </c>
      <c r="F16175" s="2" t="s">
        <v>149</v>
      </c>
    </row>
    <row r="16176" spans="1:6" ht="25.5">
      <c r="A16176" s="2">
        <v>16173</v>
      </c>
      <c r="B16176" s="2" t="s">
        <v>16245</v>
      </c>
      <c r="C16176" s="2" t="str">
        <f>"17881994"</f>
        <v>17881994</v>
      </c>
      <c r="D16176" s="2">
        <v>0.19600000000000001</v>
      </c>
      <c r="E16176" s="2">
        <v>5</v>
      </c>
      <c r="F16176" s="2" t="s">
        <v>135</v>
      </c>
    </row>
    <row r="16177" spans="1:6" ht="25.5">
      <c r="A16177" s="2">
        <v>16174</v>
      </c>
      <c r="B16177" s="2" t="s">
        <v>16246</v>
      </c>
      <c r="C16177" s="2" t="str">
        <f>"00323632"</f>
        <v>00323632</v>
      </c>
      <c r="D16177" s="2">
        <v>0.121</v>
      </c>
      <c r="E16177" s="2">
        <v>7</v>
      </c>
      <c r="F16177" s="2" t="s">
        <v>66</v>
      </c>
    </row>
    <row r="16178" spans="1:6" ht="25.5">
      <c r="A16178" s="2">
        <v>16175</v>
      </c>
      <c r="B16178" s="2" t="s">
        <v>16247</v>
      </c>
      <c r="C16178" s="2" t="str">
        <f>"02578050"</f>
        <v>02578050</v>
      </c>
      <c r="D16178" s="2">
        <v>0.183</v>
      </c>
      <c r="E16178" s="2">
        <v>17</v>
      </c>
      <c r="F16178" s="2" t="s">
        <v>488</v>
      </c>
    </row>
    <row r="16179" spans="1:6" ht="25.5">
      <c r="A16179" s="2">
        <v>16176</v>
      </c>
      <c r="B16179" s="2" t="s">
        <v>16248</v>
      </c>
      <c r="C16179" s="2" t="str">
        <f>"00323772"</f>
        <v>00323772</v>
      </c>
      <c r="D16179" s="2">
        <v>0.39200000000000002</v>
      </c>
      <c r="E16179" s="2">
        <v>16</v>
      </c>
      <c r="F16179" s="2" t="s">
        <v>169</v>
      </c>
    </row>
    <row r="16180" spans="1:6" ht="25.5">
      <c r="A16180" s="2">
        <v>16177</v>
      </c>
      <c r="B16180" s="2" t="s">
        <v>16249</v>
      </c>
      <c r="C16180" s="2" t="str">
        <f>"14269686"</f>
        <v>14269686</v>
      </c>
      <c r="D16180" s="2">
        <v>0.14299999999999999</v>
      </c>
      <c r="E16180" s="2">
        <v>11</v>
      </c>
      <c r="F16180" s="2" t="s">
        <v>169</v>
      </c>
    </row>
    <row r="16181" spans="1:6" ht="25.5">
      <c r="A16181" s="2">
        <v>16178</v>
      </c>
      <c r="B16181" s="2" t="s">
        <v>16250</v>
      </c>
      <c r="C16181" s="2" t="str">
        <f>"0032373X"</f>
        <v>0032373X</v>
      </c>
      <c r="D16181" s="2">
        <v>0.11</v>
      </c>
      <c r="E16181" s="2">
        <v>5</v>
      </c>
      <c r="F16181" s="2" t="s">
        <v>351</v>
      </c>
    </row>
    <row r="16182" spans="1:6" ht="25.5">
      <c r="A16182" s="2">
        <v>16179</v>
      </c>
      <c r="B16182" s="2" t="s">
        <v>16251</v>
      </c>
      <c r="C16182" s="2" t="str">
        <f>"15075540"</f>
        <v>15075540</v>
      </c>
      <c r="D16182" s="2">
        <v>0.115</v>
      </c>
      <c r="E16182" s="2">
        <v>5</v>
      </c>
      <c r="F16182" s="2" t="s">
        <v>169</v>
      </c>
    </row>
    <row r="16183" spans="1:6" ht="25.5">
      <c r="A16183" s="2">
        <v>16180</v>
      </c>
      <c r="B16183" s="2" t="s">
        <v>16252</v>
      </c>
      <c r="C16183" s="2" t="str">
        <f>"15635333"</f>
        <v>15635333</v>
      </c>
      <c r="D16183" s="2">
        <v>0.41199999999999998</v>
      </c>
      <c r="E16183" s="2">
        <v>23</v>
      </c>
      <c r="F16183" s="2" t="s">
        <v>16</v>
      </c>
    </row>
    <row r="16184" spans="1:6" ht="25.5">
      <c r="A16184" s="2">
        <v>16181</v>
      </c>
      <c r="B16184" s="2" t="s">
        <v>16253</v>
      </c>
      <c r="C16184" s="2" t="str">
        <f>"02775387"</f>
        <v>02775387</v>
      </c>
      <c r="D16184" s="2">
        <v>0.54700000000000004</v>
      </c>
      <c r="E16184" s="2">
        <v>66</v>
      </c>
      <c r="F16184" s="2" t="s">
        <v>16</v>
      </c>
    </row>
    <row r="16185" spans="1:6" ht="25.5">
      <c r="A16185" s="2">
        <v>16182</v>
      </c>
      <c r="B16185" s="2" t="s">
        <v>16254</v>
      </c>
      <c r="C16185" s="2" t="str">
        <f>"00323861"</f>
        <v>00323861</v>
      </c>
      <c r="D16185" s="2">
        <v>1.381</v>
      </c>
      <c r="E16185" s="2">
        <v>150</v>
      </c>
      <c r="F16185" s="2" t="s">
        <v>75</v>
      </c>
    </row>
    <row r="16186" spans="1:6" ht="25.5">
      <c r="A16186" s="2">
        <v>16183</v>
      </c>
      <c r="B16186" s="2" t="s">
        <v>16255</v>
      </c>
      <c r="C16186" s="2" t="str">
        <f>"14362449"</f>
        <v>14362449</v>
      </c>
      <c r="D16186" s="2">
        <v>0.5</v>
      </c>
      <c r="E16186" s="2">
        <v>40</v>
      </c>
      <c r="F16186" s="2" t="s">
        <v>12</v>
      </c>
    </row>
    <row r="16187" spans="1:6" ht="25.5">
      <c r="A16187" s="2">
        <v>16184</v>
      </c>
      <c r="B16187" s="2" t="s">
        <v>16256</v>
      </c>
      <c r="C16187" s="2" t="str">
        <f>"17599962"</f>
        <v>17599962</v>
      </c>
      <c r="D16187" s="2">
        <v>1.7649999999999999</v>
      </c>
      <c r="E16187" s="2">
        <v>28</v>
      </c>
      <c r="F16187" s="2" t="s">
        <v>16</v>
      </c>
    </row>
    <row r="16188" spans="1:6" ht="25.5">
      <c r="A16188" s="2">
        <v>16185</v>
      </c>
      <c r="B16188" s="2" t="s">
        <v>16257</v>
      </c>
      <c r="C16188" s="2" t="str">
        <f>"15480569"</f>
        <v>15480569</v>
      </c>
      <c r="D16188" s="2">
        <v>0.623</v>
      </c>
      <c r="E16188" s="2">
        <v>49</v>
      </c>
      <c r="F16188" s="2" t="s">
        <v>6</v>
      </c>
    </row>
    <row r="16189" spans="1:6" ht="25.5">
      <c r="A16189" s="2">
        <v>16186</v>
      </c>
      <c r="B16189" s="2" t="s">
        <v>16258</v>
      </c>
      <c r="C16189" s="2" t="str">
        <f>"01413910"</f>
        <v>01413910</v>
      </c>
      <c r="D16189" s="2">
        <v>1.256</v>
      </c>
      <c r="E16189" s="2">
        <v>77</v>
      </c>
      <c r="F16189" s="2" t="s">
        <v>16</v>
      </c>
    </row>
    <row r="16190" spans="1:6" ht="25.5">
      <c r="A16190" s="2">
        <v>16187</v>
      </c>
      <c r="B16190" s="2" t="s">
        <v>16259</v>
      </c>
      <c r="C16190" s="2" t="str">
        <f>"15482634"</f>
        <v>15482634</v>
      </c>
      <c r="D16190" s="2">
        <v>0.62</v>
      </c>
      <c r="E16190" s="2">
        <v>70</v>
      </c>
      <c r="F16190" s="2" t="s">
        <v>6</v>
      </c>
    </row>
    <row r="16191" spans="1:6" ht="25.5">
      <c r="A16191" s="2">
        <v>16188</v>
      </c>
      <c r="B16191" s="2" t="s">
        <v>16260</v>
      </c>
      <c r="C16191" s="2" t="str">
        <f>"10970126"</f>
        <v>10970126</v>
      </c>
      <c r="D16191" s="2">
        <v>0.71699999999999997</v>
      </c>
      <c r="E16191" s="2">
        <v>61</v>
      </c>
      <c r="F16191" s="2" t="s">
        <v>16</v>
      </c>
    </row>
    <row r="16192" spans="1:6" ht="25.5">
      <c r="A16192" s="2">
        <v>16189</v>
      </c>
      <c r="B16192" s="2" t="s">
        <v>16261</v>
      </c>
      <c r="C16192" s="2" t="str">
        <f>"00323896"</f>
        <v>00323896</v>
      </c>
      <c r="D16192" s="2">
        <v>0.52300000000000002</v>
      </c>
      <c r="E16192" s="2">
        <v>42</v>
      </c>
      <c r="F16192" s="2" t="s">
        <v>16</v>
      </c>
    </row>
    <row r="16193" spans="1:6" ht="25.5">
      <c r="A16193" s="2">
        <v>16190</v>
      </c>
      <c r="B16193" s="2" t="s">
        <v>16262</v>
      </c>
      <c r="C16193" s="2" t="str">
        <f>"0379153X"</f>
        <v>0379153X</v>
      </c>
      <c r="D16193" s="2">
        <v>0.219</v>
      </c>
      <c r="E16193" s="2">
        <v>13</v>
      </c>
      <c r="F16193" s="2" t="s">
        <v>274</v>
      </c>
    </row>
    <row r="16194" spans="1:6" ht="25.5">
      <c r="A16194" s="2">
        <v>16191</v>
      </c>
      <c r="B16194" s="2" t="s">
        <v>16263</v>
      </c>
      <c r="C16194" s="2" t="str">
        <f>"15256111"</f>
        <v>15256111</v>
      </c>
      <c r="D16194" s="2">
        <v>0.57599999999999996</v>
      </c>
      <c r="E16194" s="2">
        <v>24</v>
      </c>
      <c r="F16194" s="2" t="s">
        <v>16</v>
      </c>
    </row>
    <row r="16195" spans="1:6" ht="25.5">
      <c r="A16195" s="2">
        <v>16192</v>
      </c>
      <c r="B16195" s="2" t="s">
        <v>16264</v>
      </c>
      <c r="C16195" s="2" t="str">
        <f>"15583724"</f>
        <v>15583724</v>
      </c>
      <c r="D16195" s="2">
        <v>3.0950000000000002</v>
      </c>
      <c r="E16195" s="2">
        <v>52</v>
      </c>
      <c r="F16195" s="2" t="s">
        <v>16</v>
      </c>
    </row>
    <row r="16196" spans="1:6" ht="25.5">
      <c r="A16196" s="2">
        <v>16193</v>
      </c>
      <c r="B16196" s="2" t="s">
        <v>16265</v>
      </c>
      <c r="C16196" s="2" t="str">
        <f>"09673911"</f>
        <v>09673911</v>
      </c>
      <c r="D16196" s="2">
        <v>0.19800000000000001</v>
      </c>
      <c r="E16196" s="2">
        <v>18</v>
      </c>
      <c r="F16196" s="2" t="s">
        <v>16</v>
      </c>
    </row>
    <row r="16197" spans="1:6" ht="25.5">
      <c r="A16197" s="2">
        <v>16194</v>
      </c>
      <c r="B16197" s="2" t="s">
        <v>16266</v>
      </c>
      <c r="C16197" s="2" t="str">
        <f>"15556107"</f>
        <v>15556107</v>
      </c>
      <c r="D16197" s="2">
        <v>0.312</v>
      </c>
      <c r="E16197" s="2">
        <v>17</v>
      </c>
      <c r="F16197" s="2" t="s">
        <v>129</v>
      </c>
    </row>
    <row r="16198" spans="1:6" ht="25.5">
      <c r="A16198" s="2">
        <v>16195</v>
      </c>
      <c r="B16198" s="2" t="s">
        <v>16267</v>
      </c>
      <c r="C16198" s="2" t="str">
        <f>"15600904"</f>
        <v>15600904</v>
      </c>
      <c r="D16198" s="2">
        <v>0.17100000000000001</v>
      </c>
      <c r="E16198" s="2">
        <v>10</v>
      </c>
      <c r="F16198" s="2" t="s">
        <v>129</v>
      </c>
    </row>
    <row r="16199" spans="1:6" ht="25.5">
      <c r="A16199" s="2">
        <v>16196</v>
      </c>
      <c r="B16199" s="2" t="s">
        <v>16268</v>
      </c>
      <c r="C16199" s="2" t="str">
        <f>"18112382"</f>
        <v>18112382</v>
      </c>
      <c r="D16199" s="2">
        <v>0.187</v>
      </c>
      <c r="E16199" s="2">
        <v>10</v>
      </c>
      <c r="F16199" s="2" t="s">
        <v>129</v>
      </c>
    </row>
    <row r="16200" spans="1:6" ht="25.5">
      <c r="A16200" s="2">
        <v>16197</v>
      </c>
      <c r="B16200" s="2" t="s">
        <v>16269</v>
      </c>
      <c r="C16200" s="2" t="str">
        <f>"19954220"</f>
        <v>19954220</v>
      </c>
      <c r="D16200" s="2">
        <v>0.106</v>
      </c>
      <c r="E16200" s="2">
        <v>2</v>
      </c>
      <c r="F16200" s="2" t="s">
        <v>129</v>
      </c>
    </row>
    <row r="16201" spans="1:6" ht="25.5">
      <c r="A16201" s="2">
        <v>16198</v>
      </c>
      <c r="B16201" s="2" t="s">
        <v>16270</v>
      </c>
      <c r="C16201" s="2" t="str">
        <f>"10991581"</f>
        <v>10991581</v>
      </c>
      <c r="D16201" s="2">
        <v>0.61699999999999999</v>
      </c>
      <c r="E16201" s="2">
        <v>51</v>
      </c>
      <c r="F16201" s="2" t="s">
        <v>16</v>
      </c>
    </row>
    <row r="16202" spans="1:6" ht="25.5">
      <c r="A16202" s="2">
        <v>16199</v>
      </c>
      <c r="B16202" s="2" t="s">
        <v>16271</v>
      </c>
      <c r="C16202" s="2" t="str">
        <f>"20451377"</f>
        <v>20451377</v>
      </c>
      <c r="D16202" s="2">
        <v>0.126</v>
      </c>
      <c r="E16202" s="2">
        <v>2</v>
      </c>
      <c r="F16202" s="2" t="s">
        <v>6</v>
      </c>
    </row>
    <row r="16203" spans="1:6" ht="25.5">
      <c r="A16203" s="2">
        <v>16200</v>
      </c>
      <c r="B16203" s="2" t="s">
        <v>16272</v>
      </c>
      <c r="C16203" s="2" t="str">
        <f>"01429418"</f>
        <v>01429418</v>
      </c>
      <c r="D16203" s="2">
        <v>0.77700000000000002</v>
      </c>
      <c r="E16203" s="2">
        <v>51</v>
      </c>
      <c r="F16203" s="2" t="s">
        <v>16</v>
      </c>
    </row>
    <row r="16204" spans="1:6" ht="25.5">
      <c r="A16204" s="2">
        <v>16201</v>
      </c>
      <c r="B16204" s="2" t="s">
        <v>16273</v>
      </c>
      <c r="C16204" s="2" t="str">
        <f>"17431735"</f>
        <v>17431735</v>
      </c>
      <c r="D16204" s="2">
        <v>0.10299999999999999</v>
      </c>
      <c r="E16204" s="2">
        <v>3</v>
      </c>
      <c r="F16204" s="2" t="s">
        <v>16</v>
      </c>
    </row>
    <row r="16205" spans="1:6" ht="25.5">
      <c r="A16205" s="2">
        <v>16202</v>
      </c>
      <c r="B16205" s="2" t="s">
        <v>16274</v>
      </c>
      <c r="C16205" s="2" t="str">
        <f>"13320718"</f>
        <v>13320718</v>
      </c>
      <c r="D16205" s="2">
        <v>0.13800000000000001</v>
      </c>
      <c r="E16205" s="2">
        <v>3</v>
      </c>
      <c r="F16205" s="2" t="s">
        <v>149</v>
      </c>
    </row>
    <row r="16206" spans="1:6" ht="25.5">
      <c r="A16206" s="2">
        <v>16203</v>
      </c>
      <c r="B16206" s="2" t="s">
        <v>16275</v>
      </c>
      <c r="C16206" s="2" t="str">
        <f>"0032423X"</f>
        <v>0032423X</v>
      </c>
      <c r="D16206" s="2">
        <v>0.1</v>
      </c>
      <c r="E16206" s="2">
        <v>1</v>
      </c>
      <c r="F16206" s="2" t="s">
        <v>190</v>
      </c>
    </row>
    <row r="16207" spans="1:6" ht="25.5">
      <c r="A16207" s="2">
        <v>16204</v>
      </c>
      <c r="B16207" s="2" t="s">
        <v>16276</v>
      </c>
      <c r="C16207" s="2" t="str">
        <f>"15405710"</f>
        <v>15405710</v>
      </c>
      <c r="D16207" s="2">
        <v>0.26900000000000002</v>
      </c>
      <c r="E16207" s="2">
        <v>2</v>
      </c>
      <c r="F16207" s="2" t="s">
        <v>16</v>
      </c>
    </row>
    <row r="16208" spans="1:6" ht="25.5">
      <c r="A16208" s="2">
        <v>16205</v>
      </c>
      <c r="B16208" s="2" t="s">
        <v>16277</v>
      </c>
      <c r="C16208" s="2" t="str">
        <f>"14740095"</f>
        <v>14740095</v>
      </c>
      <c r="D16208" s="2">
        <v>0.129</v>
      </c>
      <c r="E16208" s="2">
        <v>12</v>
      </c>
      <c r="F16208" s="2" t="s">
        <v>16</v>
      </c>
    </row>
    <row r="16209" spans="1:6" ht="25.5">
      <c r="A16209" s="2">
        <v>16206</v>
      </c>
      <c r="B16209" s="2" t="s">
        <v>16278</v>
      </c>
      <c r="C16209" s="2" t="str">
        <f>"03007766"</f>
        <v>03007766</v>
      </c>
      <c r="D16209" s="2">
        <v>0.23200000000000001</v>
      </c>
      <c r="E16209" s="2">
        <v>9</v>
      </c>
      <c r="F16209" s="2" t="s">
        <v>16</v>
      </c>
    </row>
    <row r="16210" spans="1:6" ht="25.5">
      <c r="A16210" s="2">
        <v>16207</v>
      </c>
      <c r="B16210" s="2" t="s">
        <v>16279</v>
      </c>
      <c r="C16210" s="2" t="str">
        <f>"00324663"</f>
        <v>00324663</v>
      </c>
      <c r="D16210" s="2">
        <v>0.246</v>
      </c>
      <c r="E16210" s="2">
        <v>16</v>
      </c>
      <c r="F16210" s="2" t="s">
        <v>66</v>
      </c>
    </row>
    <row r="16211" spans="1:6" ht="25.5">
      <c r="A16211" s="2">
        <v>16208</v>
      </c>
      <c r="B16211" s="2" t="s">
        <v>16280</v>
      </c>
      <c r="C16211" s="2" t="str">
        <f>"17284457"</f>
        <v>17284457</v>
      </c>
      <c r="D16211" s="2">
        <v>2.0840000000000001</v>
      </c>
      <c r="E16211" s="2">
        <v>50</v>
      </c>
      <c r="F16211" s="2" t="s">
        <v>16</v>
      </c>
    </row>
    <row r="16212" spans="1:6" ht="25.5">
      <c r="A16212" s="2">
        <v>16209</v>
      </c>
      <c r="B16212" s="2" t="s">
        <v>16281</v>
      </c>
      <c r="C16212" s="2" t="str">
        <f>"01990039"</f>
        <v>01990039</v>
      </c>
      <c r="D16212" s="2">
        <v>1.169</v>
      </c>
      <c r="E16212" s="2">
        <v>23</v>
      </c>
      <c r="F16212" s="2" t="s">
        <v>75</v>
      </c>
    </row>
    <row r="16213" spans="1:6" ht="25.5">
      <c r="A16213" s="2">
        <v>16210</v>
      </c>
      <c r="B16213" s="2" t="s">
        <v>16282</v>
      </c>
      <c r="C16213" s="2" t="str">
        <f>"0032468X"</f>
        <v>0032468X</v>
      </c>
      <c r="D16213" s="2">
        <v>0.16600000000000001</v>
      </c>
      <c r="E16213" s="2">
        <v>18</v>
      </c>
      <c r="F16213" s="2" t="s">
        <v>6</v>
      </c>
    </row>
    <row r="16214" spans="1:6" ht="25.5">
      <c r="A16214" s="2">
        <v>16211</v>
      </c>
      <c r="B16214" s="2" t="s">
        <v>16283</v>
      </c>
      <c r="C16214" s="2" t="str">
        <f>"1438390X"</f>
        <v>1438390X</v>
      </c>
      <c r="D16214" s="2">
        <v>0.98099999999999998</v>
      </c>
      <c r="E16214" s="2">
        <v>37</v>
      </c>
      <c r="F16214" s="2" t="s">
        <v>131</v>
      </c>
    </row>
    <row r="16215" spans="1:6" ht="25.5">
      <c r="A16215" s="2">
        <v>16212</v>
      </c>
      <c r="B16215" s="2" t="s">
        <v>16284</v>
      </c>
      <c r="C16215" s="2" t="str">
        <f>"01847783"</f>
        <v>01847783</v>
      </c>
      <c r="D16215" s="2">
        <v>0.14599999999999999</v>
      </c>
      <c r="E16215" s="2">
        <v>4</v>
      </c>
      <c r="F16215" s="2" t="s">
        <v>66</v>
      </c>
    </row>
    <row r="16216" spans="1:6" ht="25.5">
      <c r="A16216" s="2">
        <v>16213</v>
      </c>
      <c r="B16216" s="2" t="s">
        <v>16285</v>
      </c>
      <c r="C16216" s="2" t="str">
        <f>"19427905"</f>
        <v>19427905</v>
      </c>
      <c r="D16216" s="2">
        <v>0.70199999999999996</v>
      </c>
      <c r="E16216" s="2">
        <v>21</v>
      </c>
      <c r="F16216" s="2" t="s">
        <v>6</v>
      </c>
    </row>
    <row r="16217" spans="1:6" ht="25.5">
      <c r="A16217" s="2">
        <v>16214</v>
      </c>
      <c r="B16217" s="2" t="s">
        <v>16286</v>
      </c>
      <c r="C16217" s="2" t="str">
        <f>"14787954"</f>
        <v>14787954</v>
      </c>
      <c r="D16217" s="2">
        <v>2.3820000000000001</v>
      </c>
      <c r="E16217" s="2">
        <v>23</v>
      </c>
      <c r="F16217" s="2" t="s">
        <v>16</v>
      </c>
    </row>
    <row r="16218" spans="1:6" ht="25.5">
      <c r="A16218" s="2">
        <v>16215</v>
      </c>
      <c r="B16218" s="2" t="s">
        <v>16287</v>
      </c>
      <c r="C16218" s="2" t="str">
        <f>"15737829"</f>
        <v>15737829</v>
      </c>
      <c r="D16218" s="2">
        <v>0.377</v>
      </c>
      <c r="E16218" s="2">
        <v>24</v>
      </c>
      <c r="F16218" s="2" t="s">
        <v>75</v>
      </c>
    </row>
    <row r="16219" spans="1:6" ht="25.5">
      <c r="A16219" s="2">
        <v>16216</v>
      </c>
      <c r="B16219" s="2" t="s">
        <v>16288</v>
      </c>
      <c r="C16219" s="2" t="str">
        <f>"0032471X"</f>
        <v>0032471X</v>
      </c>
      <c r="D16219" s="2">
        <v>0.14899999999999999</v>
      </c>
      <c r="E16219" s="2">
        <v>2</v>
      </c>
      <c r="F16219" s="2" t="s">
        <v>488</v>
      </c>
    </row>
    <row r="16220" spans="1:6" ht="25.5">
      <c r="A16220" s="2">
        <v>16217</v>
      </c>
      <c r="B16220" s="2" t="s">
        <v>16289</v>
      </c>
      <c r="C16220" s="2" t="str">
        <f>"15448444"</f>
        <v>15448444</v>
      </c>
      <c r="D16220" s="2">
        <v>1.42</v>
      </c>
      <c r="E16220" s="2">
        <v>28</v>
      </c>
      <c r="F16220" s="2" t="s">
        <v>16</v>
      </c>
    </row>
    <row r="16221" spans="1:6" ht="25.5">
      <c r="A16221" s="2">
        <v>16218</v>
      </c>
      <c r="B16221" s="2" t="s">
        <v>16290</v>
      </c>
      <c r="C16221" s="2" t="str">
        <f>"14774747"</f>
        <v>14774747</v>
      </c>
      <c r="D16221" s="2">
        <v>0.82</v>
      </c>
      <c r="E16221" s="2">
        <v>34</v>
      </c>
      <c r="F16221" s="2" t="s">
        <v>6</v>
      </c>
    </row>
    <row r="16222" spans="1:6" ht="25.5">
      <c r="A16222" s="2">
        <v>16219</v>
      </c>
      <c r="B16222" s="2" t="s">
        <v>16291</v>
      </c>
      <c r="C16222" s="2" t="str">
        <f>"03074463"</f>
        <v>03074463</v>
      </c>
      <c r="D16222" s="2">
        <v>0.22800000000000001</v>
      </c>
      <c r="E16222" s="2">
        <v>21</v>
      </c>
      <c r="F16222" s="2" t="s">
        <v>16</v>
      </c>
    </row>
    <row r="16223" spans="1:6" ht="25.5">
      <c r="A16223" s="2">
        <v>16220</v>
      </c>
      <c r="B16223" s="2" t="s">
        <v>16292</v>
      </c>
      <c r="C16223" s="2" t="str">
        <f>"05515343"</f>
        <v>05515343</v>
      </c>
      <c r="D16223" s="2">
        <v>0</v>
      </c>
      <c r="E16223" s="2">
        <v>1</v>
      </c>
      <c r="F16223" s="2" t="s">
        <v>6</v>
      </c>
    </row>
    <row r="16224" spans="1:6" ht="25.5">
      <c r="A16224" s="2">
        <v>16221</v>
      </c>
      <c r="B16224" s="2" t="s">
        <v>16293</v>
      </c>
      <c r="C16224" s="2" t="str">
        <f>"16977467"</f>
        <v>16977467</v>
      </c>
      <c r="D16224" s="2">
        <v>0.22500000000000001</v>
      </c>
      <c r="E16224" s="2">
        <v>3</v>
      </c>
      <c r="F16224" s="2" t="s">
        <v>351</v>
      </c>
    </row>
    <row r="16225" spans="1:6" ht="25.5">
      <c r="A16225" s="2">
        <v>16222</v>
      </c>
      <c r="B16225" s="2" t="s">
        <v>16294</v>
      </c>
      <c r="C16225" s="2" t="str">
        <f>"15312542"</f>
        <v>15312542</v>
      </c>
      <c r="D16225" s="2">
        <v>1.1990000000000001</v>
      </c>
      <c r="E16225" s="2">
        <v>20</v>
      </c>
      <c r="F16225" s="2" t="s">
        <v>6</v>
      </c>
    </row>
    <row r="16226" spans="1:6" ht="25.5">
      <c r="A16226" s="2">
        <v>16223</v>
      </c>
      <c r="B16226" s="2" t="s">
        <v>16295</v>
      </c>
      <c r="C16226" s="2" t="str">
        <f>"08721904"</f>
        <v>08721904</v>
      </c>
      <c r="D16226" s="2">
        <v>0.20200000000000001</v>
      </c>
      <c r="E16226" s="2">
        <v>11</v>
      </c>
      <c r="F16226" s="2" t="s">
        <v>306</v>
      </c>
    </row>
    <row r="16227" spans="1:6" ht="25.5">
      <c r="A16227" s="2">
        <v>16224</v>
      </c>
      <c r="B16227" s="2" t="s">
        <v>16296</v>
      </c>
      <c r="C16227" s="2" t="str">
        <f>"1617982X"</f>
        <v>1617982X</v>
      </c>
      <c r="D16227" s="2">
        <v>0.14599999999999999</v>
      </c>
      <c r="E16227" s="2">
        <v>7</v>
      </c>
      <c r="F16227" s="2" t="s">
        <v>12</v>
      </c>
    </row>
    <row r="16228" spans="1:6" ht="25.5">
      <c r="A16228" s="2">
        <v>16225</v>
      </c>
      <c r="B16228" s="2" t="s">
        <v>16297</v>
      </c>
      <c r="C16228" s="2" t="str">
        <f>"02675315"</f>
        <v>02675315</v>
      </c>
      <c r="D16228" s="2">
        <v>0.156</v>
      </c>
      <c r="E16228" s="2">
        <v>2</v>
      </c>
      <c r="F16228" s="2" t="s">
        <v>16</v>
      </c>
    </row>
    <row r="16229" spans="1:6" ht="25.5">
      <c r="A16229" s="2">
        <v>16226</v>
      </c>
      <c r="B16229" s="2" t="s">
        <v>16298</v>
      </c>
      <c r="C16229" s="2" t="str">
        <f>"00484911"</f>
        <v>00484911</v>
      </c>
      <c r="D16229" s="2">
        <v>0.1</v>
      </c>
      <c r="E16229" s="2">
        <v>2</v>
      </c>
      <c r="F16229" s="2" t="s">
        <v>66</v>
      </c>
    </row>
    <row r="16230" spans="1:6" ht="25.5">
      <c r="A16230" s="2">
        <v>16227</v>
      </c>
      <c r="B16230" s="2" t="s">
        <v>16299</v>
      </c>
      <c r="C16230" s="2" t="str">
        <f>"15278271"</f>
        <v>15278271</v>
      </c>
      <c r="D16230" s="2">
        <v>0.22</v>
      </c>
      <c r="E16230" s="2">
        <v>9</v>
      </c>
      <c r="F16230" s="2" t="s">
        <v>6</v>
      </c>
    </row>
    <row r="16231" spans="1:6" ht="25.5">
      <c r="A16231" s="2">
        <v>16228</v>
      </c>
      <c r="B16231" s="2" t="s">
        <v>16300</v>
      </c>
      <c r="C16231" s="2" t="str">
        <f>"15232883"</f>
        <v>15232883</v>
      </c>
      <c r="D16231" s="2">
        <v>0.104</v>
      </c>
      <c r="E16231" s="2">
        <v>3</v>
      </c>
      <c r="F16231" s="2" t="s">
        <v>6</v>
      </c>
    </row>
    <row r="16232" spans="1:6" ht="25.5">
      <c r="A16232" s="2">
        <v>16229</v>
      </c>
      <c r="B16232" s="2" t="s">
        <v>16301</v>
      </c>
      <c r="C16232" s="2" t="str">
        <f>"15729281"</f>
        <v>15729281</v>
      </c>
      <c r="D16232" s="2">
        <v>0.42299999999999999</v>
      </c>
      <c r="E16232" s="2">
        <v>16</v>
      </c>
      <c r="F16232" s="2" t="s">
        <v>31</v>
      </c>
    </row>
    <row r="16233" spans="1:6" ht="25.5">
      <c r="A16233" s="2">
        <v>16230</v>
      </c>
      <c r="B16233" s="2" t="s">
        <v>16302</v>
      </c>
      <c r="C16233" s="2" t="str">
        <f>"14661888"</f>
        <v>14661888</v>
      </c>
      <c r="D16233" s="2">
        <v>0.17799999999999999</v>
      </c>
      <c r="E16233" s="2">
        <v>3</v>
      </c>
      <c r="F16233" s="2" t="s">
        <v>16</v>
      </c>
    </row>
    <row r="16234" spans="1:6" ht="25.5">
      <c r="A16234" s="2">
        <v>16231</v>
      </c>
      <c r="B16234" s="2" t="s">
        <v>16303</v>
      </c>
      <c r="C16234" s="2" t="str">
        <f>"14631377"</f>
        <v>14631377</v>
      </c>
      <c r="D16234" s="2">
        <v>0.36399999999999999</v>
      </c>
      <c r="E16234" s="2">
        <v>14</v>
      </c>
      <c r="F16234" s="2" t="s">
        <v>16</v>
      </c>
    </row>
    <row r="16235" spans="1:6" ht="25.5">
      <c r="A16235" s="2">
        <v>16232</v>
      </c>
      <c r="B16235" s="2" t="s">
        <v>16304</v>
      </c>
      <c r="C16235" s="2" t="str">
        <f>"00325422"</f>
        <v>00325422</v>
      </c>
      <c r="D16235" s="2">
        <v>0.14399999999999999</v>
      </c>
      <c r="E16235" s="2">
        <v>8</v>
      </c>
      <c r="F16235" s="2" t="s">
        <v>169</v>
      </c>
    </row>
    <row r="16236" spans="1:6" ht="25.5">
      <c r="A16236" s="2">
        <v>16233</v>
      </c>
      <c r="B16236" s="2" t="s">
        <v>16305</v>
      </c>
      <c r="C16236" s="2" t="str">
        <f>"1642395X"</f>
        <v>1642395X</v>
      </c>
      <c r="D16236" s="2">
        <v>0.20599999999999999</v>
      </c>
      <c r="E16236" s="2">
        <v>6</v>
      </c>
      <c r="F16236" s="2" t="s">
        <v>169</v>
      </c>
    </row>
    <row r="16237" spans="1:6" ht="25.5">
      <c r="A16237" s="2">
        <v>16234</v>
      </c>
      <c r="B16237" s="2" t="s">
        <v>16306</v>
      </c>
      <c r="C16237" s="2" t="str">
        <f>"17322693"</f>
        <v>17322693</v>
      </c>
      <c r="D16237" s="2">
        <v>0.19</v>
      </c>
      <c r="E16237" s="2">
        <v>14</v>
      </c>
      <c r="F16237" s="2" t="s">
        <v>169</v>
      </c>
    </row>
    <row r="16238" spans="1:6" ht="25.5">
      <c r="A16238" s="2">
        <v>16235</v>
      </c>
      <c r="B16238" s="2" t="s">
        <v>16307</v>
      </c>
      <c r="C16238" s="2" t="str">
        <f>"00794252"</f>
        <v>00794252</v>
      </c>
      <c r="D16238" s="2">
        <v>0.12</v>
      </c>
      <c r="E16238" s="2">
        <v>6</v>
      </c>
      <c r="F16238" s="2" t="s">
        <v>169</v>
      </c>
    </row>
    <row r="16239" spans="1:6" ht="25.5">
      <c r="A16239" s="2">
        <v>16236</v>
      </c>
      <c r="B16239" s="2" t="s">
        <v>16308</v>
      </c>
      <c r="C16239" s="2" t="str">
        <f>"12302813"</f>
        <v>12302813</v>
      </c>
      <c r="D16239" s="2">
        <v>0.106</v>
      </c>
      <c r="E16239" s="2">
        <v>3</v>
      </c>
      <c r="F16239" s="2" t="s">
        <v>169</v>
      </c>
    </row>
    <row r="16240" spans="1:6" ht="25.5">
      <c r="A16240" s="2">
        <v>16237</v>
      </c>
      <c r="B16240" s="2" t="s">
        <v>16309</v>
      </c>
      <c r="C16240" s="2" t="str">
        <f>"08606161"</f>
        <v>08606161</v>
      </c>
      <c r="D16240" s="2">
        <v>0.11</v>
      </c>
      <c r="E16240" s="2">
        <v>2</v>
      </c>
      <c r="F16240" s="2" t="s">
        <v>169</v>
      </c>
    </row>
    <row r="16241" spans="1:6" ht="25.5">
      <c r="A16241" s="2">
        <v>16238</v>
      </c>
      <c r="B16241" s="2" t="s">
        <v>16310</v>
      </c>
      <c r="C16241" s="2" t="str">
        <f>"17349338"</f>
        <v>17349338</v>
      </c>
      <c r="D16241" s="2">
        <v>0.11700000000000001</v>
      </c>
      <c r="E16241" s="2">
        <v>3</v>
      </c>
      <c r="F16241" s="2" t="s">
        <v>169</v>
      </c>
    </row>
    <row r="16242" spans="1:6" ht="25.5">
      <c r="A16242" s="2">
        <v>16239</v>
      </c>
      <c r="B16242" s="2" t="s">
        <v>16311</v>
      </c>
      <c r="C16242" s="2" t="str">
        <f>"14690756"</f>
        <v>14690756</v>
      </c>
      <c r="D16242" s="2">
        <v>0.54200000000000004</v>
      </c>
      <c r="E16242" s="2">
        <v>55</v>
      </c>
      <c r="F16242" s="2" t="s">
        <v>16</v>
      </c>
    </row>
    <row r="16243" spans="1:6" ht="25.5">
      <c r="A16243" s="2">
        <v>16240</v>
      </c>
      <c r="B16243" s="2" t="s">
        <v>16312</v>
      </c>
      <c r="C16243" s="2" t="str">
        <f>"00325481"</f>
        <v>00325481</v>
      </c>
      <c r="D16243" s="2">
        <v>0.63400000000000001</v>
      </c>
      <c r="E16243" s="2">
        <v>30</v>
      </c>
      <c r="F16243" s="2" t="s">
        <v>6</v>
      </c>
    </row>
    <row r="16244" spans="1:6" ht="25.5">
      <c r="A16244" s="2">
        <v>16241</v>
      </c>
      <c r="B16244" s="2" t="s">
        <v>16313</v>
      </c>
      <c r="C16244" s="2" t="str">
        <f>"09255214"</f>
        <v>09255214</v>
      </c>
      <c r="D16244" s="2">
        <v>1.4039999999999999</v>
      </c>
      <c r="E16244" s="2">
        <v>72</v>
      </c>
      <c r="F16244" s="2" t="s">
        <v>75</v>
      </c>
    </row>
    <row r="16245" spans="1:6" ht="25.5">
      <c r="A16245" s="2">
        <v>16242</v>
      </c>
      <c r="B16245" s="2" t="s">
        <v>16314</v>
      </c>
      <c r="C16245" s="2" t="str">
        <f>"17458137"</f>
        <v>17458137</v>
      </c>
      <c r="D16245" s="2">
        <v>0.12</v>
      </c>
      <c r="E16245" s="2">
        <v>4</v>
      </c>
      <c r="F16245" s="2" t="s">
        <v>16</v>
      </c>
    </row>
    <row r="16246" spans="1:6" ht="25.5">
      <c r="A16246" s="2">
        <v>16243</v>
      </c>
      <c r="B16246" s="2" t="s">
        <v>16315</v>
      </c>
      <c r="C16246" s="2" t="str">
        <f>"10531920"</f>
        <v>10531920</v>
      </c>
      <c r="D16246" s="2">
        <v>0.13700000000000001</v>
      </c>
      <c r="E16246" s="2">
        <v>3</v>
      </c>
      <c r="F16246" s="2" t="s">
        <v>6</v>
      </c>
    </row>
    <row r="16247" spans="1:6" ht="25.5">
      <c r="A16247" s="2">
        <v>16244</v>
      </c>
      <c r="B16247" s="2" t="s">
        <v>16316</v>
      </c>
      <c r="C16247" s="2" t="str">
        <f>"1060586X"</f>
        <v>1060586X</v>
      </c>
      <c r="D16247" s="2">
        <v>1.595</v>
      </c>
      <c r="E16247" s="2">
        <v>22</v>
      </c>
      <c r="F16247" s="2" t="s">
        <v>6</v>
      </c>
    </row>
    <row r="16248" spans="1:6" ht="25.5">
      <c r="A16248" s="2">
        <v>16245</v>
      </c>
      <c r="B16248" s="2" t="s">
        <v>16317</v>
      </c>
      <c r="C16248" s="2" t="str">
        <f>"18714528"</f>
        <v>18714528</v>
      </c>
      <c r="D16248" s="2">
        <v>0.38700000000000001</v>
      </c>
      <c r="E16248" s="2">
        <v>21</v>
      </c>
      <c r="F16248" s="2" t="s">
        <v>75</v>
      </c>
    </row>
    <row r="16249" spans="1:6" ht="25.5">
      <c r="A16249" s="2">
        <v>16246</v>
      </c>
      <c r="B16249" s="2" t="s">
        <v>16318</v>
      </c>
      <c r="C16249" s="2" t="str">
        <f>"1572929X"</f>
        <v>1572929X</v>
      </c>
      <c r="D16249" s="2">
        <v>0.79900000000000004</v>
      </c>
      <c r="E16249" s="2">
        <v>24</v>
      </c>
      <c r="F16249" s="2" t="s">
        <v>75</v>
      </c>
    </row>
    <row r="16250" spans="1:6" ht="25.5">
      <c r="A16250" s="2">
        <v>16247</v>
      </c>
      <c r="B16250" s="2" t="s">
        <v>16319</v>
      </c>
      <c r="C16250" s="2" t="str">
        <f>"15253171"</f>
        <v>15253171</v>
      </c>
      <c r="D16250" s="2">
        <v>0.97799999999999998</v>
      </c>
      <c r="E16250" s="2">
        <v>74</v>
      </c>
      <c r="F16250" s="2" t="s">
        <v>6</v>
      </c>
    </row>
    <row r="16251" spans="1:6" ht="25.5">
      <c r="A16251" s="2">
        <v>16248</v>
      </c>
      <c r="B16251" s="2" t="s">
        <v>16320</v>
      </c>
      <c r="C16251" s="2" t="str">
        <f>"21010390"</f>
        <v>21010390</v>
      </c>
      <c r="D16251" s="2">
        <v>0.1</v>
      </c>
      <c r="E16251" s="2">
        <v>3</v>
      </c>
      <c r="F16251" s="2" t="s">
        <v>66</v>
      </c>
    </row>
    <row r="16252" spans="1:6" ht="25.5">
      <c r="A16252" s="2">
        <v>16249</v>
      </c>
      <c r="B16252" s="2" t="s">
        <v>16321</v>
      </c>
      <c r="C16252" s="2" t="str">
        <f>"08857156"</f>
        <v>08857156</v>
      </c>
      <c r="D16252" s="2">
        <v>0.26200000000000001</v>
      </c>
      <c r="E16252" s="2">
        <v>21</v>
      </c>
      <c r="F16252" s="2" t="s">
        <v>6</v>
      </c>
    </row>
    <row r="16253" spans="1:6" ht="25.5">
      <c r="A16253" s="2">
        <v>16250</v>
      </c>
      <c r="B16253" s="2" t="s">
        <v>16322</v>
      </c>
      <c r="C16253" s="2" t="str">
        <f>"00325899"</f>
        <v>00325899</v>
      </c>
      <c r="D16253" s="2">
        <v>0.36399999999999999</v>
      </c>
      <c r="E16253" s="2">
        <v>25</v>
      </c>
      <c r="F16253" s="2" t="s">
        <v>16</v>
      </c>
    </row>
    <row r="16254" spans="1:6" ht="25.5">
      <c r="A16254" s="2">
        <v>16251</v>
      </c>
      <c r="B16254" s="2" t="s">
        <v>16323</v>
      </c>
      <c r="C16254" s="2" t="str">
        <f>"15739066"</f>
        <v>15739066</v>
      </c>
      <c r="D16254" s="2">
        <v>0.311</v>
      </c>
      <c r="E16254" s="2">
        <v>11</v>
      </c>
      <c r="F16254" s="2" t="s">
        <v>6</v>
      </c>
    </row>
    <row r="16255" spans="1:6" ht="25.5">
      <c r="A16255" s="2">
        <v>16252</v>
      </c>
      <c r="B16255" s="2" t="s">
        <v>16324</v>
      </c>
      <c r="C16255" s="2" t="str">
        <f>"00325910"</f>
        <v>00325910</v>
      </c>
      <c r="D16255" s="2">
        <v>0.77</v>
      </c>
      <c r="E16255" s="2">
        <v>70</v>
      </c>
      <c r="F16255" s="2" t="s">
        <v>75</v>
      </c>
    </row>
    <row r="16256" spans="1:6" ht="25.5">
      <c r="A16256" s="2">
        <v>16253</v>
      </c>
      <c r="B16256" s="2" t="s">
        <v>16325</v>
      </c>
      <c r="C16256" s="2" t="str">
        <f>"15402800"</f>
        <v>15402800</v>
      </c>
      <c r="D16256" s="2">
        <v>0.13200000000000001</v>
      </c>
      <c r="E16256" s="2">
        <v>7</v>
      </c>
      <c r="F16256" s="2" t="s">
        <v>6</v>
      </c>
    </row>
    <row r="16257" spans="1:6" ht="25.5">
      <c r="A16257" s="2">
        <v>16254</v>
      </c>
      <c r="B16257" s="2" t="s">
        <v>16326</v>
      </c>
      <c r="C16257" s="2" t="str">
        <f>"10003673"</f>
        <v>10003673</v>
      </c>
      <c r="D16257" s="2">
        <v>0.57899999999999996</v>
      </c>
      <c r="E16257" s="2">
        <v>30</v>
      </c>
      <c r="F16257" s="2" t="s">
        <v>46</v>
      </c>
    </row>
    <row r="16258" spans="1:6" ht="25.5">
      <c r="A16258" s="2">
        <v>16255</v>
      </c>
      <c r="B16258" s="2" t="s">
        <v>16327</v>
      </c>
      <c r="C16258" s="2" t="str">
        <f>"17320747"</f>
        <v>17320747</v>
      </c>
      <c r="D16258" s="2">
        <v>0.224</v>
      </c>
      <c r="E16258" s="2">
        <v>2</v>
      </c>
      <c r="F16258" s="2" t="s">
        <v>169</v>
      </c>
    </row>
    <row r="16259" spans="1:6" ht="25.5">
      <c r="A16259" s="2">
        <v>16256</v>
      </c>
      <c r="B16259" s="2" t="s">
        <v>16328</v>
      </c>
      <c r="C16259" s="2" t="str">
        <f>"03038157"</f>
        <v>03038157</v>
      </c>
      <c r="D16259" s="2">
        <v>0.10199999999999999</v>
      </c>
      <c r="E16259" s="2">
        <v>1</v>
      </c>
      <c r="F16259" s="2" t="s">
        <v>75</v>
      </c>
    </row>
    <row r="16260" spans="1:6" ht="25.5">
      <c r="A16260" s="2">
        <v>16257</v>
      </c>
      <c r="B16260" s="2" t="s">
        <v>16329</v>
      </c>
      <c r="C16260" s="2" t="str">
        <f>"16874765"</f>
        <v>16874765</v>
      </c>
      <c r="D16260" s="2">
        <v>0.42099999999999999</v>
      </c>
      <c r="E16260" s="2">
        <v>21</v>
      </c>
      <c r="F16260" s="2" t="s">
        <v>6</v>
      </c>
    </row>
    <row r="16261" spans="1:6">
      <c r="A16261" s="2">
        <v>16258</v>
      </c>
      <c r="B16261" s="2" t="s">
        <v>16330</v>
      </c>
      <c r="C16261" s="2" t="str">
        <f>"0"</f>
        <v>0</v>
      </c>
      <c r="D16261" s="2">
        <v>0.1</v>
      </c>
      <c r="E16261" s="2">
        <v>1</v>
      </c>
      <c r="F16261" s="2" t="s">
        <v>6</v>
      </c>
    </row>
    <row r="16262" spans="1:6" ht="25.5">
      <c r="A16262" s="2">
        <v>16259</v>
      </c>
      <c r="B16262" s="2" t="s">
        <v>16331</v>
      </c>
      <c r="C16262" s="2" t="str">
        <f>"14391058"</f>
        <v>14391058</v>
      </c>
      <c r="D16262" s="2">
        <v>0.251</v>
      </c>
      <c r="E16262" s="2">
        <v>24</v>
      </c>
      <c r="F16262" s="2" t="s">
        <v>12</v>
      </c>
    </row>
    <row r="16263" spans="1:6" ht="25.5">
      <c r="A16263" s="2">
        <v>16260</v>
      </c>
      <c r="B16263" s="2" t="s">
        <v>16332</v>
      </c>
      <c r="C16263" s="2" t="str">
        <f>"03249670"</f>
        <v>03249670</v>
      </c>
      <c r="D16263" s="2">
        <v>0.10100000000000001</v>
      </c>
      <c r="E16263" s="2">
        <v>2</v>
      </c>
      <c r="F16263" s="2" t="s">
        <v>169</v>
      </c>
    </row>
    <row r="16264" spans="1:6" ht="25.5">
      <c r="A16264" s="2">
        <v>16261</v>
      </c>
      <c r="B16264" s="2" t="s">
        <v>16333</v>
      </c>
      <c r="C16264" s="2" t="str">
        <f>"00842869"</f>
        <v>00842869</v>
      </c>
      <c r="D16264" s="2">
        <v>0.106</v>
      </c>
      <c r="E16264" s="2">
        <v>0</v>
      </c>
      <c r="F16264" s="2" t="s">
        <v>169</v>
      </c>
    </row>
    <row r="16265" spans="1:6" ht="25.5">
      <c r="A16265" s="2">
        <v>16262</v>
      </c>
      <c r="B16265" s="2" t="s">
        <v>16334</v>
      </c>
      <c r="C16265" s="2" t="str">
        <f>"08669465"</f>
        <v>08669465</v>
      </c>
      <c r="D16265" s="2">
        <v>0.11799999999999999</v>
      </c>
      <c r="E16265" s="2">
        <v>15</v>
      </c>
      <c r="F16265" s="2" t="s">
        <v>169</v>
      </c>
    </row>
    <row r="16266" spans="1:6" ht="25.5">
      <c r="A16266" s="2">
        <v>16263</v>
      </c>
      <c r="B16266" s="2" t="s">
        <v>16335</v>
      </c>
      <c r="C16266" s="2" t="str">
        <f>"00326291"</f>
        <v>00326291</v>
      </c>
      <c r="D16266" s="2">
        <v>0.185</v>
      </c>
      <c r="E16266" s="2">
        <v>5</v>
      </c>
      <c r="F16266" s="2" t="s">
        <v>208</v>
      </c>
    </row>
    <row r="16267" spans="1:6" ht="25.5">
      <c r="A16267" s="2">
        <v>16264</v>
      </c>
      <c r="B16267" s="2" t="s">
        <v>16336</v>
      </c>
      <c r="C16267" s="2" t="str">
        <f>"15317714"</f>
        <v>15317714</v>
      </c>
      <c r="D16267" s="2">
        <v>0.24199999999999999</v>
      </c>
      <c r="E16267" s="2">
        <v>2</v>
      </c>
      <c r="F16267" s="2" t="s">
        <v>6</v>
      </c>
    </row>
    <row r="16268" spans="1:6" ht="25.5">
      <c r="A16268" s="2">
        <v>16265</v>
      </c>
      <c r="B16268" s="2" t="s">
        <v>16337</v>
      </c>
      <c r="C16268" s="2" t="str">
        <f>"1528252X"</f>
        <v>1528252X</v>
      </c>
      <c r="D16268" s="2">
        <v>0.17599999999999999</v>
      </c>
      <c r="E16268" s="2">
        <v>16</v>
      </c>
      <c r="F16268" s="2" t="s">
        <v>16</v>
      </c>
    </row>
    <row r="16269" spans="1:6" ht="25.5">
      <c r="A16269" s="2">
        <v>16266</v>
      </c>
      <c r="B16269" s="2" t="s">
        <v>16338</v>
      </c>
      <c r="C16269" s="2" t="str">
        <f>"02774208"</f>
        <v>02774208</v>
      </c>
      <c r="D16269" s="2">
        <v>0.13800000000000001</v>
      </c>
      <c r="E16269" s="2">
        <v>10</v>
      </c>
      <c r="F16269" s="2" t="s">
        <v>6</v>
      </c>
    </row>
    <row r="16270" spans="1:6" ht="25.5">
      <c r="A16270" s="2">
        <v>16267</v>
      </c>
      <c r="B16270" s="2" t="s">
        <v>16339</v>
      </c>
      <c r="C16270" s="2" t="str">
        <f>"14747766"</f>
        <v>14747766</v>
      </c>
      <c r="D16270" s="2">
        <v>0.33500000000000002</v>
      </c>
      <c r="E16270" s="2">
        <v>19</v>
      </c>
      <c r="F16270" s="2" t="s">
        <v>16</v>
      </c>
    </row>
    <row r="16271" spans="1:6" ht="25.5">
      <c r="A16271" s="2">
        <v>16268</v>
      </c>
      <c r="B16271" s="2" t="s">
        <v>16340</v>
      </c>
      <c r="C16271" s="2" t="str">
        <f>"18798500"</f>
        <v>18798500</v>
      </c>
      <c r="D16271" s="2">
        <v>0.48299999999999998</v>
      </c>
      <c r="E16271" s="2">
        <v>6</v>
      </c>
      <c r="F16271" s="2" t="s">
        <v>75</v>
      </c>
    </row>
    <row r="16272" spans="1:6" ht="25.5">
      <c r="A16272" s="2">
        <v>16269</v>
      </c>
      <c r="B16272" s="2" t="s">
        <v>16341</v>
      </c>
      <c r="C16272" s="2" t="str">
        <f>"00326313"</f>
        <v>00326313</v>
      </c>
      <c r="D16272" s="2">
        <v>0.10100000000000001</v>
      </c>
      <c r="E16272" s="2">
        <v>4</v>
      </c>
      <c r="F16272" s="2" t="s">
        <v>131</v>
      </c>
    </row>
    <row r="16273" spans="1:6" ht="25.5">
      <c r="A16273" s="2">
        <v>16270</v>
      </c>
      <c r="B16273" s="2" t="s">
        <v>16342</v>
      </c>
      <c r="C16273" s="2" t="str">
        <f>"09121870"</f>
        <v>09121870</v>
      </c>
      <c r="D16273" s="2">
        <v>0.104</v>
      </c>
      <c r="E16273" s="2">
        <v>2</v>
      </c>
      <c r="F16273" s="2" t="s">
        <v>131</v>
      </c>
    </row>
    <row r="16274" spans="1:6" ht="25.5">
      <c r="A16274" s="2">
        <v>16271</v>
      </c>
      <c r="B16274" s="2" t="s">
        <v>16343</v>
      </c>
      <c r="C16274" s="2" t="str">
        <f>"10840680"</f>
        <v>10840680</v>
      </c>
      <c r="D16274" s="2">
        <v>0.14399999999999999</v>
      </c>
      <c r="E16274" s="2">
        <v>10</v>
      </c>
      <c r="F16274" s="2" t="s">
        <v>6</v>
      </c>
    </row>
    <row r="16275" spans="1:6" ht="25.5">
      <c r="A16275" s="2">
        <v>16272</v>
      </c>
      <c r="B16275" s="2" t="s">
        <v>16344</v>
      </c>
      <c r="C16275" s="2" t="str">
        <f>"17424909"</f>
        <v>17424909</v>
      </c>
      <c r="D16275" s="2">
        <v>0.36499999999999999</v>
      </c>
      <c r="E16275" s="2">
        <v>4</v>
      </c>
      <c r="F16275" s="2" t="s">
        <v>16</v>
      </c>
    </row>
    <row r="16276" spans="1:6" ht="25.5">
      <c r="A16276" s="2">
        <v>16273</v>
      </c>
      <c r="B16276" s="2" t="s">
        <v>16345</v>
      </c>
      <c r="C16276" s="2" t="str">
        <f>"14613123"</f>
        <v>14613123</v>
      </c>
      <c r="D16276" s="2">
        <v>0.13200000000000001</v>
      </c>
      <c r="E16276" s="2">
        <v>8</v>
      </c>
      <c r="F16276" s="2" t="s">
        <v>75</v>
      </c>
    </row>
    <row r="16277" spans="1:6" ht="25.5">
      <c r="A16277" s="2">
        <v>16274</v>
      </c>
      <c r="B16277" s="2" t="s">
        <v>16346</v>
      </c>
      <c r="C16277" s="2" t="str">
        <f>"00326518"</f>
        <v>00326518</v>
      </c>
      <c r="D16277" s="2">
        <v>0.123</v>
      </c>
      <c r="E16277" s="2">
        <v>7</v>
      </c>
      <c r="F16277" s="2" t="s">
        <v>16</v>
      </c>
    </row>
    <row r="16278" spans="1:6" ht="25.5">
      <c r="A16278" s="2">
        <v>16275</v>
      </c>
      <c r="B16278" s="2" t="s">
        <v>16347</v>
      </c>
      <c r="C16278" s="2" t="str">
        <f>"1133682X"</f>
        <v>1133682X</v>
      </c>
      <c r="D16278" s="2">
        <v>0.10299999999999999</v>
      </c>
      <c r="E16278" s="2">
        <v>0</v>
      </c>
      <c r="F16278" s="2" t="s">
        <v>351</v>
      </c>
    </row>
    <row r="16279" spans="1:6" ht="25.5">
      <c r="A16279" s="2">
        <v>16276</v>
      </c>
      <c r="B16279" s="2" t="s">
        <v>16348</v>
      </c>
      <c r="C16279" s="2" t="str">
        <f>"10182101"</f>
        <v>10182101</v>
      </c>
      <c r="D16279" s="2">
        <v>0.46800000000000003</v>
      </c>
      <c r="E16279" s="2">
        <v>7</v>
      </c>
      <c r="F16279" s="2" t="s">
        <v>161</v>
      </c>
    </row>
    <row r="16280" spans="1:6" ht="25.5">
      <c r="A16280" s="2">
        <v>16277</v>
      </c>
      <c r="B16280" s="2" t="s">
        <v>16349</v>
      </c>
      <c r="C16280" s="2" t="str">
        <f>"15699943"</f>
        <v>15699943</v>
      </c>
      <c r="D16280" s="2">
        <v>0.378</v>
      </c>
      <c r="E16280" s="2">
        <v>11</v>
      </c>
      <c r="F16280" s="2" t="s">
        <v>75</v>
      </c>
    </row>
    <row r="16281" spans="1:6" ht="25.5">
      <c r="A16281" s="2">
        <v>16278</v>
      </c>
      <c r="B16281" s="2" t="s">
        <v>16350</v>
      </c>
      <c r="C16281" s="2" t="str">
        <f>"12100455"</f>
        <v>12100455</v>
      </c>
      <c r="D16281" s="2">
        <v>0.34799999999999998</v>
      </c>
      <c r="E16281" s="2">
        <v>4</v>
      </c>
      <c r="F16281" s="2" t="s">
        <v>208</v>
      </c>
    </row>
    <row r="16282" spans="1:6" ht="25.5">
      <c r="A16282" s="2">
        <v>16279</v>
      </c>
      <c r="B16282" s="2" t="s">
        <v>16351</v>
      </c>
      <c r="C16282" s="2" t="str">
        <f>"12146994"</f>
        <v>12146994</v>
      </c>
      <c r="D16282" s="2">
        <v>0.158</v>
      </c>
      <c r="E16282" s="2">
        <v>11</v>
      </c>
      <c r="F16282" s="2" t="s">
        <v>208</v>
      </c>
    </row>
    <row r="16283" spans="1:6" ht="25.5">
      <c r="A16283" s="2">
        <v>16280</v>
      </c>
      <c r="B16283" s="2" t="s">
        <v>16352</v>
      </c>
      <c r="C16283" s="2" t="str">
        <f>"16130804"</f>
        <v>16130804</v>
      </c>
      <c r="D16283" s="2">
        <v>0.215</v>
      </c>
      <c r="E16283" s="2">
        <v>7</v>
      </c>
      <c r="F16283" s="2" t="s">
        <v>12</v>
      </c>
    </row>
    <row r="16284" spans="1:6" ht="25.5">
      <c r="A16284" s="2">
        <v>16281</v>
      </c>
      <c r="B16284" s="2" t="s">
        <v>16353</v>
      </c>
      <c r="C16284" s="2" t="str">
        <f>"03176282"</f>
        <v>03176282</v>
      </c>
      <c r="D16284" s="2">
        <v>0.13500000000000001</v>
      </c>
      <c r="E16284" s="2">
        <v>6</v>
      </c>
      <c r="F16284" s="2" t="s">
        <v>64</v>
      </c>
    </row>
    <row r="16285" spans="1:6" ht="25.5">
      <c r="A16285" s="2">
        <v>16282</v>
      </c>
      <c r="B16285" s="2" t="s">
        <v>16354</v>
      </c>
      <c r="C16285" s="2" t="str">
        <f>"00326666"</f>
        <v>00326666</v>
      </c>
      <c r="D16285" s="2">
        <v>0.10100000000000001</v>
      </c>
      <c r="E16285" s="2">
        <v>2</v>
      </c>
      <c r="F16285" s="2" t="s">
        <v>6</v>
      </c>
    </row>
    <row r="16286" spans="1:6" ht="25.5">
      <c r="A16286" s="2">
        <v>16283</v>
      </c>
      <c r="B16286" s="2" t="s">
        <v>16355</v>
      </c>
      <c r="C16286" s="2" t="str">
        <f>"00326739"</f>
        <v>00326739</v>
      </c>
      <c r="D16286" s="2">
        <v>0.14799999999999999</v>
      </c>
      <c r="E16286" s="2">
        <v>7</v>
      </c>
      <c r="F16286" s="2" t="s">
        <v>208</v>
      </c>
    </row>
    <row r="16287" spans="1:6" ht="25.5">
      <c r="A16287" s="2">
        <v>16284</v>
      </c>
      <c r="B16287" s="2" t="s">
        <v>16356</v>
      </c>
      <c r="C16287" s="2" t="str">
        <f>"0032678X"</f>
        <v>0032678X</v>
      </c>
      <c r="D16287" s="2">
        <v>0.26700000000000002</v>
      </c>
      <c r="E16287" s="2">
        <v>11</v>
      </c>
      <c r="F16287" s="2" t="s">
        <v>12</v>
      </c>
    </row>
    <row r="16288" spans="1:6" ht="25.5">
      <c r="A16288" s="2">
        <v>16285</v>
      </c>
      <c r="B16288" s="2" t="s">
        <v>16357</v>
      </c>
      <c r="C16288" s="2" t="str">
        <f>"0032681X"</f>
        <v>0032681X</v>
      </c>
      <c r="D16288" s="2">
        <v>0.11600000000000001</v>
      </c>
      <c r="E16288" s="2">
        <v>13</v>
      </c>
      <c r="F16288" s="2" t="s">
        <v>12</v>
      </c>
    </row>
    <row r="16289" spans="1:6" ht="25.5">
      <c r="A16289" s="2">
        <v>16286</v>
      </c>
      <c r="B16289" s="2" t="s">
        <v>16358</v>
      </c>
      <c r="C16289" s="2" t="str">
        <f>"03044289"</f>
        <v>03044289</v>
      </c>
      <c r="D16289" s="2">
        <v>0.26500000000000001</v>
      </c>
      <c r="E16289" s="2">
        <v>27</v>
      </c>
      <c r="F16289" s="2" t="s">
        <v>488</v>
      </c>
    </row>
    <row r="16290" spans="1:6" ht="25.5">
      <c r="A16290" s="2">
        <v>16287</v>
      </c>
      <c r="B16290" s="2" t="s">
        <v>16359</v>
      </c>
      <c r="C16290" s="2" t="str">
        <f>"12797960"</f>
        <v>12797960</v>
      </c>
      <c r="D16290" s="2">
        <v>0.104</v>
      </c>
      <c r="E16290" s="2">
        <v>2</v>
      </c>
      <c r="F16290" s="2" t="s">
        <v>66</v>
      </c>
    </row>
    <row r="16291" spans="1:6" ht="25.5">
      <c r="A16291" s="2">
        <v>16288</v>
      </c>
      <c r="B16291" s="2" t="s">
        <v>16360</v>
      </c>
      <c r="C16291" s="2" t="str">
        <f>"07581882"</f>
        <v>07581882</v>
      </c>
      <c r="D16291" s="2">
        <v>0.14699999999999999</v>
      </c>
      <c r="E16291" s="2">
        <v>11</v>
      </c>
      <c r="F16291" s="2" t="s">
        <v>66</v>
      </c>
    </row>
    <row r="16292" spans="1:6" ht="25.5">
      <c r="A16292" s="2">
        <v>16289</v>
      </c>
      <c r="B16292" s="2" t="s">
        <v>16361</v>
      </c>
      <c r="C16292" s="2" t="str">
        <f>"18787762"</f>
        <v>18787762</v>
      </c>
      <c r="D16292" s="2">
        <v>0.107</v>
      </c>
      <c r="E16292" s="2">
        <v>1</v>
      </c>
      <c r="F16292" s="2" t="s">
        <v>190</v>
      </c>
    </row>
    <row r="16293" spans="1:6" ht="25.5">
      <c r="A16293" s="2">
        <v>16290</v>
      </c>
      <c r="B16293" s="2" t="s">
        <v>16362</v>
      </c>
      <c r="C16293" s="2" t="str">
        <f>"17667305"</f>
        <v>17667305</v>
      </c>
      <c r="D16293" s="2">
        <v>0.112</v>
      </c>
      <c r="E16293" s="2">
        <v>2</v>
      </c>
      <c r="F16293" s="2" t="s">
        <v>190</v>
      </c>
    </row>
    <row r="16294" spans="1:6" ht="25.5">
      <c r="A16294" s="2">
        <v>16291</v>
      </c>
      <c r="B16294" s="2" t="s">
        <v>16363</v>
      </c>
      <c r="C16294" s="2" t="str">
        <f>"12691763"</f>
        <v>12691763</v>
      </c>
      <c r="D16294" s="2">
        <v>0.17599999999999999</v>
      </c>
      <c r="E16294" s="2">
        <v>6</v>
      </c>
      <c r="F16294" s="2" t="s">
        <v>66</v>
      </c>
    </row>
    <row r="16295" spans="1:6" ht="25.5">
      <c r="A16295" s="2">
        <v>16292</v>
      </c>
      <c r="B16295" s="2" t="s">
        <v>16364</v>
      </c>
      <c r="C16295" s="2" t="str">
        <f>"17674417"</f>
        <v>17674417</v>
      </c>
      <c r="D16295" s="2">
        <v>0.1</v>
      </c>
      <c r="E16295" s="2">
        <v>1</v>
      </c>
      <c r="F16295" s="2" t="s">
        <v>66</v>
      </c>
    </row>
    <row r="16296" spans="1:6" ht="25.5">
      <c r="A16296" s="2">
        <v>16293</v>
      </c>
      <c r="B16296" s="2" t="s">
        <v>16365</v>
      </c>
      <c r="C16296" s="2" t="str">
        <f>"09750533"</f>
        <v>09750533</v>
      </c>
      <c r="D16296" s="2">
        <v>0.10100000000000001</v>
      </c>
      <c r="E16296" s="2">
        <v>0</v>
      </c>
      <c r="F16296" s="2" t="s">
        <v>488</v>
      </c>
    </row>
    <row r="16297" spans="1:6" ht="25.5">
      <c r="A16297" s="2">
        <v>16294</v>
      </c>
      <c r="B16297" s="2" t="s">
        <v>16366</v>
      </c>
      <c r="C16297" s="2" t="str">
        <f>"18616763"</f>
        <v>18616763</v>
      </c>
      <c r="D16297" s="2">
        <v>0.20599999999999999</v>
      </c>
      <c r="E16297" s="2">
        <v>6</v>
      </c>
      <c r="F16297" s="2" t="s">
        <v>12</v>
      </c>
    </row>
    <row r="16298" spans="1:6" ht="25.5">
      <c r="A16298" s="2">
        <v>16295</v>
      </c>
      <c r="B16298" s="2" t="s">
        <v>16367</v>
      </c>
      <c r="C16298" s="2" t="str">
        <f>"0937552X"</f>
        <v>0937552X</v>
      </c>
      <c r="D16298" s="2">
        <v>0.111</v>
      </c>
      <c r="E16298" s="2">
        <v>7</v>
      </c>
      <c r="F16298" s="2" t="s">
        <v>12</v>
      </c>
    </row>
    <row r="16299" spans="1:6" ht="25.5">
      <c r="A16299" s="2">
        <v>16296</v>
      </c>
      <c r="B16299" s="2" t="s">
        <v>16368</v>
      </c>
      <c r="C16299" s="2" t="str">
        <f>"16618165"</f>
        <v>16618165</v>
      </c>
      <c r="D16299" s="2">
        <v>0.114</v>
      </c>
      <c r="E16299" s="2">
        <v>11</v>
      </c>
      <c r="F16299" s="2" t="s">
        <v>31</v>
      </c>
    </row>
    <row r="16300" spans="1:6" ht="25.5">
      <c r="A16300" s="2">
        <v>16297</v>
      </c>
      <c r="B16300" s="2" t="s">
        <v>16369</v>
      </c>
      <c r="C16300" s="2" t="str">
        <f>"00327034"</f>
        <v>00327034</v>
      </c>
      <c r="D16300" s="2">
        <v>0.19800000000000001</v>
      </c>
      <c r="E16300" s="2">
        <v>13</v>
      </c>
      <c r="F16300" s="2" t="s">
        <v>12</v>
      </c>
    </row>
    <row r="16301" spans="1:6" ht="25.5">
      <c r="A16301" s="2">
        <v>16298</v>
      </c>
      <c r="B16301" s="2" t="s">
        <v>16370</v>
      </c>
      <c r="C16301" s="2" t="str">
        <f>"03019268"</f>
        <v>03019268</v>
      </c>
      <c r="D16301" s="2">
        <v>1.921</v>
      </c>
      <c r="E16301" s="2">
        <v>83</v>
      </c>
      <c r="F16301" s="2" t="s">
        <v>75</v>
      </c>
    </row>
    <row r="16302" spans="1:6" ht="25.5">
      <c r="A16302" s="2">
        <v>16299</v>
      </c>
      <c r="B16302" s="2" t="s">
        <v>16371</v>
      </c>
      <c r="C16302" s="2" t="str">
        <f>"15731618"</f>
        <v>15731618</v>
      </c>
      <c r="D16302" s="2">
        <v>0.82099999999999995</v>
      </c>
      <c r="E16302" s="2">
        <v>28</v>
      </c>
      <c r="F16302" s="2" t="s">
        <v>75</v>
      </c>
    </row>
    <row r="16303" spans="1:6" ht="25.5">
      <c r="A16303" s="2">
        <v>16300</v>
      </c>
      <c r="B16303" s="2" t="s">
        <v>16372</v>
      </c>
      <c r="C16303" s="2" t="str">
        <f>"01416359"</f>
        <v>01416359</v>
      </c>
      <c r="D16303" s="2">
        <v>1.4339999999999999</v>
      </c>
      <c r="E16303" s="2">
        <v>44</v>
      </c>
      <c r="F16303" s="2" t="s">
        <v>6</v>
      </c>
    </row>
    <row r="16304" spans="1:6" ht="25.5">
      <c r="A16304" s="2">
        <v>16301</v>
      </c>
      <c r="B16304" s="2" t="s">
        <v>16373</v>
      </c>
      <c r="C16304" s="2" t="str">
        <f>"22107789"</f>
        <v>22107789</v>
      </c>
      <c r="D16304" s="2">
        <v>0.25600000000000001</v>
      </c>
      <c r="E16304" s="2">
        <v>3</v>
      </c>
      <c r="F16304" s="2" t="s">
        <v>75</v>
      </c>
    </row>
    <row r="16305" spans="1:6" ht="51">
      <c r="A16305" s="2">
        <v>16302</v>
      </c>
      <c r="B16305" s="2" t="s">
        <v>16374</v>
      </c>
      <c r="C16305" s="2" t="str">
        <f>"1049023X"</f>
        <v>1049023X</v>
      </c>
      <c r="D16305" s="2">
        <v>0.40600000000000003</v>
      </c>
      <c r="E16305" s="2">
        <v>25</v>
      </c>
      <c r="F16305" s="2" t="s">
        <v>6</v>
      </c>
    </row>
    <row r="16306" spans="1:6" ht="25.5">
      <c r="A16306" s="2">
        <v>16303</v>
      </c>
      <c r="B16306" s="2" t="s">
        <v>16375</v>
      </c>
      <c r="C16306" s="2" t="str">
        <f>"15450066"</f>
        <v>15450066</v>
      </c>
      <c r="D16306" s="2">
        <v>0.89100000000000001</v>
      </c>
      <c r="E16306" s="2">
        <v>35</v>
      </c>
      <c r="F16306" s="2" t="s">
        <v>16</v>
      </c>
    </row>
    <row r="16307" spans="1:6" ht="25.5">
      <c r="A16307" s="2">
        <v>16304</v>
      </c>
      <c r="B16307" s="2" t="s">
        <v>16376</v>
      </c>
      <c r="C16307" s="2" t="str">
        <f>"10970223"</f>
        <v>10970223</v>
      </c>
      <c r="D16307" s="2">
        <v>0.95799999999999996</v>
      </c>
      <c r="E16307" s="2">
        <v>64</v>
      </c>
      <c r="F16307" s="2" t="s">
        <v>16</v>
      </c>
    </row>
    <row r="16308" spans="1:6" ht="25.5">
      <c r="A16308" s="2">
        <v>16305</v>
      </c>
      <c r="B16308" s="2" t="s">
        <v>16377</v>
      </c>
      <c r="C16308" s="2" t="str">
        <f>"0032745X"</f>
        <v>0032745X</v>
      </c>
      <c r="D16308" s="2">
        <v>0.1</v>
      </c>
      <c r="E16308" s="2">
        <v>4</v>
      </c>
      <c r="F16308" s="2" t="s">
        <v>192</v>
      </c>
    </row>
    <row r="16309" spans="1:6" ht="25.5">
      <c r="A16309" s="2">
        <v>16306</v>
      </c>
      <c r="B16309" s="2" t="s">
        <v>16378</v>
      </c>
      <c r="C16309" s="2" t="str">
        <f>"15322297"</f>
        <v>15322297</v>
      </c>
      <c r="D16309" s="2">
        <v>0.154</v>
      </c>
      <c r="E16309" s="2">
        <v>16</v>
      </c>
      <c r="F16309" s="2" t="s">
        <v>16</v>
      </c>
    </row>
    <row r="16310" spans="1:6" ht="25.5">
      <c r="A16310" s="2">
        <v>16307</v>
      </c>
      <c r="B16310" s="2" t="s">
        <v>16379</v>
      </c>
      <c r="C16310" s="2" t="str">
        <f>"11677422"</f>
        <v>11677422</v>
      </c>
      <c r="D16310" s="2">
        <v>0.20599999999999999</v>
      </c>
      <c r="E16310" s="2">
        <v>9</v>
      </c>
      <c r="F16310" s="2" t="s">
        <v>66</v>
      </c>
    </row>
    <row r="16311" spans="1:6" ht="25.5">
      <c r="A16311" s="2">
        <v>16308</v>
      </c>
      <c r="B16311" s="2" t="s">
        <v>16380</v>
      </c>
      <c r="C16311" s="2" t="str">
        <f>"15313263"</f>
        <v>15313263</v>
      </c>
      <c r="D16311" s="2">
        <v>0.34799999999999998</v>
      </c>
      <c r="E16311" s="2">
        <v>53</v>
      </c>
      <c r="F16311" s="2" t="s">
        <v>6</v>
      </c>
    </row>
    <row r="16312" spans="1:6" ht="25.5">
      <c r="A16312" s="2">
        <v>16309</v>
      </c>
      <c r="B16312" s="2" t="s">
        <v>16381</v>
      </c>
      <c r="C16312" s="2" t="str">
        <f>"10909931"</f>
        <v>10909931</v>
      </c>
      <c r="D16312" s="2">
        <v>0.1</v>
      </c>
      <c r="E16312" s="2">
        <v>1</v>
      </c>
      <c r="F16312" s="2" t="s">
        <v>6</v>
      </c>
    </row>
    <row r="16313" spans="1:6" ht="25.5">
      <c r="A16313" s="2">
        <v>16310</v>
      </c>
      <c r="B16313" s="2" t="s">
        <v>16382</v>
      </c>
      <c r="C16313" s="2" t="str">
        <f>"00327786"</f>
        <v>00327786</v>
      </c>
      <c r="D16313" s="2">
        <v>1.0569999999999999</v>
      </c>
      <c r="E16313" s="2">
        <v>26</v>
      </c>
      <c r="F16313" s="2" t="s">
        <v>208</v>
      </c>
    </row>
    <row r="16314" spans="1:6" ht="25.5">
      <c r="A16314" s="2">
        <v>16311</v>
      </c>
      <c r="B16314" s="2" t="s">
        <v>16383</v>
      </c>
      <c r="C16314" s="2" t="str">
        <f>"07554982"</f>
        <v>07554982</v>
      </c>
      <c r="D16314" s="2">
        <v>0.185</v>
      </c>
      <c r="E16314" s="2">
        <v>27</v>
      </c>
      <c r="F16314" s="2" t="s">
        <v>66</v>
      </c>
    </row>
    <row r="16315" spans="1:6" ht="25.5">
      <c r="A16315" s="2">
        <v>16312</v>
      </c>
      <c r="B16315" s="2" t="s">
        <v>16384</v>
      </c>
      <c r="C16315" s="2" t="str">
        <f>"15451151"</f>
        <v>15451151</v>
      </c>
      <c r="D16315" s="2">
        <v>0.96199999999999997</v>
      </c>
      <c r="E16315" s="2">
        <v>31</v>
      </c>
      <c r="F16315" s="2" t="s">
        <v>6</v>
      </c>
    </row>
    <row r="16316" spans="1:6" ht="25.5">
      <c r="A16316" s="2">
        <v>16313</v>
      </c>
      <c r="B16316" s="2" t="s">
        <v>16385</v>
      </c>
      <c r="C16316" s="2" t="str">
        <f>"15736695"</f>
        <v>15736695</v>
      </c>
      <c r="D16316" s="2">
        <v>1.276</v>
      </c>
      <c r="E16316" s="2">
        <v>46</v>
      </c>
      <c r="F16316" s="2" t="s">
        <v>6</v>
      </c>
    </row>
    <row r="16317" spans="1:6" ht="25.5">
      <c r="A16317" s="2">
        <v>16314</v>
      </c>
      <c r="B16317" s="2" t="s">
        <v>16386</v>
      </c>
      <c r="C16317" s="2" t="str">
        <f>"10960260"</f>
        <v>10960260</v>
      </c>
      <c r="D16317" s="2">
        <v>1.617</v>
      </c>
      <c r="E16317" s="2">
        <v>104</v>
      </c>
      <c r="F16317" s="2" t="s">
        <v>6</v>
      </c>
    </row>
    <row r="16318" spans="1:6" ht="25.5">
      <c r="A16318" s="2">
        <v>16315</v>
      </c>
      <c r="B16318" s="2" t="s">
        <v>16387</v>
      </c>
      <c r="C16318" s="2" t="str">
        <f>"01675877"</f>
        <v>01675877</v>
      </c>
      <c r="D16318" s="2">
        <v>1.0940000000000001</v>
      </c>
      <c r="E16318" s="2">
        <v>54</v>
      </c>
      <c r="F16318" s="2" t="s">
        <v>75</v>
      </c>
    </row>
    <row r="16319" spans="1:6" ht="25.5">
      <c r="A16319" s="2">
        <v>16316</v>
      </c>
      <c r="B16319" s="2" t="s">
        <v>16388</v>
      </c>
      <c r="C16319" s="2" t="str">
        <f>"03939960"</f>
        <v>03939960</v>
      </c>
      <c r="D16319" s="2">
        <v>0.185</v>
      </c>
      <c r="E16319" s="2">
        <v>2</v>
      </c>
      <c r="F16319" s="2" t="s">
        <v>190</v>
      </c>
    </row>
    <row r="16320" spans="1:6" ht="25.5">
      <c r="A16320" s="2">
        <v>16317</v>
      </c>
      <c r="B16320" s="2" t="s">
        <v>16389</v>
      </c>
      <c r="C16320" s="2" t="str">
        <f>"05551099"</f>
        <v>05551099</v>
      </c>
      <c r="D16320" s="2">
        <v>0.13200000000000001</v>
      </c>
      <c r="E16320" s="2">
        <v>12</v>
      </c>
      <c r="F16320" s="2" t="s">
        <v>129</v>
      </c>
    </row>
    <row r="16321" spans="1:6" ht="25.5">
      <c r="A16321" s="2">
        <v>16318</v>
      </c>
      <c r="B16321" s="2" t="s">
        <v>16390</v>
      </c>
      <c r="C16321" s="2" t="str">
        <f>"13300644"</f>
        <v>13300644</v>
      </c>
      <c r="D16321" s="2">
        <v>0.10100000000000001</v>
      </c>
      <c r="E16321" s="2">
        <v>4</v>
      </c>
      <c r="F16321" s="2" t="s">
        <v>149</v>
      </c>
    </row>
    <row r="16322" spans="1:6" ht="25.5">
      <c r="A16322" s="2">
        <v>16319</v>
      </c>
      <c r="B16322" s="2" t="s">
        <v>16391</v>
      </c>
      <c r="C16322" s="2" t="str">
        <f>"17565146"</f>
        <v>17565146</v>
      </c>
      <c r="D16322" s="2">
        <v>0.124</v>
      </c>
      <c r="E16322" s="2">
        <v>2</v>
      </c>
      <c r="F16322" s="2" t="s">
        <v>16</v>
      </c>
    </row>
    <row r="16323" spans="1:6" ht="25.5">
      <c r="A16323" s="2">
        <v>16320</v>
      </c>
      <c r="B16323" s="2" t="s">
        <v>16392</v>
      </c>
      <c r="C16323" s="2" t="str">
        <f>"00954543"</f>
        <v>00954543</v>
      </c>
      <c r="D16323" s="2">
        <v>0.40100000000000002</v>
      </c>
      <c r="E16323" s="2">
        <v>26</v>
      </c>
      <c r="F16323" s="2" t="s">
        <v>16</v>
      </c>
    </row>
    <row r="16324" spans="1:6" ht="25.5">
      <c r="A16324" s="2">
        <v>16321</v>
      </c>
      <c r="B16324" s="2" t="s">
        <v>16393</v>
      </c>
      <c r="C16324" s="2" t="str">
        <f>"15235998"</f>
        <v>15235998</v>
      </c>
      <c r="D16324" s="2">
        <v>0.38400000000000001</v>
      </c>
      <c r="E16324" s="2">
        <v>24</v>
      </c>
      <c r="F16324" s="2" t="s">
        <v>6</v>
      </c>
    </row>
    <row r="16325" spans="1:6" ht="25.5">
      <c r="A16325" s="2">
        <v>16322</v>
      </c>
      <c r="B16325" s="2" t="s">
        <v>16394</v>
      </c>
      <c r="C16325" s="2" t="str">
        <f>"17519918"</f>
        <v>17519918</v>
      </c>
      <c r="D16325" s="2">
        <v>0.57199999999999995</v>
      </c>
      <c r="E16325" s="2">
        <v>13</v>
      </c>
      <c r="F16325" s="2" t="s">
        <v>75</v>
      </c>
    </row>
    <row r="16326" spans="1:6" ht="25.5">
      <c r="A16326" s="2">
        <v>16323</v>
      </c>
      <c r="B16326" s="2" t="s">
        <v>16395</v>
      </c>
      <c r="C16326" s="2" t="str">
        <f>"14751534"</f>
        <v>14751534</v>
      </c>
      <c r="D16326" s="2">
        <v>0.80300000000000005</v>
      </c>
      <c r="E16326" s="2">
        <v>24</v>
      </c>
      <c r="F16326" s="2" t="s">
        <v>16</v>
      </c>
    </row>
    <row r="16327" spans="1:6" ht="25.5">
      <c r="A16327" s="2">
        <v>16324</v>
      </c>
      <c r="B16327" s="2" t="s">
        <v>16396</v>
      </c>
      <c r="C16327" s="2" t="str">
        <f>"13557610"</f>
        <v>13557610</v>
      </c>
      <c r="D16327" s="2">
        <v>0.18</v>
      </c>
      <c r="E16327" s="2">
        <v>13</v>
      </c>
      <c r="F16327" s="2" t="s">
        <v>16</v>
      </c>
    </row>
    <row r="16328" spans="1:6" ht="25.5">
      <c r="A16328" s="2">
        <v>16325</v>
      </c>
      <c r="B16328" s="2" t="s">
        <v>16397</v>
      </c>
      <c r="C16328" s="2" t="str">
        <f>"14771128"</f>
        <v>14771128</v>
      </c>
      <c r="D16328" s="2">
        <v>0.19600000000000001</v>
      </c>
      <c r="E16328" s="2">
        <v>3</v>
      </c>
      <c r="F16328" s="2" t="s">
        <v>16</v>
      </c>
    </row>
    <row r="16329" spans="1:6" ht="25.5">
      <c r="A16329" s="2">
        <v>16326</v>
      </c>
      <c r="B16329" s="2" t="s">
        <v>16398</v>
      </c>
      <c r="C16329" s="2" t="str">
        <f>"08986207"</f>
        <v>08986207</v>
      </c>
      <c r="D16329" s="2">
        <v>0.32800000000000001</v>
      </c>
      <c r="E16329" s="2">
        <v>4</v>
      </c>
      <c r="F16329" s="2" t="s">
        <v>6</v>
      </c>
    </row>
    <row r="16330" spans="1:6" ht="25.5">
      <c r="A16330" s="2">
        <v>16327</v>
      </c>
      <c r="B16330" s="2" t="s">
        <v>16399</v>
      </c>
      <c r="C16330" s="2" t="str">
        <f>"00328332"</f>
        <v>00328332</v>
      </c>
      <c r="D16330" s="2">
        <v>0.59399999999999997</v>
      </c>
      <c r="E16330" s="2">
        <v>33</v>
      </c>
      <c r="F16330" s="2" t="s">
        <v>131</v>
      </c>
    </row>
    <row r="16331" spans="1:6" ht="25.5">
      <c r="A16331" s="2">
        <v>16328</v>
      </c>
      <c r="B16331" s="2" t="s">
        <v>16400</v>
      </c>
      <c r="C16331" s="2" t="str">
        <f>"03511189"</f>
        <v>03511189</v>
      </c>
      <c r="D16331" s="2">
        <v>0.30199999999999999</v>
      </c>
      <c r="E16331" s="2">
        <v>3</v>
      </c>
      <c r="F16331" s="2" t="s">
        <v>154</v>
      </c>
    </row>
    <row r="16332" spans="1:6" ht="25.5">
      <c r="A16332" s="2">
        <v>16329</v>
      </c>
      <c r="B16332" s="2" t="s">
        <v>16401</v>
      </c>
      <c r="C16332" s="2" t="str">
        <f>"10511970"</f>
        <v>10511970</v>
      </c>
      <c r="D16332" s="2">
        <v>0.17</v>
      </c>
      <c r="E16332" s="2">
        <v>3</v>
      </c>
      <c r="F16332" s="2" t="s">
        <v>16</v>
      </c>
    </row>
    <row r="16333" spans="1:6">
      <c r="A16333" s="2">
        <v>16330</v>
      </c>
      <c r="B16333" s="2" t="s">
        <v>16402</v>
      </c>
      <c r="C16333" s="2" t="str">
        <f>"0"</f>
        <v>0</v>
      </c>
      <c r="D16333" s="2">
        <v>0</v>
      </c>
      <c r="E16333" s="2">
        <v>0</v>
      </c>
      <c r="F16333" s="2" t="s">
        <v>6</v>
      </c>
    </row>
    <row r="16334" spans="1:6" ht="25.5">
      <c r="A16334" s="2">
        <v>16331</v>
      </c>
      <c r="B16334" s="2" t="s">
        <v>16403</v>
      </c>
      <c r="C16334" s="2" t="str">
        <f>"19395442"</f>
        <v>19395442</v>
      </c>
      <c r="D16334" s="2">
        <v>0.10100000000000001</v>
      </c>
      <c r="E16334" s="2">
        <v>2</v>
      </c>
      <c r="F16334" s="2" t="s">
        <v>6</v>
      </c>
    </row>
    <row r="16335" spans="1:6" ht="25.5">
      <c r="A16335" s="2">
        <v>16332</v>
      </c>
      <c r="B16335" s="2" t="s">
        <v>16404</v>
      </c>
      <c r="C16335" s="2" t="str">
        <f>"02658305"</f>
        <v>02658305</v>
      </c>
      <c r="D16335" s="2">
        <v>0.11</v>
      </c>
      <c r="E16335" s="2">
        <v>3</v>
      </c>
      <c r="F16335" s="2" t="s">
        <v>16</v>
      </c>
    </row>
    <row r="16336" spans="1:6" ht="25.5">
      <c r="A16336" s="2">
        <v>16333</v>
      </c>
      <c r="B16336" s="2" t="s">
        <v>16405</v>
      </c>
      <c r="C16336" s="2" t="str">
        <f>"1933690X"</f>
        <v>1933690X</v>
      </c>
      <c r="D16336" s="2">
        <v>0.95299999999999996</v>
      </c>
      <c r="E16336" s="2">
        <v>16</v>
      </c>
      <c r="F16336" s="2" t="s">
        <v>6</v>
      </c>
    </row>
    <row r="16337" spans="1:6" ht="25.5">
      <c r="A16337" s="2">
        <v>16334</v>
      </c>
      <c r="B16337" s="2" t="s">
        <v>16406</v>
      </c>
      <c r="C16337" s="2" t="str">
        <f>"00328855"</f>
        <v>00328855</v>
      </c>
      <c r="D16337" s="2">
        <v>0.57999999999999996</v>
      </c>
      <c r="E16337" s="2">
        <v>25</v>
      </c>
      <c r="F16337" s="2" t="s">
        <v>6</v>
      </c>
    </row>
    <row r="16338" spans="1:6" ht="25.5">
      <c r="A16338" s="2">
        <v>16335</v>
      </c>
      <c r="B16338" s="2" t="s">
        <v>16407</v>
      </c>
      <c r="C16338" s="2" t="str">
        <f>"1330187X"</f>
        <v>1330187X</v>
      </c>
      <c r="D16338" s="2">
        <v>0.111</v>
      </c>
      <c r="E16338" s="2">
        <v>1</v>
      </c>
      <c r="F16338" s="2" t="s">
        <v>149</v>
      </c>
    </row>
    <row r="16339" spans="1:6" ht="25.5">
      <c r="A16339" s="2">
        <v>16336</v>
      </c>
      <c r="B16339" s="2" t="s">
        <v>16408</v>
      </c>
      <c r="C16339" s="2" t="str">
        <f>"02668920"</f>
        <v>02668920</v>
      </c>
      <c r="D16339" s="2">
        <v>1.2809999999999999</v>
      </c>
      <c r="E16339" s="2">
        <v>38</v>
      </c>
      <c r="F16339" s="2" t="s">
        <v>16</v>
      </c>
    </row>
    <row r="16340" spans="1:6" ht="25.5">
      <c r="A16340" s="2">
        <v>16337</v>
      </c>
      <c r="B16340" s="2" t="s">
        <v>16409</v>
      </c>
      <c r="C16340" s="2" t="str">
        <f>"02084147"</f>
        <v>02084147</v>
      </c>
      <c r="D16340" s="2">
        <v>0.126</v>
      </c>
      <c r="E16340" s="2">
        <v>1</v>
      </c>
      <c r="F16340" s="2" t="s">
        <v>169</v>
      </c>
    </row>
    <row r="16341" spans="1:6" ht="25.5">
      <c r="A16341" s="2">
        <v>16338</v>
      </c>
      <c r="B16341" s="2" t="s">
        <v>16410</v>
      </c>
      <c r="C16341" s="2" t="str">
        <f>"14698951"</f>
        <v>14698951</v>
      </c>
      <c r="D16341" s="2">
        <v>0.54400000000000004</v>
      </c>
      <c r="E16341" s="2">
        <v>22</v>
      </c>
      <c r="F16341" s="2" t="s">
        <v>16</v>
      </c>
    </row>
    <row r="16342" spans="1:6" ht="25.5">
      <c r="A16342" s="2">
        <v>16339</v>
      </c>
      <c r="B16342" s="2" t="s">
        <v>16411</v>
      </c>
      <c r="C16342" s="2" t="str">
        <f>"15495787"</f>
        <v>15495787</v>
      </c>
      <c r="D16342" s="2">
        <v>0.93100000000000005</v>
      </c>
      <c r="E16342" s="2">
        <v>2</v>
      </c>
      <c r="F16342" s="2" t="s">
        <v>6</v>
      </c>
    </row>
    <row r="16343" spans="1:6" ht="25.5">
      <c r="A16343" s="2">
        <v>16340</v>
      </c>
      <c r="B16343" s="2" t="s">
        <v>16412</v>
      </c>
      <c r="C16343" s="2" t="str">
        <f>"14322064"</f>
        <v>14322064</v>
      </c>
      <c r="D16343" s="2">
        <v>1.722</v>
      </c>
      <c r="E16343" s="2">
        <v>41</v>
      </c>
      <c r="F16343" s="2" t="s">
        <v>6</v>
      </c>
    </row>
    <row r="16344" spans="1:6" ht="25.5">
      <c r="A16344" s="2">
        <v>16341</v>
      </c>
      <c r="B16344" s="2" t="s">
        <v>16413</v>
      </c>
      <c r="C16344" s="2" t="str">
        <f>"17413079"</f>
        <v>17413079</v>
      </c>
      <c r="D16344" s="2">
        <v>0.105</v>
      </c>
      <c r="E16344" s="2">
        <v>2</v>
      </c>
      <c r="F16344" s="2" t="s">
        <v>16</v>
      </c>
    </row>
    <row r="16345" spans="1:6" ht="25.5">
      <c r="A16345" s="2">
        <v>16342</v>
      </c>
      <c r="B16345" s="2" t="s">
        <v>16414</v>
      </c>
      <c r="C16345" s="2" t="str">
        <f>"18671314"</f>
        <v>18671314</v>
      </c>
      <c r="D16345" s="2">
        <v>0.30399999999999999</v>
      </c>
      <c r="E16345" s="2">
        <v>5</v>
      </c>
      <c r="F16345" s="2" t="s">
        <v>6</v>
      </c>
    </row>
    <row r="16346" spans="1:6" ht="25.5">
      <c r="A16346" s="2">
        <v>16343</v>
      </c>
      <c r="B16346" s="2" t="s">
        <v>16415</v>
      </c>
      <c r="C16346" s="2" t="str">
        <f>"03017036"</f>
        <v>03017036</v>
      </c>
      <c r="D16346" s="2">
        <v>0.191</v>
      </c>
      <c r="E16346" s="2">
        <v>2</v>
      </c>
      <c r="F16346" s="2" t="s">
        <v>200</v>
      </c>
    </row>
    <row r="16347" spans="1:6" ht="25.5">
      <c r="A16347" s="2">
        <v>16344</v>
      </c>
      <c r="B16347" s="2" t="s">
        <v>16416</v>
      </c>
      <c r="C16347" s="2" t="str">
        <f>"13921126"</f>
        <v>13921126</v>
      </c>
      <c r="D16347" s="2">
        <v>0.33800000000000002</v>
      </c>
      <c r="E16347" s="2">
        <v>4</v>
      </c>
      <c r="F16347" s="2" t="s">
        <v>426</v>
      </c>
    </row>
    <row r="16348" spans="1:6" ht="25.5">
      <c r="A16348" s="2">
        <v>16345</v>
      </c>
      <c r="B16348" s="2" t="s">
        <v>16417</v>
      </c>
      <c r="C16348" s="2" t="str">
        <f>"16829344"</f>
        <v>16829344</v>
      </c>
      <c r="D16348" s="2">
        <v>0.189</v>
      </c>
      <c r="E16348" s="2">
        <v>4</v>
      </c>
      <c r="F16348" s="2" t="s">
        <v>438</v>
      </c>
    </row>
    <row r="16349" spans="1:6" ht="25.5">
      <c r="A16349" s="2">
        <v>16346</v>
      </c>
      <c r="B16349" s="2" t="s">
        <v>16418</v>
      </c>
      <c r="C16349" s="2" t="str">
        <f>"02049155"</f>
        <v>02049155</v>
      </c>
      <c r="D16349" s="2">
        <v>0.104</v>
      </c>
      <c r="E16349" s="2">
        <v>3</v>
      </c>
      <c r="F16349" s="2" t="s">
        <v>293</v>
      </c>
    </row>
    <row r="16350" spans="1:6" ht="25.5">
      <c r="A16350" s="2">
        <v>16347</v>
      </c>
      <c r="B16350" s="2" t="s">
        <v>16419</v>
      </c>
      <c r="C16350" s="2" t="str">
        <f>"16083253"</f>
        <v>16083253</v>
      </c>
      <c r="D16350" s="2">
        <v>0.53400000000000003</v>
      </c>
      <c r="E16350" s="2">
        <v>9</v>
      </c>
      <c r="F16350" s="2" t="s">
        <v>129</v>
      </c>
    </row>
    <row r="16351" spans="1:6" ht="25.5">
      <c r="A16351" s="2">
        <v>16348</v>
      </c>
      <c r="B16351" s="2" t="s">
        <v>16420</v>
      </c>
      <c r="C16351" s="2" t="str">
        <f>"10758216"</f>
        <v>10758216</v>
      </c>
      <c r="D16351" s="2">
        <v>0.30199999999999999</v>
      </c>
      <c r="E16351" s="2">
        <v>11</v>
      </c>
      <c r="F16351" s="2" t="s">
        <v>6</v>
      </c>
    </row>
    <row r="16352" spans="1:6" ht="25.5">
      <c r="A16352" s="2">
        <v>16349</v>
      </c>
      <c r="B16352" s="2" t="s">
        <v>16421</v>
      </c>
      <c r="C16352" s="2" t="str">
        <f>"18956912"</f>
        <v>18956912</v>
      </c>
      <c r="D16352" s="2">
        <v>0.32500000000000001</v>
      </c>
      <c r="E16352" s="2">
        <v>9</v>
      </c>
      <c r="F16352" s="2" t="s">
        <v>169</v>
      </c>
    </row>
    <row r="16353" spans="1:6" ht="38.25">
      <c r="A16353" s="2">
        <v>16350</v>
      </c>
      <c r="B16353" s="2" t="s">
        <v>16422</v>
      </c>
      <c r="C16353" s="2" t="str">
        <f>"0869866X"</f>
        <v>0869866X</v>
      </c>
      <c r="D16353" s="2">
        <v>0.1</v>
      </c>
      <c r="E16353" s="2">
        <v>2</v>
      </c>
      <c r="F16353" s="2" t="s">
        <v>129</v>
      </c>
    </row>
    <row r="16354" spans="1:6" ht="25.5">
      <c r="A16354" s="2">
        <v>16351</v>
      </c>
      <c r="B16354" s="2" t="s">
        <v>16423</v>
      </c>
      <c r="C16354" s="2" t="str">
        <f>"16134079"</f>
        <v>16134079</v>
      </c>
      <c r="D16354" s="2">
        <v>0.32900000000000001</v>
      </c>
      <c r="E16354" s="2">
        <v>7</v>
      </c>
      <c r="F16354" s="2" t="s">
        <v>12</v>
      </c>
    </row>
    <row r="16355" spans="1:6" ht="25.5">
      <c r="A16355" s="2">
        <v>16352</v>
      </c>
      <c r="B16355" s="2" t="s">
        <v>16424</v>
      </c>
      <c r="C16355" s="2" t="str">
        <f>"18766196"</f>
        <v>18766196</v>
      </c>
      <c r="D16355" s="2">
        <v>0.20499999999999999</v>
      </c>
      <c r="E16355" s="2">
        <v>8</v>
      </c>
      <c r="F16355" s="2" t="s">
        <v>75</v>
      </c>
    </row>
    <row r="16356" spans="1:6" ht="25.5">
      <c r="A16356" s="2">
        <v>16353</v>
      </c>
      <c r="B16356" s="2" t="s">
        <v>16425</v>
      </c>
      <c r="C16356" s="2" t="str">
        <f>"18785220"</f>
        <v>18785220</v>
      </c>
      <c r="D16356" s="2">
        <v>0.19500000000000001</v>
      </c>
      <c r="E16356" s="2">
        <v>6</v>
      </c>
      <c r="F16356" s="2" t="s">
        <v>75</v>
      </c>
    </row>
    <row r="16357" spans="1:6" ht="25.5">
      <c r="A16357" s="2">
        <v>16354</v>
      </c>
      <c r="B16357" s="2" t="s">
        <v>16426</v>
      </c>
      <c r="C16357" s="2" t="str">
        <f>"18777058"</f>
        <v>18777058</v>
      </c>
      <c r="D16357" s="2">
        <v>0.16500000000000001</v>
      </c>
      <c r="E16357" s="2">
        <v>7</v>
      </c>
      <c r="F16357" s="2" t="s">
        <v>75</v>
      </c>
    </row>
    <row r="16358" spans="1:6" ht="25.5">
      <c r="A16358" s="2">
        <v>16355</v>
      </c>
      <c r="B16358" s="2" t="s">
        <v>16427</v>
      </c>
      <c r="C16358" s="2" t="str">
        <f>"1877282X"</f>
        <v>1877282X</v>
      </c>
      <c r="D16358" s="2">
        <v>0.154</v>
      </c>
      <c r="E16358" s="2">
        <v>3</v>
      </c>
      <c r="F16358" s="2" t="s">
        <v>75</v>
      </c>
    </row>
    <row r="16359" spans="1:6" ht="25.5">
      <c r="A16359" s="2">
        <v>16356</v>
      </c>
      <c r="B16359" s="2" t="s">
        <v>16428</v>
      </c>
      <c r="C16359" s="2" t="str">
        <f>"18770428"</f>
        <v>18770428</v>
      </c>
      <c r="D16359" s="2">
        <v>0.23699999999999999</v>
      </c>
      <c r="E16359" s="2">
        <v>9</v>
      </c>
      <c r="F16359" s="2" t="s">
        <v>75</v>
      </c>
    </row>
    <row r="16360" spans="1:6">
      <c r="A16360" s="2">
        <v>16357</v>
      </c>
      <c r="B16360" s="2" t="s">
        <v>16429</v>
      </c>
      <c r="C16360" s="2" t="str">
        <f>"0"</f>
        <v>0</v>
      </c>
      <c r="D16360" s="2">
        <v>0.1</v>
      </c>
      <c r="E16360" s="2">
        <v>7</v>
      </c>
      <c r="F16360" s="2" t="s">
        <v>6</v>
      </c>
    </row>
    <row r="16361" spans="1:6" ht="25.5">
      <c r="A16361" s="2">
        <v>16358</v>
      </c>
      <c r="B16361" s="2" t="s">
        <v>16430</v>
      </c>
      <c r="C16361" s="2" t="str">
        <f>"00968870"</f>
        <v>00968870</v>
      </c>
      <c r="D16361" s="2">
        <v>0.10199999999999999</v>
      </c>
      <c r="E16361" s="2">
        <v>3</v>
      </c>
      <c r="F16361" s="2" t="s">
        <v>6</v>
      </c>
    </row>
    <row r="16362" spans="1:6" ht="25.5">
      <c r="A16362" s="2">
        <v>16359</v>
      </c>
      <c r="B16362" s="2" t="s">
        <v>16431</v>
      </c>
      <c r="C16362" s="2" t="str">
        <f>"0"</f>
        <v>0</v>
      </c>
      <c r="D16362" s="2">
        <v>0.1</v>
      </c>
      <c r="E16362" s="2">
        <v>4</v>
      </c>
      <c r="F16362" s="2" t="s">
        <v>6</v>
      </c>
    </row>
    <row r="16363" spans="1:6" ht="25.5">
      <c r="A16363" s="2">
        <v>16360</v>
      </c>
      <c r="B16363" s="2" t="s">
        <v>16432</v>
      </c>
      <c r="C16363" s="2" t="str">
        <f>"05695503"</f>
        <v>05695503</v>
      </c>
      <c r="D16363" s="2">
        <v>0.315</v>
      </c>
      <c r="E16363" s="2">
        <v>39</v>
      </c>
      <c r="F16363" s="2" t="s">
        <v>6</v>
      </c>
    </row>
    <row r="16364" spans="1:6" ht="25.5">
      <c r="A16364" s="2">
        <v>16361</v>
      </c>
      <c r="B16364" s="2" t="s">
        <v>16433</v>
      </c>
      <c r="C16364" s="2" t="str">
        <f>"10683070"</f>
        <v>10683070</v>
      </c>
      <c r="D16364" s="2">
        <v>0.58699999999999997</v>
      </c>
      <c r="E16364" s="2">
        <v>20</v>
      </c>
      <c r="F16364" s="2" t="s">
        <v>6</v>
      </c>
    </row>
    <row r="16365" spans="1:6" ht="25.5">
      <c r="A16365" s="2">
        <v>16362</v>
      </c>
      <c r="B16365" s="2" t="s">
        <v>16434</v>
      </c>
      <c r="C16365" s="2" t="str">
        <f>"01905848"</f>
        <v>01905848</v>
      </c>
      <c r="D16365" s="2">
        <v>0.13300000000000001</v>
      </c>
      <c r="E16365" s="2">
        <v>11</v>
      </c>
      <c r="F16365" s="2" t="s">
        <v>6</v>
      </c>
    </row>
    <row r="16366" spans="1:6" ht="25.5">
      <c r="A16366" s="2">
        <v>16363</v>
      </c>
      <c r="B16366" s="2" t="s">
        <v>16435</v>
      </c>
      <c r="C16366" s="2" t="str">
        <f>"07135424"</f>
        <v>07135424</v>
      </c>
      <c r="D16366" s="2">
        <v>0.75900000000000001</v>
      </c>
      <c r="E16366" s="2">
        <v>30</v>
      </c>
      <c r="F16366" s="2" t="s">
        <v>64</v>
      </c>
    </row>
    <row r="16367" spans="1:6" ht="25.5">
      <c r="A16367" s="2">
        <v>16364</v>
      </c>
      <c r="B16367" s="2" t="s">
        <v>16436</v>
      </c>
      <c r="C16367" s="2" t="str">
        <f>"07367791"</f>
        <v>07367791</v>
      </c>
      <c r="D16367" s="2">
        <v>0.48499999999999999</v>
      </c>
      <c r="E16367" s="2">
        <v>65</v>
      </c>
      <c r="F16367" s="2" t="s">
        <v>6</v>
      </c>
    </row>
    <row r="16368" spans="1:6" ht="25.5">
      <c r="A16368" s="2">
        <v>16365</v>
      </c>
      <c r="B16368" s="2" t="s">
        <v>16437</v>
      </c>
      <c r="C16368" s="2" t="str">
        <f>"0743166X"</f>
        <v>0743166X</v>
      </c>
      <c r="D16368" s="2">
        <v>1.7030000000000001</v>
      </c>
      <c r="E16368" s="2">
        <v>118</v>
      </c>
      <c r="F16368" s="2" t="s">
        <v>6</v>
      </c>
    </row>
    <row r="16369" spans="1:6" ht="25.5">
      <c r="A16369" s="2">
        <v>16366</v>
      </c>
      <c r="B16369" s="2" t="s">
        <v>16438</v>
      </c>
      <c r="C16369" s="2" t="str">
        <f>"0"</f>
        <v>0</v>
      </c>
      <c r="D16369" s="2">
        <v>0.34399999999999997</v>
      </c>
      <c r="E16369" s="2">
        <v>28</v>
      </c>
      <c r="F16369" s="2" t="s">
        <v>6</v>
      </c>
    </row>
    <row r="16370" spans="1:6" ht="25.5">
      <c r="A16370" s="2">
        <v>16367</v>
      </c>
      <c r="B16370" s="2" t="s">
        <v>16439</v>
      </c>
      <c r="C16370" s="2" t="str">
        <f>"10504729"</f>
        <v>10504729</v>
      </c>
      <c r="D16370" s="2">
        <v>0.82899999999999996</v>
      </c>
      <c r="E16370" s="2">
        <v>80</v>
      </c>
      <c r="F16370" s="2" t="s">
        <v>6</v>
      </c>
    </row>
    <row r="16371" spans="1:6" ht="25.5">
      <c r="A16371" s="2">
        <v>16368</v>
      </c>
      <c r="B16371" s="2" t="s">
        <v>16440</v>
      </c>
      <c r="C16371" s="2" t="str">
        <f>"02714310"</f>
        <v>02714310</v>
      </c>
      <c r="D16371" s="2">
        <v>0.26800000000000002</v>
      </c>
      <c r="E16371" s="2">
        <v>43</v>
      </c>
      <c r="F16371" s="2" t="s">
        <v>6</v>
      </c>
    </row>
    <row r="16372" spans="1:6">
      <c r="A16372" s="2">
        <v>16369</v>
      </c>
      <c r="B16372" s="2" t="s">
        <v>16441</v>
      </c>
      <c r="C16372" s="2" t="str">
        <f>"0"</f>
        <v>0</v>
      </c>
      <c r="D16372" s="2">
        <v>0.192</v>
      </c>
      <c r="E16372" s="2">
        <v>28</v>
      </c>
      <c r="F16372" s="2" t="s">
        <v>6</v>
      </c>
    </row>
    <row r="16373" spans="1:6">
      <c r="A16373" s="2">
        <v>16370</v>
      </c>
      <c r="B16373" s="2" t="s">
        <v>16442</v>
      </c>
      <c r="C16373" s="2" t="str">
        <f>"0"</f>
        <v>0</v>
      </c>
      <c r="D16373" s="2">
        <v>1.4530000000000001</v>
      </c>
      <c r="E16373" s="2">
        <v>68</v>
      </c>
      <c r="F16373" s="2" t="s">
        <v>6</v>
      </c>
    </row>
    <row r="16374" spans="1:6" ht="25.5">
      <c r="A16374" s="2">
        <v>16371</v>
      </c>
      <c r="B16374" s="2" t="s">
        <v>16443</v>
      </c>
      <c r="C16374" s="2" t="str">
        <f>"10636927"</f>
        <v>10636927</v>
      </c>
      <c r="D16374" s="2">
        <v>0.59299999999999997</v>
      </c>
      <c r="E16374" s="2">
        <v>42</v>
      </c>
      <c r="F16374" s="2" t="s">
        <v>6</v>
      </c>
    </row>
    <row r="16375" spans="1:6" ht="25.5">
      <c r="A16375" s="2">
        <v>16372</v>
      </c>
      <c r="B16375" s="2" t="s">
        <v>16444</v>
      </c>
      <c r="C16375" s="2" t="str">
        <f>"10514651"</f>
        <v>10514651</v>
      </c>
      <c r="D16375" s="2">
        <v>0.48399999999999999</v>
      </c>
      <c r="E16375" s="2">
        <v>50</v>
      </c>
      <c r="F16375" s="2" t="s">
        <v>6</v>
      </c>
    </row>
    <row r="16376" spans="1:6" ht="25.5">
      <c r="A16376" s="2">
        <v>16373</v>
      </c>
      <c r="B16376" s="2" t="s">
        <v>16445</v>
      </c>
      <c r="C16376" s="2" t="str">
        <f>"02705257"</f>
        <v>02705257</v>
      </c>
      <c r="D16376" s="2">
        <v>0.99</v>
      </c>
      <c r="E16376" s="2">
        <v>67</v>
      </c>
      <c r="F16376" s="2" t="s">
        <v>6</v>
      </c>
    </row>
    <row r="16377" spans="1:6" ht="25.5">
      <c r="A16377" s="2">
        <v>16374</v>
      </c>
      <c r="B16377" s="2" t="s">
        <v>16446</v>
      </c>
      <c r="C16377" s="2" t="str">
        <f>"15301346"</f>
        <v>15301346</v>
      </c>
      <c r="D16377" s="2">
        <v>0.222</v>
      </c>
      <c r="E16377" s="2">
        <v>19</v>
      </c>
      <c r="F16377" s="2" t="s">
        <v>6</v>
      </c>
    </row>
    <row r="16378" spans="1:6" ht="25.5">
      <c r="A16378" s="2">
        <v>16375</v>
      </c>
      <c r="B16378" s="2" t="s">
        <v>16447</v>
      </c>
      <c r="C16378" s="2" t="str">
        <f>"10932941"</f>
        <v>10932941</v>
      </c>
      <c r="D16378" s="2">
        <v>0.22800000000000001</v>
      </c>
      <c r="E16378" s="2">
        <v>7</v>
      </c>
      <c r="F16378" s="2" t="s">
        <v>6</v>
      </c>
    </row>
    <row r="16379" spans="1:6">
      <c r="A16379" s="2">
        <v>16376</v>
      </c>
      <c r="B16379" s="2" t="s">
        <v>16448</v>
      </c>
      <c r="C16379" s="2" t="str">
        <f>"0"</f>
        <v>0</v>
      </c>
      <c r="D16379" s="2">
        <v>0.10299999999999999</v>
      </c>
      <c r="E16379" s="2">
        <v>10</v>
      </c>
      <c r="F16379" s="2" t="s">
        <v>6</v>
      </c>
    </row>
    <row r="16380" spans="1:6">
      <c r="A16380" s="2">
        <v>16377</v>
      </c>
      <c r="B16380" s="2" t="s">
        <v>16449</v>
      </c>
      <c r="C16380" s="2" t="str">
        <f>"0"</f>
        <v>0</v>
      </c>
      <c r="D16380" s="2">
        <v>0.19900000000000001</v>
      </c>
      <c r="E16380" s="2">
        <v>19</v>
      </c>
      <c r="F16380" s="2" t="s">
        <v>6</v>
      </c>
    </row>
    <row r="16381" spans="1:6" ht="25.5">
      <c r="A16381" s="2">
        <v>16378</v>
      </c>
      <c r="B16381" s="2" t="s">
        <v>16450</v>
      </c>
      <c r="C16381" s="2" t="str">
        <f>"17476518"</f>
        <v>17476518</v>
      </c>
      <c r="D16381" s="2">
        <v>0.22700000000000001</v>
      </c>
      <c r="E16381" s="2">
        <v>5</v>
      </c>
      <c r="F16381" s="2" t="s">
        <v>16</v>
      </c>
    </row>
    <row r="16382" spans="1:6" ht="25.5">
      <c r="A16382" s="2">
        <v>16379</v>
      </c>
      <c r="B16382" s="2" t="s">
        <v>16451</v>
      </c>
      <c r="C16382" s="2" t="str">
        <f>"17514231"</f>
        <v>17514231</v>
      </c>
      <c r="D16382" s="2">
        <v>0.51600000000000001</v>
      </c>
      <c r="E16382" s="2">
        <v>6</v>
      </c>
      <c r="F16382" s="2" t="s">
        <v>16</v>
      </c>
    </row>
    <row r="16383" spans="1:6" ht="25.5">
      <c r="A16383" s="2">
        <v>16380</v>
      </c>
      <c r="B16383" s="2" t="s">
        <v>16452</v>
      </c>
      <c r="C16383" s="2" t="str">
        <f>"17514312"</f>
        <v>17514312</v>
      </c>
      <c r="D16383" s="2">
        <v>0.11899999999999999</v>
      </c>
      <c r="E16383" s="2">
        <v>4</v>
      </c>
      <c r="F16383" s="2" t="s">
        <v>16</v>
      </c>
    </row>
    <row r="16384" spans="1:6" ht="25.5">
      <c r="A16384" s="2">
        <v>16381</v>
      </c>
      <c r="B16384" s="2" t="s">
        <v>16453</v>
      </c>
      <c r="C16384" s="2" t="str">
        <f>"17476534"</f>
        <v>17476534</v>
      </c>
      <c r="D16384" s="2">
        <v>0.186</v>
      </c>
      <c r="E16384" s="2">
        <v>6</v>
      </c>
      <c r="F16384" s="2" t="s">
        <v>16</v>
      </c>
    </row>
    <row r="16385" spans="1:6" ht="25.5">
      <c r="A16385" s="2">
        <v>16382</v>
      </c>
      <c r="B16385" s="2" t="s">
        <v>16454</v>
      </c>
      <c r="C16385" s="2" t="str">
        <f>"0277786X"</f>
        <v>0277786X</v>
      </c>
      <c r="D16385" s="2">
        <v>0.216</v>
      </c>
      <c r="E16385" s="2">
        <v>90</v>
      </c>
      <c r="F16385" s="2" t="s">
        <v>6</v>
      </c>
    </row>
    <row r="16386" spans="1:6" ht="25.5">
      <c r="A16386" s="2">
        <v>16383</v>
      </c>
      <c r="B16386" s="2" t="s">
        <v>16455</v>
      </c>
      <c r="C16386" s="2" t="str">
        <f>"00973157"</f>
        <v>00973157</v>
      </c>
      <c r="D16386" s="2">
        <v>0.189</v>
      </c>
      <c r="E16386" s="2">
        <v>13</v>
      </c>
      <c r="F16386" s="2" t="s">
        <v>6</v>
      </c>
    </row>
    <row r="16387" spans="1:6" ht="25.5">
      <c r="A16387" s="2">
        <v>16384</v>
      </c>
      <c r="B16387" s="2" t="s">
        <v>16456</v>
      </c>
      <c r="C16387" s="2" t="str">
        <f t="shared" ref="C16387:C16399" si="0">"0"</f>
        <v>0</v>
      </c>
      <c r="D16387" s="2">
        <v>1.6879999999999999</v>
      </c>
      <c r="E16387" s="2">
        <v>67</v>
      </c>
      <c r="F16387" s="2" t="s">
        <v>6</v>
      </c>
    </row>
    <row r="16388" spans="1:6" ht="25.5">
      <c r="A16388" s="2">
        <v>16385</v>
      </c>
      <c r="B16388" s="2" t="s">
        <v>16457</v>
      </c>
      <c r="C16388" s="2" t="str">
        <f t="shared" si="0"/>
        <v>0</v>
      </c>
      <c r="D16388" s="2">
        <v>1.397</v>
      </c>
      <c r="E16388" s="2">
        <v>31</v>
      </c>
      <c r="F16388" s="2" t="s">
        <v>6</v>
      </c>
    </row>
    <row r="16389" spans="1:6">
      <c r="A16389" s="2">
        <v>16386</v>
      </c>
      <c r="B16389" s="2" t="s">
        <v>16458</v>
      </c>
      <c r="C16389" s="2" t="str">
        <f t="shared" si="0"/>
        <v>0</v>
      </c>
      <c r="D16389" s="2">
        <v>2.5049999999999999</v>
      </c>
      <c r="E16389" s="2">
        <v>29</v>
      </c>
      <c r="F16389" s="2" t="s">
        <v>6</v>
      </c>
    </row>
    <row r="16390" spans="1:6">
      <c r="A16390" s="2">
        <v>16387</v>
      </c>
      <c r="B16390" s="2" t="s">
        <v>16459</v>
      </c>
      <c r="C16390" s="2" t="str">
        <f t="shared" si="0"/>
        <v>0</v>
      </c>
      <c r="D16390" s="2">
        <v>0.34899999999999998</v>
      </c>
      <c r="E16390" s="2">
        <v>13</v>
      </c>
      <c r="F16390" s="2" t="s">
        <v>6</v>
      </c>
    </row>
    <row r="16391" spans="1:6" ht="25.5">
      <c r="A16391" s="2">
        <v>16388</v>
      </c>
      <c r="B16391" s="2" t="s">
        <v>16460</v>
      </c>
      <c r="C16391" s="2" t="str">
        <f t="shared" si="0"/>
        <v>0</v>
      </c>
      <c r="D16391" s="2">
        <v>2.972</v>
      </c>
      <c r="E16391" s="2">
        <v>45</v>
      </c>
      <c r="F16391" s="2" t="s">
        <v>6</v>
      </c>
    </row>
    <row r="16392" spans="1:6" ht="25.5">
      <c r="A16392" s="2">
        <v>16389</v>
      </c>
      <c r="B16392" s="2" t="s">
        <v>16461</v>
      </c>
      <c r="C16392" s="2" t="str">
        <f t="shared" si="0"/>
        <v>0</v>
      </c>
      <c r="D16392" s="2">
        <v>2.5489999999999999</v>
      </c>
      <c r="E16392" s="2">
        <v>71</v>
      </c>
      <c r="F16392" s="2" t="s">
        <v>6</v>
      </c>
    </row>
    <row r="16393" spans="1:6" ht="25.5">
      <c r="A16393" s="2">
        <v>16390</v>
      </c>
      <c r="B16393" s="2" t="s">
        <v>16462</v>
      </c>
      <c r="C16393" s="2" t="str">
        <f t="shared" si="0"/>
        <v>0</v>
      </c>
      <c r="D16393" s="2">
        <v>1.897</v>
      </c>
      <c r="E16393" s="2">
        <v>71</v>
      </c>
      <c r="F16393" s="2" t="s">
        <v>6</v>
      </c>
    </row>
    <row r="16394" spans="1:6" ht="25.5">
      <c r="A16394" s="2">
        <v>16391</v>
      </c>
      <c r="B16394" s="2" t="s">
        <v>16463</v>
      </c>
      <c r="C16394" s="2" t="str">
        <f t="shared" si="0"/>
        <v>0</v>
      </c>
      <c r="D16394" s="2">
        <v>0.35699999999999998</v>
      </c>
      <c r="E16394" s="2">
        <v>15</v>
      </c>
      <c r="F16394" s="2" t="s">
        <v>6</v>
      </c>
    </row>
    <row r="16395" spans="1:6" ht="25.5">
      <c r="A16395" s="2">
        <v>16392</v>
      </c>
      <c r="B16395" s="2" t="s">
        <v>16464</v>
      </c>
      <c r="C16395" s="2" t="str">
        <f t="shared" si="0"/>
        <v>0</v>
      </c>
      <c r="D16395" s="2">
        <v>3.2829999999999999</v>
      </c>
      <c r="E16395" s="2">
        <v>51</v>
      </c>
      <c r="F16395" s="2" t="s">
        <v>6</v>
      </c>
    </row>
    <row r="16396" spans="1:6" ht="25.5">
      <c r="A16396" s="2">
        <v>16393</v>
      </c>
      <c r="B16396" s="2" t="s">
        <v>16465</v>
      </c>
      <c r="C16396" s="2" t="str">
        <f t="shared" si="0"/>
        <v>0</v>
      </c>
      <c r="D16396" s="2">
        <v>1.246</v>
      </c>
      <c r="E16396" s="2">
        <v>30</v>
      </c>
      <c r="F16396" s="2" t="s">
        <v>6</v>
      </c>
    </row>
    <row r="16397" spans="1:6" ht="25.5">
      <c r="A16397" s="2">
        <v>16394</v>
      </c>
      <c r="B16397" s="2" t="s">
        <v>16466</v>
      </c>
      <c r="C16397" s="2" t="str">
        <f t="shared" si="0"/>
        <v>0</v>
      </c>
      <c r="D16397" s="2">
        <v>1.198</v>
      </c>
      <c r="E16397" s="2">
        <v>29</v>
      </c>
      <c r="F16397" s="2" t="s">
        <v>6</v>
      </c>
    </row>
    <row r="16398" spans="1:6" ht="25.5">
      <c r="A16398" s="2">
        <v>16395</v>
      </c>
      <c r="B16398" s="2" t="s">
        <v>16467</v>
      </c>
      <c r="C16398" s="2" t="str">
        <f t="shared" si="0"/>
        <v>0</v>
      </c>
      <c r="D16398" s="2">
        <v>1.159</v>
      </c>
      <c r="E16398" s="2">
        <v>34</v>
      </c>
      <c r="F16398" s="2" t="s">
        <v>6</v>
      </c>
    </row>
    <row r="16399" spans="1:6">
      <c r="A16399" s="2">
        <v>16396</v>
      </c>
      <c r="B16399" s="2" t="s">
        <v>16468</v>
      </c>
      <c r="C16399" s="2" t="str">
        <f t="shared" si="0"/>
        <v>0</v>
      </c>
      <c r="D16399" s="2">
        <v>0.40799999999999997</v>
      </c>
      <c r="E16399" s="2">
        <v>30</v>
      </c>
      <c r="F16399" s="2" t="s">
        <v>6</v>
      </c>
    </row>
    <row r="16400" spans="1:6" ht="25.5">
      <c r="A16400" s="2">
        <v>16397</v>
      </c>
      <c r="B16400" s="2" t="s">
        <v>16469</v>
      </c>
      <c r="C16400" s="2" t="str">
        <f>"07431619"</f>
        <v>07431619</v>
      </c>
      <c r="D16400" s="2">
        <v>0.56899999999999995</v>
      </c>
      <c r="E16400" s="2">
        <v>58</v>
      </c>
      <c r="F16400" s="2" t="s">
        <v>6</v>
      </c>
    </row>
    <row r="16401" spans="1:6" ht="25.5">
      <c r="A16401" s="2">
        <v>16398</v>
      </c>
      <c r="B16401" s="2" t="s">
        <v>16470</v>
      </c>
      <c r="C16401" s="2" t="str">
        <f>"00997250"</f>
        <v>00997250</v>
      </c>
      <c r="D16401" s="2">
        <v>0.1</v>
      </c>
      <c r="E16401" s="2">
        <v>1</v>
      </c>
      <c r="F16401" s="2" t="s">
        <v>6</v>
      </c>
    </row>
    <row r="16402" spans="1:6" ht="25.5">
      <c r="A16402" s="2">
        <v>16399</v>
      </c>
      <c r="B16402" s="2" t="s">
        <v>16471</v>
      </c>
      <c r="C16402" s="2" t="str">
        <f>"10886826"</f>
        <v>10886826</v>
      </c>
      <c r="D16402" s="2">
        <v>0.995</v>
      </c>
      <c r="E16402" s="2">
        <v>45</v>
      </c>
      <c r="F16402" s="2" t="s">
        <v>6</v>
      </c>
    </row>
    <row r="16403" spans="1:6" ht="25.5">
      <c r="A16403" s="2">
        <v>16400</v>
      </c>
      <c r="B16403" s="2" t="s">
        <v>16472</v>
      </c>
      <c r="C16403" s="2" t="str">
        <f>"0003049X"</f>
        <v>0003049X</v>
      </c>
      <c r="D16403" s="2">
        <v>0.127</v>
      </c>
      <c r="E16403" s="2">
        <v>9</v>
      </c>
      <c r="F16403" s="2" t="s">
        <v>6</v>
      </c>
    </row>
    <row r="16404" spans="1:6" ht="25.5">
      <c r="A16404" s="2">
        <v>16401</v>
      </c>
      <c r="B16404" s="2" t="s">
        <v>16473</v>
      </c>
      <c r="C16404" s="2" t="str">
        <f>"19435665"</f>
        <v>19435665</v>
      </c>
      <c r="D16404" s="2">
        <v>1.5029999999999999</v>
      </c>
      <c r="E16404" s="2">
        <v>64</v>
      </c>
      <c r="F16404" s="2" t="s">
        <v>6</v>
      </c>
    </row>
    <row r="16405" spans="1:6" ht="25.5">
      <c r="A16405" s="2">
        <v>16402</v>
      </c>
      <c r="B16405" s="2" t="s">
        <v>16474</v>
      </c>
      <c r="C16405" s="2" t="str">
        <f>"0"</f>
        <v>0</v>
      </c>
      <c r="D16405" s="2">
        <v>2.27</v>
      </c>
      <c r="E16405" s="2">
        <v>43</v>
      </c>
      <c r="F16405" s="2" t="s">
        <v>6</v>
      </c>
    </row>
    <row r="16406" spans="1:6" ht="25.5">
      <c r="A16406" s="2">
        <v>16403</v>
      </c>
      <c r="B16406" s="2" t="s">
        <v>16475</v>
      </c>
      <c r="C16406" s="2" t="str">
        <f>"0"</f>
        <v>0</v>
      </c>
      <c r="D16406" s="2">
        <v>0.96899999999999997</v>
      </c>
      <c r="E16406" s="2">
        <v>38</v>
      </c>
      <c r="F16406" s="2" t="s">
        <v>6</v>
      </c>
    </row>
    <row r="16407" spans="1:6" ht="25.5">
      <c r="A16407" s="2">
        <v>16404</v>
      </c>
      <c r="B16407" s="2" t="s">
        <v>16476</v>
      </c>
      <c r="C16407" s="2" t="str">
        <f>"07378017"</f>
        <v>07378017</v>
      </c>
      <c r="D16407" s="2">
        <v>4.8440000000000003</v>
      </c>
      <c r="E16407" s="2">
        <v>35</v>
      </c>
      <c r="F16407" s="2" t="s">
        <v>6</v>
      </c>
    </row>
    <row r="16408" spans="1:6" ht="25.5">
      <c r="A16408" s="2">
        <v>16405</v>
      </c>
      <c r="B16408" s="2" t="s">
        <v>16477</v>
      </c>
      <c r="C16408" s="2" t="str">
        <f>"10930159"</f>
        <v>10930159</v>
      </c>
      <c r="D16408" s="2">
        <v>2.4289999999999998</v>
      </c>
      <c r="E16408" s="2">
        <v>19</v>
      </c>
      <c r="F16408" s="2" t="s">
        <v>6</v>
      </c>
    </row>
    <row r="16409" spans="1:6" ht="25.5">
      <c r="A16409" s="2">
        <v>16406</v>
      </c>
      <c r="B16409" s="2" t="s">
        <v>16478</v>
      </c>
      <c r="C16409" s="2" t="str">
        <f>"0"</f>
        <v>0</v>
      </c>
      <c r="D16409" s="2">
        <v>1.544</v>
      </c>
      <c r="E16409" s="2">
        <v>70</v>
      </c>
      <c r="F16409" s="2" t="s">
        <v>6</v>
      </c>
    </row>
    <row r="16410" spans="1:6" ht="25.5">
      <c r="A16410" s="2">
        <v>16407</v>
      </c>
      <c r="B16410" s="2" t="s">
        <v>16479</v>
      </c>
      <c r="C16410" s="2" t="str">
        <f>"01603663"</f>
        <v>01603663</v>
      </c>
      <c r="D16410" s="2">
        <v>0.1</v>
      </c>
      <c r="E16410" s="2">
        <v>8</v>
      </c>
      <c r="F16410" s="2" t="s">
        <v>6</v>
      </c>
    </row>
    <row r="16411" spans="1:6" ht="25.5">
      <c r="A16411" s="2">
        <v>16408</v>
      </c>
      <c r="B16411" s="2" t="s">
        <v>16480</v>
      </c>
      <c r="C16411" s="2" t="str">
        <f>"0"</f>
        <v>0</v>
      </c>
      <c r="D16411" s="2">
        <v>0.151</v>
      </c>
      <c r="E16411" s="2">
        <v>11</v>
      </c>
      <c r="F16411" s="2" t="s">
        <v>6</v>
      </c>
    </row>
    <row r="16412" spans="1:6">
      <c r="A16412" s="2">
        <v>16409</v>
      </c>
      <c r="B16412" s="2" t="s">
        <v>16481</v>
      </c>
      <c r="C16412" s="2" t="str">
        <f>"0"</f>
        <v>0</v>
      </c>
      <c r="D16412" s="2">
        <v>1.173</v>
      </c>
      <c r="E16412" s="2">
        <v>25</v>
      </c>
      <c r="F16412" s="2" t="s">
        <v>6</v>
      </c>
    </row>
    <row r="16413" spans="1:6" ht="25.5">
      <c r="A16413" s="2">
        <v>16410</v>
      </c>
      <c r="B16413" s="2" t="s">
        <v>16482</v>
      </c>
      <c r="C16413" s="2" t="str">
        <f>"00967963"</f>
        <v>00967963</v>
      </c>
      <c r="D16413" s="2">
        <v>0.10100000000000001</v>
      </c>
      <c r="E16413" s="2">
        <v>1</v>
      </c>
      <c r="F16413" s="2" t="s">
        <v>6</v>
      </c>
    </row>
    <row r="16414" spans="1:6" ht="25.5">
      <c r="A16414" s="2">
        <v>16411</v>
      </c>
      <c r="B16414" s="2" t="s">
        <v>16483</v>
      </c>
      <c r="C16414" s="2" t="str">
        <f>"14679264"</f>
        <v>14679264</v>
      </c>
      <c r="D16414" s="2">
        <v>0.26800000000000002</v>
      </c>
      <c r="E16414" s="2">
        <v>14</v>
      </c>
      <c r="F16414" s="2" t="s">
        <v>16</v>
      </c>
    </row>
    <row r="16415" spans="1:6" ht="25.5">
      <c r="A16415" s="2">
        <v>16412</v>
      </c>
      <c r="B16415" s="2" t="s">
        <v>16484</v>
      </c>
      <c r="C16415" s="2" t="str">
        <f>"0"</f>
        <v>0</v>
      </c>
      <c r="D16415" s="2">
        <v>0.85699999999999998</v>
      </c>
      <c r="E16415" s="2">
        <v>26</v>
      </c>
      <c r="F16415" s="2" t="s">
        <v>6</v>
      </c>
    </row>
    <row r="16416" spans="1:6" ht="25.5">
      <c r="A16416" s="2">
        <v>16413</v>
      </c>
      <c r="B16416" s="2" t="s">
        <v>16485</v>
      </c>
      <c r="C16416" s="2" t="str">
        <f>"10817735"</f>
        <v>10817735</v>
      </c>
      <c r="D16416" s="2">
        <v>0.59599999999999997</v>
      </c>
      <c r="E16416" s="2">
        <v>20</v>
      </c>
      <c r="F16416" s="2" t="s">
        <v>6</v>
      </c>
    </row>
    <row r="16417" spans="1:6" ht="25.5">
      <c r="A16417" s="2">
        <v>16414</v>
      </c>
      <c r="B16417" s="2" t="s">
        <v>16486</v>
      </c>
      <c r="C16417" s="2" t="str">
        <f>"00447870"</f>
        <v>00447870</v>
      </c>
      <c r="D16417" s="2">
        <v>0.155</v>
      </c>
      <c r="E16417" s="2">
        <v>19</v>
      </c>
      <c r="F16417" s="2" t="s">
        <v>16</v>
      </c>
    </row>
    <row r="16418" spans="1:6">
      <c r="A16418" s="2">
        <v>16415</v>
      </c>
      <c r="B16418" s="2" t="s">
        <v>16487</v>
      </c>
      <c r="C16418" s="2" t="str">
        <f>"0"</f>
        <v>0</v>
      </c>
      <c r="D16418" s="2">
        <v>0.109</v>
      </c>
      <c r="E16418" s="2">
        <v>10</v>
      </c>
      <c r="F16418" s="2" t="s">
        <v>6</v>
      </c>
    </row>
    <row r="16419" spans="1:6">
      <c r="A16419" s="2">
        <v>16416</v>
      </c>
      <c r="B16419" s="2" t="s">
        <v>16488</v>
      </c>
      <c r="C16419" s="2" t="str">
        <f>"0"</f>
        <v>0</v>
      </c>
      <c r="D16419" s="2">
        <v>0.11799999999999999</v>
      </c>
      <c r="E16419" s="2">
        <v>9</v>
      </c>
      <c r="F16419" s="2" t="s">
        <v>6</v>
      </c>
    </row>
    <row r="16420" spans="1:6" ht="25.5">
      <c r="A16420" s="2">
        <v>16417</v>
      </c>
      <c r="B16420" s="2" t="s">
        <v>16489</v>
      </c>
      <c r="C16420" s="2" t="str">
        <f>"0006324X"</f>
        <v>0006324X</v>
      </c>
      <c r="D16420" s="2">
        <v>0.3</v>
      </c>
      <c r="E16420" s="2">
        <v>18</v>
      </c>
      <c r="F16420" s="2" t="s">
        <v>6</v>
      </c>
    </row>
    <row r="16421" spans="1:6" ht="25.5">
      <c r="A16421" s="2">
        <v>16418</v>
      </c>
      <c r="B16421" s="2" t="s">
        <v>16490</v>
      </c>
      <c r="C16421" s="2" t="str">
        <f>"18732704"</f>
        <v>18732704</v>
      </c>
      <c r="D16421" s="2">
        <v>0.80800000000000005</v>
      </c>
      <c r="E16421" s="2">
        <v>62</v>
      </c>
      <c r="F16421" s="2" t="s">
        <v>16</v>
      </c>
    </row>
    <row r="16422" spans="1:6" ht="25.5">
      <c r="A16422" s="2">
        <v>16419</v>
      </c>
      <c r="B16422" s="2" t="s">
        <v>16491</v>
      </c>
      <c r="C16422" s="2" t="str">
        <f>"0"</f>
        <v>0</v>
      </c>
      <c r="D16422" s="2">
        <v>0.68799999999999994</v>
      </c>
      <c r="E16422" s="2">
        <v>42</v>
      </c>
      <c r="F16422" s="2" t="s">
        <v>6</v>
      </c>
    </row>
    <row r="16423" spans="1:6" ht="25.5">
      <c r="A16423" s="2">
        <v>16420</v>
      </c>
      <c r="B16423" s="2" t="s">
        <v>16492</v>
      </c>
      <c r="C16423" s="2" t="str">
        <f>"07364709"</f>
        <v>07364709</v>
      </c>
      <c r="D16423" s="2">
        <v>0.1</v>
      </c>
      <c r="E16423" s="2">
        <v>1</v>
      </c>
      <c r="F16423" s="2" t="s">
        <v>6</v>
      </c>
    </row>
    <row r="16424" spans="1:6" ht="25.5">
      <c r="A16424" s="2">
        <v>16421</v>
      </c>
      <c r="B16424" s="2" t="s">
        <v>16493</v>
      </c>
      <c r="C16424" s="2" t="str">
        <f>"08865930"</f>
        <v>08865930</v>
      </c>
      <c r="D16424" s="2">
        <v>0.42599999999999999</v>
      </c>
      <c r="E16424" s="2">
        <v>32</v>
      </c>
      <c r="F16424" s="2" t="s">
        <v>6</v>
      </c>
    </row>
    <row r="16425" spans="1:6" ht="25.5">
      <c r="A16425" s="2">
        <v>16422</v>
      </c>
      <c r="B16425" s="2" t="s">
        <v>16494</v>
      </c>
      <c r="C16425" s="2" t="str">
        <f>"10680314"</f>
        <v>10680314</v>
      </c>
      <c r="D16425" s="2">
        <v>0.48899999999999999</v>
      </c>
      <c r="E16425" s="2">
        <v>28</v>
      </c>
      <c r="F16425" s="2" t="s">
        <v>6</v>
      </c>
    </row>
    <row r="16426" spans="1:6" ht="25.5">
      <c r="A16426" s="2">
        <v>16423</v>
      </c>
      <c r="B16426" s="2" t="s">
        <v>16495</v>
      </c>
      <c r="C16426" s="2" t="str">
        <f>"14643839"</f>
        <v>14643839</v>
      </c>
      <c r="D16426" s="2">
        <v>0.70299999999999996</v>
      </c>
      <c r="E16426" s="2">
        <v>19</v>
      </c>
      <c r="F16426" s="2" t="s">
        <v>16</v>
      </c>
    </row>
    <row r="16427" spans="1:6" ht="25.5">
      <c r="A16427" s="2">
        <v>16424</v>
      </c>
      <c r="B16427" s="2" t="s">
        <v>16496</v>
      </c>
      <c r="C16427" s="2" t="str">
        <f>"00138797"</f>
        <v>00138797</v>
      </c>
      <c r="D16427" s="2">
        <v>0.311</v>
      </c>
      <c r="E16427" s="2">
        <v>18</v>
      </c>
      <c r="F16427" s="2" t="s">
        <v>6</v>
      </c>
    </row>
    <row r="16428" spans="1:6" ht="25.5">
      <c r="A16428" s="2">
        <v>16425</v>
      </c>
      <c r="B16428" s="2" t="s">
        <v>16497</v>
      </c>
      <c r="C16428" s="2" t="str">
        <f>"17366046"</f>
        <v>17366046</v>
      </c>
      <c r="D16428" s="2">
        <v>0.21199999999999999</v>
      </c>
      <c r="E16428" s="2">
        <v>7</v>
      </c>
      <c r="F16428" s="2" t="s">
        <v>265</v>
      </c>
    </row>
    <row r="16429" spans="1:6" ht="25.5">
      <c r="A16429" s="2">
        <v>16426</v>
      </c>
      <c r="B16429" s="2" t="s">
        <v>16498</v>
      </c>
      <c r="C16429" s="2" t="str">
        <f>"15345351"</f>
        <v>15345351</v>
      </c>
      <c r="D16429" s="2">
        <v>0.48199999999999998</v>
      </c>
      <c r="E16429" s="2">
        <v>20</v>
      </c>
      <c r="F16429" s="2" t="s">
        <v>6</v>
      </c>
    </row>
    <row r="16430" spans="1:6" ht="25.5">
      <c r="A16430" s="2">
        <v>16427</v>
      </c>
      <c r="B16430" s="2" t="s">
        <v>16499</v>
      </c>
      <c r="C16430" s="2" t="str">
        <f>"0"</f>
        <v>0</v>
      </c>
      <c r="D16430" s="2">
        <v>0.104</v>
      </c>
      <c r="E16430" s="2">
        <v>3</v>
      </c>
      <c r="F16430" s="2" t="s">
        <v>6</v>
      </c>
    </row>
    <row r="16431" spans="1:6" ht="25.5">
      <c r="A16431" s="2">
        <v>16428</v>
      </c>
      <c r="B16431" s="2" t="s">
        <v>16500</v>
      </c>
      <c r="C16431" s="2" t="str">
        <f>"00167878"</f>
        <v>00167878</v>
      </c>
      <c r="D16431" s="2">
        <v>0.53</v>
      </c>
      <c r="E16431" s="2">
        <v>21</v>
      </c>
      <c r="F16431" s="2" t="s">
        <v>16</v>
      </c>
    </row>
    <row r="16432" spans="1:6" ht="25.5">
      <c r="A16432" s="2">
        <v>16429</v>
      </c>
      <c r="B16432" s="2" t="s">
        <v>16501</v>
      </c>
      <c r="C16432" s="2" t="str">
        <f>"10258973"</f>
        <v>10258973</v>
      </c>
      <c r="D16432" s="2">
        <v>0.105</v>
      </c>
      <c r="E16432" s="2">
        <v>6</v>
      </c>
      <c r="F16432" s="2" t="s">
        <v>64</v>
      </c>
    </row>
    <row r="16433" spans="1:6" ht="25.5">
      <c r="A16433" s="2">
        <v>16430</v>
      </c>
      <c r="B16433" s="2" t="s">
        <v>16502</v>
      </c>
      <c r="C16433" s="2" t="str">
        <f>"10258973"</f>
        <v>10258973</v>
      </c>
      <c r="D16433" s="2">
        <v>0.10100000000000001</v>
      </c>
      <c r="E16433" s="2">
        <v>6</v>
      </c>
      <c r="F16433" s="2" t="s">
        <v>64</v>
      </c>
    </row>
    <row r="16434" spans="1:6" ht="25.5">
      <c r="A16434" s="2">
        <v>16431</v>
      </c>
      <c r="B16434" s="2" t="s">
        <v>16503</v>
      </c>
      <c r="C16434" s="2" t="str">
        <f>"10218181"</f>
        <v>10218181</v>
      </c>
      <c r="D16434" s="2">
        <v>0.10100000000000001</v>
      </c>
      <c r="E16434" s="2">
        <v>7</v>
      </c>
      <c r="F16434" s="2" t="s">
        <v>64</v>
      </c>
    </row>
    <row r="16435" spans="1:6" ht="25.5">
      <c r="A16435" s="2">
        <v>16432</v>
      </c>
      <c r="B16435" s="2" t="s">
        <v>16504</v>
      </c>
      <c r="C16435" s="2" t="str">
        <f>"10272658"</f>
        <v>10272658</v>
      </c>
      <c r="D16435" s="2">
        <v>0.13200000000000001</v>
      </c>
      <c r="E16435" s="2">
        <v>8</v>
      </c>
      <c r="F16435" s="2" t="s">
        <v>64</v>
      </c>
    </row>
    <row r="16436" spans="1:6" ht="25.5">
      <c r="A16436" s="2">
        <v>16433</v>
      </c>
      <c r="B16436" s="2" t="s">
        <v>16505</v>
      </c>
      <c r="C16436" s="2" t="str">
        <f>"00189219"</f>
        <v>00189219</v>
      </c>
      <c r="D16436" s="2">
        <v>3.41</v>
      </c>
      <c r="E16436" s="2">
        <v>163</v>
      </c>
      <c r="F16436" s="2" t="s">
        <v>6</v>
      </c>
    </row>
    <row r="16437" spans="1:6" ht="25.5">
      <c r="A16437" s="2">
        <v>16434</v>
      </c>
      <c r="B16437" s="2" t="s">
        <v>16506</v>
      </c>
      <c r="C16437" s="2" t="str">
        <f>"0"</f>
        <v>0</v>
      </c>
      <c r="D16437" s="2">
        <v>0.81399999999999995</v>
      </c>
      <c r="E16437" s="2">
        <v>18</v>
      </c>
      <c r="F16437" s="2" t="s">
        <v>6</v>
      </c>
    </row>
    <row r="16438" spans="1:6" ht="25.5">
      <c r="A16438" s="2">
        <v>16435</v>
      </c>
      <c r="B16438" s="2" t="s">
        <v>16507</v>
      </c>
      <c r="C16438" s="2" t="str">
        <f>"10636919"</f>
        <v>10636919</v>
      </c>
      <c r="D16438" s="2">
        <v>2.2450000000000001</v>
      </c>
      <c r="E16438" s="2">
        <v>110</v>
      </c>
      <c r="F16438" s="2" t="s">
        <v>6</v>
      </c>
    </row>
    <row r="16439" spans="1:6" ht="25.5">
      <c r="A16439" s="2">
        <v>16436</v>
      </c>
      <c r="B16439" s="2" t="s">
        <v>16508</v>
      </c>
      <c r="C16439" s="2" t="str">
        <f>"01912216"</f>
        <v>01912216</v>
      </c>
      <c r="D16439" s="2">
        <v>0.746</v>
      </c>
      <c r="E16439" s="2">
        <v>60</v>
      </c>
      <c r="F16439" s="2" t="s">
        <v>6</v>
      </c>
    </row>
    <row r="16440" spans="1:6">
      <c r="A16440" s="2">
        <v>16437</v>
      </c>
      <c r="B16440" s="2" t="s">
        <v>16509</v>
      </c>
      <c r="C16440" s="2" t="str">
        <f>"0"</f>
        <v>0</v>
      </c>
      <c r="D16440" s="2">
        <v>1.5269999999999999</v>
      </c>
      <c r="E16440" s="2">
        <v>88</v>
      </c>
      <c r="F16440" s="2" t="s">
        <v>6</v>
      </c>
    </row>
    <row r="16441" spans="1:6" ht="25.5">
      <c r="A16441" s="2">
        <v>16438</v>
      </c>
      <c r="B16441" s="2" t="s">
        <v>16510</v>
      </c>
      <c r="C16441" s="2" t="str">
        <f>"0"</f>
        <v>0</v>
      </c>
      <c r="D16441" s="2">
        <v>0.313</v>
      </c>
      <c r="E16441" s="2">
        <v>18</v>
      </c>
      <c r="F16441" s="2" t="s">
        <v>6</v>
      </c>
    </row>
    <row r="16442" spans="1:6" ht="25.5">
      <c r="A16442" s="2">
        <v>16439</v>
      </c>
      <c r="B16442" s="2" t="s">
        <v>16511</v>
      </c>
      <c r="C16442" s="2" t="str">
        <f>"10846999"</f>
        <v>10846999</v>
      </c>
      <c r="D16442" s="2">
        <v>0.35</v>
      </c>
      <c r="E16442" s="2">
        <v>20</v>
      </c>
      <c r="F16442" s="2" t="s">
        <v>6</v>
      </c>
    </row>
    <row r="16443" spans="1:6" ht="25.5">
      <c r="A16443" s="2">
        <v>16440</v>
      </c>
      <c r="B16443" s="2" t="s">
        <v>16512</v>
      </c>
      <c r="C16443" s="2" t="str">
        <f>"0"</f>
        <v>0</v>
      </c>
      <c r="D16443" s="2">
        <v>0.20100000000000001</v>
      </c>
      <c r="E16443" s="2">
        <v>11</v>
      </c>
      <c r="F16443" s="2" t="s">
        <v>6</v>
      </c>
    </row>
    <row r="16444" spans="1:6" ht="25.5">
      <c r="A16444" s="2">
        <v>16441</v>
      </c>
      <c r="B16444" s="2" t="s">
        <v>16513</v>
      </c>
      <c r="C16444" s="2" t="str">
        <f>"0"</f>
        <v>0</v>
      </c>
      <c r="D16444" s="2">
        <v>0.10100000000000001</v>
      </c>
      <c r="E16444" s="2">
        <v>6</v>
      </c>
      <c r="F16444" s="2" t="s">
        <v>6</v>
      </c>
    </row>
    <row r="16445" spans="1:6" ht="25.5">
      <c r="A16445" s="2">
        <v>16442</v>
      </c>
      <c r="B16445" s="2" t="s">
        <v>16514</v>
      </c>
      <c r="C16445" s="2" t="str">
        <f>"10639667"</f>
        <v>10639667</v>
      </c>
      <c r="D16445" s="2">
        <v>0.40899999999999997</v>
      </c>
      <c r="E16445" s="2">
        <v>23</v>
      </c>
      <c r="F16445" s="2" t="s">
        <v>6</v>
      </c>
    </row>
    <row r="16446" spans="1:6" ht="25.5">
      <c r="A16446" s="2">
        <v>16443</v>
      </c>
      <c r="B16446" s="2" t="s">
        <v>16515</v>
      </c>
      <c r="C16446" s="2" t="str">
        <f>"0"</f>
        <v>0</v>
      </c>
      <c r="D16446" s="2">
        <v>0</v>
      </c>
      <c r="E16446" s="2">
        <v>37</v>
      </c>
      <c r="F16446" s="2" t="s">
        <v>6</v>
      </c>
    </row>
    <row r="16447" spans="1:6" ht="25.5">
      <c r="A16447" s="2">
        <v>16444</v>
      </c>
      <c r="B16447" s="2" t="s">
        <v>16516</v>
      </c>
      <c r="C16447" s="2" t="str">
        <f>"0"</f>
        <v>0</v>
      </c>
      <c r="D16447" s="2">
        <v>0.214</v>
      </c>
      <c r="E16447" s="2">
        <v>11</v>
      </c>
      <c r="F16447" s="2" t="s">
        <v>6</v>
      </c>
    </row>
    <row r="16448" spans="1:6" ht="25.5">
      <c r="A16448" s="2">
        <v>16445</v>
      </c>
      <c r="B16448" s="2" t="s">
        <v>16517</v>
      </c>
      <c r="C16448" s="2" t="str">
        <f>"10637125"</f>
        <v>10637125</v>
      </c>
      <c r="D16448" s="2">
        <v>0.13100000000000001</v>
      </c>
      <c r="E16448" s="2">
        <v>14</v>
      </c>
      <c r="F16448" s="2" t="s">
        <v>6</v>
      </c>
    </row>
    <row r="16449" spans="1:6" ht="25.5">
      <c r="A16449" s="2">
        <v>16446</v>
      </c>
      <c r="B16449" s="2" t="s">
        <v>16518</v>
      </c>
      <c r="C16449" s="2" t="str">
        <f>"10609857"</f>
        <v>10609857</v>
      </c>
      <c r="D16449" s="2">
        <v>0.318</v>
      </c>
      <c r="E16449" s="2">
        <v>26</v>
      </c>
      <c r="F16449" s="2" t="s">
        <v>6</v>
      </c>
    </row>
    <row r="16450" spans="1:6">
      <c r="A16450" s="2">
        <v>16447</v>
      </c>
      <c r="B16450" s="2" t="s">
        <v>16519</v>
      </c>
      <c r="C16450" s="2" t="str">
        <f>"0"</f>
        <v>0</v>
      </c>
      <c r="D16450" s="2">
        <v>1.3140000000000001</v>
      </c>
      <c r="E16450" s="2">
        <v>32</v>
      </c>
      <c r="F16450" s="2" t="s">
        <v>6</v>
      </c>
    </row>
    <row r="16451" spans="1:6" ht="25.5">
      <c r="A16451" s="2">
        <v>16448</v>
      </c>
      <c r="B16451" s="2" t="s">
        <v>16520</v>
      </c>
      <c r="C16451" s="2" t="str">
        <f>"02534126"</f>
        <v>02534126</v>
      </c>
      <c r="D16451" s="2">
        <v>0.33100000000000002</v>
      </c>
      <c r="E16451" s="2">
        <v>23</v>
      </c>
      <c r="F16451" s="2" t="s">
        <v>488</v>
      </c>
    </row>
    <row r="16452" spans="1:6" ht="25.5">
      <c r="A16452" s="2">
        <v>16449</v>
      </c>
      <c r="B16452" s="2" t="s">
        <v>16521</v>
      </c>
      <c r="C16452" s="2" t="str">
        <f>"09737685"</f>
        <v>09737685</v>
      </c>
      <c r="D16452" s="2">
        <v>0.33300000000000002</v>
      </c>
      <c r="E16452" s="2">
        <v>15</v>
      </c>
      <c r="F16452" s="2" t="s">
        <v>488</v>
      </c>
    </row>
    <row r="16453" spans="1:6" ht="25.5">
      <c r="A16453" s="2">
        <v>16450</v>
      </c>
      <c r="B16453" s="2" t="s">
        <v>16522</v>
      </c>
      <c r="C16453" s="2" t="str">
        <f>"17517664"</f>
        <v>17517664</v>
      </c>
      <c r="D16453" s="2">
        <v>0.214</v>
      </c>
      <c r="E16453" s="2">
        <v>8</v>
      </c>
      <c r="F16453" s="2" t="s">
        <v>16</v>
      </c>
    </row>
    <row r="16454" spans="1:6" ht="25.5">
      <c r="A16454" s="2">
        <v>16451</v>
      </c>
      <c r="B16454" s="2" t="s">
        <v>16523</v>
      </c>
      <c r="C16454" s="2" t="str">
        <f>"0965089X"</f>
        <v>0965089X</v>
      </c>
      <c r="D16454" s="2">
        <v>0.218</v>
      </c>
      <c r="E16454" s="2">
        <v>11</v>
      </c>
      <c r="F16454" s="2" t="s">
        <v>16</v>
      </c>
    </row>
    <row r="16455" spans="1:6" ht="25.5">
      <c r="A16455" s="2">
        <v>16452</v>
      </c>
      <c r="B16455" s="2" t="s">
        <v>16524</v>
      </c>
      <c r="C16455" s="2" t="str">
        <f>"17550777"</f>
        <v>17550777</v>
      </c>
      <c r="D16455" s="2">
        <v>0.219</v>
      </c>
      <c r="E16455" s="2">
        <v>4</v>
      </c>
      <c r="F16455" s="2" t="s">
        <v>16</v>
      </c>
    </row>
    <row r="16456" spans="1:6" ht="25.5">
      <c r="A16456" s="2">
        <v>16453</v>
      </c>
      <c r="B16456" s="2" t="s">
        <v>16525</v>
      </c>
      <c r="C16456" s="2" t="str">
        <f>"17517680"</f>
        <v>17517680</v>
      </c>
      <c r="D16456" s="2">
        <v>0.27100000000000002</v>
      </c>
      <c r="E16456" s="2">
        <v>11</v>
      </c>
      <c r="F16456" s="2" t="s">
        <v>16</v>
      </c>
    </row>
    <row r="16457" spans="1:6" ht="25.5">
      <c r="A16457" s="2">
        <v>16454</v>
      </c>
      <c r="B16457" s="2" t="s">
        <v>16526</v>
      </c>
      <c r="C16457" s="2" t="str">
        <f>"13532618"</f>
        <v>13532618</v>
      </c>
      <c r="D16457" s="2">
        <v>0.497</v>
      </c>
      <c r="E16457" s="2">
        <v>19</v>
      </c>
      <c r="F16457" s="2" t="s">
        <v>16</v>
      </c>
    </row>
    <row r="16458" spans="1:6" ht="25.5">
      <c r="A16458" s="2">
        <v>16455</v>
      </c>
      <c r="B16458" s="2" t="s">
        <v>16527</v>
      </c>
      <c r="C16458" s="2" t="str">
        <f>"17550750"</f>
        <v>17550750</v>
      </c>
      <c r="D16458" s="2">
        <v>0.42699999999999999</v>
      </c>
      <c r="E16458" s="2">
        <v>14</v>
      </c>
      <c r="F16458" s="2" t="s">
        <v>16</v>
      </c>
    </row>
    <row r="16459" spans="1:6" ht="25.5">
      <c r="A16459" s="2">
        <v>16456</v>
      </c>
      <c r="B16459" s="2" t="s">
        <v>16528</v>
      </c>
      <c r="C16459" s="2" t="str">
        <f>"17517737"</f>
        <v>17517737</v>
      </c>
      <c r="D16459" s="2">
        <v>0.222</v>
      </c>
      <c r="E16459" s="2">
        <v>10</v>
      </c>
      <c r="F16459" s="2" t="s">
        <v>16</v>
      </c>
    </row>
    <row r="16460" spans="1:6" ht="25.5">
      <c r="A16460" s="2">
        <v>16457</v>
      </c>
      <c r="B16460" s="2" t="s">
        <v>16529</v>
      </c>
      <c r="C16460" s="2" t="str">
        <f>"09650903"</f>
        <v>09650903</v>
      </c>
      <c r="D16460" s="2">
        <v>0.20399999999999999</v>
      </c>
      <c r="E16460" s="2">
        <v>11</v>
      </c>
      <c r="F16460" s="2" t="s">
        <v>16</v>
      </c>
    </row>
    <row r="16461" spans="1:6" ht="25.5">
      <c r="A16461" s="2">
        <v>16458</v>
      </c>
      <c r="B16461" s="2" t="s">
        <v>16530</v>
      </c>
      <c r="C16461" s="2" t="str">
        <f>"09650911"</f>
        <v>09650911</v>
      </c>
      <c r="D16461" s="2">
        <v>0.68700000000000006</v>
      </c>
      <c r="E16461" s="2">
        <v>20</v>
      </c>
      <c r="F16461" s="2" t="s">
        <v>16</v>
      </c>
    </row>
    <row r="16462" spans="1:6" ht="25.5">
      <c r="A16462" s="2">
        <v>16459</v>
      </c>
      <c r="B16462" s="2" t="s">
        <v>16531</v>
      </c>
      <c r="C16462" s="2" t="str">
        <f>"0965092X"</f>
        <v>0965092X</v>
      </c>
      <c r="D16462" s="2">
        <v>0.28199999999999997</v>
      </c>
      <c r="E16462" s="2">
        <v>8</v>
      </c>
      <c r="F16462" s="2" t="s">
        <v>16</v>
      </c>
    </row>
    <row r="16463" spans="1:6" ht="25.5">
      <c r="A16463" s="2">
        <v>16460</v>
      </c>
      <c r="B16463" s="2" t="s">
        <v>16532</v>
      </c>
      <c r="C16463" s="2" t="str">
        <f>"17550807"</f>
        <v>17550807</v>
      </c>
      <c r="D16463" s="2">
        <v>0.218</v>
      </c>
      <c r="E16463" s="2">
        <v>4</v>
      </c>
      <c r="F16463" s="2" t="s">
        <v>16</v>
      </c>
    </row>
    <row r="16464" spans="1:6" ht="25.5">
      <c r="A16464" s="2">
        <v>16461</v>
      </c>
      <c r="B16464" s="2" t="s">
        <v>16533</v>
      </c>
      <c r="C16464" s="2" t="str">
        <f>"09576509"</f>
        <v>09576509</v>
      </c>
      <c r="D16464" s="2">
        <v>0.496</v>
      </c>
      <c r="E16464" s="2">
        <v>29</v>
      </c>
      <c r="F16464" s="2" t="s">
        <v>16</v>
      </c>
    </row>
    <row r="16465" spans="1:6" ht="25.5">
      <c r="A16465" s="2">
        <v>16462</v>
      </c>
      <c r="B16465" s="2" t="s">
        <v>16534</v>
      </c>
      <c r="C16465" s="2" t="str">
        <f>"09544054"</f>
        <v>09544054</v>
      </c>
      <c r="D16465" s="2">
        <v>0.68</v>
      </c>
      <c r="E16465" s="2">
        <v>27</v>
      </c>
      <c r="F16465" s="2" t="s">
        <v>6</v>
      </c>
    </row>
    <row r="16466" spans="1:6" ht="25.5">
      <c r="A16466" s="2">
        <v>16463</v>
      </c>
      <c r="B16466" s="2" t="s">
        <v>16535</v>
      </c>
      <c r="C16466" s="2" t="str">
        <f>"09544062"</f>
        <v>09544062</v>
      </c>
      <c r="D16466" s="2">
        <v>0.38400000000000001</v>
      </c>
      <c r="E16466" s="2">
        <v>29</v>
      </c>
      <c r="F16466" s="2" t="s">
        <v>16</v>
      </c>
    </row>
    <row r="16467" spans="1:6" ht="25.5">
      <c r="A16467" s="2">
        <v>16464</v>
      </c>
      <c r="B16467" s="2" t="s">
        <v>16536</v>
      </c>
      <c r="C16467" s="2" t="str">
        <f>"09544070"</f>
        <v>09544070</v>
      </c>
      <c r="D16467" s="2">
        <v>0.51500000000000001</v>
      </c>
      <c r="E16467" s="2">
        <v>32</v>
      </c>
      <c r="F16467" s="2" t="s">
        <v>6</v>
      </c>
    </row>
    <row r="16468" spans="1:6" ht="25.5">
      <c r="A16468" s="2">
        <v>16465</v>
      </c>
      <c r="B16468" s="2" t="s">
        <v>16537</v>
      </c>
      <c r="C16468" s="2" t="str">
        <f>"09544089"</f>
        <v>09544089</v>
      </c>
      <c r="D16468" s="2">
        <v>0.16200000000000001</v>
      </c>
      <c r="E16468" s="2">
        <v>16</v>
      </c>
      <c r="F16468" s="2" t="s">
        <v>6</v>
      </c>
    </row>
    <row r="16469" spans="1:6" ht="25.5">
      <c r="A16469" s="2">
        <v>16466</v>
      </c>
      <c r="B16469" s="2" t="s">
        <v>16538</v>
      </c>
      <c r="C16469" s="2" t="str">
        <f>"09544097"</f>
        <v>09544097</v>
      </c>
      <c r="D16469" s="2">
        <v>0.44900000000000001</v>
      </c>
      <c r="E16469" s="2">
        <v>21</v>
      </c>
      <c r="F16469" s="2" t="s">
        <v>16</v>
      </c>
    </row>
    <row r="16470" spans="1:6" ht="25.5">
      <c r="A16470" s="2">
        <v>16467</v>
      </c>
      <c r="B16470" s="2" t="s">
        <v>16539</v>
      </c>
      <c r="C16470" s="2" t="str">
        <f>"09544100"</f>
        <v>09544100</v>
      </c>
      <c r="D16470" s="2">
        <v>0.41399999999999998</v>
      </c>
      <c r="E16470" s="2">
        <v>19</v>
      </c>
      <c r="F16470" s="2" t="s">
        <v>16</v>
      </c>
    </row>
    <row r="16471" spans="1:6" ht="25.5">
      <c r="A16471" s="2">
        <v>16468</v>
      </c>
      <c r="B16471" s="2" t="s">
        <v>16540</v>
      </c>
      <c r="C16471" s="2" t="str">
        <f>"09544119"</f>
        <v>09544119</v>
      </c>
      <c r="D16471" s="2">
        <v>0.52700000000000002</v>
      </c>
      <c r="E16471" s="2">
        <v>47</v>
      </c>
      <c r="F16471" s="2" t="s">
        <v>16</v>
      </c>
    </row>
    <row r="16472" spans="1:6" ht="25.5">
      <c r="A16472" s="2">
        <v>16469</v>
      </c>
      <c r="B16472" s="2" t="s">
        <v>16541</v>
      </c>
      <c r="C16472" s="2" t="str">
        <f>"09596518"</f>
        <v>09596518</v>
      </c>
      <c r="D16472" s="2">
        <v>0.42</v>
      </c>
      <c r="E16472" s="2">
        <v>23</v>
      </c>
      <c r="F16472" s="2" t="s">
        <v>16</v>
      </c>
    </row>
    <row r="16473" spans="1:6" ht="25.5">
      <c r="A16473" s="2">
        <v>16470</v>
      </c>
      <c r="B16473" s="2" t="s">
        <v>16542</v>
      </c>
      <c r="C16473" s="2" t="str">
        <f>"13506501"</f>
        <v>13506501</v>
      </c>
      <c r="D16473" s="2">
        <v>0.57199999999999995</v>
      </c>
      <c r="E16473" s="2">
        <v>30</v>
      </c>
      <c r="F16473" s="2" t="s">
        <v>16</v>
      </c>
    </row>
    <row r="16474" spans="1:6" ht="25.5">
      <c r="A16474" s="2">
        <v>16471</v>
      </c>
      <c r="B16474" s="2" t="s">
        <v>16543</v>
      </c>
      <c r="C16474" s="2" t="str">
        <f>"14644193"</f>
        <v>14644193</v>
      </c>
      <c r="D16474" s="2">
        <v>0.621</v>
      </c>
      <c r="E16474" s="2">
        <v>15</v>
      </c>
      <c r="F16474" s="2" t="s">
        <v>16</v>
      </c>
    </row>
    <row r="16475" spans="1:6" ht="25.5">
      <c r="A16475" s="2">
        <v>16472</v>
      </c>
      <c r="B16475" s="2" t="s">
        <v>16544</v>
      </c>
      <c r="C16475" s="2" t="str">
        <f>"14644207"</f>
        <v>14644207</v>
      </c>
      <c r="D16475" s="2">
        <v>0.35099999999999998</v>
      </c>
      <c r="E16475" s="2">
        <v>15</v>
      </c>
      <c r="F16475" s="2" t="s">
        <v>16</v>
      </c>
    </row>
    <row r="16476" spans="1:6" ht="25.5">
      <c r="A16476" s="2">
        <v>16473</v>
      </c>
      <c r="B16476" s="2" t="s">
        <v>16545</v>
      </c>
      <c r="C16476" s="2" t="str">
        <f>"14750902"</f>
        <v>14750902</v>
      </c>
      <c r="D16476" s="2">
        <v>0.61499999999999999</v>
      </c>
      <c r="E16476" s="2">
        <v>10</v>
      </c>
      <c r="F16476" s="2" t="s">
        <v>16</v>
      </c>
    </row>
    <row r="16477" spans="1:6" ht="25.5">
      <c r="A16477" s="2">
        <v>16474</v>
      </c>
      <c r="B16477" s="2" t="s">
        <v>16546</v>
      </c>
      <c r="C16477" s="2" t="str">
        <f>"20413092"</f>
        <v>20413092</v>
      </c>
      <c r="D16477" s="2">
        <v>0.23799999999999999</v>
      </c>
      <c r="E16477" s="2">
        <v>3</v>
      </c>
      <c r="F16477" s="2" t="s">
        <v>6</v>
      </c>
    </row>
    <row r="16478" spans="1:6" ht="25.5">
      <c r="A16478" s="2">
        <v>16475</v>
      </c>
      <c r="B16478" s="2" t="s">
        <v>16547</v>
      </c>
      <c r="C16478" s="2" t="str">
        <f>"17480078"</f>
        <v>17480078</v>
      </c>
      <c r="D16478" s="2">
        <v>0.44700000000000001</v>
      </c>
      <c r="E16478" s="2">
        <v>7</v>
      </c>
      <c r="F16478" s="2" t="s">
        <v>16</v>
      </c>
    </row>
    <row r="16479" spans="1:6" ht="25.5">
      <c r="A16479" s="2">
        <v>16476</v>
      </c>
      <c r="B16479" s="2" t="s">
        <v>16548</v>
      </c>
      <c r="C16479" s="2" t="str">
        <f>"17439221"</f>
        <v>17439221</v>
      </c>
      <c r="D16479" s="2">
        <v>0.107</v>
      </c>
      <c r="E16479" s="2">
        <v>5</v>
      </c>
      <c r="F16479" s="2" t="s">
        <v>16</v>
      </c>
    </row>
    <row r="16480" spans="1:6" ht="25.5">
      <c r="A16480" s="2">
        <v>16477</v>
      </c>
      <c r="B16480" s="2" t="s">
        <v>16549</v>
      </c>
      <c r="C16480" s="2" t="str">
        <f>"0"</f>
        <v>0</v>
      </c>
      <c r="D16480" s="2">
        <v>0.7</v>
      </c>
      <c r="E16480" s="2">
        <v>27</v>
      </c>
      <c r="F16480" s="2" t="s">
        <v>6</v>
      </c>
    </row>
    <row r="16481" spans="1:6">
      <c r="A16481" s="2">
        <v>16478</v>
      </c>
      <c r="B16481" s="2" t="s">
        <v>16550</v>
      </c>
      <c r="C16481" s="2" t="str">
        <f>"0"</f>
        <v>0</v>
      </c>
      <c r="D16481" s="2">
        <v>0.156</v>
      </c>
      <c r="E16481" s="2">
        <v>7</v>
      </c>
      <c r="F16481" s="2" t="s">
        <v>6</v>
      </c>
    </row>
    <row r="16482" spans="1:6" ht="25.5">
      <c r="A16482" s="2">
        <v>16479</v>
      </c>
      <c r="B16482" s="2" t="s">
        <v>16551</v>
      </c>
      <c r="C16482" s="2" t="str">
        <f>"0"</f>
        <v>0</v>
      </c>
      <c r="D16482" s="2">
        <v>0.114</v>
      </c>
      <c r="E16482" s="2">
        <v>10</v>
      </c>
      <c r="F16482" s="2" t="s">
        <v>6</v>
      </c>
    </row>
    <row r="16483" spans="1:6" ht="25.5">
      <c r="A16483" s="2">
        <v>16480</v>
      </c>
      <c r="B16483" s="2" t="s">
        <v>16552</v>
      </c>
      <c r="C16483" s="2" t="str">
        <f>"0"</f>
        <v>0</v>
      </c>
      <c r="D16483" s="2">
        <v>0.14299999999999999</v>
      </c>
      <c r="E16483" s="2">
        <v>16</v>
      </c>
      <c r="F16483" s="2" t="s">
        <v>6</v>
      </c>
    </row>
    <row r="16484" spans="1:6">
      <c r="A16484" s="2">
        <v>16481</v>
      </c>
      <c r="B16484" s="2" t="s">
        <v>16553</v>
      </c>
      <c r="C16484" s="2" t="str">
        <f>"0"</f>
        <v>0</v>
      </c>
      <c r="D16484" s="2">
        <v>1.05</v>
      </c>
      <c r="E16484" s="2">
        <v>30</v>
      </c>
      <c r="F16484" s="2" t="s">
        <v>6</v>
      </c>
    </row>
    <row r="16485" spans="1:6" ht="25.5">
      <c r="A16485" s="2">
        <v>16482</v>
      </c>
      <c r="B16485" s="2" t="s">
        <v>16554</v>
      </c>
      <c r="C16485" s="2" t="str">
        <f>"02777576"</f>
        <v>02777576</v>
      </c>
      <c r="D16485" s="2">
        <v>0.1</v>
      </c>
      <c r="E16485" s="2">
        <v>3</v>
      </c>
      <c r="F16485" s="2" t="s">
        <v>6</v>
      </c>
    </row>
    <row r="16486" spans="1:6">
      <c r="A16486" s="2">
        <v>16483</v>
      </c>
      <c r="B16486" s="2" t="s">
        <v>16555</v>
      </c>
      <c r="C16486" s="2" t="str">
        <f>"0"</f>
        <v>0</v>
      </c>
      <c r="D16486" s="2">
        <v>0.186</v>
      </c>
      <c r="E16486" s="2">
        <v>31</v>
      </c>
      <c r="F16486" s="2" t="s">
        <v>6</v>
      </c>
    </row>
    <row r="16487" spans="1:6" ht="25.5">
      <c r="A16487" s="2">
        <v>16484</v>
      </c>
      <c r="B16487" s="2" t="s">
        <v>16556</v>
      </c>
      <c r="C16487" s="2" t="str">
        <f>"0"</f>
        <v>0</v>
      </c>
      <c r="D16487" s="2">
        <v>0.22900000000000001</v>
      </c>
      <c r="E16487" s="2">
        <v>20</v>
      </c>
      <c r="F16487" s="2" t="s">
        <v>6</v>
      </c>
    </row>
    <row r="16488" spans="1:6">
      <c r="A16488" s="2">
        <v>16485</v>
      </c>
      <c r="B16488" s="2" t="s">
        <v>16557</v>
      </c>
      <c r="C16488" s="2" t="str">
        <f>"0"</f>
        <v>0</v>
      </c>
      <c r="D16488" s="2">
        <v>0.13200000000000001</v>
      </c>
      <c r="E16488" s="2">
        <v>8</v>
      </c>
      <c r="F16488" s="2" t="s">
        <v>6</v>
      </c>
    </row>
    <row r="16489" spans="1:6" ht="25.5">
      <c r="A16489" s="2">
        <v>16486</v>
      </c>
      <c r="B16489" s="2" t="s">
        <v>16558</v>
      </c>
      <c r="C16489" s="2" t="str">
        <f>"0"</f>
        <v>0</v>
      </c>
      <c r="D16489" s="2">
        <v>1.0529999999999999</v>
      </c>
      <c r="E16489" s="2">
        <v>45</v>
      </c>
      <c r="F16489" s="2" t="s">
        <v>6</v>
      </c>
    </row>
    <row r="16490" spans="1:6" ht="25.5">
      <c r="A16490" s="2">
        <v>16487</v>
      </c>
      <c r="B16490" s="2" t="s">
        <v>16559</v>
      </c>
      <c r="C16490" s="2" t="str">
        <f>"0195623X"</f>
        <v>0195623X</v>
      </c>
      <c r="D16490" s="2">
        <v>0.55000000000000004</v>
      </c>
      <c r="E16490" s="2">
        <v>16</v>
      </c>
      <c r="F16490" s="2" t="s">
        <v>6</v>
      </c>
    </row>
    <row r="16491" spans="1:6">
      <c r="A16491" s="2">
        <v>16488</v>
      </c>
      <c r="B16491" s="2" t="s">
        <v>16560</v>
      </c>
      <c r="C16491" s="2" t="str">
        <f>"0"</f>
        <v>0</v>
      </c>
      <c r="D16491" s="2">
        <v>2.0939999999999999</v>
      </c>
      <c r="E16491" s="2">
        <v>31</v>
      </c>
      <c r="F16491" s="2" t="s">
        <v>6</v>
      </c>
    </row>
    <row r="16492" spans="1:6" ht="25.5">
      <c r="A16492" s="2">
        <v>16489</v>
      </c>
      <c r="B16492" s="2" t="s">
        <v>16561</v>
      </c>
      <c r="C16492" s="2" t="str">
        <f>"0"</f>
        <v>0</v>
      </c>
      <c r="D16492" s="2">
        <v>0.995</v>
      </c>
      <c r="E16492" s="2">
        <v>19</v>
      </c>
      <c r="F16492" s="2" t="s">
        <v>6</v>
      </c>
    </row>
    <row r="16493" spans="1:6" ht="25.5">
      <c r="A16493" s="2">
        <v>16490</v>
      </c>
      <c r="B16493" s="2" t="s">
        <v>16562</v>
      </c>
      <c r="C16493" s="2" t="str">
        <f>"10746005"</f>
        <v>10746005</v>
      </c>
      <c r="D16493" s="2">
        <v>0.14899999999999999</v>
      </c>
      <c r="E16493" s="2">
        <v>10</v>
      </c>
      <c r="F16493" s="2" t="s">
        <v>6</v>
      </c>
    </row>
    <row r="16494" spans="1:6" ht="25.5">
      <c r="A16494" s="2">
        <v>16491</v>
      </c>
      <c r="B16494" s="2" t="s">
        <v>16563</v>
      </c>
      <c r="C16494" s="2" t="str">
        <f>"0"</f>
        <v>0</v>
      </c>
      <c r="D16494" s="2">
        <v>0.21099999999999999</v>
      </c>
      <c r="E16494" s="2">
        <v>9</v>
      </c>
      <c r="F16494" s="2" t="s">
        <v>6</v>
      </c>
    </row>
    <row r="16495" spans="1:6" ht="25.5">
      <c r="A16495" s="2">
        <v>16492</v>
      </c>
      <c r="B16495" s="2" t="s">
        <v>16564</v>
      </c>
      <c r="C16495" s="2" t="str">
        <f>"15987264"</f>
        <v>15987264</v>
      </c>
      <c r="D16495" s="2">
        <v>0.36299999999999999</v>
      </c>
      <c r="E16495" s="2">
        <v>7</v>
      </c>
      <c r="F16495" s="2" t="s">
        <v>274</v>
      </c>
    </row>
    <row r="16496" spans="1:6" ht="25.5">
      <c r="A16496" s="2">
        <v>16493</v>
      </c>
      <c r="B16496" s="2" t="s">
        <v>16565</v>
      </c>
      <c r="C16496" s="2" t="str">
        <f>"03862194"</f>
        <v>03862194</v>
      </c>
      <c r="D16496" s="2">
        <v>0.47399999999999998</v>
      </c>
      <c r="E16496" s="2">
        <v>12</v>
      </c>
      <c r="F16496" s="2" t="s">
        <v>131</v>
      </c>
    </row>
    <row r="16497" spans="1:6" ht="25.5">
      <c r="A16497" s="2">
        <v>16494</v>
      </c>
      <c r="B16497" s="2" t="s">
        <v>16566</v>
      </c>
      <c r="C16497" s="2" t="str">
        <f>"13492896"</f>
        <v>13492896</v>
      </c>
      <c r="D16497" s="2">
        <v>1.087</v>
      </c>
      <c r="E16497" s="2">
        <v>25</v>
      </c>
      <c r="F16497" s="2" t="s">
        <v>131</v>
      </c>
    </row>
    <row r="16498" spans="1:6" ht="25.5">
      <c r="A16498" s="2">
        <v>16495</v>
      </c>
      <c r="B16498" s="2" t="s">
        <v>16567</v>
      </c>
      <c r="C16498" s="2" t="str">
        <f>"1460244X"</f>
        <v>1460244X</v>
      </c>
      <c r="D16498" s="2">
        <v>1.61</v>
      </c>
      <c r="E16498" s="2">
        <v>35</v>
      </c>
      <c r="F16498" s="2" t="s">
        <v>16</v>
      </c>
    </row>
    <row r="16499" spans="1:6" ht="25.5">
      <c r="A16499" s="2">
        <v>16496</v>
      </c>
      <c r="B16499" s="2" t="s">
        <v>16568</v>
      </c>
      <c r="C16499" s="2" t="str">
        <f>"0"</f>
        <v>0</v>
      </c>
      <c r="D16499" s="2">
        <v>0.161</v>
      </c>
      <c r="E16499" s="2">
        <v>12</v>
      </c>
      <c r="F16499" s="2" t="s">
        <v>6</v>
      </c>
    </row>
    <row r="16500" spans="1:6" ht="25.5">
      <c r="A16500" s="2">
        <v>16497</v>
      </c>
      <c r="B16500" s="2" t="s">
        <v>16569</v>
      </c>
      <c r="C16500" s="2" t="str">
        <f>"03698203"</f>
        <v>03698203</v>
      </c>
      <c r="D16500" s="2">
        <v>0.17299999999999999</v>
      </c>
      <c r="E16500" s="2">
        <v>3</v>
      </c>
      <c r="F16500" s="2" t="s">
        <v>488</v>
      </c>
    </row>
    <row r="16501" spans="1:6" ht="25.5">
      <c r="A16501" s="2">
        <v>16498</v>
      </c>
      <c r="B16501" s="2" t="s">
        <v>16570</v>
      </c>
      <c r="C16501" s="2" t="str">
        <f>"10916490"</f>
        <v>10916490</v>
      </c>
      <c r="D16501" s="2">
        <v>5.4729999999999999</v>
      </c>
      <c r="E16501" s="2">
        <v>485</v>
      </c>
      <c r="F16501" s="2" t="s">
        <v>6</v>
      </c>
    </row>
    <row r="16502" spans="1:6">
      <c r="A16502" s="2">
        <v>16499</v>
      </c>
      <c r="B16502" s="2" t="s">
        <v>16571</v>
      </c>
      <c r="C16502" s="2" t="str">
        <f>"0"</f>
        <v>0</v>
      </c>
      <c r="D16502" s="2">
        <v>0.29199999999999998</v>
      </c>
      <c r="E16502" s="2">
        <v>50</v>
      </c>
      <c r="F16502" s="2" t="s">
        <v>6</v>
      </c>
    </row>
    <row r="16503" spans="1:6" ht="25.5">
      <c r="A16503" s="2">
        <v>16500</v>
      </c>
      <c r="B16503" s="2" t="s">
        <v>16572</v>
      </c>
      <c r="C16503" s="2" t="str">
        <f>"14752719"</f>
        <v>14752719</v>
      </c>
      <c r="D16503" s="2">
        <v>1.1279999999999999</v>
      </c>
      <c r="E16503" s="2">
        <v>74</v>
      </c>
      <c r="F16503" s="2" t="s">
        <v>16</v>
      </c>
    </row>
    <row r="16504" spans="1:6" ht="25.5">
      <c r="A16504" s="2">
        <v>16501</v>
      </c>
      <c r="B16504" s="2" t="s">
        <v>16573</v>
      </c>
      <c r="C16504" s="2" t="str">
        <f>"03772969"</f>
        <v>03772969</v>
      </c>
      <c r="D16504" s="2">
        <v>0.20200000000000001</v>
      </c>
      <c r="E16504" s="2">
        <v>3</v>
      </c>
      <c r="F16504" s="2" t="s">
        <v>43</v>
      </c>
    </row>
    <row r="16505" spans="1:6" ht="25.5">
      <c r="A16505" s="2">
        <v>16502</v>
      </c>
      <c r="B16505" s="2" t="s">
        <v>16574</v>
      </c>
      <c r="C16505" s="2" t="str">
        <f>"20090048"</f>
        <v>20090048</v>
      </c>
      <c r="D16505" s="2">
        <v>0.10100000000000001</v>
      </c>
      <c r="E16505" s="2">
        <v>1</v>
      </c>
      <c r="F16505" s="2" t="s">
        <v>732</v>
      </c>
    </row>
    <row r="16506" spans="1:6" ht="25.5">
      <c r="A16506" s="2">
        <v>16503</v>
      </c>
      <c r="B16506" s="2" t="s">
        <v>16575</v>
      </c>
      <c r="C16506" s="2" t="str">
        <f>"13645021"</f>
        <v>13645021</v>
      </c>
      <c r="D16506" s="2">
        <v>0.86499999999999999</v>
      </c>
      <c r="E16506" s="2">
        <v>68</v>
      </c>
      <c r="F16506" s="2" t="s">
        <v>16</v>
      </c>
    </row>
    <row r="16507" spans="1:6" ht="25.5">
      <c r="A16507" s="2">
        <v>16504</v>
      </c>
      <c r="B16507" s="2" t="s">
        <v>16576</v>
      </c>
      <c r="C16507" s="2" t="str">
        <f>"09628452"</f>
        <v>09628452</v>
      </c>
      <c r="D16507" s="2">
        <v>2.423</v>
      </c>
      <c r="E16507" s="2">
        <v>143</v>
      </c>
      <c r="F16507" s="2" t="s">
        <v>16</v>
      </c>
    </row>
    <row r="16508" spans="1:6" ht="25.5">
      <c r="A16508" s="2">
        <v>16505</v>
      </c>
      <c r="B16508" s="2" t="s">
        <v>16577</v>
      </c>
      <c r="C16508" s="2" t="str">
        <f>"14737124"</f>
        <v>14737124</v>
      </c>
      <c r="D16508" s="2">
        <v>0.85799999999999998</v>
      </c>
      <c r="E16508" s="2">
        <v>33</v>
      </c>
      <c r="F16508" s="2" t="s">
        <v>16</v>
      </c>
    </row>
    <row r="16509" spans="1:6">
      <c r="A16509" s="2">
        <v>16506</v>
      </c>
      <c r="B16509" s="2" t="s">
        <v>16578</v>
      </c>
      <c r="C16509" s="2" t="str">
        <f>"0"</f>
        <v>0</v>
      </c>
      <c r="D16509" s="2">
        <v>0.22600000000000001</v>
      </c>
      <c r="E16509" s="2">
        <v>10</v>
      </c>
      <c r="F16509" s="2" t="s">
        <v>131</v>
      </c>
    </row>
    <row r="16510" spans="1:6" ht="25.5">
      <c r="A16510" s="2">
        <v>16507</v>
      </c>
      <c r="B16510" s="2" t="s">
        <v>16579</v>
      </c>
      <c r="C16510" s="2" t="str">
        <f>"00815438"</f>
        <v>00815438</v>
      </c>
      <c r="D16510" s="2">
        <v>0.32500000000000001</v>
      </c>
      <c r="E16510" s="2">
        <v>6</v>
      </c>
      <c r="F16510" s="2" t="s">
        <v>129</v>
      </c>
    </row>
    <row r="16511" spans="1:6">
      <c r="A16511" s="2">
        <v>16508</v>
      </c>
      <c r="B16511" s="2" t="s">
        <v>16580</v>
      </c>
      <c r="C16511" s="2" t="str">
        <f>"0"</f>
        <v>0</v>
      </c>
      <c r="D16511" s="2">
        <v>0.81</v>
      </c>
      <c r="E16511" s="2">
        <v>38</v>
      </c>
      <c r="F16511" s="2" t="s">
        <v>6</v>
      </c>
    </row>
    <row r="16512" spans="1:6">
      <c r="A16512" s="2">
        <v>16509</v>
      </c>
      <c r="B16512" s="2" t="s">
        <v>16581</v>
      </c>
      <c r="C16512" s="2" t="str">
        <f>"0"</f>
        <v>0</v>
      </c>
      <c r="D16512" s="2">
        <v>0.1</v>
      </c>
      <c r="E16512" s="2">
        <v>4</v>
      </c>
      <c r="F16512" s="2" t="s">
        <v>6</v>
      </c>
    </row>
    <row r="16513" spans="1:6" ht="25.5">
      <c r="A16513" s="2">
        <v>16510</v>
      </c>
      <c r="B16513" s="2" t="s">
        <v>16582</v>
      </c>
      <c r="C16513" s="2" t="str">
        <f>"00838969"</f>
        <v>00838969</v>
      </c>
      <c r="D16513" s="2">
        <v>0.11799999999999999</v>
      </c>
      <c r="E16513" s="2">
        <v>16</v>
      </c>
      <c r="F16513" s="2" t="s">
        <v>6</v>
      </c>
    </row>
    <row r="16514" spans="1:6" ht="25.5">
      <c r="A16514" s="2">
        <v>16511</v>
      </c>
      <c r="B16514" s="2" t="s">
        <v>16583</v>
      </c>
      <c r="C16514" s="2" t="str">
        <f>"15244547"</f>
        <v>15244547</v>
      </c>
      <c r="D16514" s="2">
        <v>0.17199999999999999</v>
      </c>
      <c r="E16514" s="2">
        <v>12</v>
      </c>
      <c r="F16514" s="2" t="s">
        <v>6</v>
      </c>
    </row>
    <row r="16515" spans="1:6" ht="25.5">
      <c r="A16515" s="2">
        <v>16512</v>
      </c>
      <c r="B16515" s="2" t="s">
        <v>16584</v>
      </c>
      <c r="C16515" s="2" t="str">
        <f>"0"</f>
        <v>0</v>
      </c>
      <c r="D16515" s="2">
        <v>0.13</v>
      </c>
      <c r="E16515" s="2">
        <v>18</v>
      </c>
      <c r="F16515" s="2" t="s">
        <v>6</v>
      </c>
    </row>
    <row r="16516" spans="1:6" ht="25.5">
      <c r="A16516" s="2">
        <v>16513</v>
      </c>
      <c r="B16516" s="2" t="s">
        <v>16585</v>
      </c>
      <c r="C16516" s="2" t="str">
        <f>"10459065"</f>
        <v>10459065</v>
      </c>
      <c r="D16516" s="2">
        <v>0.105</v>
      </c>
      <c r="E16516" s="2">
        <v>5</v>
      </c>
      <c r="F16516" s="2" t="s">
        <v>6</v>
      </c>
    </row>
    <row r="16517" spans="1:6">
      <c r="A16517" s="2">
        <v>16514</v>
      </c>
      <c r="B16517" s="2" t="s">
        <v>16586</v>
      </c>
      <c r="C16517" s="2" t="str">
        <f t="shared" ref="C16517:C16522" si="1">"0"</f>
        <v>0</v>
      </c>
      <c r="D16517" s="2">
        <v>1.163</v>
      </c>
      <c r="E16517" s="2">
        <v>34</v>
      </c>
      <c r="F16517" s="2" t="s">
        <v>6</v>
      </c>
    </row>
    <row r="16518" spans="1:6">
      <c r="A16518" s="2">
        <v>16515</v>
      </c>
      <c r="B16518" s="2" t="s">
        <v>16587</v>
      </c>
      <c r="C16518" s="2" t="str">
        <f t="shared" si="1"/>
        <v>0</v>
      </c>
      <c r="D16518" s="2">
        <v>0.10100000000000001</v>
      </c>
      <c r="E16518" s="2">
        <v>8</v>
      </c>
      <c r="F16518" s="2" t="s">
        <v>6</v>
      </c>
    </row>
    <row r="16519" spans="1:6" ht="25.5">
      <c r="A16519" s="2">
        <v>16516</v>
      </c>
      <c r="B16519" s="2" t="s">
        <v>16588</v>
      </c>
      <c r="C16519" s="2" t="str">
        <f t="shared" si="1"/>
        <v>0</v>
      </c>
      <c r="D16519" s="2">
        <v>0.1</v>
      </c>
      <c r="E16519" s="2">
        <v>4</v>
      </c>
      <c r="F16519" s="2" t="s">
        <v>6</v>
      </c>
    </row>
    <row r="16520" spans="1:6">
      <c r="A16520" s="2">
        <v>16517</v>
      </c>
      <c r="B16520" s="2" t="s">
        <v>16589</v>
      </c>
      <c r="C16520" s="2" t="str">
        <f t="shared" si="1"/>
        <v>0</v>
      </c>
      <c r="D16520" s="2">
        <v>0.1</v>
      </c>
      <c r="E16520" s="2">
        <v>3</v>
      </c>
      <c r="F16520" s="2" t="s">
        <v>6</v>
      </c>
    </row>
    <row r="16521" spans="1:6">
      <c r="A16521" s="2">
        <v>16518</v>
      </c>
      <c r="B16521" s="2" t="s">
        <v>16590</v>
      </c>
      <c r="C16521" s="2" t="str">
        <f t="shared" si="1"/>
        <v>0</v>
      </c>
      <c r="D16521" s="2">
        <v>0.60899999999999999</v>
      </c>
      <c r="E16521" s="2">
        <v>19</v>
      </c>
      <c r="F16521" s="2" t="s">
        <v>6</v>
      </c>
    </row>
    <row r="16522" spans="1:6">
      <c r="A16522" s="2">
        <v>16519</v>
      </c>
      <c r="B16522" s="2" t="s">
        <v>16591</v>
      </c>
      <c r="C16522" s="2" t="str">
        <f t="shared" si="1"/>
        <v>0</v>
      </c>
      <c r="D16522" s="2">
        <v>0.1</v>
      </c>
      <c r="E16522" s="2">
        <v>7</v>
      </c>
      <c r="F16522" s="2" t="s">
        <v>6</v>
      </c>
    </row>
    <row r="16523" spans="1:6" ht="25.5">
      <c r="A16523" s="2">
        <v>16520</v>
      </c>
      <c r="B16523" s="2" t="s">
        <v>16592</v>
      </c>
      <c r="C16523" s="2" t="str">
        <f>"10436871"</f>
        <v>10436871</v>
      </c>
      <c r="D16523" s="2">
        <v>1.5680000000000001</v>
      </c>
      <c r="E16523" s="2">
        <v>31</v>
      </c>
      <c r="F16523" s="2" t="s">
        <v>6</v>
      </c>
    </row>
    <row r="16524" spans="1:6" ht="25.5">
      <c r="A16524" s="2">
        <v>16521</v>
      </c>
      <c r="B16524" s="2" t="s">
        <v>16593</v>
      </c>
      <c r="C16524" s="2" t="str">
        <f>"10636900"</f>
        <v>10636900</v>
      </c>
      <c r="D16524" s="2">
        <v>0</v>
      </c>
      <c r="E16524" s="2">
        <v>33</v>
      </c>
      <c r="F16524" s="2" t="s">
        <v>6</v>
      </c>
    </row>
    <row r="16525" spans="1:6" ht="25.5">
      <c r="A16525" s="2">
        <v>16522</v>
      </c>
      <c r="B16525" s="2" t="s">
        <v>16594</v>
      </c>
      <c r="C16525" s="2" t="str">
        <f>"08917736"</f>
        <v>08917736</v>
      </c>
      <c r="D16525" s="2">
        <v>0.38800000000000001</v>
      </c>
      <c r="E16525" s="2">
        <v>22</v>
      </c>
      <c r="F16525" s="2" t="s">
        <v>6</v>
      </c>
    </row>
    <row r="16526" spans="1:6" ht="25.5">
      <c r="A16526" s="2">
        <v>16523</v>
      </c>
      <c r="B16526" s="2" t="s">
        <v>16595</v>
      </c>
      <c r="C16526" s="2" t="str">
        <f>"00440604"</f>
        <v>00440604</v>
      </c>
      <c r="D16526" s="2">
        <v>0.32100000000000001</v>
      </c>
      <c r="E16526" s="2">
        <v>15</v>
      </c>
      <c r="F16526" s="2" t="s">
        <v>16</v>
      </c>
    </row>
    <row r="16527" spans="1:6" ht="25.5">
      <c r="A16527" s="2">
        <v>16524</v>
      </c>
      <c r="B16527" s="2" t="s">
        <v>16596</v>
      </c>
      <c r="C16527" s="2" t="str">
        <f>"19897553"</f>
        <v>19897553</v>
      </c>
      <c r="D16527" s="2">
        <v>0.20899999999999999</v>
      </c>
      <c r="E16527" s="2">
        <v>2</v>
      </c>
      <c r="F16527" s="2" t="s">
        <v>351</v>
      </c>
    </row>
    <row r="16528" spans="1:6" ht="25.5">
      <c r="A16528" s="2">
        <v>16525</v>
      </c>
      <c r="B16528" s="2" t="s">
        <v>16597</v>
      </c>
      <c r="C16528" s="2" t="str">
        <f>"13595113"</f>
        <v>13595113</v>
      </c>
      <c r="D16528" s="2">
        <v>1.0129999999999999</v>
      </c>
      <c r="E16528" s="2">
        <v>86</v>
      </c>
      <c r="F16528" s="2" t="s">
        <v>75</v>
      </c>
    </row>
    <row r="16529" spans="1:6" ht="25.5">
      <c r="A16529" s="2">
        <v>16526</v>
      </c>
      <c r="B16529" s="2" t="s">
        <v>16598</v>
      </c>
      <c r="C16529" s="2" t="str">
        <f>"17443598"</f>
        <v>17443598</v>
      </c>
      <c r="D16529" s="2">
        <v>0.64300000000000002</v>
      </c>
      <c r="E16529" s="2">
        <v>28</v>
      </c>
      <c r="F16529" s="2" t="s">
        <v>16</v>
      </c>
    </row>
    <row r="16530" spans="1:6" ht="25.5">
      <c r="A16530" s="2">
        <v>16527</v>
      </c>
      <c r="B16530" s="2" t="s">
        <v>16599</v>
      </c>
      <c r="C16530" s="2" t="str">
        <f>"15475913"</f>
        <v>15475913</v>
      </c>
      <c r="D16530" s="2">
        <v>0.36599999999999999</v>
      </c>
      <c r="E16530" s="2">
        <v>20</v>
      </c>
      <c r="F16530" s="2" t="s">
        <v>6</v>
      </c>
    </row>
    <row r="16531" spans="1:6" ht="25.5">
      <c r="A16531" s="2">
        <v>16528</v>
      </c>
      <c r="B16531" s="2" t="s">
        <v>16600</v>
      </c>
      <c r="C16531" s="2" t="str">
        <f>"01036513"</f>
        <v>01036513</v>
      </c>
      <c r="D16531" s="2">
        <v>0.19</v>
      </c>
      <c r="E16531" s="2">
        <v>5</v>
      </c>
      <c r="F16531" s="2" t="s">
        <v>159</v>
      </c>
    </row>
    <row r="16532" spans="1:6" ht="25.5">
      <c r="A16532" s="2">
        <v>16529</v>
      </c>
      <c r="B16532" s="2" t="s">
        <v>16601</v>
      </c>
      <c r="C16532" s="2" t="str">
        <f>"10591478"</f>
        <v>10591478</v>
      </c>
      <c r="D16532" s="2">
        <v>2.4790000000000001</v>
      </c>
      <c r="E16532" s="2">
        <v>57</v>
      </c>
      <c r="F16532" s="2" t="s">
        <v>6</v>
      </c>
    </row>
    <row r="16533" spans="1:6" ht="25.5">
      <c r="A16533" s="2">
        <v>16530</v>
      </c>
      <c r="B16533" s="2" t="s">
        <v>16602</v>
      </c>
      <c r="C16533" s="2" t="str">
        <f>"09446524"</f>
        <v>09446524</v>
      </c>
      <c r="D16533" s="2">
        <v>0.99</v>
      </c>
      <c r="E16533" s="2">
        <v>11</v>
      </c>
      <c r="F16533" s="2" t="s">
        <v>12</v>
      </c>
    </row>
    <row r="16534" spans="1:6" ht="25.5">
      <c r="A16534" s="2">
        <v>16531</v>
      </c>
      <c r="B16534" s="2" t="s">
        <v>16603</v>
      </c>
      <c r="C16534" s="2" t="str">
        <f>"13665871"</f>
        <v>13665871</v>
      </c>
      <c r="D16534" s="2">
        <v>0.69699999999999995</v>
      </c>
      <c r="E16534" s="2">
        <v>39</v>
      </c>
      <c r="F16534" s="2" t="s">
        <v>16</v>
      </c>
    </row>
    <row r="16535" spans="1:6" ht="25.5">
      <c r="A16535" s="2">
        <v>16532</v>
      </c>
      <c r="B16535" s="2" t="s">
        <v>16604</v>
      </c>
      <c r="C16535" s="2" t="str">
        <f>"11525428"</f>
        <v>11525428</v>
      </c>
      <c r="D16535" s="2">
        <v>0.215</v>
      </c>
      <c r="E16535" s="2">
        <v>21</v>
      </c>
      <c r="F16535" s="2" t="s">
        <v>66</v>
      </c>
    </row>
    <row r="16536" spans="1:6" ht="25.5">
      <c r="A16536" s="2">
        <v>16533</v>
      </c>
      <c r="B16536" s="2" t="s">
        <v>16605</v>
      </c>
      <c r="C16536" s="2" t="str">
        <f>"16992407"</f>
        <v>16992407</v>
      </c>
      <c r="D16536" s="2">
        <v>0.27900000000000003</v>
      </c>
      <c r="E16536" s="2">
        <v>8</v>
      </c>
      <c r="F16536" s="2" t="s">
        <v>351</v>
      </c>
    </row>
    <row r="16537" spans="1:6" ht="25.5">
      <c r="A16537" s="2">
        <v>16534</v>
      </c>
      <c r="B16537" s="2" t="s">
        <v>16606</v>
      </c>
      <c r="C16537" s="2" t="str">
        <f>"1138414X"</f>
        <v>1138414X</v>
      </c>
      <c r="D16537" s="2">
        <v>0</v>
      </c>
      <c r="E16537" s="2">
        <v>1</v>
      </c>
      <c r="F16537" s="2" t="s">
        <v>351</v>
      </c>
    </row>
    <row r="16538" spans="1:6" ht="25.5">
      <c r="A16538" s="2">
        <v>16535</v>
      </c>
      <c r="B16538" s="2" t="s">
        <v>16607</v>
      </c>
      <c r="C16538" s="2" t="str">
        <f>"19328095"</f>
        <v>19328095</v>
      </c>
      <c r="D16538" s="2">
        <v>0.19700000000000001</v>
      </c>
      <c r="E16538" s="2">
        <v>12</v>
      </c>
      <c r="F16538" s="2" t="s">
        <v>6</v>
      </c>
    </row>
    <row r="16539" spans="1:6" ht="25.5">
      <c r="A16539" s="2">
        <v>16536</v>
      </c>
      <c r="B16539" s="2" t="s">
        <v>16608</v>
      </c>
      <c r="C16539" s="2" t="str">
        <f>"19415257"</f>
        <v>19415257</v>
      </c>
      <c r="D16539" s="2">
        <v>0.504</v>
      </c>
      <c r="E16539" s="2">
        <v>6</v>
      </c>
      <c r="F16539" s="2" t="s">
        <v>16</v>
      </c>
    </row>
    <row r="16540" spans="1:6" ht="25.5">
      <c r="A16540" s="2">
        <v>16537</v>
      </c>
      <c r="B16540" s="2" t="s">
        <v>16609</v>
      </c>
      <c r="C16540" s="2" t="str">
        <f>"14679272"</f>
        <v>14679272</v>
      </c>
      <c r="D16540" s="2">
        <v>1.137</v>
      </c>
      <c r="E16540" s="2">
        <v>40</v>
      </c>
      <c r="F16540" s="2" t="s">
        <v>6</v>
      </c>
    </row>
    <row r="16541" spans="1:6" ht="25.5">
      <c r="A16541" s="2">
        <v>16538</v>
      </c>
      <c r="B16541" s="2" t="s">
        <v>16610</v>
      </c>
      <c r="C16541" s="2" t="str">
        <f>"07357028"</f>
        <v>07357028</v>
      </c>
      <c r="D16541" s="2">
        <v>0.89200000000000002</v>
      </c>
      <c r="E16541" s="2">
        <v>47</v>
      </c>
      <c r="F16541" s="2" t="s">
        <v>6</v>
      </c>
    </row>
    <row r="16542" spans="1:6" ht="25.5">
      <c r="A16542" s="2">
        <v>16539</v>
      </c>
      <c r="B16542" s="2" t="s">
        <v>16611</v>
      </c>
      <c r="C16542" s="2" t="str">
        <f>"00330205"</f>
        <v>00330205</v>
      </c>
      <c r="D16542" s="2">
        <v>0.112</v>
      </c>
      <c r="E16542" s="2">
        <v>4</v>
      </c>
      <c r="F16542" s="2" t="s">
        <v>190</v>
      </c>
    </row>
    <row r="16543" spans="1:6" ht="25.5">
      <c r="A16543" s="2">
        <v>16540</v>
      </c>
      <c r="B16543" s="2" t="s">
        <v>16612</v>
      </c>
      <c r="C16543" s="2" t="str">
        <f>"18715125"</f>
        <v>18715125</v>
      </c>
      <c r="D16543" s="2">
        <v>0</v>
      </c>
      <c r="E16543" s="2">
        <v>7</v>
      </c>
      <c r="F16543" s="2" t="s">
        <v>6</v>
      </c>
    </row>
    <row r="16544" spans="1:6" ht="25.5">
      <c r="A16544" s="2">
        <v>16541</v>
      </c>
      <c r="B16544" s="2" t="s">
        <v>16613</v>
      </c>
      <c r="C16544" s="2" t="str">
        <f>"00330337"</f>
        <v>00330337</v>
      </c>
      <c r="D16544" s="2">
        <v>0.65700000000000003</v>
      </c>
      <c r="E16544" s="2">
        <v>13</v>
      </c>
      <c r="F16544" s="2" t="s">
        <v>16</v>
      </c>
    </row>
    <row r="16545" spans="1:6" ht="25.5">
      <c r="A16545" s="2">
        <v>16542</v>
      </c>
      <c r="B16545" s="2" t="s">
        <v>16614</v>
      </c>
      <c r="C16545" s="2" t="str">
        <f>"16083261"</f>
        <v>16083261</v>
      </c>
      <c r="D16545" s="2">
        <v>0.24</v>
      </c>
      <c r="E16545" s="2">
        <v>8</v>
      </c>
      <c r="F16545" s="2" t="s">
        <v>129</v>
      </c>
    </row>
    <row r="16546" spans="1:6" ht="25.5">
      <c r="A16546" s="2">
        <v>16543</v>
      </c>
      <c r="B16546" s="2" t="s">
        <v>16615</v>
      </c>
      <c r="C16546" s="2" t="str">
        <f>"11667087"</f>
        <v>11667087</v>
      </c>
      <c r="D16546" s="2">
        <v>0.245</v>
      </c>
      <c r="E16546" s="2">
        <v>23</v>
      </c>
      <c r="F16546" s="2" t="s">
        <v>66</v>
      </c>
    </row>
    <row r="16547" spans="1:6" ht="25.5">
      <c r="A16547" s="2">
        <v>16544</v>
      </c>
      <c r="B16547" s="2" t="s">
        <v>16615</v>
      </c>
      <c r="C16547" s="2" t="str">
        <f>"1761676X"</f>
        <v>1761676X</v>
      </c>
      <c r="D16547" s="2">
        <v>0.105</v>
      </c>
      <c r="E16547" s="2">
        <v>14</v>
      </c>
      <c r="F16547" s="2" t="s">
        <v>190</v>
      </c>
    </row>
    <row r="16548" spans="1:6" ht="25.5">
      <c r="A16548" s="2">
        <v>16545</v>
      </c>
      <c r="B16548" s="2" t="s">
        <v>16616</v>
      </c>
      <c r="C16548" s="2" t="str">
        <f>"15781453"</f>
        <v>15781453</v>
      </c>
      <c r="D16548" s="2">
        <v>0.13100000000000001</v>
      </c>
      <c r="E16548" s="2">
        <v>6</v>
      </c>
      <c r="F16548" s="2" t="s">
        <v>351</v>
      </c>
    </row>
    <row r="16549" spans="1:6" ht="25.5">
      <c r="A16549" s="2">
        <v>16546</v>
      </c>
      <c r="B16549" s="2" t="s">
        <v>16617</v>
      </c>
      <c r="C16549" s="2" t="str">
        <f>"03760421"</f>
        <v>03760421</v>
      </c>
      <c r="D16549" s="2">
        <v>1.411</v>
      </c>
      <c r="E16549" s="2">
        <v>56</v>
      </c>
      <c r="F16549" s="2" t="s">
        <v>16</v>
      </c>
    </row>
    <row r="16550" spans="1:6" ht="25.5">
      <c r="A16550" s="2">
        <v>16547</v>
      </c>
      <c r="B16550" s="2" t="s">
        <v>16618</v>
      </c>
      <c r="C16550" s="2" t="str">
        <f>"1786335X"</f>
        <v>1786335X</v>
      </c>
      <c r="D16550" s="2">
        <v>0.124</v>
      </c>
      <c r="E16550" s="2">
        <v>4</v>
      </c>
      <c r="F16550" s="2" t="s">
        <v>135</v>
      </c>
    </row>
    <row r="16551" spans="1:6" ht="25.5">
      <c r="A16551" s="2">
        <v>16548</v>
      </c>
      <c r="B16551" s="2" t="s">
        <v>16619</v>
      </c>
      <c r="C16551" s="2" t="str">
        <f>"10003282"</f>
        <v>10003282</v>
      </c>
      <c r="D16551" s="2">
        <v>0.252</v>
      </c>
      <c r="E16551" s="2">
        <v>13</v>
      </c>
      <c r="F16551" s="2" t="s">
        <v>46</v>
      </c>
    </row>
    <row r="16552" spans="1:6" ht="25.5">
      <c r="A16552" s="2">
        <v>16549</v>
      </c>
      <c r="B16552" s="2" t="s">
        <v>16620</v>
      </c>
      <c r="C16552" s="2" t="str">
        <f>"00796107"</f>
        <v>00796107</v>
      </c>
      <c r="D16552" s="2">
        <v>0.95799999999999996</v>
      </c>
      <c r="E16552" s="2">
        <v>73</v>
      </c>
      <c r="F16552" s="2" t="s">
        <v>16</v>
      </c>
    </row>
    <row r="16553" spans="1:6" ht="25.5">
      <c r="A16553" s="2">
        <v>16550</v>
      </c>
      <c r="B16553" s="2" t="s">
        <v>16621</v>
      </c>
      <c r="C16553" s="2" t="str">
        <f>"18757855"</f>
        <v>18757855</v>
      </c>
      <c r="D16553" s="2">
        <v>1.375</v>
      </c>
      <c r="E16553" s="2">
        <v>86</v>
      </c>
      <c r="F16553" s="2" t="s">
        <v>75</v>
      </c>
    </row>
    <row r="16554" spans="1:6" ht="25.5">
      <c r="A16554" s="2">
        <v>16551</v>
      </c>
      <c r="B16554" s="2" t="s">
        <v>16622</v>
      </c>
      <c r="C16554" s="2" t="str">
        <f>"15328643"</f>
        <v>15328643</v>
      </c>
      <c r="D16554" s="2">
        <v>1.6779999999999999</v>
      </c>
      <c r="E16554" s="2">
        <v>58</v>
      </c>
      <c r="F16554" s="2" t="s">
        <v>16</v>
      </c>
    </row>
    <row r="16555" spans="1:6" ht="25.5">
      <c r="A16555" s="2">
        <v>16552</v>
      </c>
      <c r="B16555" s="2" t="s">
        <v>16623</v>
      </c>
      <c r="C16555" s="2" t="str">
        <f>"1005281X"</f>
        <v>1005281X</v>
      </c>
      <c r="D16555" s="2">
        <v>0.186</v>
      </c>
      <c r="E16555" s="2">
        <v>16</v>
      </c>
      <c r="F16555" s="2" t="s">
        <v>46</v>
      </c>
    </row>
    <row r="16556" spans="1:6" ht="25.5">
      <c r="A16556" s="2">
        <v>16553</v>
      </c>
      <c r="B16556" s="2" t="s">
        <v>16624</v>
      </c>
      <c r="C16556" s="2" t="str">
        <f>"0340255X"</f>
        <v>0340255X</v>
      </c>
      <c r="D16556" s="2">
        <v>0.27700000000000002</v>
      </c>
      <c r="E16556" s="2">
        <v>26</v>
      </c>
      <c r="F16556" s="2" t="s">
        <v>12</v>
      </c>
    </row>
    <row r="16557" spans="1:6" ht="25.5">
      <c r="A16557" s="2">
        <v>16554</v>
      </c>
      <c r="B16557" s="2" t="s">
        <v>16625</v>
      </c>
      <c r="C16557" s="2" t="str">
        <f>"1557055X"</f>
        <v>1557055X</v>
      </c>
      <c r="D16557" s="2">
        <v>0.26400000000000001</v>
      </c>
      <c r="E16557" s="2">
        <v>9</v>
      </c>
      <c r="F16557" s="2" t="s">
        <v>6</v>
      </c>
    </row>
    <row r="16558" spans="1:6" ht="25.5">
      <c r="A16558" s="2">
        <v>16555</v>
      </c>
      <c r="B16558" s="2" t="s">
        <v>16626</v>
      </c>
      <c r="C16558" s="2" t="str">
        <f>"17415233"</f>
        <v>17415233</v>
      </c>
      <c r="D16558" s="2">
        <v>0.21299999999999999</v>
      </c>
      <c r="E16558" s="2">
        <v>14</v>
      </c>
      <c r="F16558" s="2" t="s">
        <v>16</v>
      </c>
    </row>
    <row r="16559" spans="1:6" ht="25.5">
      <c r="A16559" s="2">
        <v>16556</v>
      </c>
      <c r="B16559" s="2" t="s">
        <v>16627</v>
      </c>
      <c r="C16559" s="2" t="str">
        <f>"09608974"</f>
        <v>09608974</v>
      </c>
      <c r="D16559" s="2">
        <v>1.3779999999999999</v>
      </c>
      <c r="E16559" s="2">
        <v>29</v>
      </c>
      <c r="F16559" s="2" t="s">
        <v>16</v>
      </c>
    </row>
    <row r="16560" spans="1:6" ht="25.5">
      <c r="A16560" s="2">
        <v>16557</v>
      </c>
      <c r="B16560" s="2" t="s">
        <v>16628</v>
      </c>
      <c r="C16560" s="2" t="str">
        <f>"1477027X"</f>
        <v>1477027X</v>
      </c>
      <c r="D16560" s="2">
        <v>0.29099999999999998</v>
      </c>
      <c r="E16560" s="2">
        <v>10</v>
      </c>
      <c r="F16560" s="2" t="s">
        <v>16</v>
      </c>
    </row>
    <row r="16561" spans="1:6" ht="25.5">
      <c r="A16561" s="2">
        <v>16558</v>
      </c>
      <c r="B16561" s="2" t="s">
        <v>16629</v>
      </c>
      <c r="C16561" s="2" t="str">
        <f>"0071786X"</f>
        <v>0071786X</v>
      </c>
      <c r="D16561" s="2">
        <v>2.35</v>
      </c>
      <c r="E16561" s="2">
        <v>28</v>
      </c>
      <c r="F16561" s="2" t="s">
        <v>31</v>
      </c>
    </row>
    <row r="16562" spans="1:6" ht="25.5">
      <c r="A16562" s="2">
        <v>16559</v>
      </c>
      <c r="B16562" s="2" t="s">
        <v>16630</v>
      </c>
      <c r="C16562" s="2" t="str">
        <f>"10704698"</f>
        <v>10704698</v>
      </c>
      <c r="D16562" s="2">
        <v>1.611</v>
      </c>
      <c r="E16562" s="2">
        <v>46</v>
      </c>
      <c r="F16562" s="2" t="s">
        <v>6</v>
      </c>
    </row>
    <row r="16563" spans="1:6" ht="25.5">
      <c r="A16563" s="2">
        <v>16560</v>
      </c>
      <c r="B16563" s="2" t="s">
        <v>16631</v>
      </c>
      <c r="C16563" s="2" t="str">
        <f>"19376472"</f>
        <v>19376472</v>
      </c>
      <c r="D16563" s="2">
        <v>0.59599999999999997</v>
      </c>
      <c r="E16563" s="2">
        <v>17</v>
      </c>
      <c r="F16563" s="2" t="s">
        <v>6</v>
      </c>
    </row>
    <row r="16564" spans="1:6" ht="25.5">
      <c r="A16564" s="2">
        <v>16561</v>
      </c>
      <c r="B16564" s="2" t="s">
        <v>16632</v>
      </c>
      <c r="C16564" s="2" t="str">
        <f>"19378718"</f>
        <v>19378718</v>
      </c>
      <c r="D16564" s="2">
        <v>0.42899999999999999</v>
      </c>
      <c r="E16564" s="2">
        <v>8</v>
      </c>
      <c r="F16564" s="2" t="s">
        <v>6</v>
      </c>
    </row>
    <row r="16565" spans="1:6">
      <c r="A16565" s="2">
        <v>16562</v>
      </c>
      <c r="B16565" s="2" t="s">
        <v>16633</v>
      </c>
      <c r="C16565" s="2" t="str">
        <f>"0"</f>
        <v>0</v>
      </c>
      <c r="D16565" s="2">
        <v>0.60199999999999998</v>
      </c>
      <c r="E16565" s="2">
        <v>17</v>
      </c>
      <c r="F16565" s="2" t="s">
        <v>6</v>
      </c>
    </row>
    <row r="16566" spans="1:6" ht="25.5">
      <c r="A16566" s="2">
        <v>16563</v>
      </c>
      <c r="B16566" s="2" t="s">
        <v>16634</v>
      </c>
      <c r="C16566" s="2" t="str">
        <f>"19378726"</f>
        <v>19378726</v>
      </c>
      <c r="D16566" s="2">
        <v>0.39800000000000002</v>
      </c>
      <c r="E16566" s="2">
        <v>10</v>
      </c>
      <c r="F16566" s="2" t="s">
        <v>6</v>
      </c>
    </row>
    <row r="16567" spans="1:6" ht="25.5">
      <c r="A16567" s="2">
        <v>16564</v>
      </c>
      <c r="B16567" s="2" t="s">
        <v>16635</v>
      </c>
      <c r="C16567" s="2" t="str">
        <f>"03601285"</f>
        <v>03601285</v>
      </c>
      <c r="D16567" s="2">
        <v>4.8520000000000003</v>
      </c>
      <c r="E16567" s="2">
        <v>88</v>
      </c>
      <c r="F16567" s="2" t="s">
        <v>75</v>
      </c>
    </row>
    <row r="16568" spans="1:6" ht="25.5">
      <c r="A16568" s="2">
        <v>16565</v>
      </c>
      <c r="B16568" s="2" t="s">
        <v>16636</v>
      </c>
      <c r="C16568" s="2" t="str">
        <f>"09596380"</f>
        <v>09596380</v>
      </c>
      <c r="D16568" s="2">
        <v>0.27500000000000002</v>
      </c>
      <c r="E16568" s="2">
        <v>15</v>
      </c>
      <c r="F16568" s="2" t="s">
        <v>16</v>
      </c>
    </row>
    <row r="16569" spans="1:6" ht="25.5">
      <c r="A16569" s="2">
        <v>16566</v>
      </c>
      <c r="B16569" s="2" t="s">
        <v>16637</v>
      </c>
      <c r="C16569" s="2" t="str">
        <f>"00796336"</f>
        <v>00796336</v>
      </c>
      <c r="D16569" s="2">
        <v>1.075</v>
      </c>
      <c r="E16569" s="2">
        <v>24</v>
      </c>
      <c r="F16569" s="2" t="s">
        <v>12</v>
      </c>
    </row>
    <row r="16570" spans="1:6" ht="25.5">
      <c r="A16570" s="2">
        <v>16567</v>
      </c>
      <c r="B16570" s="2" t="s">
        <v>16638</v>
      </c>
      <c r="C16570" s="2" t="str">
        <f>"14770288"</f>
        <v>14770288</v>
      </c>
      <c r="D16570" s="2">
        <v>3.4220000000000002</v>
      </c>
      <c r="E16570" s="2">
        <v>69</v>
      </c>
      <c r="F16570" s="2" t="s">
        <v>16</v>
      </c>
    </row>
    <row r="16571" spans="1:6" ht="25.5">
      <c r="A16571" s="2">
        <v>16568</v>
      </c>
      <c r="B16571" s="2" t="s">
        <v>16639</v>
      </c>
      <c r="C16571" s="2" t="str">
        <f>"13498614"</f>
        <v>13498614</v>
      </c>
      <c r="D16571" s="2">
        <v>0.33700000000000002</v>
      </c>
      <c r="E16571" s="2">
        <v>7</v>
      </c>
      <c r="F16571" s="2" t="s">
        <v>131</v>
      </c>
    </row>
    <row r="16572" spans="1:6" ht="25.5">
      <c r="A16572" s="2">
        <v>16569</v>
      </c>
      <c r="B16572" s="2" t="s">
        <v>16640</v>
      </c>
      <c r="C16572" s="2" t="str">
        <f>"00796379"</f>
        <v>00796379</v>
      </c>
      <c r="D16572" s="2">
        <v>1.62</v>
      </c>
      <c r="E16572" s="2">
        <v>40</v>
      </c>
      <c r="F16572" s="2" t="s">
        <v>6</v>
      </c>
    </row>
    <row r="16573" spans="1:6" ht="25.5">
      <c r="A16573" s="2">
        <v>16570</v>
      </c>
      <c r="B16573" s="2" t="s">
        <v>16641</v>
      </c>
      <c r="C16573" s="2" t="str">
        <f>"01637827"</f>
        <v>01637827</v>
      </c>
      <c r="D16573" s="2">
        <v>3.698</v>
      </c>
      <c r="E16573" s="2">
        <v>86</v>
      </c>
      <c r="F16573" s="2" t="s">
        <v>16</v>
      </c>
    </row>
    <row r="16574" spans="1:6" ht="25.5">
      <c r="A16574" s="2">
        <v>16571</v>
      </c>
      <c r="B16574" s="2" t="s">
        <v>16642</v>
      </c>
      <c r="C16574" s="2" t="str">
        <f>"18732208"</f>
        <v>18732208</v>
      </c>
      <c r="D16574" s="2">
        <v>9.4380000000000006</v>
      </c>
      <c r="E16574" s="2">
        <v>77</v>
      </c>
      <c r="F16574" s="2" t="s">
        <v>16</v>
      </c>
    </row>
    <row r="16575" spans="1:6" ht="25.5">
      <c r="A16575" s="2">
        <v>16572</v>
      </c>
      <c r="B16575" s="2" t="s">
        <v>16643</v>
      </c>
      <c r="C16575" s="2" t="str">
        <f>"00796468"</f>
        <v>00796468</v>
      </c>
      <c r="D16575" s="2">
        <v>1.0149999999999999</v>
      </c>
      <c r="E16575" s="2">
        <v>25</v>
      </c>
      <c r="F16575" s="2" t="s">
        <v>75</v>
      </c>
    </row>
    <row r="16576" spans="1:6" ht="25.5">
      <c r="A16576" s="2">
        <v>16573</v>
      </c>
      <c r="B16576" s="2" t="s">
        <v>16644</v>
      </c>
      <c r="C16576" s="2" t="str">
        <f>"18771173"</f>
        <v>18771173</v>
      </c>
      <c r="D16576" s="2">
        <v>1.361</v>
      </c>
      <c r="E16576" s="2">
        <v>72</v>
      </c>
      <c r="F16576" s="2" t="s">
        <v>6</v>
      </c>
    </row>
    <row r="16577" spans="1:6" ht="25.5">
      <c r="A16577" s="2">
        <v>16574</v>
      </c>
      <c r="B16577" s="2" t="s">
        <v>16645</v>
      </c>
      <c r="C16577" s="2" t="str">
        <f>"10020071"</f>
        <v>10020071</v>
      </c>
      <c r="D16577" s="2">
        <v>0.28199999999999997</v>
      </c>
      <c r="E16577" s="2">
        <v>23</v>
      </c>
      <c r="F16577" s="2" t="s">
        <v>16</v>
      </c>
    </row>
    <row r="16578" spans="1:6" ht="25.5">
      <c r="A16578" s="2">
        <v>16575</v>
      </c>
      <c r="B16578" s="2" t="s">
        <v>16646</v>
      </c>
      <c r="C16578" s="2" t="str">
        <f>"03010082"</f>
        <v>03010082</v>
      </c>
      <c r="D16578" s="2">
        <v>3.625</v>
      </c>
      <c r="E16578" s="2">
        <v>152</v>
      </c>
      <c r="F16578" s="2" t="s">
        <v>16</v>
      </c>
    </row>
    <row r="16579" spans="1:6" ht="25.5">
      <c r="A16579" s="2">
        <v>16576</v>
      </c>
      <c r="B16579" s="2" t="s">
        <v>16647</v>
      </c>
      <c r="C16579" s="2" t="str">
        <f>"00796492"</f>
        <v>00796492</v>
      </c>
      <c r="D16579" s="2">
        <v>0.34599999999999997</v>
      </c>
      <c r="E16579" s="2">
        <v>12</v>
      </c>
      <c r="F16579" s="2" t="s">
        <v>31</v>
      </c>
    </row>
    <row r="16580" spans="1:6" ht="25.5">
      <c r="A16580" s="2">
        <v>16577</v>
      </c>
      <c r="B16580" s="2" t="s">
        <v>16648</v>
      </c>
      <c r="C16580" s="2" t="str">
        <f>"13677543"</f>
        <v>13677543</v>
      </c>
      <c r="D16580" s="2">
        <v>0.13300000000000001</v>
      </c>
      <c r="E16580" s="2">
        <v>3</v>
      </c>
      <c r="F16580" s="2" t="s">
        <v>16</v>
      </c>
    </row>
    <row r="16581" spans="1:6" ht="25.5">
      <c r="A16581" s="2">
        <v>16578</v>
      </c>
      <c r="B16581" s="2" t="s">
        <v>16649</v>
      </c>
      <c r="C16581" s="2" t="str">
        <f>"02785846"</f>
        <v>02785846</v>
      </c>
      <c r="D16581" s="2">
        <v>1.343</v>
      </c>
      <c r="E16581" s="2">
        <v>74</v>
      </c>
      <c r="F16581" s="2" t="s">
        <v>6</v>
      </c>
    </row>
    <row r="16582" spans="1:6" ht="25.5">
      <c r="A16582" s="2">
        <v>16579</v>
      </c>
      <c r="B16582" s="2" t="s">
        <v>16650</v>
      </c>
      <c r="C16582" s="2" t="str">
        <f>"01491970"</f>
        <v>01491970</v>
      </c>
      <c r="D16582" s="2">
        <v>0.85199999999999998</v>
      </c>
      <c r="E16582" s="2">
        <v>27</v>
      </c>
      <c r="F16582" s="2" t="s">
        <v>16</v>
      </c>
    </row>
    <row r="16583" spans="1:6" ht="25.5">
      <c r="A16583" s="2">
        <v>16580</v>
      </c>
      <c r="B16583" s="2" t="s">
        <v>16651</v>
      </c>
      <c r="C16583" s="2" t="str">
        <f>"00796565"</f>
        <v>00796565</v>
      </c>
      <c r="D16583" s="2">
        <v>1.974</v>
      </c>
      <c r="E16583" s="2">
        <v>67</v>
      </c>
      <c r="F16583" s="2" t="s">
        <v>75</v>
      </c>
    </row>
    <row r="16584" spans="1:6" ht="25.5">
      <c r="A16584" s="2">
        <v>16581</v>
      </c>
      <c r="B16584" s="2" t="s">
        <v>16652</v>
      </c>
      <c r="C16584" s="2" t="str">
        <f>"11298723"</f>
        <v>11298723</v>
      </c>
      <c r="D16584" s="2">
        <v>0.11</v>
      </c>
      <c r="E16584" s="2">
        <v>5</v>
      </c>
      <c r="F16584" s="2" t="s">
        <v>190</v>
      </c>
    </row>
    <row r="16585" spans="1:6" ht="25.5">
      <c r="A16585" s="2">
        <v>16582</v>
      </c>
      <c r="B16585" s="2" t="s">
        <v>16653</v>
      </c>
      <c r="C16585" s="2" t="str">
        <f>"00796611"</f>
        <v>00796611</v>
      </c>
      <c r="D16585" s="2">
        <v>2.266</v>
      </c>
      <c r="E16585" s="2">
        <v>74</v>
      </c>
      <c r="F16585" s="2" t="s">
        <v>16</v>
      </c>
    </row>
    <row r="16586" spans="1:6" ht="25.5">
      <c r="A16586" s="2">
        <v>16583</v>
      </c>
      <c r="B16586" s="2" t="s">
        <v>16654</v>
      </c>
      <c r="C16586" s="2" t="str">
        <f>"00796638"</f>
        <v>00796638</v>
      </c>
      <c r="D16586" s="2">
        <v>3.5350000000000001</v>
      </c>
      <c r="E16586" s="2">
        <v>31</v>
      </c>
      <c r="F16586" s="2" t="s">
        <v>75</v>
      </c>
    </row>
    <row r="16587" spans="1:6" ht="25.5">
      <c r="A16587" s="2">
        <v>16584</v>
      </c>
      <c r="B16587" s="2" t="s">
        <v>16655</v>
      </c>
      <c r="C16587" s="2" t="str">
        <f>"03009440"</f>
        <v>03009440</v>
      </c>
      <c r="D16587" s="2">
        <v>0.91400000000000003</v>
      </c>
      <c r="E16587" s="2">
        <v>55</v>
      </c>
      <c r="F16587" s="2" t="s">
        <v>75</v>
      </c>
    </row>
    <row r="16588" spans="1:6" ht="25.5">
      <c r="A16588" s="2">
        <v>16585</v>
      </c>
      <c r="B16588" s="2" t="s">
        <v>16656</v>
      </c>
      <c r="C16588" s="2" t="str">
        <f>"17237785"</f>
        <v>17237785</v>
      </c>
      <c r="D16588" s="2">
        <v>0.218</v>
      </c>
      <c r="E16588" s="2">
        <v>11</v>
      </c>
      <c r="F16588" s="2" t="s">
        <v>190</v>
      </c>
    </row>
    <row r="16589" spans="1:6" ht="25.5">
      <c r="A16589" s="2">
        <v>16586</v>
      </c>
      <c r="B16589" s="2" t="s">
        <v>16657</v>
      </c>
      <c r="C16589" s="2" t="str">
        <f>"09699260"</f>
        <v>09699260</v>
      </c>
      <c r="D16589" s="2">
        <v>0.245</v>
      </c>
      <c r="E16589" s="2">
        <v>7</v>
      </c>
      <c r="F16589" s="2" t="s">
        <v>16</v>
      </c>
    </row>
    <row r="16590" spans="1:6" ht="25.5">
      <c r="A16590" s="2">
        <v>16587</v>
      </c>
      <c r="B16590" s="2" t="s">
        <v>16658</v>
      </c>
      <c r="C16590" s="2" t="str">
        <f>"01466410"</f>
        <v>01466410</v>
      </c>
      <c r="D16590" s="2">
        <v>2.0609999999999999</v>
      </c>
      <c r="E16590" s="2">
        <v>65</v>
      </c>
      <c r="F16590" s="2" t="s">
        <v>75</v>
      </c>
    </row>
    <row r="16591" spans="1:6" ht="25.5">
      <c r="A16591" s="2">
        <v>16588</v>
      </c>
      <c r="B16591" s="2" t="s">
        <v>16659</v>
      </c>
      <c r="C16591" s="2" t="str">
        <f>"10589813"</f>
        <v>10589813</v>
      </c>
      <c r="D16591" s="2">
        <v>0.214</v>
      </c>
      <c r="E16591" s="2">
        <v>16</v>
      </c>
      <c r="F16591" s="2" t="s">
        <v>732</v>
      </c>
    </row>
    <row r="16592" spans="1:6" ht="25.5">
      <c r="A16592" s="2">
        <v>16589</v>
      </c>
      <c r="B16592" s="2" t="s">
        <v>16660</v>
      </c>
      <c r="C16592" s="2" t="str">
        <f>"10627995"</f>
        <v>10627995</v>
      </c>
      <c r="D16592" s="2">
        <v>3.09</v>
      </c>
      <c r="E16592" s="2">
        <v>63</v>
      </c>
      <c r="F16592" s="2" t="s">
        <v>16</v>
      </c>
    </row>
    <row r="16593" spans="1:6" ht="25.5">
      <c r="A16593" s="2">
        <v>16590</v>
      </c>
      <c r="B16593" s="2" t="s">
        <v>16661</v>
      </c>
      <c r="C16593" s="2" t="str">
        <f>"14770296"</f>
        <v>14770296</v>
      </c>
      <c r="D16593" s="2">
        <v>1.115</v>
      </c>
      <c r="E16593" s="2">
        <v>53</v>
      </c>
      <c r="F16593" s="2" t="s">
        <v>16</v>
      </c>
    </row>
    <row r="16594" spans="1:6" ht="25.5">
      <c r="A16594" s="2">
        <v>16591</v>
      </c>
      <c r="B16594" s="2" t="s">
        <v>16662</v>
      </c>
      <c r="C16594" s="2" t="str">
        <f>"03059006"</f>
        <v>03059006</v>
      </c>
      <c r="D16594" s="2">
        <v>1.1479999999999999</v>
      </c>
      <c r="E16594" s="2">
        <v>21</v>
      </c>
      <c r="F16594" s="2" t="s">
        <v>16</v>
      </c>
    </row>
    <row r="16595" spans="1:6" ht="25.5">
      <c r="A16595" s="2">
        <v>16592</v>
      </c>
      <c r="B16595" s="2" t="s">
        <v>16663</v>
      </c>
      <c r="C16595" s="2" t="str">
        <f>"00796700"</f>
        <v>00796700</v>
      </c>
      <c r="D16595" s="2">
        <v>8.4629999999999992</v>
      </c>
      <c r="E16595" s="2">
        <v>145</v>
      </c>
      <c r="F16595" s="2" t="s">
        <v>16</v>
      </c>
    </row>
    <row r="16596" spans="1:6" ht="25.5">
      <c r="A16596" s="2">
        <v>16593</v>
      </c>
      <c r="B16596" s="2" t="s">
        <v>16664</v>
      </c>
      <c r="C16596" s="2" t="str">
        <f>"00796727"</f>
        <v>00796727</v>
      </c>
      <c r="D16596" s="2">
        <v>4.8079999999999998</v>
      </c>
      <c r="E16596" s="2">
        <v>36</v>
      </c>
      <c r="F16596" s="2" t="s">
        <v>16</v>
      </c>
    </row>
    <row r="16597" spans="1:6" ht="25.5">
      <c r="A16597" s="2">
        <v>16594</v>
      </c>
      <c r="B16597" s="2" t="s">
        <v>16665</v>
      </c>
      <c r="C16597" s="2" t="str">
        <f>"1471406X"</f>
        <v>1471406X</v>
      </c>
      <c r="D16597" s="2">
        <v>0.20399999999999999</v>
      </c>
      <c r="E16597" s="2">
        <v>18</v>
      </c>
      <c r="F16597" s="2" t="s">
        <v>16</v>
      </c>
    </row>
    <row r="16598" spans="1:6" ht="25.5">
      <c r="A16598" s="2">
        <v>16595</v>
      </c>
      <c r="B16598" s="2" t="s">
        <v>16666</v>
      </c>
      <c r="C16598" s="2" t="str">
        <f>"14222140"</f>
        <v>14222140</v>
      </c>
      <c r="D16598" s="2">
        <v>0.16</v>
      </c>
      <c r="E16598" s="2">
        <v>3</v>
      </c>
      <c r="F16598" s="2" t="s">
        <v>31</v>
      </c>
    </row>
    <row r="16599" spans="1:6" ht="25.5">
      <c r="A16599" s="2">
        <v>16596</v>
      </c>
      <c r="B16599" s="2" t="s">
        <v>16667</v>
      </c>
      <c r="C16599" s="2" t="str">
        <f>"13509462"</f>
        <v>13509462</v>
      </c>
      <c r="D16599" s="2">
        <v>3.8479999999999999</v>
      </c>
      <c r="E16599" s="2">
        <v>88</v>
      </c>
      <c r="F16599" s="2" t="s">
        <v>16</v>
      </c>
    </row>
    <row r="16600" spans="1:6" ht="25.5">
      <c r="A16600" s="2">
        <v>16597</v>
      </c>
      <c r="B16600" s="2" t="s">
        <v>16668</v>
      </c>
      <c r="C16600" s="2" t="str">
        <f>"14777606"</f>
        <v>14777606</v>
      </c>
      <c r="D16600" s="2">
        <v>0.189</v>
      </c>
      <c r="E16600" s="2">
        <v>8</v>
      </c>
      <c r="F16600" s="2" t="s">
        <v>16</v>
      </c>
    </row>
    <row r="16601" spans="1:6" ht="25.5">
      <c r="A16601" s="2">
        <v>16598</v>
      </c>
      <c r="B16601" s="2" t="s">
        <v>16669</v>
      </c>
      <c r="C16601" s="2" t="str">
        <f>"00796786"</f>
        <v>00796786</v>
      </c>
      <c r="D16601" s="2">
        <v>1.95</v>
      </c>
      <c r="E16601" s="2">
        <v>29</v>
      </c>
      <c r="F16601" s="2" t="s">
        <v>16</v>
      </c>
    </row>
    <row r="16602" spans="1:6" ht="25.5">
      <c r="A16602" s="2">
        <v>16599</v>
      </c>
      <c r="B16602" s="2" t="s">
        <v>16670</v>
      </c>
      <c r="C16602" s="2" t="str">
        <f>"00796816"</f>
        <v>00796816</v>
      </c>
      <c r="D16602" s="2">
        <v>4.2329999999999997</v>
      </c>
      <c r="E16602" s="2">
        <v>54</v>
      </c>
      <c r="F16602" s="2" t="s">
        <v>16</v>
      </c>
    </row>
    <row r="16603" spans="1:6" ht="25.5">
      <c r="A16603" s="2">
        <v>16600</v>
      </c>
      <c r="B16603" s="2" t="s">
        <v>16671</v>
      </c>
      <c r="C16603" s="2" t="str">
        <f>"15269248"</f>
        <v>15269248</v>
      </c>
      <c r="D16603" s="2">
        <v>0.51400000000000001</v>
      </c>
      <c r="E16603" s="2">
        <v>26</v>
      </c>
      <c r="F16603" s="2" t="s">
        <v>6</v>
      </c>
    </row>
    <row r="16604" spans="1:6" ht="25.5">
      <c r="A16604" s="2">
        <v>16601</v>
      </c>
      <c r="B16604" s="2" t="s">
        <v>16672</v>
      </c>
      <c r="C16604" s="2" t="str">
        <f>"13474081"</f>
        <v>13474081</v>
      </c>
      <c r="D16604" s="2">
        <v>1.175</v>
      </c>
      <c r="E16604" s="2">
        <v>53</v>
      </c>
      <c r="F16604" s="2" t="s">
        <v>131</v>
      </c>
    </row>
    <row r="16605" spans="1:6" ht="25.5">
      <c r="A16605" s="2">
        <v>16602</v>
      </c>
      <c r="B16605" s="2" t="s">
        <v>16673</v>
      </c>
      <c r="C16605" s="2" t="str">
        <f>"03759687"</f>
        <v>03759687</v>
      </c>
      <c r="D16605" s="2">
        <v>0.60699999999999998</v>
      </c>
      <c r="E16605" s="2">
        <v>30</v>
      </c>
      <c r="F16605" s="2" t="s">
        <v>131</v>
      </c>
    </row>
    <row r="16606" spans="1:6" ht="25.5">
      <c r="A16606" s="2">
        <v>16603</v>
      </c>
      <c r="B16606" s="2" t="s">
        <v>16674</v>
      </c>
      <c r="C16606" s="2" t="str">
        <f>"18965644"</f>
        <v>18965644</v>
      </c>
      <c r="D16606" s="2">
        <v>0</v>
      </c>
      <c r="E16606" s="2">
        <v>0</v>
      </c>
      <c r="F16606" s="2" t="s">
        <v>169</v>
      </c>
    </row>
    <row r="16607" spans="1:6" ht="25.5">
      <c r="A16607" s="2">
        <v>16604</v>
      </c>
      <c r="B16607" s="2" t="s">
        <v>16675</v>
      </c>
      <c r="C16607" s="2" t="str">
        <f>"10587454"</f>
        <v>10587454</v>
      </c>
      <c r="D16607" s="2">
        <v>0.10100000000000001</v>
      </c>
      <c r="E16607" s="2">
        <v>1</v>
      </c>
      <c r="F16607" s="2" t="s">
        <v>6</v>
      </c>
    </row>
    <row r="16608" spans="1:6" ht="25.5">
      <c r="A16608" s="2">
        <v>16605</v>
      </c>
      <c r="B16608" s="2" t="s">
        <v>16676</v>
      </c>
      <c r="C16608" s="2" t="str">
        <f>"07621000"</f>
        <v>07621000</v>
      </c>
      <c r="D16608" s="2">
        <v>0.126</v>
      </c>
      <c r="E16608" s="2">
        <v>1</v>
      </c>
      <c r="F16608" s="2" t="s">
        <v>66</v>
      </c>
    </row>
    <row r="16609" spans="1:6" ht="25.5">
      <c r="A16609" s="2">
        <v>16606</v>
      </c>
      <c r="B16609" s="2" t="s">
        <v>16677</v>
      </c>
      <c r="C16609" s="2" t="str">
        <f>"87569728"</f>
        <v>87569728</v>
      </c>
      <c r="D16609" s="2">
        <v>0.374</v>
      </c>
      <c r="E16609" s="2">
        <v>6</v>
      </c>
      <c r="F16609" s="2" t="s">
        <v>6</v>
      </c>
    </row>
    <row r="16610" spans="1:6" ht="25.5">
      <c r="A16610" s="2">
        <v>16607</v>
      </c>
      <c r="B16610" s="2" t="s">
        <v>16678</v>
      </c>
      <c r="C16610" s="2" t="str">
        <f>"13334395"</f>
        <v>13334395</v>
      </c>
      <c r="D16610" s="2">
        <v>0.10100000000000001</v>
      </c>
      <c r="E16610" s="2">
        <v>1</v>
      </c>
      <c r="F16610" s="2" t="s">
        <v>149</v>
      </c>
    </row>
    <row r="16611" spans="1:6" ht="25.5">
      <c r="A16611" s="2">
        <v>16608</v>
      </c>
      <c r="B16611" s="2" t="s">
        <v>16679</v>
      </c>
      <c r="C16611" s="2" t="str">
        <f>"00331031"</f>
        <v>00331031</v>
      </c>
      <c r="D16611" s="2">
        <v>0.1</v>
      </c>
      <c r="E16611" s="2">
        <v>1</v>
      </c>
      <c r="F16611" s="2" t="s">
        <v>6</v>
      </c>
    </row>
    <row r="16612" spans="1:6" ht="25.5">
      <c r="A16612" s="2">
        <v>16609</v>
      </c>
      <c r="B16612" s="2" t="s">
        <v>16680</v>
      </c>
      <c r="C16612" s="2" t="str">
        <f>"14701030"</f>
        <v>14701030</v>
      </c>
      <c r="D16612" s="2">
        <v>0.17399999999999999</v>
      </c>
      <c r="E16612" s="2">
        <v>11</v>
      </c>
      <c r="F16612" s="2" t="s">
        <v>16</v>
      </c>
    </row>
    <row r="16613" spans="1:6" ht="25.5">
      <c r="A16613" s="2">
        <v>16610</v>
      </c>
      <c r="B16613" s="2" t="s">
        <v>16681</v>
      </c>
      <c r="C16613" s="2" t="str">
        <f>"22811044"</f>
        <v>22811044</v>
      </c>
      <c r="D16613" s="2">
        <v>0.10100000000000001</v>
      </c>
      <c r="E16613" s="2">
        <v>0</v>
      </c>
      <c r="F16613" s="2" t="s">
        <v>190</v>
      </c>
    </row>
    <row r="16614" spans="1:6" ht="25.5">
      <c r="A16614" s="2">
        <v>16611</v>
      </c>
      <c r="B16614" s="2" t="s">
        <v>16682</v>
      </c>
      <c r="C16614" s="2" t="str">
        <f>"03535320"</f>
        <v>03535320</v>
      </c>
      <c r="D16614" s="2">
        <v>0.20200000000000001</v>
      </c>
      <c r="E16614" s="2">
        <v>4</v>
      </c>
      <c r="F16614" s="2" t="s">
        <v>149</v>
      </c>
    </row>
    <row r="16615" spans="1:6" ht="25.5">
      <c r="A16615" s="2">
        <v>16612</v>
      </c>
      <c r="B16615" s="2" t="s">
        <v>16683</v>
      </c>
      <c r="C16615" s="2" t="str">
        <f>"02729601"</f>
        <v>02729601</v>
      </c>
      <c r="D16615" s="2">
        <v>0.10100000000000001</v>
      </c>
      <c r="E16615" s="2">
        <v>2</v>
      </c>
      <c r="F16615" s="2" t="s">
        <v>6</v>
      </c>
    </row>
    <row r="16616" spans="1:6" ht="25.5">
      <c r="A16616" s="2">
        <v>16613</v>
      </c>
      <c r="B16616" s="2" t="s">
        <v>16684</v>
      </c>
      <c r="C16616" s="2" t="str">
        <f>"13119109"</f>
        <v>13119109</v>
      </c>
      <c r="D16616" s="2">
        <v>0.20599999999999999</v>
      </c>
      <c r="E16616" s="2">
        <v>7</v>
      </c>
      <c r="F16616" s="2" t="s">
        <v>293</v>
      </c>
    </row>
    <row r="16617" spans="1:6" ht="25.5">
      <c r="A16617" s="2">
        <v>16614</v>
      </c>
      <c r="B16617" s="2" t="s">
        <v>16685</v>
      </c>
      <c r="C16617" s="2" t="str">
        <f>"15214087"</f>
        <v>15214087</v>
      </c>
      <c r="D16617" s="2">
        <v>0.55800000000000005</v>
      </c>
      <c r="E16617" s="2">
        <v>33</v>
      </c>
      <c r="F16617" s="2" t="s">
        <v>12</v>
      </c>
    </row>
    <row r="16618" spans="1:6" ht="25.5">
      <c r="A16618" s="2">
        <v>16615</v>
      </c>
      <c r="B16618" s="2" t="s">
        <v>16686</v>
      </c>
      <c r="C16618" s="2" t="str">
        <f>"02637472"</f>
        <v>02637472</v>
      </c>
      <c r="D16618" s="2">
        <v>0.25</v>
      </c>
      <c r="E16618" s="2">
        <v>7</v>
      </c>
      <c r="F16618" s="2" t="s">
        <v>16</v>
      </c>
    </row>
    <row r="16619" spans="1:6" ht="25.5">
      <c r="A16619" s="2">
        <v>16616</v>
      </c>
      <c r="B16619" s="2" t="s">
        <v>16687</v>
      </c>
      <c r="C16619" s="2" t="str">
        <f>"17439426"</f>
        <v>17439426</v>
      </c>
      <c r="D16619" s="2">
        <v>0.1</v>
      </c>
      <c r="E16619" s="2">
        <v>3</v>
      </c>
      <c r="F16619" s="2" t="s">
        <v>16</v>
      </c>
    </row>
    <row r="16620" spans="1:6" ht="25.5">
      <c r="A16620" s="2">
        <v>16617</v>
      </c>
      <c r="B16620" s="2" t="s">
        <v>16688</v>
      </c>
      <c r="C16620" s="2" t="str">
        <f>"00331538"</f>
        <v>00331538</v>
      </c>
      <c r="D16620" s="2">
        <v>0.32800000000000001</v>
      </c>
      <c r="E16620" s="2">
        <v>6</v>
      </c>
      <c r="F16620" s="2" t="s">
        <v>75</v>
      </c>
    </row>
    <row r="16621" spans="1:6" ht="25.5">
      <c r="A16621" s="2">
        <v>16618</v>
      </c>
      <c r="B16621" s="2" t="s">
        <v>16689</v>
      </c>
      <c r="C16621" s="2" t="str">
        <f>"03940802"</f>
        <v>03940802</v>
      </c>
      <c r="D16621" s="2">
        <v>0.1</v>
      </c>
      <c r="E16621" s="2">
        <v>2</v>
      </c>
      <c r="F16621" s="2" t="s">
        <v>190</v>
      </c>
    </row>
    <row r="16622" spans="1:6" ht="25.5">
      <c r="A16622" s="2">
        <v>16619</v>
      </c>
      <c r="B16622" s="2" t="s">
        <v>16690</v>
      </c>
      <c r="C16622" s="2" t="str">
        <f>"10988823"</f>
        <v>10988823</v>
      </c>
      <c r="D16622" s="2">
        <v>0.90500000000000003</v>
      </c>
      <c r="E16622" s="2">
        <v>49</v>
      </c>
      <c r="F16622" s="2" t="s">
        <v>6</v>
      </c>
    </row>
    <row r="16623" spans="1:6" ht="25.5">
      <c r="A16623" s="2">
        <v>16620</v>
      </c>
      <c r="B16623" s="2" t="s">
        <v>16691</v>
      </c>
      <c r="C16623" s="2" t="str">
        <f>"09523278"</f>
        <v>09523278</v>
      </c>
      <c r="D16623" s="2">
        <v>0.99399999999999999</v>
      </c>
      <c r="E16623" s="2">
        <v>71</v>
      </c>
      <c r="F16623" s="2" t="s">
        <v>6</v>
      </c>
    </row>
    <row r="16624" spans="1:6" ht="25.5">
      <c r="A16624" s="2">
        <v>16621</v>
      </c>
      <c r="B16624" s="2" t="s">
        <v>16692</v>
      </c>
      <c r="C16624" s="2" t="str">
        <f>"10970045"</f>
        <v>10970045</v>
      </c>
      <c r="D16624" s="2">
        <v>1.4330000000000001</v>
      </c>
      <c r="E16624" s="2">
        <v>88</v>
      </c>
      <c r="F16624" s="2" t="s">
        <v>6</v>
      </c>
    </row>
    <row r="16625" spans="1:6" ht="25.5">
      <c r="A16625" s="2">
        <v>16622</v>
      </c>
      <c r="B16625" s="2" t="s">
        <v>16693</v>
      </c>
      <c r="C16625" s="2" t="str">
        <f>"13657852"</f>
        <v>13657852</v>
      </c>
      <c r="D16625" s="2">
        <v>1.167</v>
      </c>
      <c r="E16625" s="2">
        <v>36</v>
      </c>
      <c r="F16625" s="2" t="s">
        <v>16</v>
      </c>
    </row>
    <row r="16626" spans="1:6" ht="25.5">
      <c r="A16626" s="2">
        <v>16623</v>
      </c>
      <c r="B16626" s="2" t="s">
        <v>16694</v>
      </c>
      <c r="C16626" s="2" t="str">
        <f>"03093646"</f>
        <v>03093646</v>
      </c>
      <c r="D16626" s="2">
        <v>0.503</v>
      </c>
      <c r="E16626" s="2">
        <v>29</v>
      </c>
      <c r="F16626" s="2" t="s">
        <v>16</v>
      </c>
    </row>
    <row r="16627" spans="1:6" ht="25.5">
      <c r="A16627" s="2">
        <v>16624</v>
      </c>
      <c r="B16627" s="2" t="s">
        <v>16695</v>
      </c>
      <c r="C16627" s="2" t="str">
        <f>"13300652"</f>
        <v>13300652</v>
      </c>
      <c r="D16627" s="2">
        <v>0.114</v>
      </c>
      <c r="E16627" s="2">
        <v>2</v>
      </c>
      <c r="F16627" s="2" t="s">
        <v>149</v>
      </c>
    </row>
    <row r="16628" spans="1:6" ht="25.5">
      <c r="A16628" s="2">
        <v>16625</v>
      </c>
      <c r="B16628" s="2" t="s">
        <v>16696</v>
      </c>
      <c r="C16628" s="2" t="str">
        <f>"1608327X"</f>
        <v>1608327X</v>
      </c>
      <c r="D16628" s="2">
        <v>0.27200000000000002</v>
      </c>
      <c r="E16628" s="2">
        <v>10</v>
      </c>
      <c r="F16628" s="2" t="s">
        <v>129</v>
      </c>
    </row>
    <row r="16629" spans="1:6" ht="25.5">
      <c r="A16629" s="2">
        <v>16626</v>
      </c>
      <c r="B16629" s="2" t="s">
        <v>16697</v>
      </c>
      <c r="C16629" s="2" t="str">
        <f>"16748018"</f>
        <v>16748018</v>
      </c>
      <c r="D16629" s="2">
        <v>1.298</v>
      </c>
      <c r="E16629" s="2">
        <v>14</v>
      </c>
      <c r="F16629" s="2" t="s">
        <v>12</v>
      </c>
    </row>
    <row r="16630" spans="1:6" ht="25.5">
      <c r="A16630" s="2">
        <v>16627</v>
      </c>
      <c r="B16630" s="2" t="s">
        <v>16698</v>
      </c>
      <c r="C16630" s="2" t="str">
        <f>"09298665"</f>
        <v>09298665</v>
      </c>
      <c r="D16630" s="2">
        <v>0.49399999999999999</v>
      </c>
      <c r="E16630" s="2">
        <v>33</v>
      </c>
      <c r="F16630" s="2" t="s">
        <v>75</v>
      </c>
    </row>
    <row r="16631" spans="1:6" ht="25.5">
      <c r="A16631" s="2">
        <v>16628</v>
      </c>
      <c r="B16631" s="2" t="s">
        <v>16699</v>
      </c>
      <c r="C16631" s="2" t="str">
        <f>"17410126"</f>
        <v>17410126</v>
      </c>
      <c r="D16631" s="2">
        <v>1.3480000000000001</v>
      </c>
      <c r="E16631" s="2">
        <v>76</v>
      </c>
      <c r="F16631" s="2" t="s">
        <v>16</v>
      </c>
    </row>
    <row r="16632" spans="1:6" ht="25.5">
      <c r="A16632" s="2">
        <v>16629</v>
      </c>
      <c r="B16632" s="2" t="s">
        <v>16700</v>
      </c>
      <c r="C16632" s="2" t="str">
        <f>"10960279"</f>
        <v>10960279</v>
      </c>
      <c r="D16632" s="2">
        <v>0.61199999999999999</v>
      </c>
      <c r="E16632" s="2">
        <v>60</v>
      </c>
      <c r="F16632" s="2" t="s">
        <v>6</v>
      </c>
    </row>
    <row r="16633" spans="1:6" ht="25.5">
      <c r="A16633" s="2">
        <v>16630</v>
      </c>
      <c r="B16633" s="2" t="s">
        <v>16701</v>
      </c>
      <c r="C16633" s="2" t="str">
        <f>"15723887"</f>
        <v>15723887</v>
      </c>
      <c r="D16633" s="2">
        <v>0.45100000000000001</v>
      </c>
      <c r="E16633" s="2">
        <v>36</v>
      </c>
      <c r="F16633" s="2" t="s">
        <v>6</v>
      </c>
    </row>
    <row r="16634" spans="1:6" ht="25.5">
      <c r="A16634" s="2">
        <v>16631</v>
      </c>
      <c r="B16634" s="2" t="s">
        <v>16702</v>
      </c>
      <c r="C16634" s="2" t="str">
        <f>"18713025"</f>
        <v>18713025</v>
      </c>
      <c r="D16634" s="2">
        <v>0.13300000000000001</v>
      </c>
      <c r="E16634" s="2">
        <v>2</v>
      </c>
      <c r="F16634" s="2" t="s">
        <v>16</v>
      </c>
    </row>
    <row r="16635" spans="1:6" ht="25.5">
      <c r="A16635" s="2">
        <v>16632</v>
      </c>
      <c r="B16635" s="2" t="s">
        <v>16703</v>
      </c>
      <c r="C16635" s="2" t="str">
        <f>"09618368"</f>
        <v>09618368</v>
      </c>
      <c r="D16635" s="2">
        <v>1.5860000000000001</v>
      </c>
      <c r="E16635" s="2">
        <v>125</v>
      </c>
      <c r="F16635" s="2" t="s">
        <v>6</v>
      </c>
    </row>
    <row r="16636" spans="1:6" ht="25.5">
      <c r="A16636" s="2">
        <v>16633</v>
      </c>
      <c r="B16636" s="2" t="s">
        <v>16704</v>
      </c>
      <c r="C16636" s="2" t="str">
        <f>"10970134"</f>
        <v>10970134</v>
      </c>
      <c r="D16636" s="2">
        <v>1.754</v>
      </c>
      <c r="E16636" s="2">
        <v>131</v>
      </c>
      <c r="F16636" s="2" t="s">
        <v>6</v>
      </c>
    </row>
    <row r="16637" spans="1:6" ht="25.5">
      <c r="A16637" s="2">
        <v>16634</v>
      </c>
      <c r="B16637" s="2" t="s">
        <v>16705</v>
      </c>
      <c r="C16637" s="2" t="str">
        <f>"14775956"</f>
        <v>14775956</v>
      </c>
      <c r="D16637" s="2">
        <v>0.63</v>
      </c>
      <c r="E16637" s="2">
        <v>24</v>
      </c>
      <c r="F16637" s="2" t="s">
        <v>16</v>
      </c>
    </row>
    <row r="16638" spans="1:6" ht="25.5">
      <c r="A16638" s="2">
        <v>16635</v>
      </c>
      <c r="B16638" s="2" t="s">
        <v>16706</v>
      </c>
      <c r="C16638" s="2" t="str">
        <f>"16159861"</f>
        <v>16159861</v>
      </c>
      <c r="D16638" s="2">
        <v>1.22</v>
      </c>
      <c r="E16638" s="2">
        <v>110</v>
      </c>
      <c r="F16638" s="2" t="s">
        <v>12</v>
      </c>
    </row>
    <row r="16639" spans="1:6" ht="25.5">
      <c r="A16639" s="2">
        <v>16636</v>
      </c>
      <c r="B16639" s="2" t="s">
        <v>16707</v>
      </c>
      <c r="C16639" s="2" t="str">
        <f>"18628354"</f>
        <v>18628354</v>
      </c>
      <c r="D16639" s="2">
        <v>0.53500000000000003</v>
      </c>
      <c r="E16639" s="2">
        <v>23</v>
      </c>
      <c r="F16639" s="2" t="s">
        <v>12</v>
      </c>
    </row>
    <row r="16640" spans="1:6" ht="25.5">
      <c r="A16640" s="2">
        <v>16637</v>
      </c>
      <c r="B16640" s="2" t="s">
        <v>16708</v>
      </c>
      <c r="C16640" s="2" t="str">
        <f>"11786418"</f>
        <v>11786418</v>
      </c>
      <c r="D16640" s="2">
        <v>0.13500000000000001</v>
      </c>
      <c r="E16640" s="2">
        <v>3</v>
      </c>
      <c r="F16640" s="2" t="s">
        <v>503</v>
      </c>
    </row>
    <row r="16641" spans="1:6" ht="25.5">
      <c r="A16641" s="2">
        <v>16638</v>
      </c>
      <c r="B16641" s="2" t="s">
        <v>16709</v>
      </c>
      <c r="C16641" s="2" t="str">
        <f>"14344610"</f>
        <v>14344610</v>
      </c>
      <c r="D16641" s="2">
        <v>1.548</v>
      </c>
      <c r="E16641" s="2">
        <v>46</v>
      </c>
      <c r="F16641" s="2" t="s">
        <v>12</v>
      </c>
    </row>
    <row r="16642" spans="1:6" ht="25.5">
      <c r="A16642" s="2">
        <v>16639</v>
      </c>
      <c r="B16642" s="2" t="s">
        <v>16710</v>
      </c>
      <c r="C16642" s="2" t="str">
        <f>"16156102"</f>
        <v>16156102</v>
      </c>
      <c r="D16642" s="2">
        <v>0.82399999999999995</v>
      </c>
      <c r="E16642" s="2">
        <v>43</v>
      </c>
      <c r="F16642" s="2" t="s">
        <v>288</v>
      </c>
    </row>
    <row r="16643" spans="1:6" ht="25.5">
      <c r="A16643" s="2">
        <v>16640</v>
      </c>
      <c r="B16643" s="2" t="s">
        <v>16711</v>
      </c>
      <c r="C16643" s="2" t="str">
        <f>"08880352"</f>
        <v>08880352</v>
      </c>
      <c r="D16643" s="2">
        <v>0.108</v>
      </c>
      <c r="E16643" s="2">
        <v>4</v>
      </c>
      <c r="F16643" s="2" t="s">
        <v>6</v>
      </c>
    </row>
    <row r="16644" spans="1:6" ht="25.5">
      <c r="A16644" s="2">
        <v>16641</v>
      </c>
      <c r="B16644" s="2" t="s">
        <v>16712</v>
      </c>
      <c r="C16644" s="2" t="str">
        <f>"07176279"</f>
        <v>07176279</v>
      </c>
      <c r="D16644" s="2">
        <v>0.16</v>
      </c>
      <c r="E16644" s="2">
        <v>5</v>
      </c>
      <c r="F16644" s="2" t="s">
        <v>182</v>
      </c>
    </row>
    <row r="16645" spans="1:6" ht="25.5">
      <c r="A16645" s="2">
        <v>16642</v>
      </c>
      <c r="B16645" s="2" t="s">
        <v>16713</v>
      </c>
      <c r="C16645" s="2" t="str">
        <f>"00332526"</f>
        <v>00332526</v>
      </c>
      <c r="D16645" s="2">
        <v>0.13</v>
      </c>
      <c r="E16645" s="2">
        <v>7</v>
      </c>
      <c r="F16645" s="2" t="s">
        <v>169</v>
      </c>
    </row>
    <row r="16646" spans="1:6" ht="25.5">
      <c r="A16646" s="2">
        <v>16643</v>
      </c>
      <c r="B16646" s="2" t="s">
        <v>16714</v>
      </c>
      <c r="C16646" s="2" t="str">
        <f>"00332097"</f>
        <v>00332097</v>
      </c>
      <c r="D16646" s="2">
        <v>0.21199999999999999</v>
      </c>
      <c r="E16646" s="2">
        <v>10</v>
      </c>
      <c r="F16646" s="2" t="s">
        <v>169</v>
      </c>
    </row>
    <row r="16647" spans="1:6" ht="25.5">
      <c r="A16647" s="2">
        <v>16644</v>
      </c>
      <c r="B16647" s="2" t="s">
        <v>16715</v>
      </c>
      <c r="C16647" s="2" t="str">
        <f>"00332100"</f>
        <v>00332100</v>
      </c>
      <c r="D16647" s="2">
        <v>0.13700000000000001</v>
      </c>
      <c r="E16647" s="2">
        <v>10</v>
      </c>
      <c r="F16647" s="2" t="s">
        <v>169</v>
      </c>
    </row>
    <row r="16648" spans="1:6" ht="25.5">
      <c r="A16648" s="2">
        <v>16645</v>
      </c>
      <c r="B16648" s="2" t="s">
        <v>16716</v>
      </c>
      <c r="C16648" s="2" t="str">
        <f>"18955770"</f>
        <v>18955770</v>
      </c>
      <c r="D16648" s="2">
        <v>0.112</v>
      </c>
      <c r="E16648" s="2">
        <v>4</v>
      </c>
      <c r="F16648" s="2" t="s">
        <v>169</v>
      </c>
    </row>
    <row r="16649" spans="1:6" ht="25.5">
      <c r="A16649" s="2">
        <v>16646</v>
      </c>
      <c r="B16649" s="2" t="s">
        <v>16717</v>
      </c>
      <c r="C16649" s="2" t="str">
        <f>"00332135"</f>
        <v>00332135</v>
      </c>
      <c r="D16649" s="2">
        <v>0.16</v>
      </c>
      <c r="E16649" s="2">
        <v>6</v>
      </c>
      <c r="F16649" s="2" t="s">
        <v>169</v>
      </c>
    </row>
    <row r="16650" spans="1:6" ht="25.5">
      <c r="A16650" s="2">
        <v>16647</v>
      </c>
      <c r="B16650" s="2" t="s">
        <v>16718</v>
      </c>
      <c r="C16650" s="2" t="str">
        <f>"00332143"</f>
        <v>00332143</v>
      </c>
      <c r="D16650" s="2">
        <v>0.20499999999999999</v>
      </c>
      <c r="E16650" s="2">
        <v>6</v>
      </c>
      <c r="F16650" s="2" t="s">
        <v>169</v>
      </c>
    </row>
    <row r="16651" spans="1:6" ht="25.5">
      <c r="A16651" s="2">
        <v>16648</v>
      </c>
      <c r="B16651" s="2" t="s">
        <v>16719</v>
      </c>
      <c r="C16651" s="2" t="str">
        <f>"00332151"</f>
        <v>00332151</v>
      </c>
      <c r="D16651" s="2">
        <v>0.24299999999999999</v>
      </c>
      <c r="E16651" s="2">
        <v>19</v>
      </c>
      <c r="F16651" s="2" t="s">
        <v>169</v>
      </c>
    </row>
    <row r="16652" spans="1:6" ht="25.5">
      <c r="A16652" s="2">
        <v>16649</v>
      </c>
      <c r="B16652" s="2" t="s">
        <v>16720</v>
      </c>
      <c r="C16652" s="2" t="str">
        <f>"18969666"</f>
        <v>18969666</v>
      </c>
      <c r="D16652" s="2">
        <v>0.108</v>
      </c>
      <c r="E16652" s="2">
        <v>2</v>
      </c>
      <c r="F16652" s="2" t="s">
        <v>169</v>
      </c>
    </row>
    <row r="16653" spans="1:6" ht="25.5">
      <c r="A16653" s="2">
        <v>16650</v>
      </c>
      <c r="B16653" s="2" t="s">
        <v>16721</v>
      </c>
      <c r="C16653" s="2" t="str">
        <f>"00332240"</f>
        <v>00332240</v>
      </c>
      <c r="D16653" s="2">
        <v>0.115</v>
      </c>
      <c r="E16653" s="2">
        <v>13</v>
      </c>
      <c r="F16653" s="2" t="s">
        <v>169</v>
      </c>
    </row>
    <row r="16654" spans="1:6" ht="25.5">
      <c r="A16654" s="2">
        <v>16651</v>
      </c>
      <c r="B16654" s="2" t="s">
        <v>16722</v>
      </c>
      <c r="C16654" s="2" t="str">
        <f>"16438876"</f>
        <v>16438876</v>
      </c>
      <c r="D16654" s="2">
        <v>0.17499999999999999</v>
      </c>
      <c r="E16654" s="2">
        <v>6</v>
      </c>
      <c r="F16654" s="2" t="s">
        <v>169</v>
      </c>
    </row>
    <row r="16655" spans="1:6" ht="25.5">
      <c r="A16655" s="2">
        <v>16652</v>
      </c>
      <c r="B16655" s="2" t="s">
        <v>16723</v>
      </c>
      <c r="C16655" s="2" t="str">
        <f>"0137723X"</f>
        <v>0137723X</v>
      </c>
      <c r="D16655" s="2">
        <v>0.114</v>
      </c>
      <c r="E16655" s="2">
        <v>5</v>
      </c>
      <c r="F16655" s="2" t="s">
        <v>169</v>
      </c>
    </row>
    <row r="16656" spans="1:6" ht="25.5">
      <c r="A16656" s="2">
        <v>16653</v>
      </c>
      <c r="B16656" s="2" t="s">
        <v>16724</v>
      </c>
      <c r="C16656" s="2" t="str">
        <f>"00332496"</f>
        <v>00332496</v>
      </c>
      <c r="D16656" s="2">
        <v>0.161</v>
      </c>
      <c r="E16656" s="2">
        <v>9</v>
      </c>
      <c r="F16656" s="2" t="s">
        <v>169</v>
      </c>
    </row>
    <row r="16657" spans="1:6" ht="25.5">
      <c r="A16657" s="2">
        <v>16654</v>
      </c>
      <c r="B16657" s="2" t="s">
        <v>16725</v>
      </c>
      <c r="C16657" s="2" t="str">
        <f>"01035665"</f>
        <v>01035665</v>
      </c>
      <c r="D16657" s="2">
        <v>0.109</v>
      </c>
      <c r="E16657" s="2">
        <v>2</v>
      </c>
      <c r="F16657" s="2" t="s">
        <v>159</v>
      </c>
    </row>
    <row r="16658" spans="1:6" ht="25.5">
      <c r="A16658" s="2">
        <v>16655</v>
      </c>
      <c r="B16658" s="2" t="s">
        <v>16726</v>
      </c>
      <c r="C16658" s="2" t="str">
        <f>"1824078X"</f>
        <v>1824078X</v>
      </c>
      <c r="D16658" s="2">
        <v>0.111</v>
      </c>
      <c r="E16658" s="2">
        <v>1</v>
      </c>
      <c r="F16658" s="2" t="s">
        <v>190</v>
      </c>
    </row>
    <row r="16659" spans="1:6" ht="25.5">
      <c r="A16659" s="2">
        <v>16656</v>
      </c>
      <c r="B16659" s="2" t="s">
        <v>16727</v>
      </c>
      <c r="C16659" s="2" t="str">
        <f>"11329483"</f>
        <v>11329483</v>
      </c>
      <c r="D16659" s="2">
        <v>0.27900000000000003</v>
      </c>
      <c r="E16659" s="2">
        <v>13</v>
      </c>
      <c r="F16659" s="2" t="s">
        <v>351</v>
      </c>
    </row>
    <row r="16660" spans="1:6" ht="25.5">
      <c r="A16660" s="2">
        <v>16657</v>
      </c>
      <c r="B16660" s="2" t="s">
        <v>16728</v>
      </c>
      <c r="C16660" s="2" t="str">
        <f>"14137372"</f>
        <v>14137372</v>
      </c>
      <c r="D16660" s="2">
        <v>0.217</v>
      </c>
      <c r="E16660" s="2">
        <v>7</v>
      </c>
      <c r="F16660" s="2" t="s">
        <v>159</v>
      </c>
    </row>
    <row r="16661" spans="1:6" ht="25.5">
      <c r="A16661" s="2">
        <v>16658</v>
      </c>
      <c r="B16661" s="2" t="s">
        <v>16729</v>
      </c>
      <c r="C16661" s="2" t="str">
        <f>"18070310"</f>
        <v>18070310</v>
      </c>
      <c r="D16661" s="2">
        <v>0.222</v>
      </c>
      <c r="E16661" s="2">
        <v>6</v>
      </c>
      <c r="F16661" s="2" t="s">
        <v>159</v>
      </c>
    </row>
    <row r="16662" spans="1:6" ht="25.5">
      <c r="A16662" s="2">
        <v>16659</v>
      </c>
      <c r="B16662" s="2" t="s">
        <v>16730</v>
      </c>
      <c r="C16662" s="2" t="str">
        <f>"16787153"</f>
        <v>16787153</v>
      </c>
      <c r="D16662" s="2">
        <v>0.28799999999999998</v>
      </c>
      <c r="E16662" s="2">
        <v>8</v>
      </c>
      <c r="F16662" s="2" t="s">
        <v>159</v>
      </c>
    </row>
    <row r="16663" spans="1:6" ht="25.5">
      <c r="A16663" s="2">
        <v>16660</v>
      </c>
      <c r="B16663" s="2" t="s">
        <v>16731</v>
      </c>
      <c r="C16663" s="2" t="str">
        <f>"01023772"</f>
        <v>01023772</v>
      </c>
      <c r="D16663" s="2">
        <v>0.33</v>
      </c>
      <c r="E16663" s="2">
        <v>7</v>
      </c>
      <c r="F16663" s="2" t="s">
        <v>159</v>
      </c>
    </row>
    <row r="16664" spans="1:6" ht="25.5">
      <c r="A16664" s="2">
        <v>16661</v>
      </c>
      <c r="B16664" s="2" t="s">
        <v>16732</v>
      </c>
      <c r="C16664" s="2" t="str">
        <f>"01036564"</f>
        <v>01036564</v>
      </c>
      <c r="D16664" s="2">
        <v>0.1</v>
      </c>
      <c r="E16664" s="2">
        <v>3</v>
      </c>
      <c r="F16664" s="2" t="s">
        <v>159</v>
      </c>
    </row>
    <row r="16665" spans="1:6" ht="25.5">
      <c r="A16665" s="2">
        <v>16662</v>
      </c>
      <c r="B16665" s="2" t="s">
        <v>16733</v>
      </c>
      <c r="C16665" s="2" t="str">
        <f>"15768597"</f>
        <v>15768597</v>
      </c>
      <c r="D16665" s="2">
        <v>0.32100000000000001</v>
      </c>
      <c r="E16665" s="2">
        <v>7</v>
      </c>
      <c r="F16665" s="2" t="s">
        <v>351</v>
      </c>
    </row>
    <row r="16666" spans="1:6" ht="25.5">
      <c r="A16666" s="2">
        <v>16663</v>
      </c>
      <c r="B16666" s="2" t="s">
        <v>16734</v>
      </c>
      <c r="C16666" s="2" t="str">
        <f>"16967240"</f>
        <v>16967240</v>
      </c>
      <c r="D16666" s="2">
        <v>0.14599999999999999</v>
      </c>
      <c r="E16666" s="2">
        <v>4</v>
      </c>
      <c r="F16666" s="2" t="s">
        <v>351</v>
      </c>
    </row>
    <row r="16667" spans="1:6" ht="25.5">
      <c r="A16667" s="2">
        <v>16664</v>
      </c>
      <c r="B16667" s="2" t="s">
        <v>16735</v>
      </c>
      <c r="C16667" s="2" t="str">
        <f>"11261072"</f>
        <v>11261072</v>
      </c>
      <c r="D16667" s="2">
        <v>0.13200000000000001</v>
      </c>
      <c r="E16667" s="2">
        <v>5</v>
      </c>
      <c r="F16667" s="2" t="s">
        <v>190</v>
      </c>
    </row>
    <row r="16668" spans="1:6" ht="25.5">
      <c r="A16668" s="2">
        <v>16665</v>
      </c>
      <c r="B16668" s="2" t="s">
        <v>16736</v>
      </c>
      <c r="C16668" s="2" t="str">
        <f>"03942864"</f>
        <v>03942864</v>
      </c>
      <c r="D16668" s="2">
        <v>0.158</v>
      </c>
      <c r="E16668" s="2">
        <v>5</v>
      </c>
      <c r="F16668" s="2" t="s">
        <v>190</v>
      </c>
    </row>
    <row r="16669" spans="1:6" ht="25.5">
      <c r="A16669" s="2">
        <v>16666</v>
      </c>
      <c r="B16669" s="2" t="s">
        <v>16737</v>
      </c>
      <c r="C16669" s="2" t="str">
        <f>"02149915"</f>
        <v>02149915</v>
      </c>
      <c r="D16669" s="2">
        <v>0.52800000000000002</v>
      </c>
      <c r="E16669" s="2">
        <v>27</v>
      </c>
      <c r="F16669" s="2" t="s">
        <v>351</v>
      </c>
    </row>
    <row r="16670" spans="1:6" ht="25.5">
      <c r="A16670" s="2">
        <v>16667</v>
      </c>
      <c r="B16670" s="2" t="s">
        <v>16738</v>
      </c>
      <c r="C16670" s="2" t="str">
        <f>"00485705"</f>
        <v>00485705</v>
      </c>
      <c r="D16670" s="2">
        <v>0.24299999999999999</v>
      </c>
      <c r="E16670" s="2">
        <v>4</v>
      </c>
      <c r="F16670" s="2" t="s">
        <v>212</v>
      </c>
    </row>
    <row r="16671" spans="1:6" ht="25.5">
      <c r="A16671" s="2">
        <v>16668</v>
      </c>
      <c r="B16671" s="2" t="s">
        <v>16739</v>
      </c>
      <c r="C16671" s="2" t="str">
        <f>"13320742"</f>
        <v>13320742</v>
      </c>
      <c r="D16671" s="2">
        <v>0.17199999999999999</v>
      </c>
      <c r="E16671" s="2">
        <v>3</v>
      </c>
      <c r="F16671" s="2" t="s">
        <v>149</v>
      </c>
    </row>
    <row r="16672" spans="1:6" ht="25.5">
      <c r="A16672" s="2">
        <v>16669</v>
      </c>
      <c r="B16672" s="2" t="s">
        <v>16740</v>
      </c>
      <c r="C16672" s="2" t="str">
        <f>"02059592"</f>
        <v>02059592</v>
      </c>
      <c r="D16672" s="2">
        <v>0.106</v>
      </c>
      <c r="E16672" s="2">
        <v>3</v>
      </c>
      <c r="F16672" s="2" t="s">
        <v>129</v>
      </c>
    </row>
    <row r="16673" spans="1:6" ht="25.5">
      <c r="A16673" s="2">
        <v>16670</v>
      </c>
      <c r="B16673" s="2" t="s">
        <v>16741</v>
      </c>
      <c r="C16673" s="2" t="str">
        <f>"01047787"</f>
        <v>01047787</v>
      </c>
      <c r="D16673" s="2">
        <v>0.10299999999999999</v>
      </c>
      <c r="E16673" s="2">
        <v>4</v>
      </c>
      <c r="F16673" s="2" t="s">
        <v>159</v>
      </c>
    </row>
    <row r="16674" spans="1:6" ht="25.5">
      <c r="A16674" s="2">
        <v>16671</v>
      </c>
      <c r="B16674" s="2" t="s">
        <v>16742</v>
      </c>
      <c r="C16674" s="2" t="str">
        <f>"16398319"</f>
        <v>16398319</v>
      </c>
      <c r="D16674" s="2">
        <v>0.1</v>
      </c>
      <c r="E16674" s="2">
        <v>2</v>
      </c>
      <c r="F16674" s="2" t="s">
        <v>66</v>
      </c>
    </row>
    <row r="16675" spans="1:6" ht="25.5">
      <c r="A16675" s="2">
        <v>16672</v>
      </c>
      <c r="B16675" s="2" t="s">
        <v>16743</v>
      </c>
      <c r="C16675" s="2" t="str">
        <f>"15375935"</f>
        <v>15375935</v>
      </c>
      <c r="D16675" s="2">
        <v>0.58499999999999996</v>
      </c>
      <c r="E16675" s="2">
        <v>27</v>
      </c>
      <c r="F16675" s="2" t="s">
        <v>16</v>
      </c>
    </row>
    <row r="16676" spans="1:6" ht="25.5">
      <c r="A16676" s="2">
        <v>16673</v>
      </c>
      <c r="B16676" s="2" t="s">
        <v>16744</v>
      </c>
      <c r="C16676" s="2" t="str">
        <f>"00332623"</f>
        <v>00332623</v>
      </c>
      <c r="D16676" s="2">
        <v>0.16800000000000001</v>
      </c>
      <c r="E16676" s="2">
        <v>14</v>
      </c>
      <c r="F16676" s="2" t="s">
        <v>12</v>
      </c>
    </row>
    <row r="16677" spans="1:6" ht="25.5">
      <c r="A16677" s="2">
        <v>16674</v>
      </c>
      <c r="B16677" s="2" t="s">
        <v>16745</v>
      </c>
      <c r="C16677" s="2" t="str">
        <f>"16877438"</f>
        <v>16877438</v>
      </c>
      <c r="D16677" s="2">
        <v>0.185</v>
      </c>
      <c r="E16677" s="2">
        <v>2</v>
      </c>
      <c r="F16677" s="2" t="s">
        <v>523</v>
      </c>
    </row>
    <row r="16678" spans="1:6" ht="25.5">
      <c r="A16678" s="2">
        <v>16675</v>
      </c>
      <c r="B16678" s="2" t="s">
        <v>16746</v>
      </c>
      <c r="C16678" s="2" t="str">
        <f>"17329841"</f>
        <v>17329841</v>
      </c>
      <c r="D16678" s="2">
        <v>0.104</v>
      </c>
      <c r="E16678" s="2">
        <v>2</v>
      </c>
      <c r="F16678" s="2" t="s">
        <v>169</v>
      </c>
    </row>
    <row r="16679" spans="1:6" ht="25.5">
      <c r="A16679" s="2">
        <v>16676</v>
      </c>
      <c r="B16679" s="2" t="s">
        <v>16747</v>
      </c>
      <c r="C16679" s="2" t="str">
        <f>"03535053"</f>
        <v>03535053</v>
      </c>
      <c r="D16679" s="2">
        <v>0.25900000000000001</v>
      </c>
      <c r="E16679" s="2">
        <v>13</v>
      </c>
      <c r="F16679" s="2" t="s">
        <v>149</v>
      </c>
    </row>
    <row r="16680" spans="1:6" ht="25.5">
      <c r="A16680" s="2">
        <v>16677</v>
      </c>
      <c r="B16680" s="2" t="s">
        <v>16748</v>
      </c>
      <c r="C16680" s="2" t="str">
        <f>"00332658"</f>
        <v>00332658</v>
      </c>
      <c r="D16680" s="2">
        <v>0.11</v>
      </c>
      <c r="E16680" s="2">
        <v>9</v>
      </c>
      <c r="F16680" s="2" t="s">
        <v>131</v>
      </c>
    </row>
    <row r="16681" spans="1:6" ht="25.5">
      <c r="A16681" s="2">
        <v>16678</v>
      </c>
      <c r="B16681" s="2" t="s">
        <v>16749</v>
      </c>
      <c r="C16681" s="2" t="str">
        <f>"02377896"</f>
        <v>02377896</v>
      </c>
      <c r="D16681" s="2">
        <v>0.13400000000000001</v>
      </c>
      <c r="E16681" s="2">
        <v>6</v>
      </c>
      <c r="F16681" s="2" t="s">
        <v>135</v>
      </c>
    </row>
    <row r="16682" spans="1:6" ht="25.5">
      <c r="A16682" s="2">
        <v>16679</v>
      </c>
      <c r="B16682" s="2" t="s">
        <v>16750</v>
      </c>
      <c r="C16682" s="2" t="str">
        <f>"16446313"</f>
        <v>16446313</v>
      </c>
      <c r="D16682" s="2">
        <v>0.125</v>
      </c>
      <c r="E16682" s="2">
        <v>2</v>
      </c>
      <c r="F16682" s="2" t="s">
        <v>169</v>
      </c>
    </row>
    <row r="16683" spans="1:6" ht="25.5">
      <c r="A16683" s="2">
        <v>16680</v>
      </c>
      <c r="B16683" s="2" t="s">
        <v>16751</v>
      </c>
      <c r="C16683" s="2" t="str">
        <f>"00332674"</f>
        <v>00332674</v>
      </c>
      <c r="D16683" s="2">
        <v>0.26700000000000002</v>
      </c>
      <c r="E16683" s="2">
        <v>12</v>
      </c>
      <c r="F16683" s="2" t="s">
        <v>169</v>
      </c>
    </row>
    <row r="16684" spans="1:6" ht="25.5">
      <c r="A16684" s="2">
        <v>16681</v>
      </c>
      <c r="B16684" s="2" t="s">
        <v>16752</v>
      </c>
      <c r="C16684" s="2" t="str">
        <f>"00485713"</f>
        <v>00485713</v>
      </c>
      <c r="D16684" s="2">
        <v>0.27300000000000002</v>
      </c>
      <c r="E16684" s="2">
        <v>26</v>
      </c>
      <c r="F16684" s="2" t="s">
        <v>6</v>
      </c>
    </row>
    <row r="16685" spans="1:6" ht="25.5">
      <c r="A16685" s="2">
        <v>16682</v>
      </c>
      <c r="B16685" s="2" t="s">
        <v>16753</v>
      </c>
      <c r="C16685" s="2" t="str">
        <f>"0193953X"</f>
        <v>0193953X</v>
      </c>
      <c r="D16685" s="2">
        <v>1.0149999999999999</v>
      </c>
      <c r="E16685" s="2">
        <v>60</v>
      </c>
      <c r="F16685" s="2" t="s">
        <v>16</v>
      </c>
    </row>
    <row r="16686" spans="1:6" ht="25.5">
      <c r="A16686" s="2">
        <v>16683</v>
      </c>
      <c r="B16686" s="2" t="s">
        <v>16754</v>
      </c>
      <c r="C16686" s="2" t="str">
        <f>"09558829"</f>
        <v>09558829</v>
      </c>
      <c r="D16686" s="2">
        <v>0.90300000000000002</v>
      </c>
      <c r="E16686" s="2">
        <v>43</v>
      </c>
      <c r="F16686" s="2" t="s">
        <v>6</v>
      </c>
    </row>
    <row r="16687" spans="1:6" ht="25.5">
      <c r="A16687" s="2">
        <v>16684</v>
      </c>
      <c r="B16687" s="2" t="s">
        <v>16755</v>
      </c>
      <c r="C16687" s="2" t="str">
        <f>"15736709"</f>
        <v>15736709</v>
      </c>
      <c r="D16687" s="2">
        <v>0.41499999999999998</v>
      </c>
      <c r="E16687" s="2">
        <v>31</v>
      </c>
      <c r="F16687" s="2" t="s">
        <v>6</v>
      </c>
    </row>
    <row r="16688" spans="1:6" ht="25.5">
      <c r="A16688" s="2">
        <v>16685</v>
      </c>
      <c r="B16688" s="2" t="s">
        <v>16756</v>
      </c>
      <c r="C16688" s="2" t="str">
        <f>"1095158X"</f>
        <v>1095158X</v>
      </c>
      <c r="D16688" s="2">
        <v>0.442</v>
      </c>
      <c r="E16688" s="2">
        <v>37</v>
      </c>
      <c r="F16688" s="2" t="s">
        <v>6</v>
      </c>
    </row>
    <row r="16689" spans="1:6" ht="25.5">
      <c r="A16689" s="2">
        <v>16686</v>
      </c>
      <c r="B16689" s="2" t="s">
        <v>16757</v>
      </c>
      <c r="C16689" s="2" t="str">
        <f>"10752730"</f>
        <v>10752730</v>
      </c>
      <c r="D16689" s="2">
        <v>1.1180000000000001</v>
      </c>
      <c r="E16689" s="2">
        <v>87</v>
      </c>
      <c r="F16689" s="2" t="s">
        <v>6</v>
      </c>
    </row>
    <row r="16690" spans="1:6" ht="25.5">
      <c r="A16690" s="2">
        <v>16687</v>
      </c>
      <c r="B16690" s="2" t="s">
        <v>16758</v>
      </c>
      <c r="C16690" s="2" t="str">
        <f>"08932905"</f>
        <v>08932905</v>
      </c>
      <c r="D16690" s="2">
        <v>0.11799999999999999</v>
      </c>
      <c r="E16690" s="2">
        <v>5</v>
      </c>
      <c r="F16690" s="2" t="s">
        <v>6</v>
      </c>
    </row>
    <row r="16691" spans="1:6" ht="25.5">
      <c r="A16691" s="2">
        <v>16688</v>
      </c>
      <c r="B16691" s="2" t="s">
        <v>16759</v>
      </c>
      <c r="C16691" s="2" t="str">
        <f>"12117579"</f>
        <v>12117579</v>
      </c>
      <c r="D16691" s="2">
        <v>0.106</v>
      </c>
      <c r="E16691" s="2">
        <v>7</v>
      </c>
      <c r="F16691" s="2" t="s">
        <v>208</v>
      </c>
    </row>
    <row r="16692" spans="1:6" ht="25.5">
      <c r="A16692" s="2">
        <v>16689</v>
      </c>
      <c r="B16692" s="2" t="s">
        <v>16760</v>
      </c>
      <c r="C16692" s="2" t="str">
        <f>"0079726X"</f>
        <v>0079726X</v>
      </c>
      <c r="D16692" s="2">
        <v>0.20499999999999999</v>
      </c>
      <c r="E16692" s="2">
        <v>10</v>
      </c>
      <c r="F16692" s="2" t="s">
        <v>66</v>
      </c>
    </row>
    <row r="16693" spans="1:6" ht="25.5">
      <c r="A16693" s="2">
        <v>16690</v>
      </c>
      <c r="B16693" s="2" t="s">
        <v>16761</v>
      </c>
      <c r="C16693" s="2" t="str">
        <f>"11052333"</f>
        <v>11052333</v>
      </c>
      <c r="D16693" s="2">
        <v>0.10100000000000001</v>
      </c>
      <c r="E16693" s="2">
        <v>1</v>
      </c>
      <c r="F16693" s="2" t="s">
        <v>313</v>
      </c>
    </row>
    <row r="16694" spans="1:6" ht="25.5">
      <c r="A16694" s="2">
        <v>16691</v>
      </c>
      <c r="B16694" s="2" t="s">
        <v>16762</v>
      </c>
      <c r="C16694" s="2" t="str">
        <f>"1439989X"</f>
        <v>1439989X</v>
      </c>
      <c r="D16694" s="2">
        <v>0.34399999999999997</v>
      </c>
      <c r="E16694" s="2">
        <v>22</v>
      </c>
      <c r="F16694" s="2" t="s">
        <v>12</v>
      </c>
    </row>
    <row r="16695" spans="1:6" ht="25.5">
      <c r="A16695" s="2">
        <v>16692</v>
      </c>
      <c r="B16695" s="2" t="s">
        <v>16763</v>
      </c>
      <c r="C16695" s="2" t="str">
        <f>"17583217"</f>
        <v>17583217</v>
      </c>
      <c r="D16695" s="2">
        <v>0.38300000000000001</v>
      </c>
      <c r="E16695" s="2">
        <v>25</v>
      </c>
      <c r="F16695" s="2" t="s">
        <v>16</v>
      </c>
    </row>
    <row r="16696" spans="1:6" ht="25.5">
      <c r="A16696" s="2">
        <v>16693</v>
      </c>
      <c r="B16696" s="2" t="s">
        <v>16764</v>
      </c>
      <c r="C16696" s="2" t="str">
        <f>"00332747"</f>
        <v>00332747</v>
      </c>
      <c r="D16696" s="2">
        <v>0.59899999999999998</v>
      </c>
      <c r="E16696" s="2">
        <v>35</v>
      </c>
      <c r="F16696" s="2" t="s">
        <v>6</v>
      </c>
    </row>
    <row r="16697" spans="1:6" ht="25.5">
      <c r="A16697" s="2">
        <v>16694</v>
      </c>
      <c r="B16697" s="2" t="s">
        <v>16765</v>
      </c>
      <c r="C16697" s="2" t="str">
        <f>"14401819"</f>
        <v>14401819</v>
      </c>
      <c r="D16697" s="2">
        <v>0.81200000000000006</v>
      </c>
      <c r="E16697" s="2">
        <v>41</v>
      </c>
      <c r="F16697" s="2" t="s">
        <v>16</v>
      </c>
    </row>
    <row r="16698" spans="1:6" ht="25.5">
      <c r="A16698" s="2">
        <v>16695</v>
      </c>
      <c r="B16698" s="2" t="s">
        <v>16766</v>
      </c>
      <c r="C16698" s="2" t="str">
        <f>"17383684"</f>
        <v>17383684</v>
      </c>
      <c r="D16698" s="2">
        <v>0.49399999999999999</v>
      </c>
      <c r="E16698" s="2">
        <v>8</v>
      </c>
      <c r="F16698" s="2" t="s">
        <v>274</v>
      </c>
    </row>
    <row r="16699" spans="1:6" ht="25.5">
      <c r="A16699" s="2">
        <v>16696</v>
      </c>
      <c r="B16699" s="2" t="s">
        <v>16767</v>
      </c>
      <c r="C16699" s="2" t="str">
        <f>"13218719"</f>
        <v>13218719</v>
      </c>
      <c r="D16699" s="2">
        <v>0.24199999999999999</v>
      </c>
      <c r="E16699" s="2">
        <v>15</v>
      </c>
      <c r="F16699" s="2" t="s">
        <v>16</v>
      </c>
    </row>
    <row r="16700" spans="1:6" ht="25.5">
      <c r="A16700" s="2">
        <v>16697</v>
      </c>
      <c r="B16700" s="2" t="s">
        <v>16768</v>
      </c>
      <c r="C16700" s="2" t="str">
        <f>"01651781"</f>
        <v>01651781</v>
      </c>
      <c r="D16700" s="2">
        <v>1.194</v>
      </c>
      <c r="E16700" s="2">
        <v>81</v>
      </c>
      <c r="F16700" s="2" t="s">
        <v>732</v>
      </c>
    </row>
    <row r="16701" spans="1:6" ht="25.5">
      <c r="A16701" s="2">
        <v>16698</v>
      </c>
      <c r="B16701" s="2" t="s">
        <v>16769</v>
      </c>
      <c r="C16701" s="2" t="str">
        <f>"09254927"</f>
        <v>09254927</v>
      </c>
      <c r="D16701" s="2">
        <v>1.6619999999999999</v>
      </c>
      <c r="E16701" s="2">
        <v>71</v>
      </c>
      <c r="F16701" s="2" t="s">
        <v>732</v>
      </c>
    </row>
    <row r="16702" spans="1:6" ht="25.5">
      <c r="A16702" s="2">
        <v>16699</v>
      </c>
      <c r="B16702" s="2" t="s">
        <v>16770</v>
      </c>
      <c r="C16702" s="2" t="str">
        <f>"17207525"</f>
        <v>17207525</v>
      </c>
      <c r="D16702" s="2">
        <v>0.10199999999999999</v>
      </c>
      <c r="E16702" s="2">
        <v>2</v>
      </c>
      <c r="F16702" s="2" t="s">
        <v>190</v>
      </c>
    </row>
    <row r="16703" spans="1:6" ht="25.5">
      <c r="A16703" s="2">
        <v>16700</v>
      </c>
      <c r="B16703" s="2" t="s">
        <v>16771</v>
      </c>
      <c r="C16703" s="2" t="str">
        <f>"1755201X"</f>
        <v>1755201X</v>
      </c>
      <c r="D16703" s="2">
        <v>0.10299999999999999</v>
      </c>
      <c r="E16703" s="2">
        <v>4</v>
      </c>
      <c r="F16703" s="2" t="s">
        <v>16</v>
      </c>
    </row>
    <row r="16704" spans="1:6" ht="25.5">
      <c r="A16704" s="2">
        <v>16701</v>
      </c>
      <c r="B16704" s="2" t="s">
        <v>16772</v>
      </c>
      <c r="C16704" s="2" t="str">
        <f>"10481885"</f>
        <v>10481885</v>
      </c>
      <c r="D16704" s="2">
        <v>0.67700000000000005</v>
      </c>
      <c r="E16704" s="2">
        <v>28</v>
      </c>
      <c r="F16704" s="2" t="s">
        <v>16</v>
      </c>
    </row>
    <row r="16705" spans="1:6" ht="25.5">
      <c r="A16705" s="2">
        <v>16702</v>
      </c>
      <c r="B16705" s="2" t="s">
        <v>16773</v>
      </c>
      <c r="C16705" s="2" t="str">
        <f>"07351690"</f>
        <v>07351690</v>
      </c>
      <c r="D16705" s="2">
        <v>0.41599999999999998</v>
      </c>
      <c r="E16705" s="2">
        <v>23</v>
      </c>
      <c r="F16705" s="2" t="s">
        <v>16</v>
      </c>
    </row>
    <row r="16706" spans="1:6" ht="25.5">
      <c r="A16706" s="2">
        <v>16703</v>
      </c>
      <c r="B16706" s="2" t="s">
        <v>16774</v>
      </c>
      <c r="C16706" s="2" t="str">
        <f>"07369735"</f>
        <v>07369735</v>
      </c>
      <c r="D16706" s="2">
        <v>0.61</v>
      </c>
      <c r="E16706" s="2">
        <v>20</v>
      </c>
      <c r="F16706" s="2" t="s">
        <v>6</v>
      </c>
    </row>
    <row r="16707" spans="1:6" ht="25.5">
      <c r="A16707" s="2">
        <v>16704</v>
      </c>
      <c r="B16707" s="2" t="s">
        <v>16775</v>
      </c>
      <c r="C16707" s="2" t="str">
        <f>"14749734"</f>
        <v>14749734</v>
      </c>
      <c r="D16707" s="2">
        <v>0.32900000000000001</v>
      </c>
      <c r="E16707" s="2">
        <v>6</v>
      </c>
      <c r="F16707" s="2" t="s">
        <v>16</v>
      </c>
    </row>
    <row r="16708" spans="1:6" ht="25.5">
      <c r="A16708" s="2">
        <v>16705</v>
      </c>
      <c r="B16708" s="2" t="s">
        <v>16776</v>
      </c>
      <c r="C16708" s="2" t="str">
        <f>"00332828"</f>
        <v>00332828</v>
      </c>
      <c r="D16708" s="2">
        <v>0.59199999999999997</v>
      </c>
      <c r="E16708" s="2">
        <v>26</v>
      </c>
      <c r="F16708" s="2" t="s">
        <v>6</v>
      </c>
    </row>
    <row r="16709" spans="1:6" ht="25.5">
      <c r="A16709" s="2">
        <v>16706</v>
      </c>
      <c r="B16709" s="2" t="s">
        <v>16777</v>
      </c>
      <c r="C16709" s="2" t="str">
        <f>"19433301"</f>
        <v>19433301</v>
      </c>
      <c r="D16709" s="2">
        <v>0.28999999999999998</v>
      </c>
      <c r="E16709" s="2">
        <v>9</v>
      </c>
      <c r="F16709" s="2" t="s">
        <v>6</v>
      </c>
    </row>
    <row r="16710" spans="1:6" ht="25.5">
      <c r="A16710" s="2">
        <v>16707</v>
      </c>
      <c r="B16710" s="2" t="s">
        <v>16778</v>
      </c>
      <c r="C16710" s="2" t="str">
        <f>"15228878"</f>
        <v>15228878</v>
      </c>
      <c r="D16710" s="2">
        <v>0.107</v>
      </c>
      <c r="E16710" s="2">
        <v>3</v>
      </c>
      <c r="F16710" s="2" t="s">
        <v>16</v>
      </c>
    </row>
    <row r="16711" spans="1:6" ht="25.5">
      <c r="A16711" s="2">
        <v>16708</v>
      </c>
      <c r="B16711" s="2" t="s">
        <v>16779</v>
      </c>
      <c r="C16711" s="2" t="str">
        <f>"14753634"</f>
        <v>14753634</v>
      </c>
      <c r="D16711" s="2">
        <v>0.23599999999999999</v>
      </c>
      <c r="E16711" s="2">
        <v>8</v>
      </c>
      <c r="F16711" s="2" t="s">
        <v>16</v>
      </c>
    </row>
    <row r="16712" spans="1:6" ht="25.5">
      <c r="A16712" s="2">
        <v>16709</v>
      </c>
      <c r="B16712" s="2" t="s">
        <v>16780</v>
      </c>
      <c r="C16712" s="2" t="str">
        <f>"21622604"</f>
        <v>21622604</v>
      </c>
      <c r="D16712" s="2">
        <v>0.219</v>
      </c>
      <c r="E16712" s="2">
        <v>12</v>
      </c>
      <c r="F16712" s="2" t="s">
        <v>6</v>
      </c>
    </row>
    <row r="16713" spans="1:6" ht="25.5">
      <c r="A16713" s="2">
        <v>16710</v>
      </c>
      <c r="B16713" s="2" t="s">
        <v>16781</v>
      </c>
      <c r="C16713" s="2" t="str">
        <f>"17322642"</f>
        <v>17322642</v>
      </c>
      <c r="D16713" s="2">
        <v>0.105</v>
      </c>
      <c r="E16713" s="2">
        <v>3</v>
      </c>
      <c r="F16713" s="2" t="s">
        <v>169</v>
      </c>
    </row>
    <row r="16714" spans="1:6" ht="25.5">
      <c r="A16714" s="2">
        <v>16711</v>
      </c>
      <c r="B16714" s="2" t="s">
        <v>16782</v>
      </c>
      <c r="C16714" s="2" t="str">
        <f>"14798301"</f>
        <v>14798301</v>
      </c>
      <c r="D16714" s="2">
        <v>0.35699999999999998</v>
      </c>
      <c r="E16714" s="2">
        <v>10</v>
      </c>
      <c r="F16714" s="2" t="s">
        <v>16</v>
      </c>
    </row>
    <row r="16715" spans="1:6" ht="25.5">
      <c r="A16715" s="2">
        <v>16712</v>
      </c>
      <c r="B16715" s="2" t="s">
        <v>16783</v>
      </c>
      <c r="C16715" s="2" t="str">
        <f>"00332852"</f>
        <v>00332852</v>
      </c>
      <c r="D16715" s="2">
        <v>0.13900000000000001</v>
      </c>
      <c r="E16715" s="2">
        <v>15</v>
      </c>
      <c r="F16715" s="2" t="s">
        <v>131</v>
      </c>
    </row>
    <row r="16716" spans="1:6" ht="25.5">
      <c r="A16716" s="2">
        <v>16713</v>
      </c>
      <c r="B16716" s="2" t="s">
        <v>16784</v>
      </c>
      <c r="C16716" s="2" t="str">
        <f>"00332879"</f>
        <v>00332879</v>
      </c>
      <c r="D16716" s="2">
        <v>0.50900000000000001</v>
      </c>
      <c r="E16716" s="2">
        <v>18</v>
      </c>
      <c r="F16716" s="2" t="s">
        <v>161</v>
      </c>
    </row>
    <row r="16717" spans="1:6" ht="25.5">
      <c r="A16717" s="2">
        <v>16714</v>
      </c>
      <c r="B16717" s="2" t="s">
        <v>16785</v>
      </c>
      <c r="C16717" s="2" t="str">
        <f>"10403590"</f>
        <v>10403590</v>
      </c>
      <c r="D16717" s="2">
        <v>1.806</v>
      </c>
      <c r="E16717" s="2">
        <v>76</v>
      </c>
      <c r="F16717" s="2" t="s">
        <v>6</v>
      </c>
    </row>
    <row r="16718" spans="1:6" ht="25.5">
      <c r="A16718" s="2">
        <v>16715</v>
      </c>
      <c r="B16718" s="2" t="s">
        <v>16786</v>
      </c>
      <c r="C16718" s="2" t="str">
        <f>"00332909"</f>
        <v>00332909</v>
      </c>
      <c r="D16718" s="2">
        <v>7.0270000000000001</v>
      </c>
      <c r="E16718" s="2">
        <v>165</v>
      </c>
      <c r="F16718" s="2" t="s">
        <v>6</v>
      </c>
    </row>
    <row r="16719" spans="1:6" ht="25.5">
      <c r="A16719" s="2">
        <v>16716</v>
      </c>
      <c r="B16719" s="2" t="s">
        <v>16787</v>
      </c>
      <c r="C16719" s="2" t="str">
        <f>"19389728"</f>
        <v>19389728</v>
      </c>
      <c r="D16719" s="2">
        <v>0.27300000000000002</v>
      </c>
      <c r="E16719" s="2">
        <v>9</v>
      </c>
      <c r="F16719" s="2" t="s">
        <v>6</v>
      </c>
    </row>
    <row r="16720" spans="1:6" ht="25.5">
      <c r="A16720" s="2">
        <v>16717</v>
      </c>
      <c r="B16720" s="2" t="s">
        <v>16788</v>
      </c>
      <c r="C16720" s="2" t="str">
        <f>"15327965"</f>
        <v>15327965</v>
      </c>
      <c r="D16720" s="2">
        <v>1.29</v>
      </c>
      <c r="E16720" s="2">
        <v>42</v>
      </c>
      <c r="F16720" s="2" t="s">
        <v>16</v>
      </c>
    </row>
    <row r="16721" spans="1:6" ht="25.5">
      <c r="A16721" s="2">
        <v>16718</v>
      </c>
      <c r="B16721" s="2" t="s">
        <v>16789</v>
      </c>
      <c r="C16721" s="2" t="str">
        <f>"14698978"</f>
        <v>14698978</v>
      </c>
      <c r="D16721" s="2">
        <v>2.581</v>
      </c>
      <c r="E16721" s="2">
        <v>127</v>
      </c>
      <c r="F16721" s="2" t="s">
        <v>16</v>
      </c>
    </row>
    <row r="16722" spans="1:6" ht="25.5">
      <c r="A16722" s="2">
        <v>16719</v>
      </c>
      <c r="B16722" s="2" t="s">
        <v>16790</v>
      </c>
      <c r="C16722" s="2" t="str">
        <f>"1082989X"</f>
        <v>1082989X</v>
      </c>
      <c r="D16722" s="2">
        <v>2.7160000000000002</v>
      </c>
      <c r="E16722" s="2">
        <v>77</v>
      </c>
      <c r="F16722" s="2" t="s">
        <v>6</v>
      </c>
    </row>
    <row r="16723" spans="1:6" ht="25.5">
      <c r="A16723" s="2">
        <v>16720</v>
      </c>
      <c r="B16723" s="2" t="s">
        <v>16791</v>
      </c>
      <c r="C16723" s="2" t="str">
        <f>"00332933"</f>
        <v>00332933</v>
      </c>
      <c r="D16723" s="2">
        <v>0.442</v>
      </c>
      <c r="E16723" s="2">
        <v>25</v>
      </c>
      <c r="F16723" s="2" t="s">
        <v>6</v>
      </c>
    </row>
    <row r="16724" spans="1:6" ht="25.5">
      <c r="A16724" s="2">
        <v>16721</v>
      </c>
      <c r="B16724" s="2" t="s">
        <v>16792</v>
      </c>
      <c r="C16724" s="2" t="str">
        <f>"00332941"</f>
        <v>00332941</v>
      </c>
      <c r="D16724" s="2">
        <v>0.25600000000000001</v>
      </c>
      <c r="E16724" s="2">
        <v>38</v>
      </c>
      <c r="F16724" s="2" t="s">
        <v>6</v>
      </c>
    </row>
    <row r="16725" spans="1:6" ht="25.5">
      <c r="A16725" s="2">
        <v>16722</v>
      </c>
      <c r="B16725" s="2" t="s">
        <v>16793</v>
      </c>
      <c r="C16725" s="2" t="str">
        <f>"14302772"</f>
        <v>14302772</v>
      </c>
      <c r="D16725" s="2">
        <v>1.2609999999999999</v>
      </c>
      <c r="E16725" s="2">
        <v>46</v>
      </c>
      <c r="F16725" s="2" t="s">
        <v>12</v>
      </c>
    </row>
    <row r="16726" spans="1:6" ht="25.5">
      <c r="A16726" s="2">
        <v>16723</v>
      </c>
      <c r="B16726" s="2" t="s">
        <v>16794</v>
      </c>
      <c r="C16726" s="2" t="str">
        <f>"0033295X"</f>
        <v>0033295X</v>
      </c>
      <c r="D16726" s="2">
        <v>5.0339999999999998</v>
      </c>
      <c r="E16726" s="2">
        <v>129</v>
      </c>
      <c r="F16726" s="2" t="s">
        <v>6</v>
      </c>
    </row>
    <row r="16727" spans="1:6" ht="25.5">
      <c r="A16727" s="2">
        <v>16724</v>
      </c>
      <c r="B16727" s="2" t="s">
        <v>16795</v>
      </c>
      <c r="C16727" s="2" t="str">
        <f>"14679280"</f>
        <v>14679280</v>
      </c>
      <c r="D16727" s="2">
        <v>3.52</v>
      </c>
      <c r="E16727" s="2">
        <v>131</v>
      </c>
      <c r="F16727" s="2" t="s">
        <v>6</v>
      </c>
    </row>
    <row r="16728" spans="1:6" ht="25.5">
      <c r="A16728" s="2">
        <v>16725</v>
      </c>
      <c r="B16728" s="2" t="s">
        <v>16796</v>
      </c>
      <c r="C16728" s="2" t="str">
        <f>"15291006"</f>
        <v>15291006</v>
      </c>
      <c r="D16728" s="2">
        <v>3.47</v>
      </c>
      <c r="E16728" s="2">
        <v>20</v>
      </c>
      <c r="F16728" s="2" t="s">
        <v>6</v>
      </c>
    </row>
    <row r="16729" spans="1:6" ht="25.5">
      <c r="A16729" s="2">
        <v>16726</v>
      </c>
      <c r="B16729" s="2" t="s">
        <v>16797</v>
      </c>
      <c r="C16729" s="2" t="str">
        <f>"15411559"</f>
        <v>15411559</v>
      </c>
      <c r="D16729" s="2">
        <v>0.44600000000000001</v>
      </c>
      <c r="E16729" s="2">
        <v>15</v>
      </c>
      <c r="F16729" s="2" t="s">
        <v>6</v>
      </c>
    </row>
    <row r="16730" spans="1:6" ht="25.5">
      <c r="A16730" s="2">
        <v>16727</v>
      </c>
      <c r="B16730" s="2" t="s">
        <v>16798</v>
      </c>
      <c r="C16730" s="2" t="str">
        <f>"19429681"</f>
        <v>19429681</v>
      </c>
      <c r="D16730" s="2">
        <v>0.76900000000000002</v>
      </c>
      <c r="E16730" s="2">
        <v>9</v>
      </c>
      <c r="F16730" s="2" t="s">
        <v>6</v>
      </c>
    </row>
    <row r="16731" spans="1:6" ht="25.5">
      <c r="A16731" s="2">
        <v>16728</v>
      </c>
      <c r="B16731" s="2" t="s">
        <v>16799</v>
      </c>
      <c r="C16731" s="2" t="str">
        <f>"00332984"</f>
        <v>00332984</v>
      </c>
      <c r="D16731" s="2">
        <v>0.158</v>
      </c>
      <c r="E16731" s="2">
        <v>8</v>
      </c>
      <c r="F16731" s="2" t="s">
        <v>66</v>
      </c>
    </row>
    <row r="16732" spans="1:6" ht="25.5">
      <c r="A16732" s="2">
        <v>16729</v>
      </c>
      <c r="B16732" s="2" t="s">
        <v>16800</v>
      </c>
      <c r="C16732" s="2" t="str">
        <f>"0342183X"</f>
        <v>0342183X</v>
      </c>
      <c r="D16732" s="2">
        <v>0.20300000000000001</v>
      </c>
      <c r="E16732" s="2">
        <v>11</v>
      </c>
      <c r="F16732" s="2" t="s">
        <v>12</v>
      </c>
    </row>
    <row r="16733" spans="1:6" ht="25.5">
      <c r="A16733" s="2">
        <v>16730</v>
      </c>
      <c r="B16733" s="2" t="s">
        <v>16801</v>
      </c>
      <c r="C16733" s="2" t="str">
        <f>"00333042"</f>
        <v>00333042</v>
      </c>
      <c r="D16733" s="2">
        <v>0.23599999999999999</v>
      </c>
      <c r="E16733" s="2">
        <v>13</v>
      </c>
      <c r="F16733" s="2" t="s">
        <v>6</v>
      </c>
    </row>
    <row r="16734" spans="1:6" ht="25.5">
      <c r="A16734" s="2">
        <v>16731</v>
      </c>
      <c r="B16734" s="2" t="s">
        <v>16802</v>
      </c>
      <c r="C16734" s="2" t="str">
        <f>"09528229"</f>
        <v>09528229</v>
      </c>
      <c r="D16734" s="2">
        <v>0.151</v>
      </c>
      <c r="E16734" s="2">
        <v>19</v>
      </c>
      <c r="F16734" s="2" t="s">
        <v>16</v>
      </c>
    </row>
    <row r="16735" spans="1:6" ht="25.5">
      <c r="A16735" s="2">
        <v>16732</v>
      </c>
      <c r="B16735" s="2" t="s">
        <v>16803</v>
      </c>
      <c r="C16735" s="2" t="str">
        <f>"10887156"</f>
        <v>10887156</v>
      </c>
      <c r="D16735" s="2">
        <v>0.13700000000000001</v>
      </c>
      <c r="E16735" s="2">
        <v>3</v>
      </c>
      <c r="F16735" s="2" t="s">
        <v>6</v>
      </c>
    </row>
    <row r="16736" spans="1:6" ht="25.5">
      <c r="A16736" s="2">
        <v>16733</v>
      </c>
      <c r="B16736" s="2" t="s">
        <v>16804</v>
      </c>
      <c r="C16736" s="2" t="str">
        <f>"08827974"</f>
        <v>08827974</v>
      </c>
      <c r="D16736" s="2">
        <v>1.76</v>
      </c>
      <c r="E16736" s="2">
        <v>86</v>
      </c>
      <c r="F16736" s="2" t="s">
        <v>6</v>
      </c>
    </row>
    <row r="16737" spans="1:6" ht="25.5">
      <c r="A16737" s="2">
        <v>16734</v>
      </c>
      <c r="B16737" s="2" t="s">
        <v>16805</v>
      </c>
      <c r="C16737" s="2" t="str">
        <f>"09713336"</f>
        <v>09713336</v>
      </c>
      <c r="D16737" s="2">
        <v>0.14299999999999999</v>
      </c>
      <c r="E16737" s="2">
        <v>9</v>
      </c>
      <c r="F16737" s="2" t="s">
        <v>488</v>
      </c>
    </row>
    <row r="16738" spans="1:6">
      <c r="A16738" s="2">
        <v>16735</v>
      </c>
      <c r="B16738" s="2" t="s">
        <v>16806</v>
      </c>
      <c r="C16738" s="2" t="str">
        <f>"0"</f>
        <v>0</v>
      </c>
      <c r="D16738" s="2">
        <v>0.13800000000000001</v>
      </c>
      <c r="E16738" s="2">
        <v>7</v>
      </c>
      <c r="F16738" s="2" t="s">
        <v>6</v>
      </c>
    </row>
    <row r="16739" spans="1:6" ht="25.5">
      <c r="A16739" s="2">
        <v>16736</v>
      </c>
      <c r="B16739" s="2" t="s">
        <v>16807</v>
      </c>
      <c r="C16739" s="2" t="str">
        <f>"08870446"</f>
        <v>08870446</v>
      </c>
      <c r="D16739" s="2">
        <v>0.95599999999999996</v>
      </c>
      <c r="E16739" s="2">
        <v>51</v>
      </c>
      <c r="F16739" s="2" t="s">
        <v>16</v>
      </c>
    </row>
    <row r="16740" spans="1:6" ht="25.5">
      <c r="A16740" s="2">
        <v>16737</v>
      </c>
      <c r="B16740" s="2" t="s">
        <v>16808</v>
      </c>
      <c r="C16740" s="2" t="str">
        <f>"15206793"</f>
        <v>15206793</v>
      </c>
      <c r="D16740" s="2">
        <v>1.0680000000000001</v>
      </c>
      <c r="E16740" s="2">
        <v>51</v>
      </c>
      <c r="F16740" s="2" t="s">
        <v>6</v>
      </c>
    </row>
    <row r="16741" spans="1:6" ht="25.5">
      <c r="A16741" s="2">
        <v>16738</v>
      </c>
      <c r="B16741" s="2" t="s">
        <v>16809</v>
      </c>
      <c r="C16741" s="2" t="str">
        <f>"19843054"</f>
        <v>19843054</v>
      </c>
      <c r="D16741" s="2">
        <v>0.16400000000000001</v>
      </c>
      <c r="E16741" s="2">
        <v>3</v>
      </c>
      <c r="F16741" s="2" t="s">
        <v>159</v>
      </c>
    </row>
    <row r="16742" spans="1:6" ht="25.5">
      <c r="A16742" s="2">
        <v>16739</v>
      </c>
      <c r="B16742" s="2" t="s">
        <v>16810</v>
      </c>
      <c r="C16742" s="2" t="str">
        <f>"14760835"</f>
        <v>14760835</v>
      </c>
      <c r="D16742" s="2">
        <v>0.78600000000000003</v>
      </c>
      <c r="E16742" s="2">
        <v>33</v>
      </c>
      <c r="F16742" s="2" t="s">
        <v>6</v>
      </c>
    </row>
    <row r="16743" spans="1:6" ht="25.5">
      <c r="A16743" s="2">
        <v>16740</v>
      </c>
      <c r="B16743" s="2" t="s">
        <v>16811</v>
      </c>
      <c r="C16743" s="2" t="str">
        <f>"19419902"</f>
        <v>19419902</v>
      </c>
      <c r="D16743" s="2">
        <v>0.26900000000000002</v>
      </c>
      <c r="E16743" s="2">
        <v>3</v>
      </c>
      <c r="F16743" s="2" t="s">
        <v>16</v>
      </c>
    </row>
    <row r="16744" spans="1:6" ht="25.5">
      <c r="A16744" s="2">
        <v>16741</v>
      </c>
      <c r="B16744" s="2" t="s">
        <v>16812</v>
      </c>
      <c r="C16744" s="2" t="str">
        <f>"1068316X"</f>
        <v>1068316X</v>
      </c>
      <c r="D16744" s="2">
        <v>0.73199999999999998</v>
      </c>
      <c r="E16744" s="2">
        <v>28</v>
      </c>
      <c r="F16744" s="2" t="s">
        <v>16</v>
      </c>
    </row>
    <row r="16745" spans="1:6" ht="25.5">
      <c r="A16745" s="2">
        <v>16742</v>
      </c>
      <c r="B16745" s="2" t="s">
        <v>16813</v>
      </c>
      <c r="C16745" s="2" t="str">
        <f>"14653966"</f>
        <v>14653966</v>
      </c>
      <c r="D16745" s="2">
        <v>0.53800000000000003</v>
      </c>
      <c r="E16745" s="2">
        <v>34</v>
      </c>
      <c r="F16745" s="2" t="s">
        <v>16</v>
      </c>
    </row>
    <row r="16746" spans="1:6" ht="25.5">
      <c r="A16746" s="2">
        <v>16743</v>
      </c>
      <c r="B16746" s="2" t="s">
        <v>16814</v>
      </c>
      <c r="C16746" s="2" t="str">
        <f>"20746857"</f>
        <v>20746857</v>
      </c>
      <c r="D16746" s="2">
        <v>0</v>
      </c>
      <c r="E16746" s="2">
        <v>0</v>
      </c>
      <c r="F16746" s="2" t="s">
        <v>129</v>
      </c>
    </row>
    <row r="16747" spans="1:6" ht="25.5">
      <c r="A16747" s="2">
        <v>16744</v>
      </c>
      <c r="B16747" s="2" t="s">
        <v>16815</v>
      </c>
      <c r="C16747" s="2" t="str">
        <f>"15206807"</f>
        <v>15206807</v>
      </c>
      <c r="D16747" s="2">
        <v>0.47499999999999998</v>
      </c>
      <c r="E16747" s="2">
        <v>35</v>
      </c>
      <c r="F16747" s="2" t="s">
        <v>6</v>
      </c>
    </row>
    <row r="16748" spans="1:6" ht="25.5">
      <c r="A16748" s="2">
        <v>16745</v>
      </c>
      <c r="B16748" s="2" t="s">
        <v>16816</v>
      </c>
      <c r="C16748" s="2" t="str">
        <f>"14757257"</f>
        <v>14757257</v>
      </c>
      <c r="D16748" s="2">
        <v>0.109</v>
      </c>
      <c r="E16748" s="2">
        <v>1</v>
      </c>
      <c r="F16748" s="2" t="s">
        <v>16</v>
      </c>
    </row>
    <row r="16749" spans="1:6" ht="25.5">
      <c r="A16749" s="2">
        <v>16746</v>
      </c>
      <c r="B16749" s="2" t="s">
        <v>16817</v>
      </c>
      <c r="C16749" s="2" t="str">
        <f>"0893164X"</f>
        <v>0893164X</v>
      </c>
      <c r="D16749" s="2">
        <v>1.048</v>
      </c>
      <c r="E16749" s="2">
        <v>60</v>
      </c>
      <c r="F16749" s="2" t="s">
        <v>6</v>
      </c>
    </row>
    <row r="16750" spans="1:6" ht="25.5">
      <c r="A16750" s="2">
        <v>16747</v>
      </c>
      <c r="B16750" s="2" t="s">
        <v>16818</v>
      </c>
      <c r="C16750" s="2" t="str">
        <f>"1931390X"</f>
        <v>1931390X</v>
      </c>
      <c r="D16750" s="2">
        <v>0.76900000000000002</v>
      </c>
      <c r="E16750" s="2">
        <v>11</v>
      </c>
      <c r="F16750" s="2" t="s">
        <v>6</v>
      </c>
    </row>
    <row r="16751" spans="1:6" ht="25.5">
      <c r="A16751" s="2">
        <v>16748</v>
      </c>
      <c r="B16751" s="2" t="s">
        <v>16819</v>
      </c>
      <c r="C16751" s="2" t="str">
        <f>"12342238"</f>
        <v>12342238</v>
      </c>
      <c r="D16751" s="2">
        <v>0.106</v>
      </c>
      <c r="E16751" s="2">
        <v>2</v>
      </c>
      <c r="F16751" s="2" t="s">
        <v>169</v>
      </c>
    </row>
    <row r="16752" spans="1:6" ht="25.5">
      <c r="A16752" s="2">
        <v>16749</v>
      </c>
      <c r="B16752" s="2" t="s">
        <v>16820</v>
      </c>
      <c r="C16752" s="2" t="str">
        <f>"00797421"</f>
        <v>00797421</v>
      </c>
      <c r="D16752" s="2">
        <v>3.1560000000000001</v>
      </c>
      <c r="E16752" s="2">
        <v>25</v>
      </c>
      <c r="F16752" s="2" t="s">
        <v>6</v>
      </c>
    </row>
    <row r="16753" spans="1:6" ht="25.5">
      <c r="A16753" s="2">
        <v>16750</v>
      </c>
      <c r="B16753" s="2" t="s">
        <v>16821</v>
      </c>
      <c r="C16753" s="2" t="str">
        <f>"15249220"</f>
        <v>15249220</v>
      </c>
      <c r="D16753" s="2">
        <v>1.0720000000000001</v>
      </c>
      <c r="E16753" s="2">
        <v>27</v>
      </c>
      <c r="F16753" s="2" t="s">
        <v>6</v>
      </c>
    </row>
    <row r="16754" spans="1:6" ht="25.5">
      <c r="A16754" s="2">
        <v>16751</v>
      </c>
      <c r="B16754" s="2" t="s">
        <v>16822</v>
      </c>
      <c r="C16754" s="2" t="str">
        <f>"17413087"</f>
        <v>17413087</v>
      </c>
      <c r="D16754" s="2">
        <v>0.73799999999999999</v>
      </c>
      <c r="E16754" s="2">
        <v>23</v>
      </c>
      <c r="F16754" s="2" t="s">
        <v>16</v>
      </c>
    </row>
    <row r="16755" spans="1:6" ht="25.5">
      <c r="A16755" s="2">
        <v>16752</v>
      </c>
      <c r="B16755" s="2" t="s">
        <v>16823</v>
      </c>
      <c r="C16755" s="2" t="str">
        <f>"19411022"</f>
        <v>19411022</v>
      </c>
      <c r="D16755" s="2">
        <v>0.83699999999999997</v>
      </c>
      <c r="E16755" s="2">
        <v>8</v>
      </c>
      <c r="F16755" s="2" t="s">
        <v>6</v>
      </c>
    </row>
    <row r="16756" spans="1:6" ht="25.5">
      <c r="A16756" s="2">
        <v>16753</v>
      </c>
      <c r="B16756" s="2" t="s">
        <v>16824</v>
      </c>
      <c r="C16756" s="2" t="str">
        <f>"14690292"</f>
        <v>14690292</v>
      </c>
      <c r="D16756" s="2">
        <v>0.86299999999999999</v>
      </c>
      <c r="E16756" s="2">
        <v>34</v>
      </c>
      <c r="F16756" s="2" t="s">
        <v>75</v>
      </c>
    </row>
    <row r="16757" spans="1:6" ht="25.5">
      <c r="A16757" s="2">
        <v>16754</v>
      </c>
      <c r="B16757" s="2" t="s">
        <v>16825</v>
      </c>
      <c r="C16757" s="2" t="str">
        <f>"21520828"</f>
        <v>21520828</v>
      </c>
      <c r="D16757" s="2">
        <v>0.53</v>
      </c>
      <c r="E16757" s="2">
        <v>5</v>
      </c>
      <c r="F16757" s="2" t="s">
        <v>6</v>
      </c>
    </row>
    <row r="16758" spans="1:6" ht="25.5">
      <c r="A16758" s="2">
        <v>16755</v>
      </c>
      <c r="B16758" s="2" t="s">
        <v>16826</v>
      </c>
      <c r="C16758" s="2" t="str">
        <f>"14716402"</f>
        <v>14716402</v>
      </c>
      <c r="D16758" s="2">
        <v>0.88900000000000001</v>
      </c>
      <c r="E16758" s="2">
        <v>49</v>
      </c>
      <c r="F16758" s="2" t="s">
        <v>16</v>
      </c>
    </row>
    <row r="16759" spans="1:6" ht="25.5">
      <c r="A16759" s="2">
        <v>16756</v>
      </c>
      <c r="B16759" s="2" t="s">
        <v>16827</v>
      </c>
      <c r="C16759" s="2" t="str">
        <f>"10768971"</f>
        <v>10768971</v>
      </c>
      <c r="D16759" s="2">
        <v>1.129</v>
      </c>
      <c r="E16759" s="2">
        <v>36</v>
      </c>
      <c r="F16759" s="2" t="s">
        <v>6</v>
      </c>
    </row>
    <row r="16760" spans="1:6" ht="25.5">
      <c r="A16760" s="2">
        <v>16757</v>
      </c>
      <c r="B16760" s="2" t="s">
        <v>16828</v>
      </c>
      <c r="C16760" s="2" t="str">
        <f>"11791578"</f>
        <v>11791578</v>
      </c>
      <c r="D16760" s="2">
        <v>0</v>
      </c>
      <c r="E16760" s="2">
        <v>0</v>
      </c>
      <c r="F16760" s="2" t="s">
        <v>503</v>
      </c>
    </row>
    <row r="16761" spans="1:6" ht="25.5">
      <c r="A16761" s="2">
        <v>16758</v>
      </c>
      <c r="B16761" s="2" t="s">
        <v>16829</v>
      </c>
      <c r="C16761" s="2" t="str">
        <f>"00333123"</f>
        <v>00333123</v>
      </c>
      <c r="D16761" s="2">
        <v>2.867</v>
      </c>
      <c r="E16761" s="2">
        <v>38</v>
      </c>
      <c r="F16761" s="2" t="s">
        <v>6</v>
      </c>
    </row>
    <row r="16762" spans="1:6" ht="25.5">
      <c r="A16762" s="2">
        <v>16759</v>
      </c>
      <c r="B16762" s="2" t="s">
        <v>16830</v>
      </c>
      <c r="C16762" s="2" t="str">
        <f>"03064530"</f>
        <v>03064530</v>
      </c>
      <c r="D16762" s="2">
        <v>2.1760000000000002</v>
      </c>
      <c r="E16762" s="2">
        <v>97</v>
      </c>
      <c r="F16762" s="2" t="s">
        <v>16</v>
      </c>
    </row>
    <row r="16763" spans="1:6" ht="25.5">
      <c r="A16763" s="2">
        <v>16760</v>
      </c>
      <c r="B16763" s="2" t="s">
        <v>16831</v>
      </c>
      <c r="C16763" s="2" t="str">
        <f>"10699384"</f>
        <v>10699384</v>
      </c>
      <c r="D16763" s="2">
        <v>1.895</v>
      </c>
      <c r="E16763" s="2">
        <v>85</v>
      </c>
      <c r="F16763" s="2" t="s">
        <v>6</v>
      </c>
    </row>
    <row r="16764" spans="1:6" ht="25.5">
      <c r="A16764" s="2">
        <v>16761</v>
      </c>
      <c r="B16764" s="2" t="s">
        <v>16832</v>
      </c>
      <c r="C16764" s="2" t="str">
        <f>"1778381X"</f>
        <v>1778381X</v>
      </c>
      <c r="D16764" s="2">
        <v>0.13300000000000001</v>
      </c>
      <c r="E16764" s="2">
        <v>5</v>
      </c>
      <c r="F16764" s="2" t="s">
        <v>66</v>
      </c>
    </row>
    <row r="16765" spans="1:6" ht="25.5">
      <c r="A16765" s="2">
        <v>16762</v>
      </c>
      <c r="B16765" s="2" t="s">
        <v>16833</v>
      </c>
      <c r="C16765" s="2" t="str">
        <f>"10991611"</f>
        <v>10991611</v>
      </c>
      <c r="D16765" s="2">
        <v>1.8879999999999999</v>
      </c>
      <c r="E16765" s="2">
        <v>81</v>
      </c>
      <c r="F16765" s="2" t="s">
        <v>16</v>
      </c>
    </row>
    <row r="16766" spans="1:6" ht="25.5">
      <c r="A16766" s="2">
        <v>16763</v>
      </c>
      <c r="B16766" s="2" t="s">
        <v>16834</v>
      </c>
      <c r="C16766" s="2" t="str">
        <f>"1423033X"</f>
        <v>1423033X</v>
      </c>
      <c r="D16766" s="2">
        <v>0.86599999999999999</v>
      </c>
      <c r="E16766" s="2">
        <v>36</v>
      </c>
      <c r="F16766" s="2" t="s">
        <v>31</v>
      </c>
    </row>
    <row r="16767" spans="1:6" ht="25.5">
      <c r="A16767" s="2">
        <v>16764</v>
      </c>
      <c r="B16767" s="2" t="s">
        <v>16835</v>
      </c>
      <c r="C16767" s="2" t="str">
        <f>"00333158"</f>
        <v>00333158</v>
      </c>
      <c r="D16767" s="2">
        <v>1.59</v>
      </c>
      <c r="E16767" s="2">
        <v>136</v>
      </c>
      <c r="F16767" s="2" t="s">
        <v>12</v>
      </c>
    </row>
    <row r="16768" spans="1:6" ht="25.5">
      <c r="A16768" s="2">
        <v>16765</v>
      </c>
      <c r="B16768" s="2" t="s">
        <v>16836</v>
      </c>
      <c r="C16768" s="2" t="str">
        <f>"20706570"</f>
        <v>20706570</v>
      </c>
      <c r="D16768" s="2">
        <v>0.10199999999999999</v>
      </c>
      <c r="E16768" s="2">
        <v>1</v>
      </c>
      <c r="F16768" s="2" t="s">
        <v>129</v>
      </c>
    </row>
    <row r="16769" spans="1:6" ht="25.5">
      <c r="A16769" s="2">
        <v>16766</v>
      </c>
      <c r="B16769" s="2" t="s">
        <v>16837</v>
      </c>
      <c r="C16769" s="2" t="str">
        <f>"00485764"</f>
        <v>00485764</v>
      </c>
      <c r="D16769" s="2">
        <v>0.40699999999999997</v>
      </c>
      <c r="E16769" s="2">
        <v>51</v>
      </c>
      <c r="F16769" s="2" t="s">
        <v>6</v>
      </c>
    </row>
    <row r="16770" spans="1:6" ht="25.5">
      <c r="A16770" s="2">
        <v>16767</v>
      </c>
      <c r="B16770" s="2" t="s">
        <v>16838</v>
      </c>
      <c r="C16770" s="2" t="str">
        <f>"09446877"</f>
        <v>09446877</v>
      </c>
      <c r="D16770" s="2">
        <v>0.16500000000000001</v>
      </c>
      <c r="E16770" s="2">
        <v>10</v>
      </c>
      <c r="F16770" s="2" t="s">
        <v>12</v>
      </c>
    </row>
    <row r="16771" spans="1:6" ht="25.5">
      <c r="A16771" s="2">
        <v>16768</v>
      </c>
      <c r="B16771" s="2" t="s">
        <v>16839</v>
      </c>
      <c r="C16771" s="2" t="str">
        <f>"14698986"</f>
        <v>14698986</v>
      </c>
      <c r="D16771" s="2">
        <v>1.6279999999999999</v>
      </c>
      <c r="E16771" s="2">
        <v>95</v>
      </c>
      <c r="F16771" s="2" t="s">
        <v>16</v>
      </c>
    </row>
    <row r="16772" spans="1:6" ht="25.5">
      <c r="A16772" s="2">
        <v>16769</v>
      </c>
      <c r="B16772" s="2" t="s">
        <v>16840</v>
      </c>
      <c r="C16772" s="2" t="str">
        <f>"17522447"</f>
        <v>17522447</v>
      </c>
      <c r="D16772" s="2">
        <v>0</v>
      </c>
      <c r="E16772" s="2">
        <v>1</v>
      </c>
      <c r="F16772" s="2" t="s">
        <v>6</v>
      </c>
    </row>
    <row r="16773" spans="1:6" ht="25.5">
      <c r="A16773" s="2">
        <v>16770</v>
      </c>
      <c r="B16773" s="2" t="s">
        <v>16841</v>
      </c>
      <c r="C16773" s="2" t="str">
        <f>"15347796"</f>
        <v>15347796</v>
      </c>
      <c r="D16773" s="2">
        <v>1.766</v>
      </c>
      <c r="E16773" s="2">
        <v>117</v>
      </c>
      <c r="F16773" s="2" t="s">
        <v>6</v>
      </c>
    </row>
    <row r="16774" spans="1:6" ht="25.5">
      <c r="A16774" s="2">
        <v>16771</v>
      </c>
      <c r="B16774" s="2" t="s">
        <v>16842</v>
      </c>
      <c r="C16774" s="2" t="str">
        <f>"15457206"</f>
        <v>15457206</v>
      </c>
      <c r="D16774" s="2">
        <v>0.71299999999999997</v>
      </c>
      <c r="E16774" s="2">
        <v>66</v>
      </c>
      <c r="F16774" s="2" t="s">
        <v>6</v>
      </c>
    </row>
    <row r="16775" spans="1:6" ht="25.5">
      <c r="A16775" s="2">
        <v>16772</v>
      </c>
      <c r="B16775" s="2" t="s">
        <v>16843</v>
      </c>
      <c r="C16775" s="2" t="str">
        <f>"02394170"</f>
        <v>02394170</v>
      </c>
      <c r="D16775" s="2">
        <v>0.107</v>
      </c>
      <c r="E16775" s="2">
        <v>4</v>
      </c>
      <c r="F16775" s="2" t="s">
        <v>169</v>
      </c>
    </row>
    <row r="16776" spans="1:6" ht="25.5">
      <c r="A16776" s="2">
        <v>16773</v>
      </c>
      <c r="B16776" s="2" t="s">
        <v>16844</v>
      </c>
      <c r="C16776" s="2" t="str">
        <f>"14322080"</f>
        <v>14322080</v>
      </c>
      <c r="D16776" s="2">
        <v>0.28999999999999998</v>
      </c>
      <c r="E16776" s="2">
        <v>16</v>
      </c>
      <c r="F16776" s="2" t="s">
        <v>12</v>
      </c>
    </row>
    <row r="16777" spans="1:6" ht="25.5">
      <c r="A16777" s="2">
        <v>16774</v>
      </c>
      <c r="B16777" s="2" t="s">
        <v>16845</v>
      </c>
      <c r="C16777" s="2" t="str">
        <f>"0251737X"</f>
        <v>0251737X</v>
      </c>
      <c r="D16777" s="2">
        <v>0.10100000000000001</v>
      </c>
      <c r="E16777" s="2">
        <v>6</v>
      </c>
      <c r="F16777" s="2" t="s">
        <v>31</v>
      </c>
    </row>
    <row r="16778" spans="1:6" ht="25.5">
      <c r="A16778" s="2">
        <v>16775</v>
      </c>
      <c r="B16778" s="2" t="s">
        <v>16846</v>
      </c>
      <c r="C16778" s="2" t="str">
        <f>"00333204"</f>
        <v>00333204</v>
      </c>
      <c r="D16778" s="2">
        <v>1.286</v>
      </c>
      <c r="E16778" s="2">
        <v>35</v>
      </c>
      <c r="F16778" s="2" t="s">
        <v>6</v>
      </c>
    </row>
    <row r="16779" spans="1:6" ht="25.5">
      <c r="A16779" s="2">
        <v>16776</v>
      </c>
      <c r="B16779" s="2" t="s">
        <v>16847</v>
      </c>
      <c r="C16779" s="2" t="str">
        <f>"14230348"</f>
        <v>14230348</v>
      </c>
      <c r="D16779" s="2">
        <v>1.7070000000000001</v>
      </c>
      <c r="E16779" s="2">
        <v>58</v>
      </c>
      <c r="F16779" s="2" t="s">
        <v>31</v>
      </c>
    </row>
    <row r="16780" spans="1:6" ht="25.5">
      <c r="A16780" s="2">
        <v>16777</v>
      </c>
      <c r="B16780" s="2" t="s">
        <v>16848</v>
      </c>
      <c r="C16780" s="2" t="str">
        <f>"14684381"</f>
        <v>14684381</v>
      </c>
      <c r="D16780" s="2">
        <v>1.0609999999999999</v>
      </c>
      <c r="E16780" s="2">
        <v>38</v>
      </c>
      <c r="F16780" s="2" t="s">
        <v>6</v>
      </c>
    </row>
    <row r="16781" spans="1:6" ht="25.5">
      <c r="A16781" s="2">
        <v>16778</v>
      </c>
      <c r="B16781" s="2" t="s">
        <v>16849</v>
      </c>
      <c r="C16781" s="2" t="str">
        <f>"12452092"</f>
        <v>12452092</v>
      </c>
      <c r="D16781" s="2">
        <v>0.104</v>
      </c>
      <c r="E16781" s="2">
        <v>4</v>
      </c>
      <c r="F16781" s="2" t="s">
        <v>161</v>
      </c>
    </row>
    <row r="16782" spans="1:6" ht="25.5">
      <c r="A16782" s="2">
        <v>16779</v>
      </c>
      <c r="B16782" s="2" t="s">
        <v>16850</v>
      </c>
      <c r="C16782" s="2" t="str">
        <f>"21711976"</f>
        <v>21711976</v>
      </c>
      <c r="D16782" s="2">
        <v>0.122</v>
      </c>
      <c r="E16782" s="2">
        <v>2</v>
      </c>
      <c r="F16782" s="2" t="s">
        <v>351</v>
      </c>
    </row>
    <row r="16783" spans="1:6" ht="25.5">
      <c r="A16783" s="2">
        <v>16780</v>
      </c>
      <c r="B16783" s="2" t="s">
        <v>16851</v>
      </c>
      <c r="C16783" s="2" t="str">
        <f>"07182228"</f>
        <v>07182228</v>
      </c>
      <c r="D16783" s="2">
        <v>0.189</v>
      </c>
      <c r="E16783" s="2">
        <v>4</v>
      </c>
      <c r="F16783" s="2" t="s">
        <v>182</v>
      </c>
    </row>
    <row r="16784" spans="1:6" ht="25.5">
      <c r="A16784" s="2">
        <v>16781</v>
      </c>
      <c r="B16784" s="2" t="s">
        <v>16852</v>
      </c>
      <c r="C16784" s="2" t="str">
        <f>"0030834X"</f>
        <v>0030834X</v>
      </c>
      <c r="D16784" s="2">
        <v>0.13100000000000001</v>
      </c>
      <c r="E16784" s="2">
        <v>7</v>
      </c>
      <c r="F16784" s="2" t="s">
        <v>12</v>
      </c>
    </row>
    <row r="16785" spans="1:6" ht="25.5">
      <c r="A16785" s="2">
        <v>16782</v>
      </c>
      <c r="B16785" s="2" t="s">
        <v>16853</v>
      </c>
      <c r="C16785" s="2" t="str">
        <f>"09334807"</f>
        <v>09334807</v>
      </c>
      <c r="D16785" s="2">
        <v>0.13600000000000001</v>
      </c>
      <c r="E16785" s="2">
        <v>11</v>
      </c>
      <c r="F16785" s="2" t="s">
        <v>16</v>
      </c>
    </row>
    <row r="16786" spans="1:6" ht="25.5">
      <c r="A16786" s="2">
        <v>16783</v>
      </c>
      <c r="B16786" s="2" t="s">
        <v>16854</v>
      </c>
      <c r="C16786" s="2" t="str">
        <f>"02141493"</f>
        <v>02141493</v>
      </c>
      <c r="D16786" s="2">
        <v>1.0289999999999999</v>
      </c>
      <c r="E16786" s="2">
        <v>13</v>
      </c>
      <c r="F16786" s="2" t="s">
        <v>351</v>
      </c>
    </row>
    <row r="16787" spans="1:6" ht="25.5">
      <c r="A16787" s="2">
        <v>16784</v>
      </c>
      <c r="B16787" s="2" t="s">
        <v>16855</v>
      </c>
      <c r="C16787" s="2" t="str">
        <f>"14679299"</f>
        <v>14679299</v>
      </c>
      <c r="D16787" s="2">
        <v>1.107</v>
      </c>
      <c r="E16787" s="2">
        <v>43</v>
      </c>
      <c r="F16787" s="2" t="s">
        <v>16</v>
      </c>
    </row>
    <row r="16788" spans="1:6" ht="25.5">
      <c r="A16788" s="2">
        <v>16785</v>
      </c>
      <c r="B16788" s="2" t="s">
        <v>16856</v>
      </c>
      <c r="C16788" s="2" t="str">
        <f>"02712075"</f>
        <v>02712075</v>
      </c>
      <c r="D16788" s="2">
        <v>0.47399999999999998</v>
      </c>
      <c r="E16788" s="2">
        <v>22</v>
      </c>
      <c r="F16788" s="2" t="s">
        <v>16</v>
      </c>
    </row>
    <row r="16789" spans="1:6" ht="25.5">
      <c r="A16789" s="2">
        <v>16786</v>
      </c>
      <c r="B16789" s="2" t="s">
        <v>16857</v>
      </c>
      <c r="C16789" s="2" t="str">
        <f>"10870091"</f>
        <v>10870091</v>
      </c>
      <c r="D16789" s="2">
        <v>0.156</v>
      </c>
      <c r="E16789" s="2">
        <v>6</v>
      </c>
      <c r="F16789" s="2" t="s">
        <v>6</v>
      </c>
    </row>
    <row r="16790" spans="1:6" ht="25.5">
      <c r="A16790" s="2">
        <v>16787</v>
      </c>
      <c r="B16790" s="2" t="s">
        <v>16858</v>
      </c>
      <c r="C16790" s="2" t="str">
        <f>"15406210"</f>
        <v>15406210</v>
      </c>
      <c r="D16790" s="2">
        <v>0.998</v>
      </c>
      <c r="E16790" s="2">
        <v>60</v>
      </c>
      <c r="F16790" s="2" t="s">
        <v>6</v>
      </c>
    </row>
    <row r="16791" spans="1:6" ht="25.5">
      <c r="A16791" s="2">
        <v>16788</v>
      </c>
      <c r="B16791" s="2" t="s">
        <v>16859</v>
      </c>
      <c r="C16791" s="2" t="str">
        <f>"14655187"</f>
        <v>14655187</v>
      </c>
      <c r="D16791" s="2">
        <v>0.42399999999999999</v>
      </c>
      <c r="E16791" s="2">
        <v>2</v>
      </c>
      <c r="F16791" s="2" t="s">
        <v>16</v>
      </c>
    </row>
    <row r="16792" spans="1:6" ht="25.5">
      <c r="A16792" s="2">
        <v>16789</v>
      </c>
      <c r="B16792" s="2" t="s">
        <v>16860</v>
      </c>
      <c r="C16792" s="2" t="str">
        <f>"00333883"</f>
        <v>00333883</v>
      </c>
      <c r="D16792" s="2">
        <v>0.32900000000000001</v>
      </c>
      <c r="E16792" s="2">
        <v>20</v>
      </c>
      <c r="F16792" s="2" t="s">
        <v>135</v>
      </c>
    </row>
    <row r="16793" spans="1:6" ht="25.5">
      <c r="A16793" s="2">
        <v>16790</v>
      </c>
      <c r="B16793" s="2" t="s">
        <v>16861</v>
      </c>
      <c r="C16793" s="2" t="str">
        <f>"00046264"</f>
        <v>00046264</v>
      </c>
      <c r="D16793" s="2">
        <v>1.4970000000000001</v>
      </c>
      <c r="E16793" s="2">
        <v>64</v>
      </c>
      <c r="F16793" s="2" t="s">
        <v>131</v>
      </c>
    </row>
    <row r="16794" spans="1:6" ht="25.5">
      <c r="A16794" s="2">
        <v>16791</v>
      </c>
      <c r="B16794" s="2" t="s">
        <v>16862</v>
      </c>
      <c r="C16794" s="2" t="str">
        <f>"0522828X"</f>
        <v>0522828X</v>
      </c>
      <c r="D16794" s="2">
        <v>0.41399999999999998</v>
      </c>
      <c r="E16794" s="2">
        <v>5</v>
      </c>
      <c r="F16794" s="2" t="s">
        <v>212</v>
      </c>
    </row>
    <row r="16795" spans="1:6" ht="25.5">
      <c r="A16795" s="2">
        <v>16792</v>
      </c>
      <c r="B16795" s="2" t="s">
        <v>16863</v>
      </c>
      <c r="C16795" s="2" t="str">
        <f>"16181913"</f>
        <v>16181913</v>
      </c>
      <c r="D16795" s="2">
        <v>5.399</v>
      </c>
      <c r="E16795" s="2">
        <v>18</v>
      </c>
      <c r="F16795" s="2" t="s">
        <v>12</v>
      </c>
    </row>
    <row r="16796" spans="1:6" ht="25.5">
      <c r="A16796" s="2">
        <v>16793</v>
      </c>
      <c r="B16796" s="2" t="s">
        <v>16864</v>
      </c>
      <c r="C16796" s="2" t="str">
        <f>"14486083"</f>
        <v>14486083</v>
      </c>
      <c r="D16796" s="2">
        <v>1.0049999999999999</v>
      </c>
      <c r="E16796" s="2">
        <v>33</v>
      </c>
      <c r="F16796" s="2" t="s">
        <v>127</v>
      </c>
    </row>
    <row r="16797" spans="1:6" ht="25.5">
      <c r="A16797" s="2">
        <v>16794</v>
      </c>
      <c r="B16797" s="2" t="s">
        <v>16865</v>
      </c>
      <c r="C16797" s="2" t="str">
        <f>"15383873"</f>
        <v>15383873</v>
      </c>
      <c r="D16797" s="2">
        <v>2.1480000000000001</v>
      </c>
      <c r="E16797" s="2">
        <v>97</v>
      </c>
      <c r="F16797" s="2" t="s">
        <v>6</v>
      </c>
    </row>
    <row r="16798" spans="1:6" ht="25.5">
      <c r="A16798" s="2">
        <v>16795</v>
      </c>
      <c r="B16798" s="2" t="s">
        <v>16866</v>
      </c>
      <c r="C16798" s="2" t="str">
        <f>"17496284"</f>
        <v>17496284</v>
      </c>
      <c r="D16798" s="2">
        <v>0.10199999999999999</v>
      </c>
      <c r="E16798" s="2">
        <v>1</v>
      </c>
      <c r="F16798" s="2" t="s">
        <v>16</v>
      </c>
    </row>
    <row r="16799" spans="1:6" ht="25.5">
      <c r="A16799" s="2">
        <v>16796</v>
      </c>
      <c r="B16799" s="2" t="s">
        <v>16867</v>
      </c>
      <c r="C16799" s="2" t="str">
        <f>"00345318"</f>
        <v>00345318</v>
      </c>
      <c r="D16799" s="2">
        <v>0.99399999999999999</v>
      </c>
      <c r="E16799" s="2">
        <v>17</v>
      </c>
      <c r="F16799" s="2" t="s">
        <v>31</v>
      </c>
    </row>
    <row r="16800" spans="1:6" ht="25.5">
      <c r="A16800" s="2">
        <v>16797</v>
      </c>
      <c r="B16800" s="2" t="s">
        <v>16868</v>
      </c>
      <c r="C16800" s="2" t="str">
        <f>"02751100"</f>
        <v>02751100</v>
      </c>
      <c r="D16800" s="2">
        <v>0.48399999999999999</v>
      </c>
      <c r="E16800" s="2">
        <v>5</v>
      </c>
      <c r="F16800" s="2" t="s">
        <v>16</v>
      </c>
    </row>
    <row r="16801" spans="1:6" ht="25.5">
      <c r="A16801" s="2">
        <v>16798</v>
      </c>
      <c r="B16801" s="2" t="s">
        <v>16869</v>
      </c>
      <c r="C16801" s="2" t="str">
        <f>"15737101"</f>
        <v>15737101</v>
      </c>
      <c r="D16801" s="2">
        <v>1.105</v>
      </c>
      <c r="E16801" s="2">
        <v>35</v>
      </c>
      <c r="F16801" s="2" t="s">
        <v>75</v>
      </c>
    </row>
    <row r="16802" spans="1:6" ht="25.5">
      <c r="A16802" s="2">
        <v>16799</v>
      </c>
      <c r="B16802" s="2" t="s">
        <v>16870</v>
      </c>
      <c r="C16802" s="2" t="str">
        <f>"15278018"</f>
        <v>15278018</v>
      </c>
      <c r="D16802" s="2">
        <v>0.88900000000000001</v>
      </c>
      <c r="E16802" s="2">
        <v>39</v>
      </c>
      <c r="F16802" s="2" t="s">
        <v>6</v>
      </c>
    </row>
    <row r="16803" spans="1:6" ht="25.5">
      <c r="A16803" s="2">
        <v>16800</v>
      </c>
      <c r="B16803" s="2" t="s">
        <v>16871</v>
      </c>
      <c r="C16803" s="2" t="str">
        <f>"10911421"</f>
        <v>10911421</v>
      </c>
      <c r="D16803" s="2">
        <v>0.31</v>
      </c>
      <c r="E16803" s="2">
        <v>15</v>
      </c>
      <c r="F16803" s="2" t="s">
        <v>6</v>
      </c>
    </row>
    <row r="16804" spans="1:6" ht="25.5">
      <c r="A16804" s="2">
        <v>16801</v>
      </c>
      <c r="B16804" s="2" t="s">
        <v>16872</v>
      </c>
      <c r="C16804" s="2" t="str">
        <f>"14765616"</f>
        <v>14765616</v>
      </c>
      <c r="D16804" s="2">
        <v>0.64600000000000002</v>
      </c>
      <c r="E16804" s="2">
        <v>43</v>
      </c>
      <c r="F16804" s="2" t="s">
        <v>75</v>
      </c>
    </row>
    <row r="16805" spans="1:6" ht="25.5">
      <c r="A16805" s="2">
        <v>16802</v>
      </c>
      <c r="B16805" s="2" t="s">
        <v>16873</v>
      </c>
      <c r="C16805" s="2" t="str">
        <f>"17549981"</f>
        <v>17549981</v>
      </c>
      <c r="D16805" s="2">
        <v>0.46800000000000003</v>
      </c>
      <c r="E16805" s="2">
        <v>6</v>
      </c>
      <c r="F16805" s="2" t="s">
        <v>16</v>
      </c>
    </row>
    <row r="16806" spans="1:6" ht="25.5">
      <c r="A16806" s="2">
        <v>16803</v>
      </c>
      <c r="B16806" s="2" t="s">
        <v>16874</v>
      </c>
      <c r="C16806" s="2" t="str">
        <f>"09445587"</f>
        <v>09445587</v>
      </c>
      <c r="D16806" s="2">
        <v>0.13400000000000001</v>
      </c>
      <c r="E16806" s="2">
        <v>3</v>
      </c>
      <c r="F16806" s="2" t="s">
        <v>12</v>
      </c>
    </row>
    <row r="16807" spans="1:6" ht="25.5">
      <c r="A16807" s="2">
        <v>16804</v>
      </c>
      <c r="B16807" s="2" t="s">
        <v>16875</v>
      </c>
      <c r="C16807" s="2" t="str">
        <f>"16628063"</f>
        <v>16628063</v>
      </c>
      <c r="D16807" s="2">
        <v>1.133</v>
      </c>
      <c r="E16807" s="2">
        <v>26</v>
      </c>
      <c r="F16807" s="2" t="s">
        <v>31</v>
      </c>
    </row>
    <row r="16808" spans="1:6" ht="25.5">
      <c r="A16808" s="2">
        <v>16805</v>
      </c>
      <c r="B16808" s="2" t="s">
        <v>16876</v>
      </c>
      <c r="C16808" s="2" t="str">
        <f>"15251446"</f>
        <v>15251446</v>
      </c>
      <c r="D16808" s="2">
        <v>0.34699999999999998</v>
      </c>
      <c r="E16808" s="2">
        <v>36</v>
      </c>
      <c r="F16808" s="2" t="s">
        <v>16</v>
      </c>
    </row>
    <row r="16809" spans="1:6" ht="25.5">
      <c r="A16809" s="2">
        <v>16806</v>
      </c>
      <c r="B16809" s="2" t="s">
        <v>16877</v>
      </c>
      <c r="C16809" s="2" t="str">
        <f>"14752727"</f>
        <v>14752727</v>
      </c>
      <c r="D16809" s="2">
        <v>1.04</v>
      </c>
      <c r="E16809" s="2">
        <v>78</v>
      </c>
      <c r="F16809" s="2" t="s">
        <v>16</v>
      </c>
    </row>
    <row r="16810" spans="1:6" ht="25.5">
      <c r="A16810" s="2">
        <v>16807</v>
      </c>
      <c r="B16810" s="2" t="s">
        <v>16878</v>
      </c>
      <c r="C16810" s="2" t="str">
        <f>"00333549"</f>
        <v>00333549</v>
      </c>
      <c r="D16810" s="2">
        <v>0.623</v>
      </c>
      <c r="E16810" s="2">
        <v>57</v>
      </c>
      <c r="F16810" s="2" t="s">
        <v>6</v>
      </c>
    </row>
    <row r="16811" spans="1:6" ht="25.5">
      <c r="A16811" s="2">
        <v>16808</v>
      </c>
      <c r="B16811" s="2" t="s">
        <v>16879</v>
      </c>
      <c r="C16811" s="2" t="str">
        <f>"03010422"</f>
        <v>03010422</v>
      </c>
      <c r="D16811" s="2">
        <v>0.374</v>
      </c>
      <c r="E16811" s="2">
        <v>14</v>
      </c>
      <c r="F16811" s="2" t="s">
        <v>66</v>
      </c>
    </row>
    <row r="16812" spans="1:6" ht="25.5">
      <c r="A16812" s="2">
        <v>16809</v>
      </c>
      <c r="B16812" s="2" t="s">
        <v>16880</v>
      </c>
      <c r="C16812" s="2" t="str">
        <f>"02723433"</f>
        <v>02723433</v>
      </c>
      <c r="D16812" s="2">
        <v>0.126</v>
      </c>
      <c r="E16812" s="2">
        <v>7</v>
      </c>
      <c r="F16812" s="2" t="s">
        <v>6</v>
      </c>
    </row>
    <row r="16813" spans="1:6" ht="25.5">
      <c r="A16813" s="2">
        <v>16810</v>
      </c>
      <c r="B16813" s="2" t="s">
        <v>16881</v>
      </c>
      <c r="C16813" s="2" t="str">
        <f>"15411540"</f>
        <v>15411540</v>
      </c>
      <c r="D16813" s="2">
        <v>0.73899999999999999</v>
      </c>
      <c r="E16813" s="2">
        <v>4</v>
      </c>
      <c r="F16813" s="2" t="s">
        <v>16</v>
      </c>
    </row>
    <row r="16814" spans="1:6" ht="25.5">
      <c r="A16814" s="2">
        <v>16811</v>
      </c>
      <c r="B16814" s="2" t="s">
        <v>16882</v>
      </c>
      <c r="C16814" s="2" t="str">
        <f>"14719037"</f>
        <v>14719037</v>
      </c>
      <c r="D16814" s="2">
        <v>0.63900000000000001</v>
      </c>
      <c r="E16814" s="2">
        <v>18</v>
      </c>
      <c r="F16814" s="2" t="s">
        <v>16</v>
      </c>
    </row>
    <row r="16815" spans="1:6" ht="25.5">
      <c r="A16815" s="2">
        <v>16812</v>
      </c>
      <c r="B16815" s="2" t="s">
        <v>16883</v>
      </c>
      <c r="C16815" s="2" t="str">
        <f>"14679302"</f>
        <v>14679302</v>
      </c>
      <c r="D16815" s="2">
        <v>0.47</v>
      </c>
      <c r="E16815" s="2">
        <v>23</v>
      </c>
      <c r="F16815" s="2" t="s">
        <v>16</v>
      </c>
    </row>
    <row r="16816" spans="1:6" ht="25.5">
      <c r="A16816" s="2">
        <v>16813</v>
      </c>
      <c r="B16816" s="2" t="s">
        <v>16884</v>
      </c>
      <c r="C16816" s="2" t="str">
        <f>"15375331"</f>
        <v>15375331</v>
      </c>
      <c r="D16816" s="2">
        <v>2.0609999999999999</v>
      </c>
      <c r="E16816" s="2">
        <v>52</v>
      </c>
      <c r="F16816" s="2" t="s">
        <v>16</v>
      </c>
    </row>
    <row r="16817" spans="1:6" ht="25.5">
      <c r="A16817" s="2">
        <v>16814</v>
      </c>
      <c r="B16817" s="2" t="s">
        <v>16885</v>
      </c>
      <c r="C16817" s="2" t="str">
        <f>"15737098"</f>
        <v>15737098</v>
      </c>
      <c r="D16817" s="2">
        <v>0.28499999999999998</v>
      </c>
      <c r="E16817" s="2">
        <v>10</v>
      </c>
      <c r="F16817" s="2" t="s">
        <v>75</v>
      </c>
    </row>
    <row r="16818" spans="1:6" ht="25.5">
      <c r="A16818" s="2">
        <v>16815</v>
      </c>
      <c r="B16818" s="2" t="s">
        <v>16886</v>
      </c>
      <c r="C16818" s="2" t="str">
        <f>"15309576"</f>
        <v>15309576</v>
      </c>
      <c r="D16818" s="2">
        <v>0.254</v>
      </c>
      <c r="E16818" s="2">
        <v>2</v>
      </c>
      <c r="F16818" s="2" t="s">
        <v>6</v>
      </c>
    </row>
    <row r="16819" spans="1:6" ht="25.5">
      <c r="A16819" s="2">
        <v>16816</v>
      </c>
      <c r="B16819" s="2" t="s">
        <v>16887</v>
      </c>
      <c r="C16819" s="2" t="str">
        <f>"00910260"</f>
        <v>00910260</v>
      </c>
      <c r="D16819" s="2">
        <v>0.26500000000000001</v>
      </c>
      <c r="E16819" s="2">
        <v>23</v>
      </c>
      <c r="F16819" s="2" t="s">
        <v>6</v>
      </c>
    </row>
    <row r="16820" spans="1:6" ht="25.5">
      <c r="A16820" s="2">
        <v>16817</v>
      </c>
      <c r="B16820" s="2" t="s">
        <v>16888</v>
      </c>
      <c r="C16820" s="2" t="str">
        <f>"17494192"</f>
        <v>17494192</v>
      </c>
      <c r="D16820" s="2">
        <v>0.29499999999999998</v>
      </c>
      <c r="E16820" s="2">
        <v>11</v>
      </c>
      <c r="F16820" s="2" t="s">
        <v>16</v>
      </c>
    </row>
    <row r="16821" spans="1:6" ht="25.5">
      <c r="A16821" s="2">
        <v>16818</v>
      </c>
      <c r="B16821" s="2" t="s">
        <v>16889</v>
      </c>
      <c r="C16821" s="2" t="str">
        <f>"1744540X"</f>
        <v>1744540X</v>
      </c>
      <c r="D16821" s="2">
        <v>0.123</v>
      </c>
      <c r="E16821" s="2">
        <v>6</v>
      </c>
      <c r="F16821" s="2" t="s">
        <v>16</v>
      </c>
    </row>
    <row r="16822" spans="1:6" ht="25.5">
      <c r="A16822" s="2">
        <v>16819</v>
      </c>
      <c r="B16822" s="2" t="s">
        <v>16890</v>
      </c>
      <c r="C16822" s="2" t="str">
        <f>"03638111"</f>
        <v>03638111</v>
      </c>
      <c r="D16822" s="2">
        <v>0.66300000000000003</v>
      </c>
      <c r="E16822" s="2">
        <v>28</v>
      </c>
      <c r="F16822" s="2" t="s">
        <v>75</v>
      </c>
    </row>
    <row r="16823" spans="1:6" ht="25.5">
      <c r="A16823" s="2">
        <v>16820</v>
      </c>
      <c r="B16823" s="2" t="s">
        <v>16891</v>
      </c>
      <c r="C16823" s="2" t="str">
        <f>"15228959"</f>
        <v>15228959</v>
      </c>
      <c r="D16823" s="2">
        <v>0.39100000000000001</v>
      </c>
      <c r="E16823" s="2">
        <v>5</v>
      </c>
      <c r="F16823" s="2" t="s">
        <v>16</v>
      </c>
    </row>
    <row r="16824" spans="1:6" ht="25.5">
      <c r="A16824" s="2">
        <v>16821</v>
      </c>
      <c r="B16824" s="2" t="s">
        <v>16892</v>
      </c>
      <c r="C16824" s="2" t="str">
        <f>"1866749X"</f>
        <v>1866749X</v>
      </c>
      <c r="D16824" s="2">
        <v>1.127</v>
      </c>
      <c r="E16824" s="2">
        <v>6</v>
      </c>
      <c r="F16824" s="2" t="s">
        <v>12</v>
      </c>
    </row>
    <row r="16825" spans="1:6" ht="25.5">
      <c r="A16825" s="2">
        <v>16822</v>
      </c>
      <c r="B16825" s="2" t="s">
        <v>16893</v>
      </c>
      <c r="C16825" s="2" t="str">
        <f>"1016796X"</f>
        <v>1016796X</v>
      </c>
      <c r="D16825" s="2">
        <v>0.1</v>
      </c>
      <c r="E16825" s="2">
        <v>3</v>
      </c>
      <c r="F16825" s="2" t="s">
        <v>161</v>
      </c>
    </row>
    <row r="16826" spans="1:6" ht="25.5">
      <c r="A16826" s="2">
        <v>16823</v>
      </c>
      <c r="B16826" s="2" t="s">
        <v>16894</v>
      </c>
      <c r="C16826" s="2" t="str">
        <f>"09636625"</f>
        <v>09636625</v>
      </c>
      <c r="D16826" s="2">
        <v>1.0529999999999999</v>
      </c>
      <c r="E16826" s="2">
        <v>39</v>
      </c>
      <c r="F16826" s="2" t="s">
        <v>16</v>
      </c>
    </row>
    <row r="16827" spans="1:6" ht="25.5">
      <c r="A16827" s="2">
        <v>16824</v>
      </c>
      <c r="B16827" s="2" t="s">
        <v>16895</v>
      </c>
      <c r="C16827" s="2" t="str">
        <f>"1087724X"</f>
        <v>1087724X</v>
      </c>
      <c r="D16827" s="2">
        <v>0.39200000000000002</v>
      </c>
      <c r="E16827" s="2">
        <v>5</v>
      </c>
      <c r="F16827" s="2" t="s">
        <v>6</v>
      </c>
    </row>
    <row r="16828" spans="1:6" ht="25.5">
      <c r="A16828" s="2">
        <v>16825</v>
      </c>
      <c r="B16828" s="2" t="s">
        <v>16896</v>
      </c>
      <c r="C16828" s="2" t="str">
        <f>"15589641"</f>
        <v>15589641</v>
      </c>
      <c r="D16828" s="2">
        <v>0.1</v>
      </c>
      <c r="E16828" s="2">
        <v>0</v>
      </c>
      <c r="F16828" s="2" t="s">
        <v>6</v>
      </c>
    </row>
    <row r="16829" spans="1:6" ht="25.5">
      <c r="A16829" s="2">
        <v>16826</v>
      </c>
      <c r="B16829" s="2" t="s">
        <v>16897</v>
      </c>
      <c r="C16829" s="2" t="str">
        <f>"19364792"</f>
        <v>19364792</v>
      </c>
      <c r="D16829" s="2">
        <v>0</v>
      </c>
      <c r="E16829" s="2">
        <v>2</v>
      </c>
      <c r="F16829" s="2" t="s">
        <v>6</v>
      </c>
    </row>
    <row r="16830" spans="1:6" ht="25.5">
      <c r="A16830" s="2">
        <v>16827</v>
      </c>
      <c r="B16830" s="2" t="s">
        <v>16898</v>
      </c>
      <c r="C16830" s="2" t="str">
        <f>"00485950"</f>
        <v>00485950</v>
      </c>
      <c r="D16830" s="2">
        <v>0.38100000000000001</v>
      </c>
      <c r="E16830" s="2">
        <v>17</v>
      </c>
      <c r="F16830" s="2" t="s">
        <v>16</v>
      </c>
    </row>
    <row r="16831" spans="1:6" ht="25.5">
      <c r="A16831" s="2">
        <v>16828</v>
      </c>
      <c r="B16831" s="2" t="s">
        <v>16899</v>
      </c>
      <c r="C16831" s="2" t="str">
        <f>"07380658"</f>
        <v>07380658</v>
      </c>
      <c r="D16831" s="2">
        <v>0.23200000000000001</v>
      </c>
      <c r="E16831" s="2">
        <v>15</v>
      </c>
      <c r="F16831" s="2" t="s">
        <v>2724</v>
      </c>
    </row>
    <row r="16832" spans="1:6" ht="25.5">
      <c r="A16832" s="2">
        <v>16829</v>
      </c>
      <c r="B16832" s="2" t="s">
        <v>16900</v>
      </c>
      <c r="C16832" s="2" t="str">
        <f>"15229629"</f>
        <v>15229629</v>
      </c>
      <c r="D16832" s="2">
        <v>0.84699999999999998</v>
      </c>
      <c r="E16832" s="2">
        <v>48</v>
      </c>
      <c r="F16832" s="2" t="s">
        <v>6</v>
      </c>
    </row>
    <row r="16833" spans="1:6" ht="25.5">
      <c r="A16833" s="2">
        <v>16830</v>
      </c>
      <c r="B16833" s="2" t="s">
        <v>16901</v>
      </c>
      <c r="C16833" s="2" t="str">
        <f>"17413095"</f>
        <v>17413095</v>
      </c>
      <c r="D16833" s="2">
        <v>0.98899999999999999</v>
      </c>
      <c r="E16833" s="2">
        <v>17</v>
      </c>
      <c r="F16833" s="2" t="s">
        <v>16</v>
      </c>
    </row>
    <row r="16834" spans="1:6" ht="25.5">
      <c r="A16834" s="2">
        <v>16831</v>
      </c>
      <c r="B16834" s="2" t="s">
        <v>16902</v>
      </c>
      <c r="C16834" s="2" t="str">
        <f>"00334545"</f>
        <v>00334545</v>
      </c>
      <c r="D16834" s="2">
        <v>1.141</v>
      </c>
      <c r="E16834" s="2">
        <v>87</v>
      </c>
      <c r="F16834" s="2" t="s">
        <v>6</v>
      </c>
    </row>
    <row r="16835" spans="1:6" ht="25.5">
      <c r="A16835" s="2">
        <v>16832</v>
      </c>
      <c r="B16835" s="2" t="s">
        <v>16903</v>
      </c>
      <c r="C16835" s="2" t="str">
        <f>"14209136"</f>
        <v>14209136</v>
      </c>
      <c r="D16835" s="2">
        <v>0.89700000000000002</v>
      </c>
      <c r="E16835" s="2">
        <v>46</v>
      </c>
      <c r="F16835" s="2" t="s">
        <v>31</v>
      </c>
    </row>
    <row r="16836" spans="1:6" ht="25.5">
      <c r="A16836" s="2">
        <v>16833</v>
      </c>
      <c r="B16836" s="2" t="s">
        <v>16904</v>
      </c>
      <c r="C16836" s="2" t="str">
        <f>"15588602"</f>
        <v>15588602</v>
      </c>
      <c r="D16836" s="2">
        <v>1.054</v>
      </c>
      <c r="E16836" s="2">
        <v>9</v>
      </c>
      <c r="F16836" s="2" t="s">
        <v>6</v>
      </c>
    </row>
    <row r="16837" spans="1:6" ht="25.5">
      <c r="A16837" s="2">
        <v>16834</v>
      </c>
      <c r="B16837" s="2" t="s">
        <v>16905</v>
      </c>
      <c r="C16837" s="2" t="str">
        <f>"15739546"</f>
        <v>15739546</v>
      </c>
      <c r="D16837" s="2">
        <v>0.996</v>
      </c>
      <c r="E16837" s="2">
        <v>27</v>
      </c>
      <c r="F16837" s="2" t="s">
        <v>75</v>
      </c>
    </row>
    <row r="16838" spans="1:6" ht="25.5">
      <c r="A16838" s="2">
        <v>16835</v>
      </c>
      <c r="B16838" s="2" t="s">
        <v>16906</v>
      </c>
      <c r="C16838" s="2" t="str">
        <f>"22237895"</f>
        <v>22237895</v>
      </c>
      <c r="D16838" s="2">
        <v>0</v>
      </c>
      <c r="E16838" s="2">
        <v>1</v>
      </c>
      <c r="F16838" s="2" t="s">
        <v>410</v>
      </c>
    </row>
    <row r="16839" spans="1:6" ht="25.5">
      <c r="A16839" s="2">
        <v>16836</v>
      </c>
      <c r="B16839" s="2" t="s">
        <v>16907</v>
      </c>
      <c r="C16839" s="2" t="str">
        <f>"09455566"</f>
        <v>09455566</v>
      </c>
      <c r="D16839" s="2">
        <v>0.124</v>
      </c>
      <c r="E16839" s="2">
        <v>5</v>
      </c>
      <c r="F16839" s="2" t="s">
        <v>12</v>
      </c>
    </row>
    <row r="16840" spans="1:6" ht="25.5">
      <c r="A16840" s="2">
        <v>16837</v>
      </c>
      <c r="B16840" s="2" t="s">
        <v>16908</v>
      </c>
      <c r="C16840" s="2" t="str">
        <f>"02538253"</f>
        <v>02538253</v>
      </c>
      <c r="D16840" s="2">
        <v>0.1</v>
      </c>
      <c r="E16840" s="2">
        <v>3</v>
      </c>
      <c r="F16840" s="2" t="s">
        <v>16909</v>
      </c>
    </row>
    <row r="16841" spans="1:6" ht="25.5">
      <c r="A16841" s="2">
        <v>16838</v>
      </c>
      <c r="B16841" s="2" t="s">
        <v>16910</v>
      </c>
      <c r="C16841" s="2" t="str">
        <f>"10014322"</f>
        <v>10014322</v>
      </c>
      <c r="D16841" s="2">
        <v>0.25</v>
      </c>
      <c r="E16841" s="2">
        <v>16</v>
      </c>
      <c r="F16841" s="2" t="s">
        <v>46</v>
      </c>
    </row>
    <row r="16842" spans="1:6" ht="25.5">
      <c r="A16842" s="2">
        <v>16839</v>
      </c>
      <c r="B16842" s="2" t="s">
        <v>16911</v>
      </c>
      <c r="C16842" s="2" t="str">
        <f>"1000680X"</f>
        <v>1000680X</v>
      </c>
      <c r="D16842" s="2">
        <v>0.13100000000000001</v>
      </c>
      <c r="E16842" s="2">
        <v>7</v>
      </c>
      <c r="F16842" s="2" t="s">
        <v>46</v>
      </c>
    </row>
    <row r="16843" spans="1:6" ht="25.5">
      <c r="A16843" s="2">
        <v>16840</v>
      </c>
      <c r="B16843" s="2" t="s">
        <v>16912</v>
      </c>
      <c r="C16843" s="2" t="str">
        <f>"10000054"</f>
        <v>10000054</v>
      </c>
      <c r="D16843" s="2">
        <v>0.224</v>
      </c>
      <c r="E16843" s="2">
        <v>19</v>
      </c>
      <c r="F16843" s="2" t="s">
        <v>46</v>
      </c>
    </row>
    <row r="16844" spans="1:6" ht="25.5">
      <c r="A16844" s="2">
        <v>16841</v>
      </c>
      <c r="B16844" s="2" t="s">
        <v>16913</v>
      </c>
      <c r="C16844" s="2" t="str">
        <f>"14602725"</f>
        <v>14602725</v>
      </c>
      <c r="D16844" s="2">
        <v>0.76</v>
      </c>
      <c r="E16844" s="2">
        <v>80</v>
      </c>
      <c r="F16844" s="2" t="s">
        <v>16</v>
      </c>
    </row>
    <row r="16845" spans="1:6">
      <c r="A16845" s="2">
        <v>16842</v>
      </c>
      <c r="B16845" s="2" t="s">
        <v>16914</v>
      </c>
      <c r="C16845" s="2" t="str">
        <f>"0"</f>
        <v>0</v>
      </c>
      <c r="D16845" s="2">
        <v>0.121</v>
      </c>
      <c r="E16845" s="2">
        <v>3</v>
      </c>
      <c r="F16845" s="2" t="s">
        <v>190</v>
      </c>
    </row>
    <row r="16846" spans="1:6" ht="25.5">
      <c r="A16846" s="2">
        <v>16843</v>
      </c>
      <c r="B16846" s="2" t="s">
        <v>16915</v>
      </c>
      <c r="C16846" s="2" t="str">
        <f>"02268043"</f>
        <v>02268043</v>
      </c>
      <c r="D16846" s="2">
        <v>0.11700000000000001</v>
      </c>
      <c r="E16846" s="2">
        <v>2</v>
      </c>
      <c r="F16846" s="2" t="s">
        <v>64</v>
      </c>
    </row>
    <row r="16847" spans="1:6" ht="25.5">
      <c r="A16847" s="2">
        <v>16844</v>
      </c>
      <c r="B16847" s="2" t="s">
        <v>16916</v>
      </c>
      <c r="C16847" s="2" t="str">
        <f>"03930645"</f>
        <v>03930645</v>
      </c>
      <c r="D16847" s="2">
        <v>0.104</v>
      </c>
      <c r="E16847" s="2">
        <v>2</v>
      </c>
      <c r="F16847" s="2" t="s">
        <v>190</v>
      </c>
    </row>
    <row r="16848" spans="1:6" ht="25.5">
      <c r="A16848" s="2">
        <v>16845</v>
      </c>
      <c r="B16848" s="2" t="s">
        <v>16917</v>
      </c>
      <c r="C16848" s="2" t="str">
        <f>"03016307"</f>
        <v>03016307</v>
      </c>
      <c r="D16848" s="2">
        <v>0.17299999999999999</v>
      </c>
      <c r="E16848" s="2">
        <v>4</v>
      </c>
      <c r="F16848" s="2" t="s">
        <v>190</v>
      </c>
    </row>
    <row r="16849" spans="1:6" ht="25.5">
      <c r="A16849" s="2">
        <v>16846</v>
      </c>
      <c r="B16849" s="2" t="s">
        <v>16918</v>
      </c>
      <c r="C16849" s="2" t="str">
        <f>"17241901"</f>
        <v>17241901</v>
      </c>
      <c r="D16849" s="2">
        <v>0.11</v>
      </c>
      <c r="E16849" s="2">
        <v>1</v>
      </c>
      <c r="F16849" s="2" t="s">
        <v>190</v>
      </c>
    </row>
    <row r="16850" spans="1:6" ht="25.5">
      <c r="A16850" s="2">
        <v>16847</v>
      </c>
      <c r="B16850" s="2" t="s">
        <v>16919</v>
      </c>
      <c r="C16850" s="2" t="str">
        <f>"11385790"</f>
        <v>11385790</v>
      </c>
      <c r="D16850" s="2">
        <v>0.10100000000000001</v>
      </c>
      <c r="E16850" s="2">
        <v>1</v>
      </c>
      <c r="F16850" s="2" t="s">
        <v>351</v>
      </c>
    </row>
    <row r="16851" spans="1:6" ht="25.5">
      <c r="A16851" s="2">
        <v>16848</v>
      </c>
      <c r="B16851" s="2" t="s">
        <v>16920</v>
      </c>
      <c r="C16851" s="2" t="str">
        <f>"02115557"</f>
        <v>02115557</v>
      </c>
      <c r="D16851" s="2">
        <v>0.10100000000000001</v>
      </c>
      <c r="E16851" s="2">
        <v>1</v>
      </c>
      <c r="F16851" s="2" t="s">
        <v>351</v>
      </c>
    </row>
    <row r="16852" spans="1:6" ht="25.5">
      <c r="A16852" s="2">
        <v>16849</v>
      </c>
      <c r="B16852" s="2" t="s">
        <v>16921</v>
      </c>
      <c r="C16852" s="2" t="str">
        <f>"17604826"</f>
        <v>17604826</v>
      </c>
      <c r="D16852" s="2">
        <v>0.10299999999999999</v>
      </c>
      <c r="E16852" s="2">
        <v>1</v>
      </c>
      <c r="F16852" s="2" t="s">
        <v>66</v>
      </c>
    </row>
    <row r="16853" spans="1:6" ht="25.5">
      <c r="A16853" s="2">
        <v>16850</v>
      </c>
      <c r="B16853" s="2" t="s">
        <v>16922</v>
      </c>
      <c r="C16853" s="2" t="str">
        <f>"15700690"</f>
        <v>15700690</v>
      </c>
      <c r="D16853" s="2">
        <v>0.1</v>
      </c>
      <c r="E16853" s="2">
        <v>2</v>
      </c>
      <c r="F16853" s="2" t="s">
        <v>75</v>
      </c>
    </row>
    <row r="16854" spans="1:6" ht="25.5">
      <c r="A16854" s="2">
        <v>16851</v>
      </c>
      <c r="B16854" s="2" t="s">
        <v>16923</v>
      </c>
      <c r="C16854" s="2" t="str">
        <f>"0137477X"</f>
        <v>0137477X</v>
      </c>
      <c r="D16854" s="2">
        <v>0.20100000000000001</v>
      </c>
      <c r="E16854" s="2">
        <v>3</v>
      </c>
      <c r="F16854" s="2" t="s">
        <v>169</v>
      </c>
    </row>
    <row r="16855" spans="1:6" ht="25.5">
      <c r="A16855" s="2">
        <v>16852</v>
      </c>
      <c r="B16855" s="2" t="s">
        <v>16924</v>
      </c>
      <c r="C16855" s="2" t="str">
        <f>"16073606"</f>
        <v>16073606</v>
      </c>
      <c r="D16855" s="2">
        <v>0.249</v>
      </c>
      <c r="E16855" s="2">
        <v>9</v>
      </c>
      <c r="F16855" s="2" t="s">
        <v>16</v>
      </c>
    </row>
    <row r="16856" spans="1:6" ht="25.5">
      <c r="A16856" s="2">
        <v>16853</v>
      </c>
      <c r="B16856" s="2" t="s">
        <v>16925</v>
      </c>
      <c r="C16856" s="2" t="str">
        <f>"19341504"</f>
        <v>19341504</v>
      </c>
      <c r="D16856" s="2">
        <v>0.126</v>
      </c>
      <c r="E16856" s="2">
        <v>0</v>
      </c>
      <c r="F16856" s="2" t="s">
        <v>6</v>
      </c>
    </row>
    <row r="16857" spans="1:6" ht="25.5">
      <c r="A16857" s="2">
        <v>16854</v>
      </c>
      <c r="B16857" s="2" t="s">
        <v>16926</v>
      </c>
      <c r="C16857" s="2" t="str">
        <f>"10497323"</f>
        <v>10497323</v>
      </c>
      <c r="D16857" s="2">
        <v>1.1850000000000001</v>
      </c>
      <c r="E16857" s="2">
        <v>52</v>
      </c>
      <c r="F16857" s="2" t="s">
        <v>6</v>
      </c>
    </row>
    <row r="16858" spans="1:6" ht="25.5">
      <c r="A16858" s="2">
        <v>16855</v>
      </c>
      <c r="B16858" s="2" t="s">
        <v>16927</v>
      </c>
      <c r="C16858" s="2" t="str">
        <f>"15527565"</f>
        <v>15527565</v>
      </c>
      <c r="D16858" s="2">
        <v>0.47199999999999998</v>
      </c>
      <c r="E16858" s="2">
        <v>25</v>
      </c>
      <c r="F16858" s="2" t="s">
        <v>6</v>
      </c>
    </row>
    <row r="16859" spans="1:6" ht="25.5">
      <c r="A16859" s="2">
        <v>16856</v>
      </c>
      <c r="B16859" s="2" t="s">
        <v>16928</v>
      </c>
      <c r="C16859" s="2" t="str">
        <f>"13522752"</f>
        <v>13522752</v>
      </c>
      <c r="D16859" s="2">
        <v>0.45500000000000002</v>
      </c>
      <c r="E16859" s="2">
        <v>14</v>
      </c>
      <c r="F16859" s="2" t="s">
        <v>16</v>
      </c>
    </row>
    <row r="16860" spans="1:6" ht="25.5">
      <c r="A16860" s="2">
        <v>16857</v>
      </c>
      <c r="B16860" s="2" t="s">
        <v>16929</v>
      </c>
      <c r="C16860" s="2" t="str">
        <f>"10520147"</f>
        <v>10520147</v>
      </c>
      <c r="D16860" s="2">
        <v>0.20100000000000001</v>
      </c>
      <c r="E16860" s="2">
        <v>5</v>
      </c>
      <c r="F16860" s="2" t="s">
        <v>6</v>
      </c>
    </row>
    <row r="16861" spans="1:6" ht="25.5">
      <c r="A16861" s="2">
        <v>16858</v>
      </c>
      <c r="B16861" s="2" t="s">
        <v>16930</v>
      </c>
      <c r="C16861" s="2" t="str">
        <f>"14687941"</f>
        <v>14687941</v>
      </c>
      <c r="D16861" s="2">
        <v>1.1739999999999999</v>
      </c>
      <c r="E16861" s="2">
        <v>21</v>
      </c>
      <c r="F16861" s="2" t="s">
        <v>16</v>
      </c>
    </row>
    <row r="16862" spans="1:6" ht="25.5">
      <c r="A16862" s="2">
        <v>16859</v>
      </c>
      <c r="B16862" s="2" t="s">
        <v>16931</v>
      </c>
      <c r="C16862" s="2" t="str">
        <f>"11766093"</f>
        <v>11766093</v>
      </c>
      <c r="D16862" s="2">
        <v>0.126</v>
      </c>
      <c r="E16862" s="2">
        <v>1</v>
      </c>
      <c r="F16862" s="2" t="s">
        <v>16</v>
      </c>
    </row>
    <row r="16863" spans="1:6" ht="25.5">
      <c r="A16863" s="2">
        <v>16860</v>
      </c>
      <c r="B16863" s="2" t="s">
        <v>16932</v>
      </c>
      <c r="C16863" s="2" t="str">
        <f>"14780895"</f>
        <v>14780895</v>
      </c>
      <c r="D16863" s="2">
        <v>0.20499999999999999</v>
      </c>
      <c r="E16863" s="2">
        <v>10</v>
      </c>
      <c r="F16863" s="2" t="s">
        <v>16</v>
      </c>
    </row>
    <row r="16864" spans="1:6" ht="25.5">
      <c r="A16864" s="2">
        <v>16861</v>
      </c>
      <c r="B16864" s="2" t="s">
        <v>16933</v>
      </c>
      <c r="C16864" s="2" t="str">
        <f>"19398441"</f>
        <v>19398441</v>
      </c>
      <c r="D16864" s="2">
        <v>0.158</v>
      </c>
      <c r="E16864" s="2">
        <v>1</v>
      </c>
      <c r="F16864" s="2" t="s">
        <v>16</v>
      </c>
    </row>
    <row r="16865" spans="1:6" ht="25.5">
      <c r="A16865" s="2">
        <v>16862</v>
      </c>
      <c r="B16865" s="2" t="s">
        <v>16934</v>
      </c>
      <c r="C16865" s="2" t="str">
        <f>"14480980"</f>
        <v>14480980</v>
      </c>
      <c r="D16865" s="2">
        <v>0.157</v>
      </c>
      <c r="E16865" s="2">
        <v>2</v>
      </c>
      <c r="F16865" s="2" t="s">
        <v>127</v>
      </c>
    </row>
    <row r="16866" spans="1:6" ht="25.5">
      <c r="A16866" s="2">
        <v>16863</v>
      </c>
      <c r="B16866" s="2" t="s">
        <v>16935</v>
      </c>
      <c r="C16866" s="2" t="str">
        <f>"14733250"</f>
        <v>14733250</v>
      </c>
      <c r="D16866" s="2">
        <v>0.42299999999999999</v>
      </c>
      <c r="E16866" s="2">
        <v>8</v>
      </c>
      <c r="F16866" s="2" t="s">
        <v>6</v>
      </c>
    </row>
    <row r="16867" spans="1:6" ht="25.5">
      <c r="A16867" s="2">
        <v>16864</v>
      </c>
      <c r="B16867" s="2" t="s">
        <v>16936</v>
      </c>
      <c r="C16867" s="2" t="str">
        <f>"15737837"</f>
        <v>15737837</v>
      </c>
      <c r="D16867" s="2">
        <v>0.41099999999999998</v>
      </c>
      <c r="E16867" s="2">
        <v>23</v>
      </c>
      <c r="F16867" s="2" t="s">
        <v>6</v>
      </c>
    </row>
    <row r="16868" spans="1:6" ht="25.5">
      <c r="A16868" s="2">
        <v>16865</v>
      </c>
      <c r="B16868" s="2" t="s">
        <v>16937</v>
      </c>
      <c r="C16868" s="2" t="str">
        <f>"17338077"</f>
        <v>17338077</v>
      </c>
      <c r="D16868" s="2">
        <v>0.17899999999999999</v>
      </c>
      <c r="E16868" s="2">
        <v>4</v>
      </c>
      <c r="F16868" s="2" t="s">
        <v>169</v>
      </c>
    </row>
    <row r="16869" spans="1:6" ht="25.5">
      <c r="A16869" s="2">
        <v>16866</v>
      </c>
      <c r="B16869" s="2" t="s">
        <v>16938</v>
      </c>
      <c r="C16869" s="2" t="str">
        <f>"15755460"</f>
        <v>15755460</v>
      </c>
      <c r="D16869" s="2">
        <v>0</v>
      </c>
      <c r="E16869" s="2">
        <v>5</v>
      </c>
      <c r="F16869" s="2" t="s">
        <v>351</v>
      </c>
    </row>
    <row r="16870" spans="1:6" ht="25.5">
      <c r="A16870" s="2">
        <v>16867</v>
      </c>
      <c r="B16870" s="2" t="s">
        <v>16939</v>
      </c>
      <c r="C16870" s="2" t="str">
        <f>"21596778"</f>
        <v>21596778</v>
      </c>
      <c r="D16870" s="2">
        <v>0.104</v>
      </c>
      <c r="E16870" s="2">
        <v>2</v>
      </c>
      <c r="F16870" s="2" t="s">
        <v>16</v>
      </c>
    </row>
    <row r="16871" spans="1:6" ht="25.5">
      <c r="A16871" s="2">
        <v>16868</v>
      </c>
      <c r="B16871" s="2" t="s">
        <v>16940</v>
      </c>
      <c r="C16871" s="2" t="str">
        <f>"15822559"</f>
        <v>15822559</v>
      </c>
      <c r="D16871" s="2">
        <v>0.186</v>
      </c>
      <c r="E16871" s="2">
        <v>2</v>
      </c>
      <c r="F16871" s="2" t="s">
        <v>19</v>
      </c>
    </row>
    <row r="16872" spans="1:6" ht="25.5">
      <c r="A16872" s="2">
        <v>16869</v>
      </c>
      <c r="B16872" s="2" t="s">
        <v>16941</v>
      </c>
      <c r="C16872" s="2" t="str">
        <f>"15737845"</f>
        <v>15737845</v>
      </c>
      <c r="D16872" s="2">
        <v>0.46500000000000002</v>
      </c>
      <c r="E16872" s="2">
        <v>23</v>
      </c>
      <c r="F16872" s="2" t="s">
        <v>75</v>
      </c>
    </row>
    <row r="16873" spans="1:6" ht="25.5">
      <c r="A16873" s="2">
        <v>16870</v>
      </c>
      <c r="B16873" s="2" t="s">
        <v>16942</v>
      </c>
      <c r="C16873" s="2" t="str">
        <f>"10991638"</f>
        <v>10991638</v>
      </c>
      <c r="D16873" s="2">
        <v>0.74299999999999999</v>
      </c>
      <c r="E16873" s="2">
        <v>30</v>
      </c>
      <c r="F16873" s="2" t="s">
        <v>16</v>
      </c>
    </row>
    <row r="16874" spans="1:6" ht="25.5">
      <c r="A16874" s="2">
        <v>16871</v>
      </c>
      <c r="B16874" s="2" t="s">
        <v>16943</v>
      </c>
      <c r="C16874" s="2" t="str">
        <f>"1757837X"</f>
        <v>1757837X</v>
      </c>
      <c r="D16874" s="2">
        <v>0.159</v>
      </c>
      <c r="E16874" s="2">
        <v>3</v>
      </c>
      <c r="F16874" s="2" t="s">
        <v>16</v>
      </c>
    </row>
    <row r="16875" spans="1:6" ht="25.5">
      <c r="A16875" s="2">
        <v>16872</v>
      </c>
      <c r="B16875" s="2" t="s">
        <v>16944</v>
      </c>
      <c r="C16875" s="2" t="str">
        <f>"09684883"</f>
        <v>09684883</v>
      </c>
      <c r="D16875" s="2">
        <v>0.374</v>
      </c>
      <c r="E16875" s="2">
        <v>16</v>
      </c>
      <c r="F16875" s="2" t="s">
        <v>16</v>
      </c>
    </row>
    <row r="16876" spans="1:6" ht="25.5">
      <c r="A16876" s="2">
        <v>16873</v>
      </c>
      <c r="B16876" s="2" t="s">
        <v>16945</v>
      </c>
      <c r="C16876" s="2" t="str">
        <f>"10991786"</f>
        <v>10991786</v>
      </c>
      <c r="D16876" s="2">
        <v>0.11</v>
      </c>
      <c r="E16876" s="2">
        <v>5</v>
      </c>
      <c r="F16876" s="2" t="s">
        <v>16</v>
      </c>
    </row>
    <row r="16877" spans="1:6" ht="25.5">
      <c r="A16877" s="2">
        <v>16874</v>
      </c>
      <c r="B16877" s="2" t="s">
        <v>16946</v>
      </c>
      <c r="C16877" s="2" t="str">
        <f>"15324222"</f>
        <v>15324222</v>
      </c>
      <c r="D16877" s="2">
        <v>0.46700000000000003</v>
      </c>
      <c r="E16877" s="2">
        <v>23</v>
      </c>
      <c r="F16877" s="2" t="s">
        <v>16</v>
      </c>
    </row>
    <row r="16878" spans="1:6" ht="25.5">
      <c r="A16878" s="2">
        <v>16875</v>
      </c>
      <c r="B16878" s="2" t="s">
        <v>16947</v>
      </c>
      <c r="C16878" s="2" t="str">
        <f>"14701081"</f>
        <v>14701081</v>
      </c>
      <c r="D16878" s="2">
        <v>0.32500000000000001</v>
      </c>
      <c r="E16878" s="2">
        <v>13</v>
      </c>
      <c r="F16878" s="2" t="s">
        <v>16</v>
      </c>
    </row>
    <row r="16879" spans="1:6" ht="25.5">
      <c r="A16879" s="2">
        <v>16876</v>
      </c>
      <c r="B16879" s="2" t="s">
        <v>16948</v>
      </c>
      <c r="C16879" s="2" t="str">
        <f>"1338984X"</f>
        <v>1338984X</v>
      </c>
      <c r="D16879" s="2">
        <v>0</v>
      </c>
      <c r="E16879" s="2">
        <v>0</v>
      </c>
      <c r="F16879" s="2" t="s">
        <v>241</v>
      </c>
    </row>
    <row r="16880" spans="1:6" ht="25.5">
      <c r="A16880" s="2">
        <v>16877</v>
      </c>
      <c r="B16880" s="2" t="s">
        <v>16949</v>
      </c>
      <c r="C16880" s="2" t="str">
        <f>"14791072"</f>
        <v>14791072</v>
      </c>
      <c r="D16880" s="2">
        <v>0.39100000000000001</v>
      </c>
      <c r="E16880" s="2">
        <v>9</v>
      </c>
      <c r="F16880" s="2" t="s">
        <v>16</v>
      </c>
    </row>
    <row r="16881" spans="1:6" ht="25.5">
      <c r="A16881" s="2">
        <v>16878</v>
      </c>
      <c r="B16881" s="2" t="s">
        <v>16950</v>
      </c>
      <c r="C16881" s="2" t="str">
        <f>"10638628"</f>
        <v>10638628</v>
      </c>
      <c r="D16881" s="2">
        <v>0.54600000000000004</v>
      </c>
      <c r="E16881" s="2">
        <v>20</v>
      </c>
      <c r="F16881" s="2" t="s">
        <v>6</v>
      </c>
    </row>
    <row r="16882" spans="1:6" ht="25.5">
      <c r="A16882" s="2">
        <v>16879</v>
      </c>
      <c r="B16882" s="2" t="s">
        <v>16951</v>
      </c>
      <c r="C16882" s="2" t="str">
        <f>"15732649"</f>
        <v>15732649</v>
      </c>
      <c r="D16882" s="2">
        <v>0.92300000000000004</v>
      </c>
      <c r="E16882" s="2">
        <v>85</v>
      </c>
      <c r="F16882" s="2" t="s">
        <v>75</v>
      </c>
    </row>
    <row r="16883" spans="1:6" ht="25.5">
      <c r="A16883" s="2">
        <v>16880</v>
      </c>
      <c r="B16883" s="2" t="s">
        <v>16952</v>
      </c>
      <c r="C16883" s="2" t="str">
        <f>"0033524X"</f>
        <v>0033524X</v>
      </c>
      <c r="D16883" s="2">
        <v>0.19</v>
      </c>
      <c r="E16883" s="2">
        <v>20</v>
      </c>
      <c r="F16883" s="2" t="s">
        <v>6</v>
      </c>
    </row>
    <row r="16884" spans="1:6" ht="25.5">
      <c r="A16884" s="2">
        <v>16881</v>
      </c>
      <c r="B16884" s="2" t="s">
        <v>16953</v>
      </c>
      <c r="C16884" s="2" t="str">
        <f>"16843703"</f>
        <v>16843703</v>
      </c>
      <c r="D16884" s="2">
        <v>0.12</v>
      </c>
      <c r="E16884" s="2">
        <v>2</v>
      </c>
      <c r="F16884" s="2" t="s">
        <v>165</v>
      </c>
    </row>
    <row r="16885" spans="1:6" ht="25.5">
      <c r="A16885" s="2">
        <v>16882</v>
      </c>
      <c r="B16885" s="2" t="s">
        <v>16954</v>
      </c>
      <c r="C16885" s="2" t="str">
        <f>"14697696"</f>
        <v>14697696</v>
      </c>
      <c r="D16885" s="2">
        <v>0.63600000000000001</v>
      </c>
      <c r="E16885" s="2">
        <v>24</v>
      </c>
      <c r="F16885" s="2" t="s">
        <v>16</v>
      </c>
    </row>
    <row r="16886" spans="1:6" ht="25.5">
      <c r="A16886" s="2">
        <v>16883</v>
      </c>
      <c r="B16886" s="2" t="s">
        <v>16955</v>
      </c>
      <c r="C16886" s="2" t="str">
        <f>"17686733"</f>
        <v>17686733</v>
      </c>
      <c r="D16886" s="2">
        <v>0.18099999999999999</v>
      </c>
      <c r="E16886" s="2">
        <v>2</v>
      </c>
      <c r="F16886" s="2" t="s">
        <v>66</v>
      </c>
    </row>
    <row r="16887" spans="1:6" ht="25.5">
      <c r="A16887" s="2">
        <v>16884</v>
      </c>
      <c r="B16887" s="2" t="s">
        <v>16956</v>
      </c>
      <c r="C16887" s="2" t="str">
        <f>"1573711X"</f>
        <v>1573711X</v>
      </c>
      <c r="D16887" s="2">
        <v>2.8580000000000001</v>
      </c>
      <c r="E16887" s="2">
        <v>12</v>
      </c>
      <c r="F16887" s="2" t="s">
        <v>75</v>
      </c>
    </row>
    <row r="16888" spans="1:6" ht="25.5">
      <c r="A16888" s="2">
        <v>16885</v>
      </c>
      <c r="B16888" s="2" t="s">
        <v>16957</v>
      </c>
      <c r="C16888" s="2" t="str">
        <f>"14684799"</f>
        <v>14684799</v>
      </c>
      <c r="D16888" s="2">
        <v>0.41099999999999998</v>
      </c>
      <c r="E16888" s="2">
        <v>27</v>
      </c>
      <c r="F16888" s="2" t="s">
        <v>16</v>
      </c>
    </row>
    <row r="16889" spans="1:6" ht="25.5">
      <c r="A16889" s="2">
        <v>16886</v>
      </c>
      <c r="B16889" s="2" t="s">
        <v>16958</v>
      </c>
      <c r="C16889" s="2" t="str">
        <f>"15337146"</f>
        <v>15337146</v>
      </c>
      <c r="D16889" s="2">
        <v>0.93300000000000005</v>
      </c>
      <c r="E16889" s="2">
        <v>37</v>
      </c>
      <c r="F16889" s="2" t="s">
        <v>6</v>
      </c>
    </row>
    <row r="16890" spans="1:6" ht="25.5">
      <c r="A16890" s="2">
        <v>16887</v>
      </c>
      <c r="B16890" s="2" t="s">
        <v>16959</v>
      </c>
      <c r="C16890" s="2" t="str">
        <f>"15700755"</f>
        <v>15700755</v>
      </c>
      <c r="D16890" s="2">
        <v>0.91</v>
      </c>
      <c r="E16890" s="2">
        <v>17</v>
      </c>
      <c r="F16890" s="2" t="s">
        <v>6</v>
      </c>
    </row>
    <row r="16891" spans="1:6" ht="25.5">
      <c r="A16891" s="2">
        <v>16888</v>
      </c>
      <c r="B16891" s="2" t="s">
        <v>16960</v>
      </c>
      <c r="C16891" s="2" t="str">
        <f>"03757471"</f>
        <v>03757471</v>
      </c>
      <c r="D16891" s="2">
        <v>0.35199999999999998</v>
      </c>
      <c r="E16891" s="2">
        <v>2</v>
      </c>
      <c r="F16891" s="2" t="s">
        <v>12</v>
      </c>
    </row>
    <row r="16892" spans="1:6" ht="25.5">
      <c r="A16892" s="2">
        <v>16889</v>
      </c>
      <c r="B16892" s="2" t="s">
        <v>16961</v>
      </c>
      <c r="C16892" s="2" t="str">
        <f>"19364806"</f>
        <v>19364806</v>
      </c>
      <c r="D16892" s="2">
        <v>0.26100000000000001</v>
      </c>
      <c r="E16892" s="2">
        <v>4</v>
      </c>
      <c r="F16892" s="2" t="s">
        <v>6</v>
      </c>
    </row>
    <row r="16893" spans="1:6" ht="25.5">
      <c r="A16893" s="2">
        <v>16890</v>
      </c>
      <c r="B16893" s="2" t="s">
        <v>16962</v>
      </c>
      <c r="C16893" s="2" t="str">
        <f>"15314650"</f>
        <v>15314650</v>
      </c>
      <c r="D16893" s="2">
        <v>16</v>
      </c>
      <c r="E16893" s="2">
        <v>136</v>
      </c>
      <c r="F16893" s="2" t="s">
        <v>16</v>
      </c>
    </row>
    <row r="16894" spans="1:6" ht="25.5">
      <c r="A16894" s="2">
        <v>16891</v>
      </c>
      <c r="B16894" s="2" t="s">
        <v>16963</v>
      </c>
      <c r="C16894" s="2" t="str">
        <f>"14709236"</f>
        <v>14709236</v>
      </c>
      <c r="D16894" s="2">
        <v>0.39600000000000002</v>
      </c>
      <c r="E16894" s="2">
        <v>23</v>
      </c>
      <c r="F16894" s="2" t="s">
        <v>16</v>
      </c>
    </row>
    <row r="16895" spans="1:6" ht="25.5">
      <c r="A16895" s="2">
        <v>16892</v>
      </c>
      <c r="B16895" s="2" t="s">
        <v>16964</v>
      </c>
      <c r="C16895" s="2" t="str">
        <f>"17470226"</f>
        <v>17470226</v>
      </c>
      <c r="D16895" s="2">
        <v>1.284</v>
      </c>
      <c r="E16895" s="2">
        <v>31</v>
      </c>
      <c r="F16895" s="2" t="s">
        <v>16</v>
      </c>
    </row>
    <row r="16896" spans="1:6" ht="25.5">
      <c r="A16896" s="2">
        <v>16893</v>
      </c>
      <c r="B16896" s="2" t="s">
        <v>16965</v>
      </c>
      <c r="C16896" s="2" t="str">
        <f>"00498599"</f>
        <v>00498599</v>
      </c>
      <c r="D16896" s="2">
        <v>0.16500000000000001</v>
      </c>
      <c r="E16896" s="2">
        <v>10</v>
      </c>
      <c r="F16896" s="2" t="s">
        <v>12</v>
      </c>
    </row>
    <row r="16897" spans="1:6" ht="25.5">
      <c r="A16897" s="2">
        <v>16894</v>
      </c>
      <c r="B16897" s="2" t="s">
        <v>16966</v>
      </c>
      <c r="C16897" s="2" t="str">
        <f>"14643847"</f>
        <v>14643847</v>
      </c>
      <c r="D16897" s="2">
        <v>0.442</v>
      </c>
      <c r="E16897" s="2">
        <v>19</v>
      </c>
      <c r="F16897" s="2" t="s">
        <v>16</v>
      </c>
    </row>
    <row r="16898" spans="1:6" ht="25.5">
      <c r="A16898" s="2">
        <v>16895</v>
      </c>
      <c r="B16898" s="2" t="s">
        <v>16967</v>
      </c>
      <c r="C16898" s="2" t="str">
        <f>"00335614"</f>
        <v>00335614</v>
      </c>
      <c r="D16898" s="2">
        <v>0.56299999999999994</v>
      </c>
      <c r="E16898" s="2">
        <v>23</v>
      </c>
      <c r="F16898" s="2" t="s">
        <v>16</v>
      </c>
    </row>
    <row r="16899" spans="1:6" ht="25.5">
      <c r="A16899" s="2">
        <v>16896</v>
      </c>
      <c r="B16899" s="2" t="s">
        <v>16968</v>
      </c>
      <c r="C16899" s="2" t="str">
        <f>"18271936"</f>
        <v>18271936</v>
      </c>
      <c r="D16899" s="2">
        <v>0.79300000000000004</v>
      </c>
      <c r="E16899" s="2">
        <v>43</v>
      </c>
      <c r="F16899" s="2" t="s">
        <v>190</v>
      </c>
    </row>
    <row r="16900" spans="1:6" ht="25.5">
      <c r="A16900" s="2">
        <v>16897</v>
      </c>
      <c r="B16900" s="2" t="s">
        <v>16969</v>
      </c>
      <c r="C16900" s="2" t="str">
        <f>"15540634"</f>
        <v>15540634</v>
      </c>
      <c r="D16900" s="2">
        <v>2.56</v>
      </c>
      <c r="E16900" s="2">
        <v>9</v>
      </c>
      <c r="F16900" s="2" t="s">
        <v>6</v>
      </c>
    </row>
    <row r="16901" spans="1:6" ht="25.5">
      <c r="A16901" s="2">
        <v>16898</v>
      </c>
      <c r="B16901" s="2" t="s">
        <v>16970</v>
      </c>
      <c r="C16901" s="2" t="str">
        <f>"00335630"</f>
        <v>00335630</v>
      </c>
      <c r="D16901" s="2">
        <v>0.433</v>
      </c>
      <c r="E16901" s="2">
        <v>16</v>
      </c>
      <c r="F16901" s="2" t="s">
        <v>6</v>
      </c>
    </row>
    <row r="16902" spans="1:6" ht="25.5">
      <c r="A16902" s="2">
        <v>16899</v>
      </c>
      <c r="B16902" s="2" t="s">
        <v>16971</v>
      </c>
      <c r="C16902" s="2" t="str">
        <f>"1477870X"</f>
        <v>1477870X</v>
      </c>
      <c r="D16902" s="2">
        <v>2.8290000000000002</v>
      </c>
      <c r="E16902" s="2">
        <v>81</v>
      </c>
      <c r="F16902" s="2" t="s">
        <v>16</v>
      </c>
    </row>
    <row r="16903" spans="1:6" ht="25.5">
      <c r="A16903" s="2">
        <v>16900</v>
      </c>
      <c r="B16903" s="2" t="s">
        <v>16972</v>
      </c>
      <c r="C16903" s="2" t="str">
        <f>"0033569X"</f>
        <v>0033569X</v>
      </c>
      <c r="D16903" s="2">
        <v>0.49099999999999999</v>
      </c>
      <c r="E16903" s="2">
        <v>25</v>
      </c>
      <c r="F16903" s="2" t="s">
        <v>6</v>
      </c>
    </row>
    <row r="16904" spans="1:6" ht="25.5">
      <c r="A16904" s="2">
        <v>16901</v>
      </c>
      <c r="B16904" s="2" t="s">
        <v>16973</v>
      </c>
      <c r="C16904" s="2" t="str">
        <f>"00339008"</f>
        <v>00339008</v>
      </c>
      <c r="D16904" s="2">
        <v>0.18099999999999999</v>
      </c>
      <c r="E16904" s="2">
        <v>10</v>
      </c>
      <c r="F16904" s="2" t="s">
        <v>131</v>
      </c>
    </row>
    <row r="16905" spans="1:6" ht="25.5">
      <c r="A16905" s="2">
        <v>16902</v>
      </c>
      <c r="B16905" s="2" t="s">
        <v>16974</v>
      </c>
      <c r="C16905" s="2" t="str">
        <f>"15397718"</f>
        <v>15397718</v>
      </c>
      <c r="D16905" s="2">
        <v>4.6500000000000004</v>
      </c>
      <c r="E16905" s="2">
        <v>45</v>
      </c>
      <c r="F16905" s="2" t="s">
        <v>6</v>
      </c>
    </row>
    <row r="16906" spans="1:6" ht="25.5">
      <c r="A16906" s="2">
        <v>16903</v>
      </c>
      <c r="B16906" s="2" t="s">
        <v>16975</v>
      </c>
      <c r="C16906" s="2" t="str">
        <f>"10629769"</f>
        <v>10629769</v>
      </c>
      <c r="D16906" s="2">
        <v>0.48399999999999999</v>
      </c>
      <c r="E16906" s="2">
        <v>24</v>
      </c>
      <c r="F16906" s="2" t="s">
        <v>75</v>
      </c>
    </row>
    <row r="16907" spans="1:6" ht="25.5">
      <c r="A16907" s="2">
        <v>16904</v>
      </c>
      <c r="B16907" s="2" t="s">
        <v>16976</v>
      </c>
      <c r="C16907" s="2" t="str">
        <f>"10509208"</f>
        <v>10509208</v>
      </c>
      <c r="D16907" s="2">
        <v>0.1</v>
      </c>
      <c r="E16907" s="2">
        <v>1</v>
      </c>
      <c r="F16907" s="2" t="s">
        <v>31</v>
      </c>
    </row>
    <row r="16908" spans="1:6" ht="25.5">
      <c r="A16908" s="2">
        <v>16905</v>
      </c>
      <c r="B16908" s="2" t="s">
        <v>16977</v>
      </c>
      <c r="C16908" s="2" t="str">
        <f>"14698994"</f>
        <v>14698994</v>
      </c>
      <c r="D16908" s="2">
        <v>7.0910000000000002</v>
      </c>
      <c r="E16908" s="2">
        <v>68</v>
      </c>
      <c r="F16908" s="2" t="s">
        <v>16</v>
      </c>
    </row>
    <row r="16909" spans="1:6" ht="25.5">
      <c r="A16909" s="2">
        <v>16906</v>
      </c>
      <c r="B16909" s="2" t="s">
        <v>16978</v>
      </c>
      <c r="C16909" s="2" t="str">
        <f>"02773791"</f>
        <v>02773791</v>
      </c>
      <c r="D16909" s="2">
        <v>2.6560000000000001</v>
      </c>
      <c r="E16909" s="2">
        <v>103</v>
      </c>
      <c r="F16909" s="2" t="s">
        <v>16</v>
      </c>
    </row>
    <row r="16910" spans="1:6" ht="25.5">
      <c r="A16910" s="2">
        <v>16907</v>
      </c>
      <c r="B16910" s="2" t="s">
        <v>16979</v>
      </c>
      <c r="C16910" s="2" t="str">
        <f>"15612848"</f>
        <v>15612848</v>
      </c>
      <c r="D16910" s="2">
        <v>0.16600000000000001</v>
      </c>
      <c r="E16910" s="2">
        <v>2</v>
      </c>
      <c r="F16910" s="2" t="s">
        <v>2911</v>
      </c>
    </row>
    <row r="16911" spans="1:6" ht="25.5">
      <c r="A16911" s="2">
        <v>16908</v>
      </c>
      <c r="B16911" s="2" t="s">
        <v>16980</v>
      </c>
      <c r="C16911" s="2" t="str">
        <f>"11422904"</f>
        <v>11422904</v>
      </c>
      <c r="D16911" s="2">
        <v>0.44600000000000001</v>
      </c>
      <c r="E16911" s="2">
        <v>18</v>
      </c>
      <c r="F16911" s="2" t="s">
        <v>66</v>
      </c>
    </row>
    <row r="16912" spans="1:6" ht="25.5">
      <c r="A16912" s="2">
        <v>16909</v>
      </c>
      <c r="B16912" s="2" t="s">
        <v>16981</v>
      </c>
      <c r="C16912" s="2" t="str">
        <f>"17711150"</f>
        <v>17711150</v>
      </c>
      <c r="D16912" s="2">
        <v>0.10100000000000001</v>
      </c>
      <c r="E16912" s="2">
        <v>3</v>
      </c>
      <c r="F16912" s="2" t="s">
        <v>66</v>
      </c>
    </row>
    <row r="16913" spans="1:6" ht="25.5">
      <c r="A16913" s="2">
        <v>16910</v>
      </c>
      <c r="B16913" s="2" t="s">
        <v>16982</v>
      </c>
      <c r="C16913" s="2" t="str">
        <f>"18711014"</f>
        <v>18711014</v>
      </c>
      <c r="D16913" s="2">
        <v>2.2559999999999998</v>
      </c>
      <c r="E16913" s="2">
        <v>25</v>
      </c>
      <c r="F16913" s="2" t="s">
        <v>75</v>
      </c>
    </row>
    <row r="16914" spans="1:6" ht="25.5">
      <c r="A16914" s="2">
        <v>16911</v>
      </c>
      <c r="B16914" s="2" t="s">
        <v>16983</v>
      </c>
      <c r="C16914" s="2" t="str">
        <f>"10406182"</f>
        <v>10406182</v>
      </c>
      <c r="D16914" s="2">
        <v>0.96899999999999997</v>
      </c>
      <c r="E16914" s="2">
        <v>57</v>
      </c>
      <c r="F16914" s="2" t="s">
        <v>16</v>
      </c>
    </row>
    <row r="16915" spans="1:6" ht="25.5">
      <c r="A16915" s="2">
        <v>16912</v>
      </c>
      <c r="B16915" s="2" t="s">
        <v>16984</v>
      </c>
      <c r="C16915" s="2" t="str">
        <f>"00335894"</f>
        <v>00335894</v>
      </c>
      <c r="D16915" s="2">
        <v>1.3280000000000001</v>
      </c>
      <c r="E16915" s="2">
        <v>69</v>
      </c>
      <c r="F16915" s="2" t="s">
        <v>6</v>
      </c>
    </row>
    <row r="16916" spans="1:6" ht="25.5">
      <c r="A16916" s="2">
        <v>16913</v>
      </c>
      <c r="B16916" s="2" t="s">
        <v>16985</v>
      </c>
      <c r="C16916" s="2" t="str">
        <f>"08289999"</f>
        <v>08289999</v>
      </c>
      <c r="D16916" s="2">
        <v>0.109</v>
      </c>
      <c r="E16916" s="2">
        <v>1</v>
      </c>
      <c r="F16916" s="2" t="s">
        <v>64</v>
      </c>
    </row>
    <row r="16917" spans="1:6" ht="25.5">
      <c r="A16917" s="2">
        <v>16914</v>
      </c>
      <c r="B16917" s="2" t="s">
        <v>16986</v>
      </c>
      <c r="C16917" s="2" t="str">
        <f>"0815936X"</f>
        <v>0815936X</v>
      </c>
      <c r="D16917" s="2">
        <v>0.1</v>
      </c>
      <c r="E16917" s="2">
        <v>2</v>
      </c>
      <c r="F16917" s="2" t="s">
        <v>127</v>
      </c>
    </row>
    <row r="16918" spans="1:6" ht="25.5">
      <c r="A16918" s="2">
        <v>16915</v>
      </c>
      <c r="B16918" s="2" t="s">
        <v>16987</v>
      </c>
      <c r="C16918" s="2" t="str">
        <f>"00336041"</f>
        <v>00336041</v>
      </c>
      <c r="D16918" s="2">
        <v>0.1</v>
      </c>
      <c r="E16918" s="2">
        <v>2</v>
      </c>
      <c r="F16918" s="2" t="s">
        <v>64</v>
      </c>
    </row>
    <row r="16919" spans="1:6" ht="25.5">
      <c r="A16919" s="2">
        <v>16916</v>
      </c>
      <c r="B16919" s="2" t="s">
        <v>16988</v>
      </c>
      <c r="C16919" s="2" t="str">
        <f>"09298592"</f>
        <v>09298592</v>
      </c>
      <c r="D16919" s="2">
        <v>0.20599999999999999</v>
      </c>
      <c r="E16919" s="2">
        <v>3</v>
      </c>
      <c r="F16919" s="2" t="s">
        <v>75</v>
      </c>
    </row>
    <row r="16920" spans="1:6" ht="25.5">
      <c r="A16920" s="2">
        <v>16917</v>
      </c>
      <c r="B16920" s="2" t="s">
        <v>16989</v>
      </c>
      <c r="C16920" s="2" t="str">
        <f>"15432750"</f>
        <v>15432750</v>
      </c>
      <c r="D16920" s="2">
        <v>0.49299999999999999</v>
      </c>
      <c r="E16920" s="2">
        <v>25</v>
      </c>
      <c r="F16920" s="2" t="s">
        <v>6</v>
      </c>
    </row>
    <row r="16921" spans="1:6" ht="25.5">
      <c r="A16921" s="2">
        <v>16918</v>
      </c>
      <c r="B16921" s="2" t="s">
        <v>16990</v>
      </c>
      <c r="C16921" s="2" t="str">
        <f>"17831709"</f>
        <v>17831709</v>
      </c>
      <c r="D16921" s="2">
        <v>0.10199999999999999</v>
      </c>
      <c r="E16921" s="2">
        <v>0</v>
      </c>
      <c r="F16921" s="2" t="s">
        <v>161</v>
      </c>
    </row>
    <row r="16922" spans="1:6" ht="25.5">
      <c r="A16922" s="2">
        <v>16919</v>
      </c>
      <c r="B16922" s="2" t="s">
        <v>16991</v>
      </c>
      <c r="C16922" s="2" t="str">
        <f>"15427749"</f>
        <v>15427749</v>
      </c>
      <c r="D16922" s="2">
        <v>0.37</v>
      </c>
      <c r="E16922" s="2">
        <v>12</v>
      </c>
      <c r="F16922" s="2" t="s">
        <v>6</v>
      </c>
    </row>
    <row r="16923" spans="1:6" ht="25.5">
      <c r="A16923" s="2">
        <v>16920</v>
      </c>
      <c r="B16923" s="2" t="s">
        <v>16992</v>
      </c>
      <c r="C16923" s="2" t="str">
        <f>"15729443"</f>
        <v>15729443</v>
      </c>
      <c r="D16923" s="2">
        <v>0.57899999999999996</v>
      </c>
      <c r="E16923" s="2">
        <v>32</v>
      </c>
      <c r="F16923" s="2" t="s">
        <v>75</v>
      </c>
    </row>
    <row r="16924" spans="1:6" ht="25.5">
      <c r="A16924" s="2">
        <v>16921</v>
      </c>
      <c r="B16924" s="2" t="s">
        <v>16993</v>
      </c>
      <c r="C16924" s="2" t="str">
        <f>"01004042"</f>
        <v>01004042</v>
      </c>
      <c r="D16924" s="2">
        <v>0.32700000000000001</v>
      </c>
      <c r="E16924" s="2">
        <v>36</v>
      </c>
      <c r="F16924" s="2" t="s">
        <v>159</v>
      </c>
    </row>
    <row r="16925" spans="1:6" ht="25.5">
      <c r="A16925" s="2">
        <v>16922</v>
      </c>
      <c r="B16925" s="2" t="s">
        <v>16994</v>
      </c>
      <c r="C16925" s="2" t="str">
        <f>"15797414"</f>
        <v>15797414</v>
      </c>
      <c r="D16925" s="2">
        <v>0.10100000000000001</v>
      </c>
      <c r="E16925" s="2">
        <v>0</v>
      </c>
      <c r="F16925" s="2" t="s">
        <v>351</v>
      </c>
    </row>
    <row r="16926" spans="1:6" ht="25.5">
      <c r="A16926" s="2">
        <v>16923</v>
      </c>
      <c r="B16926" s="2" t="s">
        <v>16995</v>
      </c>
      <c r="C16926" s="2" t="str">
        <f>"19367163"</f>
        <v>19367163</v>
      </c>
      <c r="D16926" s="2">
        <v>0.373</v>
      </c>
      <c r="E16926" s="2">
        <v>49</v>
      </c>
      <c r="F16926" s="2" t="s">
        <v>6</v>
      </c>
    </row>
    <row r="16927" spans="1:6" ht="25.5">
      <c r="A16927" s="2">
        <v>16924</v>
      </c>
      <c r="B16927" s="2" t="s">
        <v>16996</v>
      </c>
      <c r="C16927" s="2" t="str">
        <f>"18512879"</f>
        <v>18512879</v>
      </c>
      <c r="D16927" s="2">
        <v>0</v>
      </c>
      <c r="E16927" s="2">
        <v>0</v>
      </c>
      <c r="F16927" s="2" t="s">
        <v>192</v>
      </c>
    </row>
    <row r="16928" spans="1:6" ht="25.5">
      <c r="A16928" s="2">
        <v>16925</v>
      </c>
      <c r="B16928" s="2" t="s">
        <v>16997</v>
      </c>
      <c r="C16928" s="2" t="str">
        <f>"00486493"</f>
        <v>00486493</v>
      </c>
      <c r="D16928" s="2">
        <v>0.1</v>
      </c>
      <c r="E16928" s="2">
        <v>0</v>
      </c>
      <c r="F16928" s="2" t="s">
        <v>66</v>
      </c>
    </row>
    <row r="16929" spans="1:6" ht="25.5">
      <c r="A16929" s="2">
        <v>16926</v>
      </c>
      <c r="B16929" s="2" t="s">
        <v>16998</v>
      </c>
      <c r="C16929" s="2" t="str">
        <f>"03063968"</f>
        <v>03063968</v>
      </c>
      <c r="D16929" s="2">
        <v>0.25800000000000001</v>
      </c>
      <c r="E16929" s="2">
        <v>16</v>
      </c>
      <c r="F16929" s="2" t="s">
        <v>16</v>
      </c>
    </row>
    <row r="16930" spans="1:6" ht="25.5">
      <c r="A16930" s="2">
        <v>16927</v>
      </c>
      <c r="B16930" s="2" t="s">
        <v>16999</v>
      </c>
      <c r="C16930" s="2" t="str">
        <f>"18671756"</f>
        <v>18671756</v>
      </c>
      <c r="D16930" s="2">
        <v>0.55800000000000005</v>
      </c>
      <c r="E16930" s="2">
        <v>5</v>
      </c>
      <c r="F16930" s="2" t="s">
        <v>12</v>
      </c>
    </row>
    <row r="16931" spans="1:6" ht="25.5">
      <c r="A16931" s="2">
        <v>16928</v>
      </c>
      <c r="B16931" s="2" t="s">
        <v>17000</v>
      </c>
      <c r="C16931" s="2" t="str">
        <f>"1470109X"</f>
        <v>1470109X</v>
      </c>
      <c r="D16931" s="2">
        <v>0.73599999999999999</v>
      </c>
      <c r="E16931" s="2">
        <v>20</v>
      </c>
      <c r="F16931" s="2" t="s">
        <v>16</v>
      </c>
    </row>
    <row r="16932" spans="1:6" ht="25.5">
      <c r="A16932" s="2">
        <v>16929</v>
      </c>
      <c r="B16932" s="2" t="s">
        <v>17001</v>
      </c>
      <c r="C16932" s="2" t="str">
        <f>"14322099"</f>
        <v>14322099</v>
      </c>
      <c r="D16932" s="2">
        <v>0.67400000000000004</v>
      </c>
      <c r="E16932" s="2">
        <v>34</v>
      </c>
      <c r="F16932" s="2" t="s">
        <v>6</v>
      </c>
    </row>
    <row r="16933" spans="1:6" ht="25.5">
      <c r="A16933" s="2">
        <v>16930</v>
      </c>
      <c r="B16933" s="2" t="s">
        <v>17002</v>
      </c>
      <c r="C16933" s="2" t="str">
        <f>"10420150"</f>
        <v>10420150</v>
      </c>
      <c r="D16933" s="2">
        <v>0.247</v>
      </c>
      <c r="E16933" s="2">
        <v>19</v>
      </c>
      <c r="F16933" s="2" t="s">
        <v>16</v>
      </c>
    </row>
    <row r="16934" spans="1:6" ht="25.5">
      <c r="A16934" s="2">
        <v>16931</v>
      </c>
      <c r="B16934" s="2" t="s">
        <v>17003</v>
      </c>
      <c r="C16934" s="2" t="str">
        <f>"13504487"</f>
        <v>13504487</v>
      </c>
      <c r="D16934" s="2">
        <v>0.53500000000000003</v>
      </c>
      <c r="E16934" s="2">
        <v>59</v>
      </c>
      <c r="F16934" s="2" t="s">
        <v>16</v>
      </c>
    </row>
    <row r="16935" spans="1:6" ht="25.5">
      <c r="A16935" s="2">
        <v>16932</v>
      </c>
      <c r="B16935" s="2" t="s">
        <v>17004</v>
      </c>
      <c r="C16935" s="2" t="str">
        <f>"1748717X"</f>
        <v>1748717X</v>
      </c>
      <c r="D16935" s="2">
        <v>0.89</v>
      </c>
      <c r="E16935" s="2">
        <v>25</v>
      </c>
      <c r="F16935" s="2" t="s">
        <v>16</v>
      </c>
    </row>
    <row r="16936" spans="1:6" ht="25.5">
      <c r="A16936" s="2">
        <v>16933</v>
      </c>
      <c r="B16936" s="2" t="s">
        <v>17005</v>
      </c>
      <c r="C16936" s="2" t="str">
        <f>"22343164"</f>
        <v>22343164</v>
      </c>
      <c r="D16936" s="2">
        <v>0</v>
      </c>
      <c r="E16936" s="2">
        <v>1</v>
      </c>
      <c r="F16936" s="2" t="s">
        <v>274</v>
      </c>
    </row>
    <row r="16937" spans="1:6" ht="25.5">
      <c r="A16937" s="2">
        <v>16934</v>
      </c>
      <c r="B16937" s="2" t="s">
        <v>17006</v>
      </c>
      <c r="C16937" s="2" t="str">
        <f>"0969806X"</f>
        <v>0969806X</v>
      </c>
      <c r="D16937" s="2">
        <v>0.54200000000000004</v>
      </c>
      <c r="E16937" s="2">
        <v>47</v>
      </c>
      <c r="F16937" s="2" t="s">
        <v>16</v>
      </c>
    </row>
    <row r="16938" spans="1:6" ht="25.5">
      <c r="A16938" s="2">
        <v>16935</v>
      </c>
      <c r="B16938" s="2" t="s">
        <v>17007</v>
      </c>
      <c r="C16938" s="2" t="str">
        <f>"01448420"</f>
        <v>01448420</v>
      </c>
      <c r="D16938" s="2">
        <v>0.50700000000000001</v>
      </c>
      <c r="E16938" s="2">
        <v>44</v>
      </c>
      <c r="F16938" s="2" t="s">
        <v>16</v>
      </c>
    </row>
    <row r="16939" spans="1:6" ht="25.5">
      <c r="A16939" s="2">
        <v>16936</v>
      </c>
      <c r="B16939" s="2" t="s">
        <v>17008</v>
      </c>
      <c r="C16939" s="2" t="str">
        <f>"00337587"</f>
        <v>00337587</v>
      </c>
      <c r="D16939" s="2">
        <v>1.083</v>
      </c>
      <c r="E16939" s="2">
        <v>86</v>
      </c>
      <c r="F16939" s="2" t="s">
        <v>6</v>
      </c>
    </row>
    <row r="16940" spans="1:6" ht="25.5">
      <c r="A16940" s="2">
        <v>16937</v>
      </c>
      <c r="B16940" s="2" t="s">
        <v>17009</v>
      </c>
      <c r="C16940" s="2" t="str">
        <f>"08698031"</f>
        <v>08698031</v>
      </c>
      <c r="D16940" s="2">
        <v>0.11799999999999999</v>
      </c>
      <c r="E16940" s="2">
        <v>10</v>
      </c>
      <c r="F16940" s="2" t="s">
        <v>129</v>
      </c>
    </row>
    <row r="16941" spans="1:6" ht="25.5">
      <c r="A16941" s="2">
        <v>16938</v>
      </c>
      <c r="B16941" s="2" t="s">
        <v>17010</v>
      </c>
      <c r="C16941" s="2" t="str">
        <f>"15341453"</f>
        <v>15341453</v>
      </c>
      <c r="D16941" s="2">
        <v>0.16200000000000001</v>
      </c>
      <c r="E16941" s="2">
        <v>7</v>
      </c>
      <c r="F16941" s="2" t="s">
        <v>6</v>
      </c>
    </row>
    <row r="16942" spans="1:6" ht="25.5">
      <c r="A16942" s="2">
        <v>16939</v>
      </c>
      <c r="B16942" s="2" t="s">
        <v>17011</v>
      </c>
      <c r="C16942" s="2" t="str">
        <f>"0300211X"</f>
        <v>0300211X</v>
      </c>
      <c r="D16942" s="2">
        <v>0.2</v>
      </c>
      <c r="E16942" s="2">
        <v>6</v>
      </c>
      <c r="F16942" s="2" t="s">
        <v>16</v>
      </c>
    </row>
    <row r="16943" spans="1:6" ht="25.5">
      <c r="A16943" s="2">
        <v>16940</v>
      </c>
      <c r="B16943" s="2" t="s">
        <v>17012</v>
      </c>
      <c r="C16943" s="2" t="str">
        <f>"15694860"</f>
        <v>15694860</v>
      </c>
      <c r="D16943" s="2">
        <v>0.14699999999999999</v>
      </c>
      <c r="E16943" s="2">
        <v>7</v>
      </c>
      <c r="F16943" s="2" t="s">
        <v>16</v>
      </c>
    </row>
    <row r="16944" spans="1:6" ht="25.5">
      <c r="A16944" s="2">
        <v>16941</v>
      </c>
      <c r="B16944" s="2" t="s">
        <v>17013</v>
      </c>
      <c r="C16944" s="2" t="str">
        <f>"00338222"</f>
        <v>00338222</v>
      </c>
      <c r="D16944" s="2">
        <v>3.1880000000000002</v>
      </c>
      <c r="E16944" s="2">
        <v>54</v>
      </c>
      <c r="F16944" s="2" t="s">
        <v>6</v>
      </c>
    </row>
    <row r="16945" spans="1:6" ht="25.5">
      <c r="A16945" s="2">
        <v>16942</v>
      </c>
      <c r="B16945" s="2" t="s">
        <v>17014</v>
      </c>
      <c r="C16945" s="2" t="str">
        <f>"10663622"</f>
        <v>10663622</v>
      </c>
      <c r="D16945" s="2">
        <v>0.14499999999999999</v>
      </c>
      <c r="E16945" s="2">
        <v>9</v>
      </c>
      <c r="F16945" s="2" t="s">
        <v>129</v>
      </c>
    </row>
    <row r="16946" spans="1:6" ht="25.5">
      <c r="A16946" s="2">
        <v>16943</v>
      </c>
      <c r="B16946" s="2" t="s">
        <v>17015</v>
      </c>
      <c r="C16946" s="2" t="str">
        <f>"00338230"</f>
        <v>00338230</v>
      </c>
      <c r="D16946" s="2">
        <v>0.59799999999999998</v>
      </c>
      <c r="E16946" s="2">
        <v>45</v>
      </c>
      <c r="F16946" s="2" t="s">
        <v>12</v>
      </c>
    </row>
    <row r="16947" spans="1:6" ht="25.5">
      <c r="A16947" s="2">
        <v>16944</v>
      </c>
      <c r="B16947" s="2" t="s">
        <v>17016</v>
      </c>
      <c r="C16947" s="2" t="str">
        <f>"07352727"</f>
        <v>07352727</v>
      </c>
      <c r="D16947" s="2">
        <v>0.193</v>
      </c>
      <c r="E16947" s="2">
        <v>3</v>
      </c>
      <c r="F16947" s="2" t="s">
        <v>6</v>
      </c>
    </row>
    <row r="16948" spans="1:6" ht="25.5">
      <c r="A16948" s="2">
        <v>16945</v>
      </c>
      <c r="B16948" s="2" t="s">
        <v>17017</v>
      </c>
      <c r="C16948" s="2" t="str">
        <f>"12102512"</f>
        <v>12102512</v>
      </c>
      <c r="D16948" s="2">
        <v>0.36399999999999999</v>
      </c>
      <c r="E16948" s="2">
        <v>11</v>
      </c>
      <c r="F16948" s="2" t="s">
        <v>208</v>
      </c>
    </row>
    <row r="16949" spans="1:6" ht="25.5">
      <c r="A16949" s="2">
        <v>16946</v>
      </c>
      <c r="B16949" s="2" t="s">
        <v>17018</v>
      </c>
      <c r="C16949" s="2" t="str">
        <f>"15271323"</f>
        <v>15271323</v>
      </c>
      <c r="D16949" s="2">
        <v>1.5229999999999999</v>
      </c>
      <c r="E16949" s="2">
        <v>97</v>
      </c>
      <c r="F16949" s="2" t="s">
        <v>6</v>
      </c>
    </row>
    <row r="16950" spans="1:6" ht="25.5">
      <c r="A16950" s="2">
        <v>16947</v>
      </c>
      <c r="B16950" s="2" t="s">
        <v>17019</v>
      </c>
      <c r="C16950" s="2" t="str">
        <f>"10788174"</f>
        <v>10788174</v>
      </c>
      <c r="D16950" s="2">
        <v>0.253</v>
      </c>
      <c r="E16950" s="2">
        <v>14</v>
      </c>
      <c r="F16950" s="2" t="s">
        <v>16</v>
      </c>
    </row>
    <row r="16951" spans="1:6" ht="25.5">
      <c r="A16951" s="2">
        <v>16948</v>
      </c>
      <c r="B16951" s="2" t="s">
        <v>17020</v>
      </c>
      <c r="C16951" s="2" t="str">
        <f>"1578178X"</f>
        <v>1578178X</v>
      </c>
      <c r="D16951" s="2">
        <v>0.13700000000000001</v>
      </c>
      <c r="E16951" s="2">
        <v>7</v>
      </c>
      <c r="F16951" s="2" t="s">
        <v>351</v>
      </c>
    </row>
    <row r="16952" spans="1:6" ht="25.5">
      <c r="A16952" s="2">
        <v>16949</v>
      </c>
      <c r="B16952" s="2" t="s">
        <v>17021</v>
      </c>
      <c r="C16952" s="2" t="str">
        <f>"01003984"</f>
        <v>01003984</v>
      </c>
      <c r="D16952" s="2">
        <v>0.20499999999999999</v>
      </c>
      <c r="E16952" s="2">
        <v>6</v>
      </c>
      <c r="F16952" s="2" t="s">
        <v>159</v>
      </c>
    </row>
    <row r="16953" spans="1:6" ht="25.5">
      <c r="A16953" s="2">
        <v>16950</v>
      </c>
      <c r="B16953" s="2" t="s">
        <v>17022</v>
      </c>
      <c r="C16953" s="2" t="str">
        <f>"18266983"</f>
        <v>18266983</v>
      </c>
      <c r="D16953" s="2">
        <v>0.57399999999999995</v>
      </c>
      <c r="E16953" s="2">
        <v>27</v>
      </c>
      <c r="F16953" s="2" t="s">
        <v>190</v>
      </c>
    </row>
    <row r="16954" spans="1:6" ht="25.5">
      <c r="A16954" s="2">
        <v>16951</v>
      </c>
      <c r="B16954" s="2" t="s">
        <v>17023</v>
      </c>
      <c r="C16954" s="2" t="str">
        <f>"18650341"</f>
        <v>18650341</v>
      </c>
      <c r="D16954" s="2">
        <v>0.36099999999999999</v>
      </c>
      <c r="E16954" s="2">
        <v>7</v>
      </c>
      <c r="F16954" s="2" t="s">
        <v>131</v>
      </c>
    </row>
    <row r="16955" spans="1:6" ht="25.5">
      <c r="A16955" s="2">
        <v>16952</v>
      </c>
      <c r="B16955" s="2" t="s">
        <v>17024</v>
      </c>
      <c r="C16955" s="2" t="str">
        <f>"00338389"</f>
        <v>00338389</v>
      </c>
      <c r="D16955" s="2">
        <v>0.94599999999999995</v>
      </c>
      <c r="E16955" s="2">
        <v>57</v>
      </c>
      <c r="F16955" s="2" t="s">
        <v>16</v>
      </c>
    </row>
    <row r="16956" spans="1:6" ht="25.5">
      <c r="A16956" s="2">
        <v>16953</v>
      </c>
      <c r="B16956" s="2" t="s">
        <v>17025</v>
      </c>
      <c r="C16956" s="2" t="str">
        <f>"19435657"</f>
        <v>19435657</v>
      </c>
      <c r="D16956" s="2">
        <v>0.14499999999999999</v>
      </c>
      <c r="E16956" s="2">
        <v>10</v>
      </c>
      <c r="F16956" s="2" t="s">
        <v>6</v>
      </c>
    </row>
    <row r="16957" spans="1:6" ht="25.5">
      <c r="A16957" s="2">
        <v>16954</v>
      </c>
      <c r="B16957" s="2" t="s">
        <v>17026</v>
      </c>
      <c r="C16957" s="2" t="str">
        <f>"15271315"</f>
        <v>15271315</v>
      </c>
      <c r="D16957" s="2">
        <v>2.8359999999999999</v>
      </c>
      <c r="E16957" s="2">
        <v>203</v>
      </c>
      <c r="F16957" s="2" t="s">
        <v>6</v>
      </c>
    </row>
    <row r="16958" spans="1:6" ht="25.5">
      <c r="A16958" s="2">
        <v>16955</v>
      </c>
      <c r="B16958" s="2" t="s">
        <v>17027</v>
      </c>
      <c r="C16958" s="2" t="str">
        <f>"13182099"</f>
        <v>13182099</v>
      </c>
      <c r="D16958" s="2">
        <v>0.314</v>
      </c>
      <c r="E16958" s="2">
        <v>12</v>
      </c>
      <c r="F16958" s="2" t="s">
        <v>149</v>
      </c>
    </row>
    <row r="16959" spans="1:6" ht="25.5">
      <c r="A16959" s="2">
        <v>16956</v>
      </c>
      <c r="B16959" s="2" t="s">
        <v>17028</v>
      </c>
      <c r="C16959" s="2" t="str">
        <f>"01987097"</f>
        <v>01987097</v>
      </c>
      <c r="D16959" s="2">
        <v>0.11600000000000001</v>
      </c>
      <c r="E16959" s="2">
        <v>10</v>
      </c>
      <c r="F16959" s="2" t="s">
        <v>6</v>
      </c>
    </row>
    <row r="16960" spans="1:6" ht="25.5">
      <c r="A16960" s="2">
        <v>16957</v>
      </c>
      <c r="B16960" s="2" t="s">
        <v>17029</v>
      </c>
      <c r="C16960" s="2" t="str">
        <f>"15739120"</f>
        <v>15739120</v>
      </c>
      <c r="D16960" s="2">
        <v>0.27400000000000002</v>
      </c>
      <c r="E16960" s="2">
        <v>8</v>
      </c>
      <c r="F16960" s="2" t="s">
        <v>6</v>
      </c>
    </row>
    <row r="16961" spans="1:6" ht="25.5">
      <c r="A16961" s="2">
        <v>16958</v>
      </c>
      <c r="B16961" s="2" t="s">
        <v>17030</v>
      </c>
      <c r="C16961" s="2" t="str">
        <f>"00338451"</f>
        <v>00338451</v>
      </c>
      <c r="D16961" s="2">
        <v>0.215</v>
      </c>
      <c r="E16961" s="2">
        <v>9</v>
      </c>
      <c r="F16961" s="2" t="s">
        <v>66</v>
      </c>
    </row>
    <row r="16962" spans="1:6" ht="25.5">
      <c r="A16962" s="2">
        <v>16959</v>
      </c>
      <c r="B16962" s="2" t="s">
        <v>17031</v>
      </c>
      <c r="C16962" s="2" t="str">
        <f>"00486604"</f>
        <v>00486604</v>
      </c>
      <c r="D16962" s="2">
        <v>0.52700000000000002</v>
      </c>
      <c r="E16962" s="2">
        <v>47</v>
      </c>
      <c r="F16962" s="2" t="s">
        <v>6</v>
      </c>
    </row>
    <row r="16963" spans="1:6" ht="25.5">
      <c r="A16963" s="2">
        <v>16960</v>
      </c>
      <c r="B16963" s="2" t="s">
        <v>17032</v>
      </c>
      <c r="C16963" s="2" t="str">
        <f>"01678140"</f>
        <v>01678140</v>
      </c>
      <c r="D16963" s="2">
        <v>2.4239999999999999</v>
      </c>
      <c r="E16963" s="2">
        <v>100</v>
      </c>
      <c r="F16963" s="2" t="s">
        <v>732</v>
      </c>
    </row>
    <row r="16964" spans="1:6" ht="25.5">
      <c r="A16964" s="2">
        <v>16961</v>
      </c>
      <c r="B16964" s="2" t="s">
        <v>17033</v>
      </c>
      <c r="C16964" s="2" t="str">
        <f>"13300474"</f>
        <v>13300474</v>
      </c>
      <c r="D16964" s="2">
        <v>0.10100000000000001</v>
      </c>
      <c r="E16964" s="2">
        <v>1</v>
      </c>
      <c r="F16964" s="2" t="s">
        <v>149</v>
      </c>
    </row>
    <row r="16965" spans="1:6" ht="25.5">
      <c r="A16965" s="2">
        <v>16962</v>
      </c>
      <c r="B16965" s="2" t="s">
        <v>17034</v>
      </c>
      <c r="C16965" s="2" t="str">
        <f>"15294900"</f>
        <v>15294900</v>
      </c>
      <c r="D16965" s="2">
        <v>0.1</v>
      </c>
      <c r="E16965" s="2">
        <v>2</v>
      </c>
      <c r="F16965" s="2" t="s">
        <v>6</v>
      </c>
    </row>
    <row r="16966" spans="1:6" ht="25.5">
      <c r="A16966" s="2">
        <v>16963</v>
      </c>
      <c r="B16966" s="2" t="s">
        <v>17035</v>
      </c>
      <c r="C16966" s="2" t="str">
        <f>"15164136"</f>
        <v>15164136</v>
      </c>
      <c r="D16966" s="2">
        <v>0.113</v>
      </c>
      <c r="E16966" s="2">
        <v>2</v>
      </c>
      <c r="F16966" s="2" t="s">
        <v>159</v>
      </c>
    </row>
    <row r="16967" spans="1:6" ht="25.5">
      <c r="A16967" s="2">
        <v>16964</v>
      </c>
      <c r="B16967" s="2" t="s">
        <v>17036</v>
      </c>
      <c r="C16967" s="2" t="str">
        <f>"00347590"</f>
        <v>00347590</v>
      </c>
      <c r="D16967" s="2">
        <v>0.13600000000000001</v>
      </c>
      <c r="E16967" s="2">
        <v>2</v>
      </c>
      <c r="F16967" s="2" t="s">
        <v>159</v>
      </c>
    </row>
    <row r="16968" spans="1:6" ht="25.5">
      <c r="A16968" s="2">
        <v>16965</v>
      </c>
      <c r="B16968" s="2" t="s">
        <v>17037</v>
      </c>
      <c r="C16968" s="2" t="str">
        <f>"02172445"</f>
        <v>02172445</v>
      </c>
      <c r="D16968" s="2">
        <v>0.35599999999999998</v>
      </c>
      <c r="E16968" s="2">
        <v>18</v>
      </c>
      <c r="F16968" s="2" t="s">
        <v>543</v>
      </c>
    </row>
    <row r="16969" spans="1:6" ht="25.5">
      <c r="A16969" s="2">
        <v>16966</v>
      </c>
      <c r="B16969" s="2" t="s">
        <v>17038</v>
      </c>
      <c r="C16969" s="2" t="str">
        <f>"12903868"</f>
        <v>12903868</v>
      </c>
      <c r="D16969" s="2">
        <v>0.28100000000000003</v>
      </c>
      <c r="E16969" s="2">
        <v>15</v>
      </c>
      <c r="F16969" s="2" t="s">
        <v>66</v>
      </c>
    </row>
    <row r="16970" spans="1:6" ht="25.5">
      <c r="A16970" s="2">
        <v>16967</v>
      </c>
      <c r="B16970" s="2" t="s">
        <v>17039</v>
      </c>
      <c r="C16970" s="2" t="str">
        <f>"1290385X"</f>
        <v>1290385X</v>
      </c>
      <c r="D16970" s="2">
        <v>0.751</v>
      </c>
      <c r="E16970" s="2">
        <v>18</v>
      </c>
      <c r="F16970" s="2" t="s">
        <v>66</v>
      </c>
    </row>
    <row r="16971" spans="1:6" ht="25.5">
      <c r="A16971" s="2">
        <v>16968</v>
      </c>
      <c r="B16971" s="2" t="s">
        <v>17040</v>
      </c>
      <c r="C16971" s="2" t="str">
        <f>"19506708"</f>
        <v>19506708</v>
      </c>
      <c r="D16971" s="2">
        <v>0.17</v>
      </c>
      <c r="E16971" s="2">
        <v>5</v>
      </c>
      <c r="F16971" s="2" t="s">
        <v>66</v>
      </c>
    </row>
    <row r="16972" spans="1:6" ht="25.5">
      <c r="A16972" s="2">
        <v>16969</v>
      </c>
      <c r="B16972" s="2" t="s">
        <v>17041</v>
      </c>
      <c r="C16972" s="2" t="str">
        <f>"13824090"</f>
        <v>13824090</v>
      </c>
      <c r="D16972" s="2">
        <v>0.69599999999999995</v>
      </c>
      <c r="E16972" s="2">
        <v>17</v>
      </c>
      <c r="F16972" s="2" t="s">
        <v>75</v>
      </c>
    </row>
    <row r="16973" spans="1:6" ht="25.5">
      <c r="A16973" s="2">
        <v>16970</v>
      </c>
      <c r="B16973" s="2" t="s">
        <v>17042</v>
      </c>
      <c r="C16973" s="2" t="str">
        <f>"0048671X"</f>
        <v>0048671X</v>
      </c>
      <c r="D16973" s="2">
        <v>0.111</v>
      </c>
      <c r="E16973" s="2">
        <v>3</v>
      </c>
      <c r="F16973" s="2" t="s">
        <v>127</v>
      </c>
    </row>
    <row r="16974" spans="1:6" ht="25.5">
      <c r="A16974" s="2">
        <v>16971</v>
      </c>
      <c r="B16974" s="2" t="s">
        <v>17043</v>
      </c>
      <c r="C16974" s="2" t="str">
        <f>"14679310"</f>
        <v>14679310</v>
      </c>
      <c r="D16974" s="2">
        <v>1.45</v>
      </c>
      <c r="E16974" s="2">
        <v>48</v>
      </c>
      <c r="F16974" s="2" t="s">
        <v>16</v>
      </c>
    </row>
    <row r="16975" spans="1:6" ht="25.5">
      <c r="A16975" s="2">
        <v>16972</v>
      </c>
      <c r="B16975" s="2" t="s">
        <v>17044</v>
      </c>
      <c r="C16975" s="2" t="str">
        <f>"03738868"</f>
        <v>03738868</v>
      </c>
      <c r="D16975" s="2">
        <v>0.112</v>
      </c>
      <c r="E16975" s="2">
        <v>7</v>
      </c>
      <c r="F16975" s="2" t="s">
        <v>131</v>
      </c>
    </row>
    <row r="16976" spans="1:6" ht="25.5">
      <c r="A16976" s="2">
        <v>16973</v>
      </c>
      <c r="B16976" s="2" t="s">
        <v>17045</v>
      </c>
      <c r="C16976" s="2" t="str">
        <f>"07416261"</f>
        <v>07416261</v>
      </c>
      <c r="D16976" s="2">
        <v>3.4910000000000001</v>
      </c>
      <c r="E16976" s="2">
        <v>61</v>
      </c>
      <c r="F16976" s="2" t="s">
        <v>6</v>
      </c>
    </row>
    <row r="16977" spans="1:6" ht="25.5">
      <c r="A16977" s="2">
        <v>16974</v>
      </c>
      <c r="B16977" s="2" t="s">
        <v>17046</v>
      </c>
      <c r="C16977" s="2" t="str">
        <f>"09266364"</f>
        <v>09266364</v>
      </c>
      <c r="D16977" s="2">
        <v>0.45200000000000001</v>
      </c>
      <c r="E16977" s="2">
        <v>10</v>
      </c>
      <c r="F16977" s="2" t="s">
        <v>12</v>
      </c>
    </row>
    <row r="16978" spans="1:6" ht="25.5">
      <c r="A16978" s="2">
        <v>16975</v>
      </c>
      <c r="B16978" s="2" t="s">
        <v>17047</v>
      </c>
      <c r="C16978" s="2" t="str">
        <f>"10429832"</f>
        <v>10429832</v>
      </c>
      <c r="D16978" s="2">
        <v>1.9450000000000001</v>
      </c>
      <c r="E16978" s="2">
        <v>37</v>
      </c>
      <c r="F16978" s="2" t="s">
        <v>16</v>
      </c>
    </row>
    <row r="16979" spans="1:6" ht="25.5">
      <c r="A16979" s="2">
        <v>16976</v>
      </c>
      <c r="B16979" s="2" t="s">
        <v>17048</v>
      </c>
      <c r="C16979" s="2" t="str">
        <f>"15507424"</f>
        <v>15507424</v>
      </c>
      <c r="D16979" s="2">
        <v>0.97099999999999997</v>
      </c>
      <c r="E16979" s="2">
        <v>40</v>
      </c>
      <c r="F16979" s="2" t="s">
        <v>6</v>
      </c>
    </row>
    <row r="16980" spans="1:6" ht="25.5">
      <c r="A16980" s="2">
        <v>16977</v>
      </c>
      <c r="B16980" s="2" t="s">
        <v>17049</v>
      </c>
      <c r="C16980" s="2" t="str">
        <f>"10369872"</f>
        <v>10369872</v>
      </c>
      <c r="D16980" s="2">
        <v>0.68300000000000005</v>
      </c>
      <c r="E16980" s="2">
        <v>19</v>
      </c>
      <c r="F16980" s="2" t="s">
        <v>127</v>
      </c>
    </row>
    <row r="16981" spans="1:6" ht="25.5">
      <c r="A16981" s="2">
        <v>16978</v>
      </c>
      <c r="B16981" s="2" t="s">
        <v>17050</v>
      </c>
      <c r="C16981" s="2" t="str">
        <f>"09712070"</f>
        <v>09712070</v>
      </c>
      <c r="D16981" s="2">
        <v>0.20699999999999999</v>
      </c>
      <c r="E16981" s="2">
        <v>2</v>
      </c>
      <c r="F16981" s="2" t="s">
        <v>488</v>
      </c>
    </row>
    <row r="16982" spans="1:6" ht="25.5">
      <c r="A16982" s="2">
        <v>16979</v>
      </c>
      <c r="B16982" s="2" t="s">
        <v>17051</v>
      </c>
      <c r="C16982" s="2" t="str">
        <f>"10068740"</f>
        <v>10068740</v>
      </c>
      <c r="D16982" s="2">
        <v>0.16500000000000001</v>
      </c>
      <c r="E16982" s="2">
        <v>11</v>
      </c>
      <c r="F16982" s="2" t="s">
        <v>46</v>
      </c>
    </row>
    <row r="16983" spans="1:6" ht="25.5">
      <c r="A16983" s="2">
        <v>16980</v>
      </c>
      <c r="B16983" s="2" t="s">
        <v>17052</v>
      </c>
      <c r="C16983" s="2" t="str">
        <f>"10970231"</f>
        <v>10970231</v>
      </c>
      <c r="D16983" s="2">
        <v>0.88600000000000001</v>
      </c>
      <c r="E16983" s="2">
        <v>94</v>
      </c>
      <c r="F16983" s="2" t="s">
        <v>16</v>
      </c>
    </row>
    <row r="16984" spans="1:6" ht="25.5">
      <c r="A16984" s="2">
        <v>16981</v>
      </c>
      <c r="B16984" s="2" t="s">
        <v>17053</v>
      </c>
      <c r="C16984" s="2" t="str">
        <f>"13552546"</f>
        <v>13552546</v>
      </c>
      <c r="D16984" s="2">
        <v>0.57299999999999995</v>
      </c>
      <c r="E16984" s="2">
        <v>36</v>
      </c>
      <c r="F16984" s="2" t="s">
        <v>16</v>
      </c>
    </row>
    <row r="16985" spans="1:6" ht="25.5">
      <c r="A16985" s="2">
        <v>16982</v>
      </c>
      <c r="B16985" s="2" t="s">
        <v>17054</v>
      </c>
      <c r="C16985" s="2" t="str">
        <f>"10010521"</f>
        <v>10010521</v>
      </c>
      <c r="D16985" s="2">
        <v>0.36</v>
      </c>
      <c r="E16985" s="2">
        <v>15</v>
      </c>
      <c r="F16985" s="2" t="s">
        <v>46</v>
      </c>
    </row>
    <row r="16986" spans="1:6" ht="25.5">
      <c r="A16986" s="2">
        <v>16983</v>
      </c>
      <c r="B16986" s="2" t="s">
        <v>17055</v>
      </c>
      <c r="C16986" s="2" t="str">
        <f>"20363605"</f>
        <v>20363605</v>
      </c>
      <c r="D16986" s="2">
        <v>0.19500000000000001</v>
      </c>
      <c r="E16986" s="2">
        <v>3</v>
      </c>
      <c r="F16986" s="2" t="s">
        <v>190</v>
      </c>
    </row>
    <row r="16987" spans="1:6" ht="25.5">
      <c r="A16987" s="2">
        <v>16984</v>
      </c>
      <c r="B16987" s="2" t="s">
        <v>17056</v>
      </c>
      <c r="C16987" s="2" t="str">
        <f>"02751607"</f>
        <v>02751607</v>
      </c>
      <c r="D16987" s="2">
        <v>0.1</v>
      </c>
      <c r="E16987" s="2">
        <v>4</v>
      </c>
      <c r="F16987" s="2" t="s">
        <v>6</v>
      </c>
    </row>
    <row r="16988" spans="1:6" ht="25.5">
      <c r="A16988" s="2">
        <v>16985</v>
      </c>
      <c r="B16988" s="2" t="s">
        <v>17057</v>
      </c>
      <c r="C16988" s="2" t="str">
        <f>"09760083"</f>
        <v>09760083</v>
      </c>
      <c r="D16988" s="2">
        <v>0.193</v>
      </c>
      <c r="E16988" s="2">
        <v>5</v>
      </c>
      <c r="F16988" s="2" t="s">
        <v>488</v>
      </c>
    </row>
    <row r="16989" spans="1:6" ht="25.5">
      <c r="A16989" s="2">
        <v>16986</v>
      </c>
      <c r="B16989" s="2" t="s">
        <v>17058</v>
      </c>
      <c r="C16989" s="2" t="str">
        <f>"13316745"</f>
        <v>13316745</v>
      </c>
      <c r="D16989" s="2">
        <v>0.10100000000000001</v>
      </c>
      <c r="E16989" s="2">
        <v>0</v>
      </c>
      <c r="F16989" s="2" t="s">
        <v>149</v>
      </c>
    </row>
    <row r="16990" spans="1:6" ht="25.5">
      <c r="A16990" s="2">
        <v>16987</v>
      </c>
      <c r="B16990" s="2" t="s">
        <v>17059</v>
      </c>
      <c r="C16990" s="2" t="str">
        <f>"00339423"</f>
        <v>00339423</v>
      </c>
      <c r="D16990" s="2">
        <v>0.10100000000000001</v>
      </c>
      <c r="E16990" s="2">
        <v>1</v>
      </c>
      <c r="F16990" s="2" t="s">
        <v>190</v>
      </c>
    </row>
    <row r="16991" spans="1:6" ht="25.5">
      <c r="A16991" s="2">
        <v>16988</v>
      </c>
      <c r="B16991" s="2" t="s">
        <v>17060</v>
      </c>
      <c r="C16991" s="2" t="str">
        <f>"00339563"</f>
        <v>00339563</v>
      </c>
      <c r="D16991" s="2">
        <v>0.109</v>
      </c>
      <c r="E16991" s="2">
        <v>4</v>
      </c>
      <c r="F16991" s="2" t="s">
        <v>190</v>
      </c>
    </row>
    <row r="16992" spans="1:6" ht="25.5">
      <c r="A16992" s="2">
        <v>16989</v>
      </c>
      <c r="B16992" s="2" t="s">
        <v>17061</v>
      </c>
      <c r="C16992" s="2" t="str">
        <f>"04860349"</f>
        <v>04860349</v>
      </c>
      <c r="D16992" s="2">
        <v>0</v>
      </c>
      <c r="E16992" s="2">
        <v>0</v>
      </c>
      <c r="F16992" s="2" t="s">
        <v>190</v>
      </c>
    </row>
    <row r="16993" spans="1:6" ht="25.5">
      <c r="A16993" s="2">
        <v>16990</v>
      </c>
      <c r="B16993" s="2" t="s">
        <v>17062</v>
      </c>
      <c r="C16993" s="2" t="str">
        <f>"00339873"</f>
        <v>00339873</v>
      </c>
      <c r="D16993" s="2">
        <v>0.1</v>
      </c>
      <c r="E16993" s="2">
        <v>1</v>
      </c>
      <c r="F16993" s="2" t="s">
        <v>190</v>
      </c>
    </row>
    <row r="16994" spans="1:6" ht="25.5">
      <c r="A16994" s="2">
        <v>16991</v>
      </c>
      <c r="B16994" s="2" t="s">
        <v>17063</v>
      </c>
      <c r="C16994" s="2" t="str">
        <f>"14679329"</f>
        <v>14679329</v>
      </c>
      <c r="D16994" s="2">
        <v>0.39900000000000002</v>
      </c>
      <c r="E16994" s="2">
        <v>11</v>
      </c>
      <c r="F16994" s="2" t="s">
        <v>16</v>
      </c>
    </row>
    <row r="16995" spans="1:6" ht="25.5">
      <c r="A16995" s="2">
        <v>16992</v>
      </c>
      <c r="B16995" s="2" t="s">
        <v>17064</v>
      </c>
      <c r="C16995" s="2" t="str">
        <f>"09521917"</f>
        <v>09521917</v>
      </c>
      <c r="D16995" s="2">
        <v>0.122</v>
      </c>
      <c r="E16995" s="2">
        <v>2</v>
      </c>
      <c r="F16995" s="2" t="s">
        <v>16</v>
      </c>
    </row>
    <row r="16996" spans="1:6" ht="25.5">
      <c r="A16996" s="2">
        <v>16993</v>
      </c>
      <c r="B16996" s="2" t="s">
        <v>17065</v>
      </c>
      <c r="C16996" s="2" t="str">
        <f>"14617358"</f>
        <v>14617358</v>
      </c>
      <c r="D16996" s="2">
        <v>0.74399999999999999</v>
      </c>
      <c r="E16996" s="2">
        <v>23</v>
      </c>
      <c r="F16996" s="2" t="s">
        <v>16</v>
      </c>
    </row>
    <row r="16997" spans="1:6" ht="25.5">
      <c r="A16997" s="2">
        <v>16994</v>
      </c>
      <c r="B16997" s="2" t="s">
        <v>17066</v>
      </c>
      <c r="C16997" s="2" t="str">
        <f>"03035212"</f>
        <v>03035212</v>
      </c>
      <c r="D16997" s="2">
        <v>0.125</v>
      </c>
      <c r="E16997" s="2">
        <v>3</v>
      </c>
      <c r="F16997" s="2" t="s">
        <v>43</v>
      </c>
    </row>
    <row r="16998" spans="1:6" ht="25.5">
      <c r="A16998" s="2">
        <v>16995</v>
      </c>
      <c r="B16998" s="2" t="s">
        <v>17067</v>
      </c>
      <c r="C16998" s="2" t="str">
        <f>"18785190"</f>
        <v>18785190</v>
      </c>
      <c r="D16998" s="2">
        <v>0.438</v>
      </c>
      <c r="E16998" s="2">
        <v>25</v>
      </c>
      <c r="F16998" s="2" t="s">
        <v>75</v>
      </c>
    </row>
    <row r="16999" spans="1:6" ht="25.5">
      <c r="A16999" s="2">
        <v>16996</v>
      </c>
      <c r="B16999" s="2" t="s">
        <v>17068</v>
      </c>
      <c r="C16999" s="2" t="str">
        <f>"13815148"</f>
        <v>13815148</v>
      </c>
      <c r="D16999" s="2">
        <v>0.83399999999999996</v>
      </c>
      <c r="E16999" s="2">
        <v>55</v>
      </c>
      <c r="F16999" s="2" t="s">
        <v>75</v>
      </c>
    </row>
    <row r="17000" spans="1:6" ht="25.5">
      <c r="A17000" s="2">
        <v>16997</v>
      </c>
      <c r="B17000" s="2" t="s">
        <v>17069</v>
      </c>
      <c r="C17000" s="2" t="str">
        <f>"15730905"</f>
        <v>15730905</v>
      </c>
      <c r="D17000" s="2">
        <v>1.1950000000000001</v>
      </c>
      <c r="E17000" s="2">
        <v>36</v>
      </c>
      <c r="F17000" s="2" t="s">
        <v>75</v>
      </c>
    </row>
    <row r="17001" spans="1:6" ht="25.5">
      <c r="A17001" s="2">
        <v>16998</v>
      </c>
      <c r="B17001" s="2" t="s">
        <v>17070</v>
      </c>
      <c r="C17001" s="2" t="str">
        <f>"15210693"</f>
        <v>15210693</v>
      </c>
      <c r="D17001" s="2">
        <v>0.42099999999999999</v>
      </c>
      <c r="E17001" s="2">
        <v>9</v>
      </c>
      <c r="F17001" s="2" t="s">
        <v>16</v>
      </c>
    </row>
    <row r="17002" spans="1:6" ht="25.5">
      <c r="A17002" s="2">
        <v>16999</v>
      </c>
      <c r="B17002" s="2" t="s">
        <v>17071</v>
      </c>
      <c r="C17002" s="2" t="str">
        <f>"15210685"</f>
        <v>15210685</v>
      </c>
      <c r="D17002" s="2">
        <v>0.35499999999999998</v>
      </c>
      <c r="E17002" s="2">
        <v>13</v>
      </c>
      <c r="F17002" s="2" t="s">
        <v>16</v>
      </c>
    </row>
    <row r="17003" spans="1:6" ht="25.5">
      <c r="A17003" s="2">
        <v>17000</v>
      </c>
      <c r="B17003" s="2" t="s">
        <v>17072</v>
      </c>
      <c r="C17003" s="2" t="str">
        <f>"00340553"</f>
        <v>00340553</v>
      </c>
      <c r="D17003" s="2">
        <v>2.64</v>
      </c>
      <c r="E17003" s="2">
        <v>46</v>
      </c>
      <c r="F17003" s="2" t="s">
        <v>6</v>
      </c>
    </row>
    <row r="17004" spans="1:6" ht="25.5">
      <c r="A17004" s="2">
        <v>17001</v>
      </c>
      <c r="B17004" s="2" t="s">
        <v>17073</v>
      </c>
      <c r="C17004" s="2" t="str">
        <f>"00340561"</f>
        <v>00340561</v>
      </c>
      <c r="D17004" s="2">
        <v>0.47499999999999998</v>
      </c>
      <c r="E17004" s="2">
        <v>23</v>
      </c>
      <c r="F17004" s="2" t="s">
        <v>6</v>
      </c>
    </row>
    <row r="17005" spans="1:6" ht="25.5">
      <c r="A17005" s="2">
        <v>17002</v>
      </c>
      <c r="B17005" s="2" t="s">
        <v>17074</v>
      </c>
      <c r="C17005" s="2" t="str">
        <f>"04860993"</f>
        <v>04860993</v>
      </c>
      <c r="D17005" s="2">
        <v>0.1</v>
      </c>
      <c r="E17005" s="2">
        <v>2</v>
      </c>
      <c r="F17005" s="2" t="s">
        <v>351</v>
      </c>
    </row>
    <row r="17006" spans="1:6" ht="25.5">
      <c r="A17006" s="2">
        <v>17003</v>
      </c>
      <c r="B17006" s="2" t="s">
        <v>17075</v>
      </c>
      <c r="C17006" s="2" t="str">
        <f>"15406229"</f>
        <v>15406229</v>
      </c>
      <c r="D17006" s="2">
        <v>1.331</v>
      </c>
      <c r="E17006" s="2">
        <v>33</v>
      </c>
      <c r="F17006" s="2" t="s">
        <v>16</v>
      </c>
    </row>
    <row r="17007" spans="1:6" ht="25.5">
      <c r="A17007" s="2">
        <v>17004</v>
      </c>
      <c r="B17007" s="2" t="s">
        <v>17076</v>
      </c>
      <c r="C17007" s="2" t="str">
        <f>"00935107"</f>
        <v>00935107</v>
      </c>
      <c r="D17007" s="2">
        <v>0.1</v>
      </c>
      <c r="E17007" s="2">
        <v>2</v>
      </c>
      <c r="F17007" s="2" t="s">
        <v>6</v>
      </c>
    </row>
    <row r="17008" spans="1:6" ht="25.5">
      <c r="A17008" s="2">
        <v>17005</v>
      </c>
      <c r="B17008" s="2" t="s">
        <v>17077</v>
      </c>
      <c r="C17008" s="2" t="str">
        <f>"15731383"</f>
        <v>15731383</v>
      </c>
      <c r="D17008" s="2">
        <v>0.97</v>
      </c>
      <c r="E17008" s="2">
        <v>38</v>
      </c>
      <c r="F17008" s="2" t="s">
        <v>75</v>
      </c>
    </row>
    <row r="17009" spans="1:6" ht="25.5">
      <c r="A17009" s="2">
        <v>17006</v>
      </c>
      <c r="B17009" s="2" t="s">
        <v>17078</v>
      </c>
      <c r="C17009" s="2" t="str">
        <f>"16240693"</f>
        <v>16240693</v>
      </c>
      <c r="D17009" s="2">
        <v>0.13300000000000001</v>
      </c>
      <c r="E17009" s="2">
        <v>11</v>
      </c>
      <c r="F17009" s="2" t="s">
        <v>190</v>
      </c>
    </row>
    <row r="17010" spans="1:6" ht="25.5">
      <c r="A17010" s="2">
        <v>17007</v>
      </c>
      <c r="B17010" s="2" t="s">
        <v>17079</v>
      </c>
      <c r="C17010" s="2" t="str">
        <f>"09583440"</f>
        <v>09583440</v>
      </c>
      <c r="D17010" s="2">
        <v>1.05</v>
      </c>
      <c r="E17010" s="2">
        <v>6</v>
      </c>
      <c r="F17010" s="2" t="s">
        <v>16</v>
      </c>
    </row>
    <row r="17011" spans="1:6" ht="25.5">
      <c r="A17011" s="2">
        <v>17008</v>
      </c>
      <c r="B17011" s="2" t="s">
        <v>17080</v>
      </c>
      <c r="C17011" s="2" t="str">
        <f>"00341193"</f>
        <v>00341193</v>
      </c>
      <c r="D17011" s="2">
        <v>0.13100000000000001</v>
      </c>
      <c r="E17011" s="2">
        <v>12</v>
      </c>
      <c r="F17011" s="2" t="s">
        <v>190</v>
      </c>
    </row>
    <row r="17012" spans="1:6" ht="25.5">
      <c r="A17012" s="2">
        <v>17009</v>
      </c>
      <c r="B17012" s="2" t="s">
        <v>17081</v>
      </c>
      <c r="C17012" s="2" t="str">
        <f>"15748928"</f>
        <v>15748928</v>
      </c>
      <c r="D17012" s="2">
        <v>0.90500000000000003</v>
      </c>
      <c r="E17012" s="2">
        <v>20</v>
      </c>
      <c r="F17012" s="2" t="s">
        <v>75</v>
      </c>
    </row>
    <row r="17013" spans="1:6" ht="25.5">
      <c r="A17013" s="2">
        <v>17010</v>
      </c>
      <c r="B17013" s="2" t="s">
        <v>17082</v>
      </c>
      <c r="C17013" s="2" t="str">
        <f>"1574891X"</f>
        <v>1574891X</v>
      </c>
      <c r="D17013" s="2">
        <v>0.41599999999999998</v>
      </c>
      <c r="E17013" s="2">
        <v>14</v>
      </c>
      <c r="F17013" s="2" t="s">
        <v>75</v>
      </c>
    </row>
    <row r="17014" spans="1:6" ht="25.5">
      <c r="A17014" s="2">
        <v>17011</v>
      </c>
      <c r="B17014" s="2" t="s">
        <v>17083</v>
      </c>
      <c r="C17014" s="2" t="str">
        <f>"18747647"</f>
        <v>18747647</v>
      </c>
      <c r="D17014" s="2">
        <v>0.13100000000000001</v>
      </c>
      <c r="E17014" s="2">
        <v>3</v>
      </c>
      <c r="F17014" s="2" t="s">
        <v>75</v>
      </c>
    </row>
    <row r="17015" spans="1:6" ht="25.5">
      <c r="A17015" s="2">
        <v>17012</v>
      </c>
      <c r="B17015" s="2" t="s">
        <v>17084</v>
      </c>
      <c r="C17015" s="2" t="str">
        <f>"18722083"</f>
        <v>18722083</v>
      </c>
      <c r="D17015" s="2">
        <v>0.54100000000000004</v>
      </c>
      <c r="E17015" s="2">
        <v>14</v>
      </c>
      <c r="F17015" s="2" t="s">
        <v>75</v>
      </c>
    </row>
    <row r="17016" spans="1:6" ht="25.5">
      <c r="A17016" s="2">
        <v>17013</v>
      </c>
      <c r="B17016" s="2" t="s">
        <v>17085</v>
      </c>
      <c r="C17016" s="2" t="str">
        <f>"15748901"</f>
        <v>15748901</v>
      </c>
      <c r="D17016" s="2">
        <v>0.35099999999999998</v>
      </c>
      <c r="E17016" s="2">
        <v>15</v>
      </c>
      <c r="F17016" s="2" t="s">
        <v>75</v>
      </c>
    </row>
    <row r="17017" spans="1:6" ht="25.5">
      <c r="A17017" s="2">
        <v>17014</v>
      </c>
      <c r="B17017" s="2" t="s">
        <v>17086</v>
      </c>
      <c r="C17017" s="2" t="str">
        <f>"18744788"</f>
        <v>18744788</v>
      </c>
      <c r="D17017" s="2">
        <v>0.249</v>
      </c>
      <c r="E17017" s="2">
        <v>5</v>
      </c>
      <c r="F17017" s="2" t="s">
        <v>75</v>
      </c>
    </row>
    <row r="17018" spans="1:6" ht="25.5">
      <c r="A17018" s="2">
        <v>17015</v>
      </c>
      <c r="B17018" s="2" t="s">
        <v>17087</v>
      </c>
      <c r="C17018" s="2" t="str">
        <f>"15748898"</f>
        <v>15748898</v>
      </c>
      <c r="D17018" s="2">
        <v>0.66200000000000003</v>
      </c>
      <c r="E17018" s="2">
        <v>18</v>
      </c>
      <c r="F17018" s="2" t="s">
        <v>75</v>
      </c>
    </row>
    <row r="17019" spans="1:6" ht="25.5">
      <c r="A17019" s="2">
        <v>17016</v>
      </c>
      <c r="B17019" s="2" t="s">
        <v>17088</v>
      </c>
      <c r="C17019" s="2" t="str">
        <f>"18744796"</f>
        <v>18744796</v>
      </c>
      <c r="D17019" s="2">
        <v>0.217</v>
      </c>
      <c r="E17019" s="2">
        <v>6</v>
      </c>
      <c r="F17019" s="2" t="s">
        <v>75</v>
      </c>
    </row>
    <row r="17020" spans="1:6" ht="25.5">
      <c r="A17020" s="2">
        <v>17017</v>
      </c>
      <c r="B17020" s="2" t="s">
        <v>17089</v>
      </c>
      <c r="C17020" s="2" t="str">
        <f>"18722156"</f>
        <v>18722156</v>
      </c>
      <c r="D17020" s="2">
        <v>0.27700000000000002</v>
      </c>
      <c r="E17020" s="2">
        <v>7</v>
      </c>
      <c r="F17020" s="2" t="s">
        <v>75</v>
      </c>
    </row>
    <row r="17021" spans="1:6" ht="25.5">
      <c r="A17021" s="2">
        <v>17018</v>
      </c>
      <c r="B17021" s="2" t="s">
        <v>17090</v>
      </c>
      <c r="C17021" s="2" t="str">
        <f>"18722113"</f>
        <v>18722113</v>
      </c>
      <c r="D17021" s="2">
        <v>0.63600000000000001</v>
      </c>
      <c r="E17021" s="2">
        <v>16</v>
      </c>
      <c r="F17021" s="2" t="s">
        <v>75</v>
      </c>
    </row>
    <row r="17022" spans="1:6" ht="25.5">
      <c r="A17022" s="2">
        <v>17019</v>
      </c>
      <c r="B17022" s="2" t="s">
        <v>17091</v>
      </c>
      <c r="C17022" s="2" t="str">
        <f>"18744761"</f>
        <v>18744761</v>
      </c>
      <c r="D17022" s="2">
        <v>0.155</v>
      </c>
      <c r="E17022" s="2">
        <v>4</v>
      </c>
      <c r="F17022" s="2" t="s">
        <v>75</v>
      </c>
    </row>
    <row r="17023" spans="1:6" ht="25.5">
      <c r="A17023" s="2">
        <v>17020</v>
      </c>
      <c r="B17023" s="2" t="s">
        <v>17092</v>
      </c>
      <c r="C17023" s="2" t="str">
        <f>"18722148"</f>
        <v>18722148</v>
      </c>
      <c r="D17023" s="2">
        <v>0.16400000000000001</v>
      </c>
      <c r="E17023" s="2">
        <v>4</v>
      </c>
      <c r="F17023" s="2" t="s">
        <v>75</v>
      </c>
    </row>
    <row r="17024" spans="1:6" ht="25.5">
      <c r="A17024" s="2">
        <v>17021</v>
      </c>
      <c r="B17024" s="2" t="s">
        <v>17093</v>
      </c>
      <c r="C17024" s="2" t="str">
        <f>"18722121"</f>
        <v>18722121</v>
      </c>
      <c r="D17024" s="2">
        <v>0.13400000000000001</v>
      </c>
      <c r="E17024" s="2">
        <v>5</v>
      </c>
      <c r="F17024" s="2" t="s">
        <v>75</v>
      </c>
    </row>
    <row r="17025" spans="1:6" ht="25.5">
      <c r="A17025" s="2">
        <v>17022</v>
      </c>
      <c r="B17025" s="2" t="s">
        <v>17094</v>
      </c>
      <c r="C17025" s="2" t="str">
        <f>"18761429"</f>
        <v>18761429</v>
      </c>
      <c r="D17025" s="2">
        <v>0.30499999999999999</v>
      </c>
      <c r="E17025" s="2">
        <v>7</v>
      </c>
      <c r="F17025" s="2" t="s">
        <v>1467</v>
      </c>
    </row>
    <row r="17026" spans="1:6" ht="25.5">
      <c r="A17026" s="2">
        <v>17023</v>
      </c>
      <c r="B17026" s="2" t="s">
        <v>17095</v>
      </c>
      <c r="C17026" s="2" t="str">
        <f>"1872213X"</f>
        <v>1872213X</v>
      </c>
      <c r="D17026" s="2">
        <v>0.378</v>
      </c>
      <c r="E17026" s="2">
        <v>11</v>
      </c>
      <c r="F17026" s="2" t="s">
        <v>75</v>
      </c>
    </row>
    <row r="17027" spans="1:6" ht="25.5">
      <c r="A17027" s="2">
        <v>17024</v>
      </c>
      <c r="B17027" s="2" t="s">
        <v>17096</v>
      </c>
      <c r="C17027" s="2" t="str">
        <f>"18744656"</f>
        <v>18744656</v>
      </c>
      <c r="D17027" s="2">
        <v>0.161</v>
      </c>
      <c r="E17027" s="2">
        <v>4</v>
      </c>
      <c r="F17027" s="2" t="s">
        <v>75</v>
      </c>
    </row>
    <row r="17028" spans="1:6" ht="25.5">
      <c r="A17028" s="2">
        <v>17025</v>
      </c>
      <c r="B17028" s="2" t="s">
        <v>17097</v>
      </c>
      <c r="C17028" s="2" t="str">
        <f>"1874477X"</f>
        <v>1874477X</v>
      </c>
      <c r="D17028" s="2">
        <v>0.129</v>
      </c>
      <c r="E17028" s="2">
        <v>3</v>
      </c>
      <c r="F17028" s="2" t="s">
        <v>75</v>
      </c>
    </row>
    <row r="17029" spans="1:6" ht="25.5">
      <c r="A17029" s="2">
        <v>17026</v>
      </c>
      <c r="B17029" s="2" t="s">
        <v>17098</v>
      </c>
      <c r="C17029" s="2" t="str">
        <f>"18776132"</f>
        <v>18776132</v>
      </c>
      <c r="D17029" s="2">
        <v>0.10299999999999999</v>
      </c>
      <c r="E17029" s="2">
        <v>1</v>
      </c>
      <c r="F17029" s="2" t="s">
        <v>75</v>
      </c>
    </row>
    <row r="17030" spans="1:6" ht="25.5">
      <c r="A17030" s="2">
        <v>17027</v>
      </c>
      <c r="B17030" s="2" t="s">
        <v>17099</v>
      </c>
      <c r="C17030" s="2" t="str">
        <f>"18722105"</f>
        <v>18722105</v>
      </c>
      <c r="D17030" s="2">
        <v>0.44800000000000001</v>
      </c>
      <c r="E17030" s="2">
        <v>10</v>
      </c>
      <c r="F17030" s="2" t="s">
        <v>75</v>
      </c>
    </row>
    <row r="17031" spans="1:6" ht="25.5">
      <c r="A17031" s="2">
        <v>17028</v>
      </c>
      <c r="B17031" s="2" t="s">
        <v>17100</v>
      </c>
      <c r="C17031" s="2" t="str">
        <f>"00800015"</f>
        <v>00800015</v>
      </c>
      <c r="D17031" s="2">
        <v>1.071</v>
      </c>
      <c r="E17031" s="2">
        <v>38</v>
      </c>
      <c r="F17031" s="2" t="s">
        <v>6</v>
      </c>
    </row>
    <row r="17032" spans="1:6" ht="25.5">
      <c r="A17032" s="2">
        <v>17029</v>
      </c>
      <c r="B17032" s="2" t="s">
        <v>17101</v>
      </c>
      <c r="C17032" s="2" t="str">
        <f>"02972964"</f>
        <v>02972964</v>
      </c>
      <c r="D17032" s="2">
        <v>0.10299999999999999</v>
      </c>
      <c r="E17032" s="2">
        <v>4</v>
      </c>
      <c r="F17032" s="2" t="s">
        <v>66</v>
      </c>
    </row>
    <row r="17033" spans="1:6" ht="25.5">
      <c r="A17033" s="2">
        <v>17030</v>
      </c>
      <c r="B17033" s="2" t="s">
        <v>17102</v>
      </c>
      <c r="C17033" s="2" t="str">
        <f>"22575405"</f>
        <v>22575405</v>
      </c>
      <c r="D17033" s="2">
        <v>0.10299999999999999</v>
      </c>
      <c r="E17033" s="2">
        <v>0</v>
      </c>
      <c r="F17033" s="2" t="s">
        <v>66</v>
      </c>
    </row>
    <row r="17034" spans="1:6" ht="25.5">
      <c r="A17034" s="2">
        <v>17031</v>
      </c>
      <c r="B17034" s="2" t="s">
        <v>17103</v>
      </c>
      <c r="C17034" s="2" t="str">
        <f>"00341258"</f>
        <v>00341258</v>
      </c>
      <c r="D17034" s="2">
        <v>0.106</v>
      </c>
      <c r="E17034" s="2">
        <v>2</v>
      </c>
      <c r="F17034" s="2" t="s">
        <v>66</v>
      </c>
    </row>
    <row r="17035" spans="1:6" ht="25.5">
      <c r="A17035" s="2">
        <v>17032</v>
      </c>
      <c r="B17035" s="2" t="s">
        <v>17104</v>
      </c>
      <c r="C17035" s="2" t="str">
        <f>"17831717"</f>
        <v>17831717</v>
      </c>
      <c r="D17035" s="2">
        <v>0.13100000000000001</v>
      </c>
      <c r="E17035" s="2">
        <v>4</v>
      </c>
      <c r="F17035" s="2" t="s">
        <v>161</v>
      </c>
    </row>
    <row r="17036" spans="1:6" ht="25.5">
      <c r="A17036" s="2">
        <v>17033</v>
      </c>
      <c r="B17036" s="2" t="s">
        <v>17105</v>
      </c>
      <c r="C17036" s="2" t="str">
        <f>"07704518"</f>
        <v>07704518</v>
      </c>
      <c r="D17036" s="2">
        <v>0.113</v>
      </c>
      <c r="E17036" s="2">
        <v>4</v>
      </c>
      <c r="F17036" s="2" t="s">
        <v>161</v>
      </c>
    </row>
    <row r="17037" spans="1:6" ht="25.5">
      <c r="A17037" s="2">
        <v>17034</v>
      </c>
      <c r="B17037" s="2" t="s">
        <v>17106</v>
      </c>
      <c r="C17037" s="2" t="str">
        <f>"19552416"</f>
        <v>19552416</v>
      </c>
      <c r="D17037" s="2">
        <v>0.10100000000000001</v>
      </c>
      <c r="E17037" s="2">
        <v>2</v>
      </c>
      <c r="F17037" s="2" t="s">
        <v>66</v>
      </c>
    </row>
    <row r="17038" spans="1:6" ht="25.5">
      <c r="A17038" s="2">
        <v>17035</v>
      </c>
      <c r="B17038" s="2" t="s">
        <v>17107</v>
      </c>
      <c r="C17038" s="2" t="str">
        <f>"07618980"</f>
        <v>07618980</v>
      </c>
      <c r="D17038" s="2">
        <v>0.111</v>
      </c>
      <c r="E17038" s="2">
        <v>6</v>
      </c>
      <c r="F17038" s="2" t="s">
        <v>75</v>
      </c>
    </row>
    <row r="17039" spans="1:6" ht="25.5">
      <c r="A17039" s="2">
        <v>17036</v>
      </c>
      <c r="B17039" s="2" t="s">
        <v>17108</v>
      </c>
      <c r="C17039" s="2" t="str">
        <f>"14345196"</f>
        <v>14345196</v>
      </c>
      <c r="D17039" s="2">
        <v>0.36399999999999999</v>
      </c>
      <c r="E17039" s="2">
        <v>13</v>
      </c>
      <c r="F17039" s="2" t="s">
        <v>12</v>
      </c>
    </row>
    <row r="17040" spans="1:6" ht="25.5">
      <c r="A17040" s="2">
        <v>17037</v>
      </c>
      <c r="B17040" s="2" t="s">
        <v>17109</v>
      </c>
      <c r="C17040" s="2" t="str">
        <f>"07242247"</f>
        <v>07242247</v>
      </c>
      <c r="D17040" s="2">
        <v>0.23200000000000001</v>
      </c>
      <c r="E17040" s="2">
        <v>8</v>
      </c>
      <c r="F17040" s="2" t="s">
        <v>12</v>
      </c>
    </row>
    <row r="17041" spans="1:6" ht="25.5">
      <c r="A17041" s="2">
        <v>17038</v>
      </c>
      <c r="B17041" s="2" t="s">
        <v>17110</v>
      </c>
      <c r="C17041" s="2" t="str">
        <f>"18334946"</f>
        <v>18334946</v>
      </c>
      <c r="D17041" s="2">
        <v>0.10100000000000001</v>
      </c>
      <c r="E17041" s="2">
        <v>1</v>
      </c>
      <c r="F17041" s="2" t="s">
        <v>127</v>
      </c>
    </row>
    <row r="17042" spans="1:6">
      <c r="A17042" s="2">
        <v>17039</v>
      </c>
      <c r="B17042" s="2" t="s">
        <v>17111</v>
      </c>
      <c r="C17042" s="2" t="str">
        <f>"0"</f>
        <v>0</v>
      </c>
      <c r="D17042" s="2">
        <v>0.22500000000000001</v>
      </c>
      <c r="E17042" s="2">
        <v>20</v>
      </c>
      <c r="F17042" s="2" t="s">
        <v>6</v>
      </c>
    </row>
    <row r="17043" spans="1:6" ht="25.5">
      <c r="A17043" s="2">
        <v>17040</v>
      </c>
      <c r="B17043" s="2" t="s">
        <v>17112</v>
      </c>
      <c r="C17043" s="2" t="str">
        <f>"0"</f>
        <v>0</v>
      </c>
      <c r="D17043" s="2">
        <v>0.1</v>
      </c>
      <c r="E17043" s="2">
        <v>5</v>
      </c>
      <c r="F17043" s="2" t="s">
        <v>6</v>
      </c>
    </row>
    <row r="17044" spans="1:6" ht="25.5">
      <c r="A17044" s="2">
        <v>17041</v>
      </c>
      <c r="B17044" s="2" t="s">
        <v>17113</v>
      </c>
      <c r="C17044" s="2" t="str">
        <f>"09565698"</f>
        <v>09565698</v>
      </c>
      <c r="D17044" s="2">
        <v>0.28100000000000003</v>
      </c>
      <c r="E17044" s="2">
        <v>7</v>
      </c>
      <c r="F17044" s="2" t="s">
        <v>16</v>
      </c>
    </row>
    <row r="17045" spans="1:6" ht="25.5">
      <c r="A17045" s="2">
        <v>17042</v>
      </c>
      <c r="B17045" s="2" t="s">
        <v>17114</v>
      </c>
      <c r="C17045" s="2" t="str">
        <f>"13076167"</f>
        <v>13076167</v>
      </c>
      <c r="D17045" s="2">
        <v>0.56200000000000006</v>
      </c>
      <c r="E17045" s="2">
        <v>9</v>
      </c>
      <c r="F17045" s="2" t="s">
        <v>345</v>
      </c>
    </row>
    <row r="17046" spans="1:6" ht="25.5">
      <c r="A17046" s="2">
        <v>17043</v>
      </c>
      <c r="B17046" s="2" t="s">
        <v>17115</v>
      </c>
      <c r="C17046" s="2" t="str">
        <f>"00671975"</f>
        <v>00671975</v>
      </c>
      <c r="D17046" s="2">
        <v>0.44</v>
      </c>
      <c r="E17046" s="2">
        <v>10</v>
      </c>
      <c r="F17046" s="2" t="s">
        <v>127</v>
      </c>
    </row>
    <row r="17047" spans="1:6" ht="25.5">
      <c r="A17047" s="2">
        <v>17044</v>
      </c>
      <c r="B17047" s="2" t="s">
        <v>17116</v>
      </c>
      <c r="C17047" s="2" t="str">
        <f>"1575605X"</f>
        <v>1575605X</v>
      </c>
      <c r="D17047" s="2">
        <v>0.126</v>
      </c>
      <c r="E17047" s="2">
        <v>1</v>
      </c>
      <c r="F17047" s="2" t="s">
        <v>351</v>
      </c>
    </row>
    <row r="17048" spans="1:6" ht="25.5">
      <c r="A17048" s="2">
        <v>17045</v>
      </c>
      <c r="B17048" s="2" t="s">
        <v>17117</v>
      </c>
      <c r="C17048" s="2" t="str">
        <f>"00341967"</f>
        <v>00341967</v>
      </c>
      <c r="D17048" s="2">
        <v>0.10199999999999999</v>
      </c>
      <c r="E17048" s="2">
        <v>0</v>
      </c>
      <c r="F17048" s="2" t="s">
        <v>6</v>
      </c>
    </row>
    <row r="17049" spans="1:6" ht="25.5">
      <c r="A17049" s="2">
        <v>17046</v>
      </c>
      <c r="B17049" s="2" t="s">
        <v>17118</v>
      </c>
      <c r="C17049" s="2" t="str">
        <f>"03704327"</f>
        <v>03704327</v>
      </c>
      <c r="D17049" s="2">
        <v>0.109</v>
      </c>
      <c r="E17049" s="2">
        <v>1</v>
      </c>
      <c r="F17049" s="2" t="s">
        <v>190</v>
      </c>
    </row>
    <row r="17050" spans="1:6" ht="25.5">
      <c r="A17050" s="2">
        <v>17047</v>
      </c>
      <c r="B17050" s="2" t="s">
        <v>17119</v>
      </c>
      <c r="C17050" s="2" t="str">
        <f>"13510002"</f>
        <v>13510002</v>
      </c>
      <c r="D17050" s="2">
        <v>0.48399999999999999</v>
      </c>
      <c r="E17050" s="2">
        <v>43</v>
      </c>
      <c r="F17050" s="2" t="s">
        <v>16</v>
      </c>
    </row>
    <row r="17051" spans="1:6" ht="25.5">
      <c r="A17051" s="2">
        <v>17048</v>
      </c>
      <c r="B17051" s="2" t="s">
        <v>17120</v>
      </c>
      <c r="C17051" s="2" t="str">
        <f>"10949054"</f>
        <v>10949054</v>
      </c>
      <c r="D17051" s="2">
        <v>1.024</v>
      </c>
      <c r="E17051" s="2">
        <v>20</v>
      </c>
      <c r="F17051" s="2" t="s">
        <v>6</v>
      </c>
    </row>
    <row r="17052" spans="1:6" ht="25.5">
      <c r="A17052" s="2">
        <v>17049</v>
      </c>
      <c r="B17052" s="2" t="s">
        <v>17121</v>
      </c>
      <c r="C17052" s="2" t="str">
        <f>"02763877"</f>
        <v>02763877</v>
      </c>
      <c r="D17052" s="2">
        <v>1.776</v>
      </c>
      <c r="E17052" s="2">
        <v>9</v>
      </c>
      <c r="F17052" s="2" t="s">
        <v>16</v>
      </c>
    </row>
    <row r="17053" spans="1:6" ht="25.5">
      <c r="A17053" s="2">
        <v>17050</v>
      </c>
      <c r="B17053" s="2" t="s">
        <v>17122</v>
      </c>
      <c r="C17053" s="2" t="str">
        <f>"00907324"</f>
        <v>00907324</v>
      </c>
      <c r="D17053" s="2">
        <v>1.546</v>
      </c>
      <c r="E17053" s="2">
        <v>15</v>
      </c>
      <c r="F17053" s="2" t="s">
        <v>16</v>
      </c>
    </row>
    <row r="17054" spans="1:6" ht="25.5">
      <c r="A17054" s="2">
        <v>17051</v>
      </c>
      <c r="B17054" s="2" t="s">
        <v>17123</v>
      </c>
      <c r="C17054" s="2" t="str">
        <f>"14623943"</f>
        <v>14623943</v>
      </c>
      <c r="D17054" s="2">
        <v>0.28899999999999998</v>
      </c>
      <c r="E17054" s="2">
        <v>3</v>
      </c>
      <c r="F17054" s="2" t="s">
        <v>16</v>
      </c>
    </row>
    <row r="17055" spans="1:6" ht="25.5">
      <c r="A17055" s="2">
        <v>17052</v>
      </c>
      <c r="B17055" s="2" t="s">
        <v>17124</v>
      </c>
      <c r="C17055" s="2" t="str">
        <f>"00342971"</f>
        <v>00342971</v>
      </c>
      <c r="D17055" s="2">
        <v>0.10299999999999999</v>
      </c>
      <c r="E17055" s="2">
        <v>4</v>
      </c>
      <c r="F17055" s="2" t="s">
        <v>161</v>
      </c>
    </row>
    <row r="17056" spans="1:6" ht="25.5">
      <c r="A17056" s="2">
        <v>17053</v>
      </c>
      <c r="B17056" s="2" t="s">
        <v>17125</v>
      </c>
      <c r="C17056" s="2" t="str">
        <f>"15739139"</f>
        <v>15739139</v>
      </c>
      <c r="D17056" s="2">
        <v>0.21299999999999999</v>
      </c>
      <c r="E17056" s="2">
        <v>7</v>
      </c>
      <c r="F17056" s="2" t="s">
        <v>6</v>
      </c>
    </row>
    <row r="17057" spans="1:6" ht="25.5">
      <c r="A17057" s="2">
        <v>17054</v>
      </c>
      <c r="B17057" s="2" t="s">
        <v>17126</v>
      </c>
      <c r="C17057" s="2" t="str">
        <f>"07929935"</f>
        <v>07929935</v>
      </c>
      <c r="D17057" s="2">
        <v>0.10199999999999999</v>
      </c>
      <c r="E17057" s="2">
        <v>8</v>
      </c>
      <c r="F17057" s="2" t="s">
        <v>2065</v>
      </c>
    </row>
    <row r="17058" spans="1:6" ht="25.5">
      <c r="A17058" s="2">
        <v>17055</v>
      </c>
      <c r="B17058" s="2" t="s">
        <v>17127</v>
      </c>
      <c r="C17058" s="2" t="str">
        <f>"02295113"</f>
        <v>02295113</v>
      </c>
      <c r="D17058" s="2">
        <v>0.1</v>
      </c>
      <c r="E17058" s="2">
        <v>6</v>
      </c>
      <c r="F17058" s="2" t="s">
        <v>64</v>
      </c>
    </row>
    <row r="17059" spans="1:6" ht="25.5">
      <c r="A17059" s="2">
        <v>17056</v>
      </c>
      <c r="B17059" s="2" t="s">
        <v>17128</v>
      </c>
      <c r="C17059" s="2" t="str">
        <f>"10204067"</f>
        <v>10204067</v>
      </c>
      <c r="D17059" s="2">
        <v>0.34799999999999998</v>
      </c>
      <c r="E17059" s="2">
        <v>6</v>
      </c>
      <c r="F17059" s="2" t="s">
        <v>16</v>
      </c>
    </row>
    <row r="17060" spans="1:6" ht="25.5">
      <c r="A17060" s="2">
        <v>17057</v>
      </c>
      <c r="B17060" s="2" t="s">
        <v>17129</v>
      </c>
      <c r="C17060" s="2" t="str">
        <f>"1746076X"</f>
        <v>1746076X</v>
      </c>
      <c r="D17060" s="2">
        <v>0.76</v>
      </c>
      <c r="E17060" s="2">
        <v>26</v>
      </c>
      <c r="F17060" s="2" t="s">
        <v>16</v>
      </c>
    </row>
    <row r="17061" spans="1:6" ht="25.5">
      <c r="A17061" s="2">
        <v>17058</v>
      </c>
      <c r="B17061" s="2" t="s">
        <v>17130</v>
      </c>
      <c r="C17061" s="2" t="str">
        <f>"13597566"</f>
        <v>13597566</v>
      </c>
      <c r="D17061" s="2">
        <v>0.33</v>
      </c>
      <c r="E17061" s="2">
        <v>15</v>
      </c>
      <c r="F17061" s="2" t="s">
        <v>16</v>
      </c>
    </row>
    <row r="17062" spans="1:6" ht="25.5">
      <c r="A17062" s="2">
        <v>17059</v>
      </c>
      <c r="B17062" s="2" t="s">
        <v>17131</v>
      </c>
      <c r="C17062" s="2" t="str">
        <f>"15784460"</f>
        <v>15784460</v>
      </c>
      <c r="D17062" s="2">
        <v>0.14599999999999999</v>
      </c>
      <c r="E17062" s="2">
        <v>3</v>
      </c>
      <c r="F17062" s="2" t="s">
        <v>351</v>
      </c>
    </row>
    <row r="17063" spans="1:6" ht="25.5">
      <c r="A17063" s="2">
        <v>17060</v>
      </c>
      <c r="B17063" s="2" t="s">
        <v>17132</v>
      </c>
      <c r="C17063" s="2" t="str">
        <f>"10987339"</f>
        <v>10987339</v>
      </c>
      <c r="D17063" s="2">
        <v>1.546</v>
      </c>
      <c r="E17063" s="2">
        <v>67</v>
      </c>
      <c r="F17063" s="2" t="s">
        <v>6</v>
      </c>
    </row>
    <row r="17064" spans="1:6" ht="25.5">
      <c r="A17064" s="2">
        <v>17061</v>
      </c>
      <c r="B17064" s="2" t="s">
        <v>17133</v>
      </c>
      <c r="C17064" s="2" t="str">
        <f>"02506505"</f>
        <v>02506505</v>
      </c>
      <c r="D17064" s="2">
        <v>0.111</v>
      </c>
      <c r="E17064" s="2">
        <v>6</v>
      </c>
      <c r="F17064" s="2" t="s">
        <v>131</v>
      </c>
    </row>
    <row r="17065" spans="1:6" ht="25.5">
      <c r="A17065" s="2">
        <v>17062</v>
      </c>
      <c r="B17065" s="2" t="s">
        <v>17134</v>
      </c>
      <c r="C17065" s="2" t="str">
        <f>"14363798"</f>
        <v>14363798</v>
      </c>
      <c r="D17065" s="2">
        <v>0.78700000000000003</v>
      </c>
      <c r="E17065" s="2">
        <v>17</v>
      </c>
      <c r="F17065" s="2" t="s">
        <v>12</v>
      </c>
    </row>
    <row r="17066" spans="1:6" ht="25.5">
      <c r="A17066" s="2">
        <v>17063</v>
      </c>
      <c r="B17066" s="2" t="s">
        <v>17135</v>
      </c>
      <c r="C17066" s="2" t="str">
        <f>"01660462"</f>
        <v>01660462</v>
      </c>
      <c r="D17066" s="2">
        <v>1.2270000000000001</v>
      </c>
      <c r="E17066" s="2">
        <v>40</v>
      </c>
      <c r="F17066" s="2" t="s">
        <v>75</v>
      </c>
    </row>
    <row r="17067" spans="1:6" ht="25.5">
      <c r="A17067" s="2">
        <v>17064</v>
      </c>
      <c r="B17067" s="2" t="s">
        <v>17136</v>
      </c>
      <c r="C17067" s="2" t="str">
        <f>"17915961"</f>
        <v>17915961</v>
      </c>
      <c r="D17067" s="2">
        <v>0</v>
      </c>
      <c r="E17067" s="2">
        <v>0</v>
      </c>
      <c r="F17067" s="2" t="s">
        <v>313</v>
      </c>
    </row>
    <row r="17068" spans="1:6" ht="25.5">
      <c r="A17068" s="2">
        <v>17065</v>
      </c>
      <c r="B17068" s="2" t="s">
        <v>17137</v>
      </c>
      <c r="C17068" s="2" t="str">
        <f>"13600591"</f>
        <v>13600591</v>
      </c>
      <c r="D17068" s="2">
        <v>1.0580000000000001</v>
      </c>
      <c r="E17068" s="2">
        <v>57</v>
      </c>
      <c r="F17068" s="2" t="s">
        <v>16</v>
      </c>
    </row>
    <row r="17069" spans="1:6" ht="25.5">
      <c r="A17069" s="2">
        <v>17066</v>
      </c>
      <c r="B17069" s="2" t="s">
        <v>17138</v>
      </c>
      <c r="C17069" s="2" t="str">
        <f>"15603547"</f>
        <v>15603547</v>
      </c>
      <c r="D17069" s="2">
        <v>0.61099999999999999</v>
      </c>
      <c r="E17069" s="2">
        <v>17</v>
      </c>
      <c r="F17069" s="2" t="s">
        <v>129</v>
      </c>
    </row>
    <row r="17070" spans="1:6" ht="25.5">
      <c r="A17070" s="2">
        <v>17067</v>
      </c>
      <c r="B17070" s="2" t="s">
        <v>17139</v>
      </c>
      <c r="C17070" s="2" t="str">
        <f>"17485991"</f>
        <v>17485991</v>
      </c>
      <c r="D17070" s="2">
        <v>0.67200000000000004</v>
      </c>
      <c r="E17070" s="2">
        <v>8</v>
      </c>
      <c r="F17070" s="2" t="s">
        <v>16</v>
      </c>
    </row>
    <row r="17071" spans="1:6" ht="25.5">
      <c r="A17071" s="2">
        <v>17068</v>
      </c>
      <c r="B17071" s="2" t="s">
        <v>17140</v>
      </c>
      <c r="C17071" s="2" t="str">
        <f>"01670115"</f>
        <v>01670115</v>
      </c>
      <c r="D17071" s="2">
        <v>0.63900000000000001</v>
      </c>
      <c r="E17071" s="2">
        <v>72</v>
      </c>
      <c r="F17071" s="2" t="s">
        <v>75</v>
      </c>
    </row>
    <row r="17072" spans="1:6" ht="25.5">
      <c r="A17072" s="2">
        <v>17069</v>
      </c>
      <c r="B17072" s="2" t="s">
        <v>17141</v>
      </c>
      <c r="C17072" s="2" t="str">
        <f>"10960295"</f>
        <v>10960295</v>
      </c>
      <c r="D17072" s="2">
        <v>0.70199999999999996</v>
      </c>
      <c r="E17072" s="2">
        <v>58</v>
      </c>
      <c r="F17072" s="2" t="s">
        <v>6</v>
      </c>
    </row>
    <row r="17073" spans="1:6" ht="25.5">
      <c r="A17073" s="2">
        <v>17070</v>
      </c>
      <c r="B17073" s="2" t="s">
        <v>17142</v>
      </c>
      <c r="C17073" s="2" t="str">
        <f>"12112658"</f>
        <v>12112658</v>
      </c>
      <c r="D17073" s="2">
        <v>0.16200000000000001</v>
      </c>
      <c r="E17073" s="2">
        <v>8</v>
      </c>
      <c r="F17073" s="2" t="s">
        <v>208</v>
      </c>
    </row>
    <row r="17074" spans="1:6" ht="25.5">
      <c r="A17074" s="2">
        <v>17071</v>
      </c>
      <c r="B17074" s="2" t="s">
        <v>17143</v>
      </c>
      <c r="C17074" s="2" t="str">
        <f>"03750922"</f>
        <v>03750922</v>
      </c>
      <c r="D17074" s="2">
        <v>0.20499999999999999</v>
      </c>
      <c r="E17074" s="2">
        <v>6</v>
      </c>
      <c r="F17074" s="2" t="s">
        <v>241</v>
      </c>
    </row>
    <row r="17075" spans="1:6" ht="25.5">
      <c r="A17075" s="2">
        <v>17072</v>
      </c>
      <c r="B17075" s="2" t="s">
        <v>17144</v>
      </c>
      <c r="C17075" s="2" t="str">
        <f>"00487120"</f>
        <v>00487120</v>
      </c>
      <c r="D17075" s="2">
        <v>0.14099999999999999</v>
      </c>
      <c r="E17075" s="2">
        <v>4</v>
      </c>
      <c r="F17075" s="2" t="s">
        <v>351</v>
      </c>
    </row>
    <row r="17076" spans="1:6" ht="25.5">
      <c r="A17076" s="2">
        <v>17073</v>
      </c>
      <c r="B17076" s="2" t="s">
        <v>17145</v>
      </c>
      <c r="C17076" s="2" t="str">
        <f>"14279622"</f>
        <v>14279622</v>
      </c>
      <c r="D17076" s="2">
        <v>0.114</v>
      </c>
      <c r="E17076" s="2">
        <v>4</v>
      </c>
      <c r="F17076" s="2" t="s">
        <v>12</v>
      </c>
    </row>
    <row r="17077" spans="1:6" ht="25.5">
      <c r="A17077" s="2">
        <v>17074</v>
      </c>
      <c r="B17077" s="2" t="s">
        <v>17146</v>
      </c>
      <c r="C17077" s="2" t="str">
        <f>"00343552"</f>
        <v>00343552</v>
      </c>
      <c r="D17077" s="2">
        <v>0.35</v>
      </c>
      <c r="E17077" s="2">
        <v>25</v>
      </c>
      <c r="F17077" s="2" t="s">
        <v>6</v>
      </c>
    </row>
    <row r="17078" spans="1:6" ht="25.5">
      <c r="A17078" s="2">
        <v>17075</v>
      </c>
      <c r="B17078" s="2" t="s">
        <v>17147</v>
      </c>
      <c r="C17078" s="2" t="str">
        <f>"02784807"</f>
        <v>02784807</v>
      </c>
      <c r="D17078" s="2">
        <v>0.26900000000000002</v>
      </c>
      <c r="E17078" s="2">
        <v>24</v>
      </c>
      <c r="F17078" s="2" t="s">
        <v>6</v>
      </c>
    </row>
    <row r="17079" spans="1:6">
      <c r="A17079" s="2">
        <v>17076</v>
      </c>
      <c r="B17079" s="2" t="s">
        <v>17148</v>
      </c>
      <c r="C17079" s="2" t="str">
        <f>"0"</f>
        <v>0</v>
      </c>
      <c r="D17079" s="2">
        <v>0.26400000000000001</v>
      </c>
      <c r="E17079" s="2">
        <v>3</v>
      </c>
      <c r="F17079" s="2" t="s">
        <v>6</v>
      </c>
    </row>
    <row r="17080" spans="1:6" ht="25.5">
      <c r="A17080" s="2">
        <v>17077</v>
      </c>
      <c r="B17080" s="2" t="s">
        <v>17149</v>
      </c>
      <c r="C17080" s="2" t="str">
        <f>"00905550"</f>
        <v>00905550</v>
      </c>
      <c r="D17080" s="2">
        <v>0.96199999999999997</v>
      </c>
      <c r="E17080" s="2">
        <v>35</v>
      </c>
      <c r="F17080" s="2" t="s">
        <v>6</v>
      </c>
    </row>
    <row r="17081" spans="1:6" ht="25.5">
      <c r="A17081" s="2">
        <v>17078</v>
      </c>
      <c r="B17081" s="2" t="s">
        <v>17150</v>
      </c>
      <c r="C17081" s="2" t="str">
        <f>"08996237"</f>
        <v>08996237</v>
      </c>
      <c r="D17081" s="2">
        <v>0.106</v>
      </c>
      <c r="E17081" s="2">
        <v>5</v>
      </c>
      <c r="F17081" s="2" t="s">
        <v>6</v>
      </c>
    </row>
    <row r="17082" spans="1:6" ht="25.5">
      <c r="A17082" s="2">
        <v>17079</v>
      </c>
      <c r="B17082" s="2" t="s">
        <v>17151</v>
      </c>
      <c r="C17082" s="2" t="str">
        <f>"09254757"</f>
        <v>09254757</v>
      </c>
      <c r="D17082" s="2">
        <v>0.10299999999999999</v>
      </c>
      <c r="E17082" s="2">
        <v>1</v>
      </c>
      <c r="F17082" s="2" t="s">
        <v>241</v>
      </c>
    </row>
    <row r="17083" spans="1:6" ht="25.5">
      <c r="A17083" s="2">
        <v>17080</v>
      </c>
      <c r="B17083" s="2" t="s">
        <v>17152</v>
      </c>
      <c r="C17083" s="2" t="str">
        <f>"15491684"</f>
        <v>15491684</v>
      </c>
      <c r="D17083" s="2">
        <v>0.72699999999999998</v>
      </c>
      <c r="E17083" s="2">
        <v>29</v>
      </c>
      <c r="F17083" s="2" t="s">
        <v>6</v>
      </c>
    </row>
    <row r="17084" spans="1:6" ht="25.5">
      <c r="A17084" s="2">
        <v>17081</v>
      </c>
      <c r="B17084" s="2" t="s">
        <v>17153</v>
      </c>
      <c r="C17084" s="2" t="str">
        <f>"17038138"</f>
        <v>17038138</v>
      </c>
      <c r="D17084" s="2">
        <v>0.16700000000000001</v>
      </c>
      <c r="E17084" s="2">
        <v>15</v>
      </c>
      <c r="F17084" s="2" t="s">
        <v>64</v>
      </c>
    </row>
    <row r="17085" spans="1:6" ht="25.5">
      <c r="A17085" s="2">
        <v>17082</v>
      </c>
      <c r="B17085" s="2" t="s">
        <v>17154</v>
      </c>
      <c r="C17085" s="2" t="str">
        <f>"1745526X"</f>
        <v>1745526X</v>
      </c>
      <c r="D17085" s="2">
        <v>0.40500000000000003</v>
      </c>
      <c r="E17085" s="2">
        <v>10</v>
      </c>
      <c r="F17085" s="2" t="s">
        <v>16</v>
      </c>
    </row>
    <row r="17086" spans="1:6" ht="25.5">
      <c r="A17086" s="2">
        <v>17083</v>
      </c>
      <c r="B17086" s="2" t="s">
        <v>17155</v>
      </c>
      <c r="C17086" s="2" t="str">
        <f>"09518320"</f>
        <v>09518320</v>
      </c>
      <c r="D17086" s="2">
        <v>1.5960000000000001</v>
      </c>
      <c r="E17086" s="2">
        <v>65</v>
      </c>
      <c r="F17086" s="2" t="s">
        <v>16</v>
      </c>
    </row>
    <row r="17087" spans="1:6" ht="25.5">
      <c r="A17087" s="2">
        <v>17084</v>
      </c>
      <c r="B17087" s="2" t="s">
        <v>17156</v>
      </c>
      <c r="C17087" s="2" t="str">
        <f>"15731340"</f>
        <v>15731340</v>
      </c>
      <c r="D17087" s="2">
        <v>0.16200000000000001</v>
      </c>
      <c r="E17087" s="2">
        <v>23</v>
      </c>
      <c r="F17087" s="2" t="s">
        <v>75</v>
      </c>
    </row>
    <row r="17088" spans="1:6" ht="25.5">
      <c r="A17088" s="2">
        <v>17085</v>
      </c>
      <c r="B17088" s="2" t="s">
        <v>17157</v>
      </c>
      <c r="C17088" s="2" t="str">
        <f>"12103640"</f>
        <v>12103640</v>
      </c>
      <c r="D17088" s="2">
        <v>0.125</v>
      </c>
      <c r="E17088" s="2">
        <v>3</v>
      </c>
      <c r="F17088" s="2" t="s">
        <v>208</v>
      </c>
    </row>
    <row r="17089" spans="1:6" ht="25.5">
      <c r="A17089" s="2">
        <v>17086</v>
      </c>
      <c r="B17089" s="2" t="s">
        <v>17158</v>
      </c>
      <c r="C17089" s="2" t="str">
        <f>"10961151"</f>
        <v>10961151</v>
      </c>
      <c r="D17089" s="2">
        <v>0.314</v>
      </c>
      <c r="E17089" s="2">
        <v>11</v>
      </c>
      <c r="F17089" s="2" t="s">
        <v>16</v>
      </c>
    </row>
    <row r="17090" spans="1:6" ht="25.5">
      <c r="A17090" s="2">
        <v>17087</v>
      </c>
      <c r="B17090" s="2" t="s">
        <v>17159</v>
      </c>
      <c r="C17090" s="2" t="str">
        <f>"10521151"</f>
        <v>10521151</v>
      </c>
      <c r="D17090" s="2">
        <v>0.11799999999999999</v>
      </c>
      <c r="E17090" s="2">
        <v>3</v>
      </c>
      <c r="F17090" s="2" t="s">
        <v>6</v>
      </c>
    </row>
    <row r="17091" spans="1:6" ht="25.5">
      <c r="A17091" s="2">
        <v>17088</v>
      </c>
      <c r="B17091" s="2" t="s">
        <v>17160</v>
      </c>
      <c r="C17091" s="2" t="str">
        <f>"18710328"</f>
        <v>18710328</v>
      </c>
      <c r="D17091" s="2">
        <v>0.185</v>
      </c>
      <c r="E17091" s="2">
        <v>3</v>
      </c>
      <c r="F17091" s="2" t="s">
        <v>75</v>
      </c>
    </row>
    <row r="17092" spans="1:6" ht="25.5">
      <c r="A17092" s="2">
        <v>17089</v>
      </c>
      <c r="B17092" s="2" t="s">
        <v>17161</v>
      </c>
      <c r="C17092" s="2" t="str">
        <f>"00294500"</f>
        <v>00294500</v>
      </c>
      <c r="D17092" s="2">
        <v>0.1</v>
      </c>
      <c r="E17092" s="2">
        <v>2</v>
      </c>
      <c r="F17092" s="2" t="s">
        <v>6</v>
      </c>
    </row>
    <row r="17093" spans="1:6" ht="25.5">
      <c r="A17093" s="2">
        <v>17090</v>
      </c>
      <c r="B17093" s="2" t="s">
        <v>17162</v>
      </c>
      <c r="C17093" s="2" t="str">
        <f>"09637494"</f>
        <v>09637494</v>
      </c>
      <c r="D17093" s="2">
        <v>0.17899999999999999</v>
      </c>
      <c r="E17093" s="2">
        <v>6</v>
      </c>
      <c r="F17093" s="2" t="s">
        <v>16</v>
      </c>
    </row>
    <row r="17094" spans="1:6" ht="25.5">
      <c r="A17094" s="2">
        <v>17091</v>
      </c>
      <c r="B17094" s="2" t="s">
        <v>17163</v>
      </c>
      <c r="C17094" s="2" t="str">
        <f>"19048181"</f>
        <v>19048181</v>
      </c>
      <c r="D17094" s="2">
        <v>0.10299999999999999</v>
      </c>
      <c r="E17094" s="2">
        <v>1</v>
      </c>
      <c r="F17094" s="2" t="s">
        <v>163</v>
      </c>
    </row>
    <row r="17095" spans="1:6" ht="25.5">
      <c r="A17095" s="2">
        <v>17092</v>
      </c>
      <c r="B17095" s="2" t="s">
        <v>17164</v>
      </c>
      <c r="C17095" s="2" t="str">
        <f>"15473201"</f>
        <v>15473201</v>
      </c>
      <c r="D17095" s="2">
        <v>0.26400000000000001</v>
      </c>
      <c r="E17095" s="2">
        <v>7</v>
      </c>
      <c r="F17095" s="2" t="s">
        <v>16</v>
      </c>
    </row>
    <row r="17096" spans="1:6" ht="25.5">
      <c r="A17096" s="2">
        <v>17093</v>
      </c>
      <c r="B17096" s="2" t="s">
        <v>17165</v>
      </c>
      <c r="C17096" s="2" t="str">
        <f>"00344095"</f>
        <v>00344095</v>
      </c>
      <c r="D17096" s="2">
        <v>0.10199999999999999</v>
      </c>
      <c r="E17096" s="2">
        <v>0</v>
      </c>
      <c r="F17096" s="2" t="s">
        <v>6</v>
      </c>
    </row>
    <row r="17097" spans="1:6" ht="25.5">
      <c r="A17097" s="2">
        <v>17094</v>
      </c>
      <c r="B17097" s="2" t="s">
        <v>17166</v>
      </c>
      <c r="C17097" s="2" t="str">
        <f>"1469901X"</f>
        <v>1469901X</v>
      </c>
      <c r="D17097" s="2">
        <v>0.14399999999999999</v>
      </c>
      <c r="E17097" s="2">
        <v>8</v>
      </c>
      <c r="F17097" s="2" t="s">
        <v>16</v>
      </c>
    </row>
    <row r="17098" spans="1:6" ht="25.5">
      <c r="A17098" s="2">
        <v>17095</v>
      </c>
      <c r="B17098" s="2" t="s">
        <v>17167</v>
      </c>
      <c r="C17098" s="2" t="str">
        <f>"17475414"</f>
        <v>17475414</v>
      </c>
      <c r="D17098" s="2">
        <v>0</v>
      </c>
      <c r="E17098" s="2">
        <v>0</v>
      </c>
      <c r="F17098" s="2" t="s">
        <v>16</v>
      </c>
    </row>
    <row r="17099" spans="1:6" ht="25.5">
      <c r="A17099" s="2">
        <v>17096</v>
      </c>
      <c r="B17099" s="2" t="s">
        <v>17168</v>
      </c>
      <c r="C17099" s="2" t="str">
        <f>"0319485X"</f>
        <v>0319485X</v>
      </c>
      <c r="D17099" s="2">
        <v>0.104</v>
      </c>
      <c r="E17099" s="2">
        <v>1</v>
      </c>
      <c r="F17099" s="2" t="s">
        <v>6</v>
      </c>
    </row>
    <row r="17100" spans="1:6" ht="25.5">
      <c r="A17100" s="2">
        <v>17097</v>
      </c>
      <c r="B17100" s="2" t="s">
        <v>17169</v>
      </c>
      <c r="C17100" s="2" t="str">
        <f>"07419325"</f>
        <v>07419325</v>
      </c>
      <c r="D17100" s="2">
        <v>0.501</v>
      </c>
      <c r="E17100" s="2">
        <v>31</v>
      </c>
      <c r="F17100" s="2" t="s">
        <v>6</v>
      </c>
    </row>
    <row r="17101" spans="1:6" ht="25.5">
      <c r="A17101" s="2">
        <v>17098</v>
      </c>
      <c r="B17101" s="2" t="s">
        <v>17170</v>
      </c>
      <c r="C17101" s="2" t="str">
        <f>"15206831"</f>
        <v>15206831</v>
      </c>
      <c r="D17101" s="2">
        <v>0</v>
      </c>
      <c r="E17101" s="2">
        <v>1</v>
      </c>
      <c r="F17101" s="2" t="s">
        <v>6</v>
      </c>
    </row>
    <row r="17102" spans="1:6" ht="25.5">
      <c r="A17102" s="2">
        <v>17099</v>
      </c>
      <c r="B17102" s="2" t="s">
        <v>17171</v>
      </c>
      <c r="C17102" s="2" t="str">
        <f>"00344257"</f>
        <v>00344257</v>
      </c>
      <c r="D17102" s="2">
        <v>2.8719999999999999</v>
      </c>
      <c r="E17102" s="2">
        <v>129</v>
      </c>
      <c r="F17102" s="2" t="s">
        <v>6</v>
      </c>
    </row>
    <row r="17103" spans="1:6" ht="25.5">
      <c r="A17103" s="2">
        <v>17100</v>
      </c>
      <c r="B17103" s="2" t="s">
        <v>17172</v>
      </c>
      <c r="C17103" s="2" t="str">
        <f>"0034429X"</f>
        <v>0034429X</v>
      </c>
      <c r="D17103" s="2">
        <v>0.10100000000000001</v>
      </c>
      <c r="E17103" s="2">
        <v>1</v>
      </c>
      <c r="F17103" s="2" t="s">
        <v>64</v>
      </c>
    </row>
    <row r="17104" spans="1:6" ht="25.5">
      <c r="A17104" s="2">
        <v>17101</v>
      </c>
      <c r="B17104" s="2" t="s">
        <v>17173</v>
      </c>
      <c r="C17104" s="2" t="str">
        <f>"00344338"</f>
        <v>00344338</v>
      </c>
      <c r="D17104" s="2">
        <v>0.124</v>
      </c>
      <c r="E17104" s="2">
        <v>6</v>
      </c>
      <c r="F17104" s="2" t="s">
        <v>6</v>
      </c>
    </row>
    <row r="17105" spans="1:6" ht="25.5">
      <c r="A17105" s="2">
        <v>17102</v>
      </c>
      <c r="B17105" s="2" t="s">
        <v>17174</v>
      </c>
      <c r="C17105" s="2" t="str">
        <f>"02691213"</f>
        <v>02691213</v>
      </c>
      <c r="D17105" s="2">
        <v>0.13600000000000001</v>
      </c>
      <c r="E17105" s="2">
        <v>7</v>
      </c>
      <c r="F17105" s="2" t="s">
        <v>16</v>
      </c>
    </row>
    <row r="17106" spans="1:6" ht="25.5">
      <c r="A17106" s="2">
        <v>17103</v>
      </c>
      <c r="B17106" s="2" t="s">
        <v>17175</v>
      </c>
      <c r="C17106" s="2" t="str">
        <f>"15256049"</f>
        <v>15256049</v>
      </c>
      <c r="D17106" s="2">
        <v>0.38300000000000001</v>
      </c>
      <c r="E17106" s="2">
        <v>32</v>
      </c>
      <c r="F17106" s="2" t="s">
        <v>16</v>
      </c>
    </row>
    <row r="17107" spans="1:6" ht="25.5">
      <c r="A17107" s="2">
        <v>17104</v>
      </c>
      <c r="B17107" s="2" t="s">
        <v>17176</v>
      </c>
      <c r="C17107" s="2" t="str">
        <f>"00344346"</f>
        <v>00344346</v>
      </c>
      <c r="D17107" s="2">
        <v>0.10100000000000001</v>
      </c>
      <c r="E17107" s="2">
        <v>1</v>
      </c>
      <c r="F17107" s="2" t="s">
        <v>6</v>
      </c>
    </row>
    <row r="17108" spans="1:6" ht="25.5">
      <c r="A17108" s="2">
        <v>17105</v>
      </c>
      <c r="B17108" s="2" t="s">
        <v>17177</v>
      </c>
      <c r="C17108" s="2" t="str">
        <f>"19734409"</f>
        <v>19734409</v>
      </c>
      <c r="D17108" s="2">
        <v>0.57199999999999995</v>
      </c>
      <c r="E17108" s="2">
        <v>12</v>
      </c>
      <c r="F17108" s="2" t="s">
        <v>190</v>
      </c>
    </row>
    <row r="17109" spans="1:6" ht="25.5">
      <c r="A17109" s="2">
        <v>17106</v>
      </c>
      <c r="B17109" s="2" t="s">
        <v>17178</v>
      </c>
      <c r="C17109" s="2" t="str">
        <f>"03731243"</f>
        <v>03731243</v>
      </c>
      <c r="D17109" s="2">
        <v>0.28799999999999998</v>
      </c>
      <c r="E17109" s="2">
        <v>8</v>
      </c>
      <c r="F17109" s="2" t="s">
        <v>190</v>
      </c>
    </row>
    <row r="17110" spans="1:6" ht="25.5">
      <c r="A17110" s="2">
        <v>17107</v>
      </c>
      <c r="B17110" s="2" t="s">
        <v>17179</v>
      </c>
      <c r="C17110" s="2" t="str">
        <f>"00418994"</f>
        <v>00418994</v>
      </c>
      <c r="D17110" s="2">
        <v>0.24199999999999999</v>
      </c>
      <c r="E17110" s="2">
        <v>7</v>
      </c>
      <c r="F17110" s="2" t="s">
        <v>190</v>
      </c>
    </row>
    <row r="17111" spans="1:6" ht="25.5">
      <c r="A17111" s="2">
        <v>17108</v>
      </c>
      <c r="B17111" s="2" t="s">
        <v>17180</v>
      </c>
      <c r="C17111" s="2" t="str">
        <f>"20358008"</f>
        <v>20358008</v>
      </c>
      <c r="D17111" s="2">
        <v>0.115</v>
      </c>
      <c r="E17111" s="2">
        <v>3</v>
      </c>
      <c r="F17111" s="2" t="s">
        <v>190</v>
      </c>
    </row>
    <row r="17112" spans="1:6" ht="25.5">
      <c r="A17112" s="2">
        <v>17109</v>
      </c>
      <c r="B17112" s="2" t="s">
        <v>17181</v>
      </c>
      <c r="C17112" s="2" t="str">
        <f>"10012060"</f>
        <v>10012060</v>
      </c>
      <c r="D17112" s="2">
        <v>0.187</v>
      </c>
      <c r="E17112" s="2">
        <v>8</v>
      </c>
      <c r="F17112" s="2" t="s">
        <v>46</v>
      </c>
    </row>
    <row r="17113" spans="1:6" ht="25.5">
      <c r="A17113" s="2">
        <v>17110</v>
      </c>
      <c r="B17113" s="2" t="s">
        <v>17182</v>
      </c>
      <c r="C17113" s="2" t="str">
        <f>"17421713"</f>
        <v>17421713</v>
      </c>
      <c r="D17113" s="2">
        <v>0.56699999999999995</v>
      </c>
      <c r="E17113" s="2">
        <v>24</v>
      </c>
      <c r="F17113" s="2" t="s">
        <v>16</v>
      </c>
    </row>
    <row r="17114" spans="1:6" ht="25.5">
      <c r="A17114" s="2">
        <v>17111</v>
      </c>
      <c r="B17114" s="2" t="s">
        <v>17183</v>
      </c>
      <c r="C17114" s="2" t="str">
        <f>"13640321"</f>
        <v>13640321</v>
      </c>
      <c r="D17114" s="2">
        <v>2.4990000000000001</v>
      </c>
      <c r="E17114" s="2">
        <v>77</v>
      </c>
      <c r="F17114" s="2" t="s">
        <v>16</v>
      </c>
    </row>
    <row r="17115" spans="1:6" ht="25.5">
      <c r="A17115" s="2">
        <v>17112</v>
      </c>
      <c r="B17115" s="2" t="s">
        <v>17184</v>
      </c>
      <c r="C17115" s="2" t="str">
        <f>"09601481"</f>
        <v>09601481</v>
      </c>
      <c r="D17115" s="2">
        <v>1.698</v>
      </c>
      <c r="E17115" s="2">
        <v>69</v>
      </c>
      <c r="F17115" s="2" t="s">
        <v>75</v>
      </c>
    </row>
    <row r="17116" spans="1:6" ht="25.5">
      <c r="A17116" s="2">
        <v>17113</v>
      </c>
      <c r="B17116" s="2" t="s">
        <v>17185</v>
      </c>
      <c r="C17116" s="2" t="str">
        <f>"1000985X"</f>
        <v>1000985X</v>
      </c>
      <c r="D17116" s="2">
        <v>0.18</v>
      </c>
      <c r="E17116" s="2">
        <v>8</v>
      </c>
      <c r="F17116" s="2" t="s">
        <v>46</v>
      </c>
    </row>
    <row r="17117" spans="1:6">
      <c r="A17117" s="2">
        <v>17114</v>
      </c>
      <c r="B17117" s="2" t="s">
        <v>17186</v>
      </c>
      <c r="C17117" s="2" t="str">
        <f>"0"</f>
        <v>0</v>
      </c>
      <c r="D17117" s="2">
        <v>0</v>
      </c>
      <c r="E17117" s="2">
        <v>0</v>
      </c>
      <c r="F17117" s="2" t="s">
        <v>6</v>
      </c>
    </row>
    <row r="17118" spans="1:6" ht="25.5">
      <c r="A17118" s="2">
        <v>17115</v>
      </c>
      <c r="B17118" s="2" t="s">
        <v>17187</v>
      </c>
      <c r="C17118" s="2" t="str">
        <f>"0486400X"</f>
        <v>0486400X</v>
      </c>
      <c r="D17118" s="2">
        <v>0.1</v>
      </c>
      <c r="E17118" s="2">
        <v>1</v>
      </c>
      <c r="F17118" s="2" t="s">
        <v>293</v>
      </c>
    </row>
    <row r="17119" spans="1:6" ht="25.5">
      <c r="A17119" s="2">
        <v>17116</v>
      </c>
      <c r="B17119" s="2" t="s">
        <v>17188</v>
      </c>
      <c r="C17119" s="2" t="str">
        <f>"15518280"</f>
        <v>15518280</v>
      </c>
      <c r="D17119" s="2">
        <v>0.10100000000000001</v>
      </c>
      <c r="E17119" s="2">
        <v>2</v>
      </c>
      <c r="F17119" s="2" t="s">
        <v>6</v>
      </c>
    </row>
    <row r="17120" spans="1:6" ht="25.5">
      <c r="A17120" s="2">
        <v>17117</v>
      </c>
      <c r="B17120" s="2" t="s">
        <v>17189</v>
      </c>
      <c r="C17120" s="2" t="str">
        <f>"04537831"</f>
        <v>04537831</v>
      </c>
      <c r="D17120" s="2">
        <v>0.113</v>
      </c>
      <c r="E17120" s="2">
        <v>1</v>
      </c>
      <c r="F17120" s="2" t="s">
        <v>751</v>
      </c>
    </row>
    <row r="17121" spans="1:6" ht="25.5">
      <c r="A17121" s="2">
        <v>17118</v>
      </c>
      <c r="B17121" s="2" t="s">
        <v>17190</v>
      </c>
      <c r="C17121" s="2" t="str">
        <f>"11791586"</f>
        <v>11791586</v>
      </c>
      <c r="D17121" s="2">
        <v>0.191</v>
      </c>
      <c r="E17121" s="2">
        <v>1</v>
      </c>
      <c r="F17121" s="2" t="s">
        <v>503</v>
      </c>
    </row>
    <row r="17122" spans="1:6" ht="25.5">
      <c r="A17122" s="2">
        <v>17119</v>
      </c>
      <c r="B17122" s="2" t="s">
        <v>17191</v>
      </c>
      <c r="C17122" s="2" t="str">
        <f>"15071367"</f>
        <v>15071367</v>
      </c>
      <c r="D17122" s="2">
        <v>0.33500000000000002</v>
      </c>
      <c r="E17122" s="2">
        <v>7</v>
      </c>
      <c r="F17122" s="2" t="s">
        <v>169</v>
      </c>
    </row>
    <row r="17123" spans="1:6" ht="25.5">
      <c r="A17123" s="2">
        <v>17120</v>
      </c>
      <c r="B17123" s="2" t="s">
        <v>17192</v>
      </c>
      <c r="C17123" s="2" t="str">
        <f>"20842589"</f>
        <v>20842589</v>
      </c>
      <c r="D17123" s="2">
        <v>0.18</v>
      </c>
      <c r="E17123" s="2">
        <v>1</v>
      </c>
      <c r="F17123" s="2" t="s">
        <v>169</v>
      </c>
    </row>
    <row r="17124" spans="1:6" ht="25.5">
      <c r="A17124" s="2">
        <v>17121</v>
      </c>
      <c r="B17124" s="2" t="s">
        <v>17193</v>
      </c>
      <c r="C17124" s="2" t="str">
        <f>"00344877"</f>
        <v>00344877</v>
      </c>
      <c r="D17124" s="2">
        <v>0.501</v>
      </c>
      <c r="E17124" s="2">
        <v>23</v>
      </c>
      <c r="F17124" s="2" t="s">
        <v>16</v>
      </c>
    </row>
    <row r="17125" spans="1:6" ht="25.5">
      <c r="A17125" s="2">
        <v>17122</v>
      </c>
      <c r="B17125" s="2" t="s">
        <v>17194</v>
      </c>
      <c r="C17125" s="2" t="str">
        <f>"13616633"</f>
        <v>13616633</v>
      </c>
      <c r="D17125" s="2">
        <v>7.2590000000000003</v>
      </c>
      <c r="E17125" s="2">
        <v>117</v>
      </c>
      <c r="F17125" s="2" t="s">
        <v>16</v>
      </c>
    </row>
    <row r="17126" spans="1:6">
      <c r="A17126" s="2">
        <v>17123</v>
      </c>
      <c r="B17126" s="2" t="s">
        <v>17195</v>
      </c>
      <c r="C17126" s="2" t="str">
        <f>"0"</f>
        <v>0</v>
      </c>
      <c r="D17126" s="2">
        <v>0.38600000000000001</v>
      </c>
      <c r="E17126" s="2">
        <v>5</v>
      </c>
      <c r="F17126" s="2" t="s">
        <v>16</v>
      </c>
    </row>
    <row r="17127" spans="1:6" ht="25.5">
      <c r="A17127" s="2">
        <v>17124</v>
      </c>
      <c r="B17127" s="2" t="s">
        <v>17196</v>
      </c>
      <c r="C17127" s="2" t="str">
        <f>"07346018"</f>
        <v>07346018</v>
      </c>
      <c r="D17127" s="2">
        <v>0.17</v>
      </c>
      <c r="E17127" s="2">
        <v>13</v>
      </c>
      <c r="F17127" s="2" t="s">
        <v>6</v>
      </c>
    </row>
    <row r="17128" spans="1:6" ht="25.5">
      <c r="A17128" s="2">
        <v>17125</v>
      </c>
      <c r="B17128" s="2" t="s">
        <v>17197</v>
      </c>
      <c r="C17128" s="2" t="str">
        <f>"10884165"</f>
        <v>10884165</v>
      </c>
      <c r="D17128" s="2">
        <v>1.675</v>
      </c>
      <c r="E17128" s="2">
        <v>12</v>
      </c>
      <c r="F17128" s="2" t="s">
        <v>6</v>
      </c>
    </row>
    <row r="17129" spans="1:6" ht="25.5">
      <c r="A17129" s="2">
        <v>17126</v>
      </c>
      <c r="B17129" s="2" t="s">
        <v>17198</v>
      </c>
      <c r="C17129" s="2" t="str">
        <f>"17417899"</f>
        <v>17417899</v>
      </c>
      <c r="D17129" s="2">
        <v>1.1850000000000001</v>
      </c>
      <c r="E17129" s="2">
        <v>77</v>
      </c>
      <c r="F17129" s="2" t="s">
        <v>16</v>
      </c>
    </row>
    <row r="17130" spans="1:6" ht="25.5">
      <c r="A17130" s="2">
        <v>17127</v>
      </c>
      <c r="B17130" s="2" t="s">
        <v>17199</v>
      </c>
      <c r="C17130" s="2" t="str">
        <f>"10313613"</f>
        <v>10313613</v>
      </c>
      <c r="D17130" s="2">
        <v>0.80600000000000005</v>
      </c>
      <c r="E17130" s="2">
        <v>50</v>
      </c>
      <c r="F17130" s="2" t="s">
        <v>127</v>
      </c>
    </row>
    <row r="17131" spans="1:6" ht="25.5">
      <c r="A17131" s="2">
        <v>17128</v>
      </c>
      <c r="B17131" s="2" t="s">
        <v>17200</v>
      </c>
      <c r="C17131" s="2" t="str">
        <f>"14390531"</f>
        <v>14390531</v>
      </c>
      <c r="D17131" s="2">
        <v>0.56200000000000006</v>
      </c>
      <c r="E17131" s="2">
        <v>35</v>
      </c>
      <c r="F17131" s="2" t="s">
        <v>16</v>
      </c>
    </row>
    <row r="17132" spans="1:6" ht="25.5">
      <c r="A17132" s="2">
        <v>17129</v>
      </c>
      <c r="B17132" s="2" t="s">
        <v>17201</v>
      </c>
      <c r="C17132" s="2" t="str">
        <f>"1642431X"</f>
        <v>1642431X</v>
      </c>
      <c r="D17132" s="2">
        <v>0.32700000000000001</v>
      </c>
      <c r="E17132" s="2">
        <v>17</v>
      </c>
      <c r="F17132" s="2" t="s">
        <v>169</v>
      </c>
    </row>
    <row r="17133" spans="1:6" ht="25.5">
      <c r="A17133" s="2">
        <v>17130</v>
      </c>
      <c r="B17133" s="2" t="s">
        <v>17202</v>
      </c>
      <c r="C17133" s="2" t="str">
        <f>"14777827"</f>
        <v>14777827</v>
      </c>
      <c r="D17133" s="2">
        <v>0.82</v>
      </c>
      <c r="E17133" s="2">
        <v>50</v>
      </c>
      <c r="F17133" s="2" t="s">
        <v>16</v>
      </c>
    </row>
    <row r="17134" spans="1:6" ht="25.5">
      <c r="A17134" s="2">
        <v>17131</v>
      </c>
      <c r="B17134" s="2" t="s">
        <v>17203</v>
      </c>
      <c r="C17134" s="2" t="str">
        <f>"11786426"</f>
        <v>11786426</v>
      </c>
      <c r="D17134" s="2">
        <v>0.104</v>
      </c>
      <c r="E17134" s="2">
        <v>2</v>
      </c>
      <c r="F17134" s="2" t="s">
        <v>503</v>
      </c>
    </row>
    <row r="17135" spans="1:6" ht="25.5">
      <c r="A17135" s="2">
        <v>17132</v>
      </c>
      <c r="B17135" s="2" t="s">
        <v>17204</v>
      </c>
      <c r="C17135" s="2" t="str">
        <f>"14726491"</f>
        <v>14726491</v>
      </c>
      <c r="D17135" s="2">
        <v>1.1910000000000001</v>
      </c>
      <c r="E17135" s="2">
        <v>62</v>
      </c>
      <c r="F17135" s="2" t="s">
        <v>75</v>
      </c>
    </row>
    <row r="17136" spans="1:6" ht="25.5">
      <c r="A17136" s="2">
        <v>17133</v>
      </c>
      <c r="B17136" s="2" t="s">
        <v>17205</v>
      </c>
      <c r="C17136" s="2" t="str">
        <f>"17424755"</f>
        <v>17424755</v>
      </c>
      <c r="D17136" s="2">
        <v>0.72399999999999998</v>
      </c>
      <c r="E17136" s="2">
        <v>14</v>
      </c>
      <c r="F17136" s="2" t="s">
        <v>16</v>
      </c>
    </row>
    <row r="17137" spans="1:6" ht="25.5">
      <c r="A17137" s="2">
        <v>17134</v>
      </c>
      <c r="B17137" s="2" t="s">
        <v>17206</v>
      </c>
      <c r="C17137" s="2" t="str">
        <f>"14609576"</f>
        <v>14609576</v>
      </c>
      <c r="D17137" s="2">
        <v>0.77700000000000002</v>
      </c>
      <c r="E17137" s="2">
        <v>32</v>
      </c>
      <c r="F17137" s="2" t="s">
        <v>75</v>
      </c>
    </row>
    <row r="17138" spans="1:6" ht="25.5">
      <c r="A17138" s="2">
        <v>17135</v>
      </c>
      <c r="B17138" s="2" t="s">
        <v>17207</v>
      </c>
      <c r="C17138" s="2" t="str">
        <f>"14455781"</f>
        <v>14455781</v>
      </c>
      <c r="D17138" s="2">
        <v>0.192</v>
      </c>
      <c r="E17138" s="2">
        <v>8</v>
      </c>
      <c r="F17138" s="2" t="s">
        <v>131</v>
      </c>
    </row>
    <row r="17139" spans="1:6" ht="25.5">
      <c r="A17139" s="2">
        <v>17136</v>
      </c>
      <c r="B17139" s="2" t="s">
        <v>17208</v>
      </c>
      <c r="C17139" s="2" t="str">
        <f>"19337191"</f>
        <v>19337191</v>
      </c>
      <c r="D17139" s="2">
        <v>0.76100000000000001</v>
      </c>
      <c r="E17139" s="2">
        <v>50</v>
      </c>
      <c r="F17139" s="2" t="s">
        <v>6</v>
      </c>
    </row>
    <row r="17140" spans="1:6" ht="25.5">
      <c r="A17140" s="2">
        <v>17137</v>
      </c>
      <c r="B17140" s="2" t="s">
        <v>17209</v>
      </c>
      <c r="C17140" s="2" t="str">
        <f>"08906238"</f>
        <v>08906238</v>
      </c>
      <c r="D17140" s="2">
        <v>1.0149999999999999</v>
      </c>
      <c r="E17140" s="2">
        <v>60</v>
      </c>
      <c r="F17140" s="2" t="s">
        <v>6</v>
      </c>
    </row>
    <row r="17141" spans="1:6" ht="25.5">
      <c r="A17141" s="2">
        <v>17138</v>
      </c>
      <c r="B17141" s="2" t="s">
        <v>17210</v>
      </c>
      <c r="C17141" s="2" t="str">
        <f>"1432010X"</f>
        <v>1432010X</v>
      </c>
      <c r="D17141" s="2">
        <v>1.343</v>
      </c>
      <c r="E17141" s="2">
        <v>27</v>
      </c>
      <c r="F17141" s="2" t="s">
        <v>16</v>
      </c>
    </row>
    <row r="17142" spans="1:6" ht="25.5">
      <c r="A17142" s="2">
        <v>17139</v>
      </c>
      <c r="B17142" s="2" t="s">
        <v>17211</v>
      </c>
      <c r="C17142" s="2" t="str">
        <f>"07469179"</f>
        <v>07469179</v>
      </c>
      <c r="D17142" s="2">
        <v>0.1</v>
      </c>
      <c r="E17142" s="2">
        <v>1</v>
      </c>
      <c r="F17142" s="2" t="s">
        <v>6</v>
      </c>
    </row>
    <row r="17143" spans="1:6" ht="25.5">
      <c r="A17143" s="2">
        <v>17140</v>
      </c>
      <c r="B17143" s="2" t="s">
        <v>17212</v>
      </c>
      <c r="C17143" s="2" t="str">
        <f>"18612253"</f>
        <v>18612253</v>
      </c>
      <c r="D17143" s="2">
        <v>0.14299999999999999</v>
      </c>
      <c r="E17143" s="2">
        <v>1</v>
      </c>
      <c r="F17143" s="2" t="s">
        <v>12</v>
      </c>
    </row>
    <row r="17144" spans="1:6" ht="25.5">
      <c r="A17144" s="2">
        <v>17141</v>
      </c>
      <c r="B17144" s="2" t="s">
        <v>17213</v>
      </c>
      <c r="C17144" s="2" t="str">
        <f>"09456082"</f>
        <v>09456082</v>
      </c>
      <c r="D17144" s="2">
        <v>0.104</v>
      </c>
      <c r="E17144" s="2">
        <v>1</v>
      </c>
      <c r="F17144" s="2" t="s">
        <v>12</v>
      </c>
    </row>
    <row r="17145" spans="1:6" ht="25.5">
      <c r="A17145" s="2">
        <v>17142</v>
      </c>
      <c r="B17145" s="2" t="s">
        <v>17214</v>
      </c>
      <c r="C17145" s="2" t="str">
        <f>"15407969"</f>
        <v>15407969</v>
      </c>
      <c r="D17145" s="2">
        <v>0.57099999999999995</v>
      </c>
      <c r="E17145" s="2">
        <v>26</v>
      </c>
      <c r="F17145" s="2" t="s">
        <v>6</v>
      </c>
    </row>
    <row r="17146" spans="1:6" ht="25.5">
      <c r="A17146" s="2">
        <v>17143</v>
      </c>
      <c r="B17146" s="2" t="s">
        <v>17215</v>
      </c>
      <c r="C17146" s="2" t="str">
        <f>"15416577"</f>
        <v>15416577</v>
      </c>
      <c r="D17146" s="2">
        <v>0.33700000000000002</v>
      </c>
      <c r="E17146" s="2">
        <v>27</v>
      </c>
      <c r="F17146" s="2" t="s">
        <v>6</v>
      </c>
    </row>
    <row r="17147" spans="1:6">
      <c r="A17147" s="2">
        <v>17144</v>
      </c>
      <c r="B17147" s="2" t="s">
        <v>17216</v>
      </c>
      <c r="C17147" s="2" t="str">
        <f>"0"</f>
        <v>0</v>
      </c>
      <c r="D17147" s="2">
        <v>0.126</v>
      </c>
      <c r="E17147" s="2">
        <v>0</v>
      </c>
      <c r="F17147" s="2" t="s">
        <v>6</v>
      </c>
    </row>
    <row r="17148" spans="1:6">
      <c r="A17148" s="2">
        <v>17145</v>
      </c>
      <c r="B17148" s="2" t="s">
        <v>17217</v>
      </c>
      <c r="C17148" s="2" t="str">
        <f>"0"</f>
        <v>0</v>
      </c>
      <c r="D17148" s="2">
        <v>0</v>
      </c>
      <c r="E17148" s="2">
        <v>0</v>
      </c>
      <c r="F17148" s="2" t="s">
        <v>6</v>
      </c>
    </row>
    <row r="17149" spans="1:6">
      <c r="A17149" s="2">
        <v>17146</v>
      </c>
      <c r="B17149" s="2" t="s">
        <v>17218</v>
      </c>
      <c r="C17149" s="2" t="str">
        <f>"0"</f>
        <v>0</v>
      </c>
      <c r="D17149" s="2">
        <v>0.745</v>
      </c>
      <c r="E17149" s="2">
        <v>4</v>
      </c>
      <c r="F17149" s="2" t="s">
        <v>6</v>
      </c>
    </row>
    <row r="17150" spans="1:6" ht="25.5">
      <c r="A17150" s="2">
        <v>17147</v>
      </c>
      <c r="B17150" s="2" t="s">
        <v>17219</v>
      </c>
      <c r="C17150" s="2" t="str">
        <f>"14715449"</f>
        <v>14715449</v>
      </c>
      <c r="D17150" s="2">
        <v>0.73099999999999998</v>
      </c>
      <c r="E17150" s="2">
        <v>20</v>
      </c>
      <c r="F17150" s="2" t="s">
        <v>16</v>
      </c>
    </row>
    <row r="17151" spans="1:6" ht="25.5">
      <c r="A17151" s="2">
        <v>17148</v>
      </c>
      <c r="B17151" s="2" t="s">
        <v>17220</v>
      </c>
      <c r="C17151" s="2" t="str">
        <f>"10520457"</f>
        <v>10520457</v>
      </c>
      <c r="D17151" s="2">
        <v>0.14899999999999999</v>
      </c>
      <c r="E17151" s="2">
        <v>6</v>
      </c>
      <c r="F17151" s="2" t="s">
        <v>75</v>
      </c>
    </row>
    <row r="17152" spans="1:6" ht="25.5">
      <c r="A17152" s="2">
        <v>17149</v>
      </c>
      <c r="B17152" s="2" t="s">
        <v>17221</v>
      </c>
      <c r="C17152" s="2" t="str">
        <f>"15772044"</f>
        <v>15772044</v>
      </c>
      <c r="D17152" s="2">
        <v>0.20200000000000001</v>
      </c>
      <c r="E17152" s="2">
        <v>6</v>
      </c>
      <c r="F17152" s="2" t="s">
        <v>6</v>
      </c>
    </row>
    <row r="17153" spans="1:6" ht="25.5">
      <c r="A17153" s="2">
        <v>17150</v>
      </c>
      <c r="B17153" s="2" t="s">
        <v>17222</v>
      </c>
      <c r="C17153" s="2" t="str">
        <f>"12129151"</f>
        <v>12129151</v>
      </c>
      <c r="D17153" s="2">
        <v>0.26800000000000002</v>
      </c>
      <c r="E17153" s="2">
        <v>6</v>
      </c>
      <c r="F17153" s="2" t="s">
        <v>208</v>
      </c>
    </row>
    <row r="17154" spans="1:6" ht="25.5">
      <c r="A17154" s="2">
        <v>17151</v>
      </c>
      <c r="B17154" s="2" t="s">
        <v>17223</v>
      </c>
      <c r="C17154" s="2" t="str">
        <f>"16744527"</f>
        <v>16744527</v>
      </c>
      <c r="D17154" s="2">
        <v>0.72599999999999998</v>
      </c>
      <c r="E17154" s="2">
        <v>12</v>
      </c>
      <c r="F17154" s="2" t="s">
        <v>16</v>
      </c>
    </row>
    <row r="17155" spans="1:6" ht="25.5">
      <c r="A17155" s="2">
        <v>17152</v>
      </c>
      <c r="B17155" s="2" t="s">
        <v>17224</v>
      </c>
      <c r="C17155" s="2" t="str">
        <f>"17509467"</f>
        <v>17509467</v>
      </c>
      <c r="D17155" s="2">
        <v>0.91</v>
      </c>
      <c r="E17155" s="2">
        <v>22</v>
      </c>
      <c r="F17155" s="2" t="s">
        <v>75</v>
      </c>
    </row>
    <row r="17156" spans="1:6" ht="25.5">
      <c r="A17156" s="2">
        <v>17153</v>
      </c>
      <c r="B17156" s="2" t="s">
        <v>17225</v>
      </c>
      <c r="C17156" s="2" t="str">
        <f>"17454999"</f>
        <v>17454999</v>
      </c>
      <c r="D17156" s="2">
        <v>0.17399999999999999</v>
      </c>
      <c r="E17156" s="2">
        <v>3</v>
      </c>
      <c r="F17156" s="2" t="s">
        <v>16</v>
      </c>
    </row>
    <row r="17157" spans="1:6" ht="25.5">
      <c r="A17157" s="2">
        <v>17154</v>
      </c>
      <c r="B17157" s="2" t="s">
        <v>17226</v>
      </c>
      <c r="C17157" s="2" t="str">
        <f>"10260188"</f>
        <v>10260188</v>
      </c>
      <c r="D17157" s="2">
        <v>0.10199999999999999</v>
      </c>
      <c r="E17157" s="2">
        <v>1</v>
      </c>
      <c r="F17157" s="2" t="s">
        <v>299</v>
      </c>
    </row>
    <row r="17158" spans="1:6" ht="25.5">
      <c r="A17158" s="2">
        <v>17155</v>
      </c>
      <c r="B17158" s="2" t="s">
        <v>17227</v>
      </c>
      <c r="C17158" s="2" t="str">
        <f>"18733379"</f>
        <v>18733379</v>
      </c>
      <c r="D17158" s="2">
        <v>0.749</v>
      </c>
      <c r="E17158" s="2">
        <v>46</v>
      </c>
      <c r="F17158" s="2" t="s">
        <v>6</v>
      </c>
    </row>
    <row r="17159" spans="1:6" ht="25.5">
      <c r="A17159" s="2">
        <v>17156</v>
      </c>
      <c r="B17159" s="2" t="s">
        <v>17228</v>
      </c>
      <c r="C17159" s="2" t="str">
        <f>"10909451"</f>
        <v>10909451</v>
      </c>
      <c r="D17159" s="2">
        <v>0.22700000000000001</v>
      </c>
      <c r="E17159" s="2">
        <v>13</v>
      </c>
      <c r="F17159" s="2" t="s">
        <v>6</v>
      </c>
    </row>
    <row r="17160" spans="1:6" ht="25.5">
      <c r="A17160" s="2">
        <v>17157</v>
      </c>
      <c r="B17160" s="2" t="s">
        <v>17229</v>
      </c>
      <c r="C17160" s="2" t="str">
        <f>"00345237"</f>
        <v>00345237</v>
      </c>
      <c r="D17160" s="2">
        <v>0.216</v>
      </c>
      <c r="E17160" s="2">
        <v>5</v>
      </c>
      <c r="F17160" s="2" t="s">
        <v>16</v>
      </c>
    </row>
    <row r="17161" spans="1:6" ht="25.5">
      <c r="A17161" s="2">
        <v>17158</v>
      </c>
      <c r="B17161" s="2" t="s">
        <v>17230</v>
      </c>
      <c r="C17161" s="2" t="str">
        <f>"14356066"</f>
        <v>14356066</v>
      </c>
      <c r="D17161" s="2">
        <v>1.4370000000000001</v>
      </c>
      <c r="E17161" s="2">
        <v>39</v>
      </c>
      <c r="F17161" s="2" t="s">
        <v>16</v>
      </c>
    </row>
    <row r="17162" spans="1:6" ht="25.5">
      <c r="A17162" s="2">
        <v>17159</v>
      </c>
      <c r="B17162" s="2" t="s">
        <v>17231</v>
      </c>
      <c r="C17162" s="2" t="str">
        <f>"01932306"</f>
        <v>01932306</v>
      </c>
      <c r="D17162" s="2">
        <v>0.183</v>
      </c>
      <c r="E17162" s="2">
        <v>5</v>
      </c>
      <c r="F17162" s="2" t="s">
        <v>6</v>
      </c>
    </row>
    <row r="17163" spans="1:6" ht="25.5">
      <c r="A17163" s="2">
        <v>17160</v>
      </c>
      <c r="B17163" s="2" t="s">
        <v>17232</v>
      </c>
      <c r="C17163" s="2" t="str">
        <f>"01963821"</f>
        <v>01963821</v>
      </c>
      <c r="D17163" s="2">
        <v>0.10100000000000001</v>
      </c>
      <c r="E17163" s="2">
        <v>3</v>
      </c>
      <c r="F17163" s="2" t="s">
        <v>6</v>
      </c>
    </row>
    <row r="17164" spans="1:6" ht="25.5">
      <c r="A17164" s="2">
        <v>17161</v>
      </c>
      <c r="B17164" s="2" t="s">
        <v>17233</v>
      </c>
      <c r="C17164" s="2" t="str">
        <f>"19404921"</f>
        <v>19404921</v>
      </c>
      <c r="D17164" s="2">
        <v>0.35199999999999998</v>
      </c>
      <c r="E17164" s="2">
        <v>7</v>
      </c>
      <c r="F17164" s="2" t="s">
        <v>6</v>
      </c>
    </row>
    <row r="17165" spans="1:6" ht="25.5">
      <c r="A17165" s="2">
        <v>17162</v>
      </c>
      <c r="B17165" s="2" t="s">
        <v>17234</v>
      </c>
      <c r="C17165" s="2" t="str">
        <f>"10644857"</f>
        <v>10644857</v>
      </c>
      <c r="D17165" s="2">
        <v>0.121</v>
      </c>
      <c r="E17165" s="2">
        <v>4</v>
      </c>
      <c r="F17165" s="2" t="s">
        <v>6</v>
      </c>
    </row>
    <row r="17166" spans="1:6" ht="25.5">
      <c r="A17166" s="2">
        <v>17163</v>
      </c>
      <c r="B17166" s="2" t="s">
        <v>17235</v>
      </c>
      <c r="C17166" s="2" t="str">
        <f>"1573188X"</f>
        <v>1573188X</v>
      </c>
      <c r="D17166" s="2">
        <v>1.236</v>
      </c>
      <c r="E17166" s="2">
        <v>38</v>
      </c>
      <c r="F17166" s="2" t="s">
        <v>75</v>
      </c>
    </row>
    <row r="17167" spans="1:6" ht="25.5">
      <c r="A17167" s="2">
        <v>17164</v>
      </c>
      <c r="B17167" s="2" t="s">
        <v>17236</v>
      </c>
      <c r="C17167" s="2" t="str">
        <f>"02755319"</f>
        <v>02755319</v>
      </c>
      <c r="D17167" s="2">
        <v>0.39200000000000002</v>
      </c>
      <c r="E17167" s="2">
        <v>12</v>
      </c>
      <c r="F17167" s="2" t="s">
        <v>75</v>
      </c>
    </row>
    <row r="17168" spans="1:6" ht="25.5">
      <c r="A17168" s="2">
        <v>17165</v>
      </c>
      <c r="B17168" s="2" t="s">
        <v>17237</v>
      </c>
      <c r="C17168" s="2" t="str">
        <f>"01479121"</f>
        <v>01479121</v>
      </c>
      <c r="D17168" s="2">
        <v>0.247</v>
      </c>
      <c r="E17168" s="2">
        <v>13</v>
      </c>
      <c r="F17168" s="2" t="s">
        <v>6</v>
      </c>
    </row>
    <row r="17169" spans="1:6" ht="25.5">
      <c r="A17169" s="2">
        <v>17166</v>
      </c>
      <c r="B17169" s="2" t="s">
        <v>17238</v>
      </c>
      <c r="C17169" s="2" t="str">
        <f>"17697123"</f>
        <v>17697123</v>
      </c>
      <c r="D17169" s="2">
        <v>1.1040000000000001</v>
      </c>
      <c r="E17169" s="2">
        <v>62</v>
      </c>
      <c r="F17169" s="2" t="s">
        <v>190</v>
      </c>
    </row>
    <row r="17170" spans="1:6" ht="25.5">
      <c r="A17170" s="2">
        <v>17167</v>
      </c>
      <c r="B17170" s="2" t="s">
        <v>17239</v>
      </c>
      <c r="C17170" s="2" t="str">
        <f>"14322110"</f>
        <v>14322110</v>
      </c>
      <c r="D17170" s="2">
        <v>0.23300000000000001</v>
      </c>
      <c r="E17170" s="2">
        <v>19</v>
      </c>
      <c r="F17170" s="2" t="s">
        <v>16</v>
      </c>
    </row>
    <row r="17171" spans="1:6" ht="25.5">
      <c r="A17171" s="2">
        <v>17168</v>
      </c>
      <c r="B17171" s="2" t="s">
        <v>17240</v>
      </c>
      <c r="C17171" s="2" t="str">
        <f>"1098240X"</f>
        <v>1098240X</v>
      </c>
      <c r="D17171" s="2">
        <v>0.88600000000000001</v>
      </c>
      <c r="E17171" s="2">
        <v>50</v>
      </c>
      <c r="F17171" s="2" t="s">
        <v>6</v>
      </c>
    </row>
    <row r="17172" spans="1:6" ht="25.5">
      <c r="A17172" s="2">
        <v>17169</v>
      </c>
      <c r="B17172" s="2" t="s">
        <v>17241</v>
      </c>
      <c r="C17172" s="2" t="str">
        <f>"01913085"</f>
        <v>01913085</v>
      </c>
      <c r="D17172" s="2">
        <v>1.665</v>
      </c>
      <c r="E17172" s="2">
        <v>29</v>
      </c>
      <c r="F17172" s="2" t="s">
        <v>6</v>
      </c>
    </row>
    <row r="17173" spans="1:6" ht="25.5">
      <c r="A17173" s="2">
        <v>17170</v>
      </c>
      <c r="B17173" s="2" t="s">
        <v>17242</v>
      </c>
      <c r="C17173" s="2" t="str">
        <f>"17359414"</f>
        <v>17359414</v>
      </c>
      <c r="D17173" s="2">
        <v>0.221</v>
      </c>
      <c r="E17173" s="2">
        <v>4</v>
      </c>
      <c r="F17173" s="2" t="s">
        <v>299</v>
      </c>
    </row>
    <row r="17174" spans="1:6" ht="25.5">
      <c r="A17174" s="2">
        <v>17171</v>
      </c>
      <c r="B17174" s="2" t="s">
        <v>17243</v>
      </c>
      <c r="C17174" s="2" t="str">
        <f>"15691640"</f>
        <v>15691640</v>
      </c>
      <c r="D17174" s="2">
        <v>0.10199999999999999</v>
      </c>
      <c r="E17174" s="2">
        <v>5</v>
      </c>
      <c r="F17174" s="2" t="s">
        <v>75</v>
      </c>
    </row>
    <row r="17175" spans="1:6" ht="25.5">
      <c r="A17175" s="2">
        <v>17172</v>
      </c>
      <c r="B17175" s="2" t="s">
        <v>17244</v>
      </c>
      <c r="C17175" s="2" t="str">
        <f>"17475112"</f>
        <v>17475112</v>
      </c>
      <c r="D17175" s="2">
        <v>0.26400000000000001</v>
      </c>
      <c r="E17175" s="2">
        <v>6</v>
      </c>
      <c r="F17175" s="2" t="s">
        <v>16</v>
      </c>
    </row>
    <row r="17176" spans="1:6" ht="25.5">
      <c r="A17176" s="2">
        <v>17173</v>
      </c>
      <c r="B17176" s="2" t="s">
        <v>17245</v>
      </c>
      <c r="C17176" s="2" t="str">
        <f>"22398031"</f>
        <v>22398031</v>
      </c>
      <c r="D17176" s="2">
        <v>0.14399999999999999</v>
      </c>
      <c r="E17176" s="2">
        <v>2</v>
      </c>
      <c r="F17176" s="2" t="s">
        <v>190</v>
      </c>
    </row>
    <row r="17177" spans="1:6" ht="25.5">
      <c r="A17177" s="2">
        <v>17174</v>
      </c>
      <c r="B17177" s="2" t="s">
        <v>17246</v>
      </c>
      <c r="C17177" s="2" t="str">
        <f>"10571922"</f>
        <v>10571922</v>
      </c>
      <c r="D17177" s="2">
        <v>0.10199999999999999</v>
      </c>
      <c r="E17177" s="2">
        <v>6</v>
      </c>
      <c r="F17177" s="2" t="s">
        <v>6</v>
      </c>
    </row>
    <row r="17178" spans="1:6" ht="25.5">
      <c r="A17178" s="2">
        <v>17175</v>
      </c>
      <c r="B17178" s="2" t="s">
        <v>17247</v>
      </c>
      <c r="C17178" s="2" t="str">
        <f>"0157244X"</f>
        <v>0157244X</v>
      </c>
      <c r="D17178" s="2">
        <v>0.86399999999999999</v>
      </c>
      <c r="E17178" s="2">
        <v>21</v>
      </c>
      <c r="F17178" s="2" t="s">
        <v>75</v>
      </c>
    </row>
    <row r="17179" spans="1:6" ht="25.5">
      <c r="A17179" s="2">
        <v>17176</v>
      </c>
      <c r="B17179" s="2" t="s">
        <v>17248</v>
      </c>
      <c r="C17179" s="2" t="str">
        <f>"15517411"</f>
        <v>15517411</v>
      </c>
      <c r="D17179" s="2">
        <v>0.43099999999999999</v>
      </c>
      <c r="E17179" s="2">
        <v>15</v>
      </c>
      <c r="F17179" s="2" t="s">
        <v>6</v>
      </c>
    </row>
    <row r="17180" spans="1:6" ht="25.5">
      <c r="A17180" s="2">
        <v>17177</v>
      </c>
      <c r="B17180" s="2" t="s">
        <v>17249</v>
      </c>
      <c r="C17180" s="2" t="str">
        <f>"01961152"</f>
        <v>01961152</v>
      </c>
      <c r="D17180" s="2">
        <v>0.13800000000000001</v>
      </c>
      <c r="E17180" s="2">
        <v>7</v>
      </c>
      <c r="F17180" s="2" t="s">
        <v>6</v>
      </c>
    </row>
    <row r="17181" spans="1:6" ht="25.5">
      <c r="A17181" s="2">
        <v>17178</v>
      </c>
      <c r="B17181" s="2" t="s">
        <v>17250</v>
      </c>
      <c r="C17181" s="2" t="str">
        <f>"09161503"</f>
        <v>09161503</v>
      </c>
      <c r="D17181" s="2">
        <v>0.108</v>
      </c>
      <c r="E17181" s="2">
        <v>2</v>
      </c>
      <c r="F17181" s="2" t="s">
        <v>131</v>
      </c>
    </row>
    <row r="17182" spans="1:6" ht="25.5">
      <c r="A17182" s="2">
        <v>17179</v>
      </c>
      <c r="B17182" s="2" t="s">
        <v>17251</v>
      </c>
      <c r="C17182" s="2" t="str">
        <f>"02765624"</f>
        <v>02765624</v>
      </c>
      <c r="D17182" s="2">
        <v>0.71499999999999997</v>
      </c>
      <c r="E17182" s="2">
        <v>9</v>
      </c>
      <c r="F17182" s="2" t="s">
        <v>6</v>
      </c>
    </row>
    <row r="17183" spans="1:6" ht="25.5">
      <c r="A17183" s="2">
        <v>17180</v>
      </c>
      <c r="B17183" s="2" t="s">
        <v>17252</v>
      </c>
      <c r="C17183" s="2" t="str">
        <f>"15438635"</f>
        <v>15438635</v>
      </c>
      <c r="D17183" s="2">
        <v>0.48799999999999999</v>
      </c>
      <c r="E17183" s="2">
        <v>15</v>
      </c>
      <c r="F17183" s="2" t="s">
        <v>16</v>
      </c>
    </row>
    <row r="17184" spans="1:6" ht="25.5">
      <c r="A17184" s="2">
        <v>17181</v>
      </c>
      <c r="B17184" s="2" t="s">
        <v>17253</v>
      </c>
      <c r="C17184" s="2" t="str">
        <f>"0733558X"</f>
        <v>0733558X</v>
      </c>
      <c r="D17184" s="2">
        <v>0.43</v>
      </c>
      <c r="E17184" s="2">
        <v>13</v>
      </c>
      <c r="F17184" s="2" t="s">
        <v>6</v>
      </c>
    </row>
    <row r="17185" spans="1:6" ht="25.5">
      <c r="A17185" s="2">
        <v>17182</v>
      </c>
      <c r="B17185" s="2" t="s">
        <v>17254</v>
      </c>
      <c r="C17185" s="2" t="str">
        <f>"02772833"</f>
        <v>02772833</v>
      </c>
      <c r="D17185" s="2">
        <v>0.187</v>
      </c>
      <c r="E17185" s="2">
        <v>8</v>
      </c>
      <c r="F17185" s="2" t="s">
        <v>6</v>
      </c>
    </row>
    <row r="17186" spans="1:6" ht="25.5">
      <c r="A17186" s="2">
        <v>17183</v>
      </c>
      <c r="B17186" s="2" t="s">
        <v>17255</v>
      </c>
      <c r="C17186" s="2" t="str">
        <f>"0034527X"</f>
        <v>0034527X</v>
      </c>
      <c r="D17186" s="2">
        <v>0.83399999999999996</v>
      </c>
      <c r="E17186" s="2">
        <v>16</v>
      </c>
      <c r="F17186" s="2" t="s">
        <v>6</v>
      </c>
    </row>
    <row r="17187" spans="1:6" ht="25.5">
      <c r="A17187" s="2">
        <v>17184</v>
      </c>
      <c r="B17187" s="2" t="s">
        <v>17256</v>
      </c>
      <c r="C17187" s="2" t="str">
        <f>"22105395"</f>
        <v>22105395</v>
      </c>
      <c r="D17187" s="2">
        <v>0.14899999999999999</v>
      </c>
      <c r="E17187" s="2">
        <v>2</v>
      </c>
      <c r="F17187" s="2" t="s">
        <v>75</v>
      </c>
    </row>
    <row r="17188" spans="1:6" ht="25.5">
      <c r="A17188" s="2">
        <v>17185</v>
      </c>
      <c r="B17188" s="2" t="s">
        <v>17257</v>
      </c>
      <c r="C17188" s="2" t="str">
        <f>"07398859"</f>
        <v>07398859</v>
      </c>
      <c r="D17188" s="2">
        <v>0.59</v>
      </c>
      <c r="E17188" s="2">
        <v>10</v>
      </c>
      <c r="F17188" s="2" t="s">
        <v>6</v>
      </c>
    </row>
    <row r="17189" spans="1:6" ht="25.5">
      <c r="A17189" s="2">
        <v>17186</v>
      </c>
      <c r="B17189" s="2" t="s">
        <v>17258</v>
      </c>
      <c r="C17189" s="2" t="str">
        <f>"00345288"</f>
        <v>00345288</v>
      </c>
      <c r="D17189" s="2">
        <v>0.55300000000000005</v>
      </c>
      <c r="E17189" s="2">
        <v>43</v>
      </c>
      <c r="F17189" s="2" t="s">
        <v>75</v>
      </c>
    </row>
    <row r="17190" spans="1:6" ht="25.5">
      <c r="A17190" s="2">
        <v>17187</v>
      </c>
      <c r="B17190" s="2" t="s">
        <v>17259</v>
      </c>
      <c r="C17190" s="2" t="str">
        <f>"19936079"</f>
        <v>19936079</v>
      </c>
      <c r="D17190" s="2">
        <v>0.215</v>
      </c>
      <c r="E17190" s="2">
        <v>4</v>
      </c>
      <c r="F17190" s="2" t="s">
        <v>43</v>
      </c>
    </row>
    <row r="17191" spans="1:6" ht="25.5">
      <c r="A17191" s="2">
        <v>17188</v>
      </c>
      <c r="B17191" s="2" t="s">
        <v>17260</v>
      </c>
      <c r="C17191" s="2" t="str">
        <f>"20407467"</f>
        <v>20407467</v>
      </c>
      <c r="D17191" s="2">
        <v>0.15</v>
      </c>
      <c r="E17191" s="2">
        <v>5</v>
      </c>
      <c r="F17191" s="2" t="s">
        <v>16</v>
      </c>
    </row>
    <row r="17192" spans="1:6" ht="25.5">
      <c r="A17192" s="2">
        <v>17189</v>
      </c>
      <c r="B17192" s="2" t="s">
        <v>17261</v>
      </c>
      <c r="C17192" s="2" t="str">
        <f>"18164919"</f>
        <v>18164919</v>
      </c>
      <c r="D17192" s="2">
        <v>0.16900000000000001</v>
      </c>
      <c r="E17192" s="2">
        <v>3</v>
      </c>
      <c r="F17192" s="2" t="s">
        <v>6</v>
      </c>
    </row>
    <row r="17193" spans="1:6" ht="25.5">
      <c r="A17193" s="2">
        <v>17190</v>
      </c>
      <c r="B17193" s="2" t="s">
        <v>17262</v>
      </c>
      <c r="C17193" s="2" t="str">
        <f>"18191932"</f>
        <v>18191932</v>
      </c>
      <c r="D17193" s="2">
        <v>0.23899999999999999</v>
      </c>
      <c r="E17193" s="2">
        <v>4</v>
      </c>
      <c r="F17193" s="2" t="s">
        <v>6</v>
      </c>
    </row>
    <row r="17194" spans="1:6" ht="25.5">
      <c r="A17194" s="2">
        <v>17191</v>
      </c>
      <c r="B17194" s="2" t="s">
        <v>17263</v>
      </c>
      <c r="C17194" s="2" t="str">
        <f>"18193404"</f>
        <v>18193404</v>
      </c>
      <c r="D17194" s="2">
        <v>0.124</v>
      </c>
      <c r="E17194" s="2">
        <v>1</v>
      </c>
      <c r="F17194" s="2" t="s">
        <v>6</v>
      </c>
    </row>
    <row r="17195" spans="1:6" ht="25.5">
      <c r="A17195" s="2">
        <v>17192</v>
      </c>
      <c r="B17195" s="2" t="s">
        <v>17264</v>
      </c>
      <c r="C17195" s="2" t="str">
        <f>"09720626"</f>
        <v>09720626</v>
      </c>
      <c r="D17195" s="2">
        <v>0.14299999999999999</v>
      </c>
      <c r="E17195" s="2">
        <v>6</v>
      </c>
      <c r="F17195" s="2" t="s">
        <v>488</v>
      </c>
    </row>
    <row r="17196" spans="1:6" ht="25.5">
      <c r="A17196" s="2">
        <v>17193</v>
      </c>
      <c r="B17196" s="2" t="s">
        <v>17265</v>
      </c>
      <c r="C17196" s="2" t="str">
        <f>"18193420"</f>
        <v>18193420</v>
      </c>
      <c r="D17196" s="2">
        <v>0.35899999999999999</v>
      </c>
      <c r="E17196" s="2">
        <v>5</v>
      </c>
      <c r="F17196" s="2" t="s">
        <v>6</v>
      </c>
    </row>
    <row r="17197" spans="1:6" ht="25.5">
      <c r="A17197" s="2">
        <v>17194</v>
      </c>
      <c r="B17197" s="2" t="s">
        <v>17266</v>
      </c>
      <c r="C17197" s="2" t="str">
        <f>"20772211"</f>
        <v>20772211</v>
      </c>
      <c r="D17197" s="2">
        <v>0.48099999999999998</v>
      </c>
      <c r="E17197" s="2">
        <v>3</v>
      </c>
      <c r="F17197" s="2" t="s">
        <v>43</v>
      </c>
    </row>
    <row r="17198" spans="1:6" ht="25.5">
      <c r="A17198" s="2">
        <v>17195</v>
      </c>
      <c r="B17198" s="2" t="s">
        <v>17267</v>
      </c>
      <c r="C17198" s="2" t="str">
        <f>"18157432"</f>
        <v>18157432</v>
      </c>
      <c r="D17198" s="2">
        <v>0.70599999999999996</v>
      </c>
      <c r="E17198" s="2">
        <v>6</v>
      </c>
      <c r="F17198" s="2" t="s">
        <v>6</v>
      </c>
    </row>
    <row r="17199" spans="1:6" ht="25.5">
      <c r="A17199" s="2">
        <v>17196</v>
      </c>
      <c r="B17199" s="2" t="s">
        <v>17268</v>
      </c>
      <c r="C17199" s="2" t="str">
        <f>"19936095"</f>
        <v>19936095</v>
      </c>
      <c r="D17199" s="2">
        <v>0.185</v>
      </c>
      <c r="E17199" s="2">
        <v>4</v>
      </c>
      <c r="F17199" s="2" t="s">
        <v>43</v>
      </c>
    </row>
    <row r="17200" spans="1:6" ht="25.5">
      <c r="A17200" s="2">
        <v>17197</v>
      </c>
      <c r="B17200" s="2" t="s">
        <v>17269</v>
      </c>
      <c r="C17200" s="2" t="str">
        <f>"18193455"</f>
        <v>18193455</v>
      </c>
      <c r="D17200" s="2">
        <v>0.56299999999999994</v>
      </c>
      <c r="E17200" s="2">
        <v>10</v>
      </c>
      <c r="F17200" s="2" t="s">
        <v>6</v>
      </c>
    </row>
    <row r="17201" spans="1:6" ht="25.5">
      <c r="A17201" s="2">
        <v>17198</v>
      </c>
      <c r="B17201" s="2" t="s">
        <v>17270</v>
      </c>
      <c r="C17201" s="2" t="str">
        <f>"18164935"</f>
        <v>18164935</v>
      </c>
      <c r="D17201" s="2">
        <v>0.29499999999999998</v>
      </c>
      <c r="E17201" s="2">
        <v>9</v>
      </c>
      <c r="F17201" s="2" t="s">
        <v>6</v>
      </c>
    </row>
    <row r="17202" spans="1:6" ht="25.5">
      <c r="A17202" s="2">
        <v>17199</v>
      </c>
      <c r="B17202" s="2" t="s">
        <v>17271</v>
      </c>
      <c r="C17202" s="2" t="str">
        <f>"2077222X"</f>
        <v>2077222X</v>
      </c>
      <c r="D17202" s="2">
        <v>0.106</v>
      </c>
      <c r="E17202" s="2">
        <v>1</v>
      </c>
      <c r="F17202" s="2" t="s">
        <v>43</v>
      </c>
    </row>
    <row r="17203" spans="1:6" ht="25.5">
      <c r="A17203" s="2">
        <v>17200</v>
      </c>
      <c r="B17203" s="2" t="s">
        <v>17272</v>
      </c>
      <c r="C17203" s="2" t="str">
        <f>"18164943"</f>
        <v>18164943</v>
      </c>
      <c r="D17203" s="2">
        <v>0.153</v>
      </c>
      <c r="E17203" s="2">
        <v>2</v>
      </c>
      <c r="F17203" s="2" t="s">
        <v>43</v>
      </c>
    </row>
    <row r="17204" spans="1:6" ht="25.5">
      <c r="A17204" s="2">
        <v>17201</v>
      </c>
      <c r="B17204" s="2" t="s">
        <v>17273</v>
      </c>
      <c r="C17204" s="2" t="str">
        <f>"09758585"</f>
        <v>09758585</v>
      </c>
      <c r="D17204" s="2">
        <v>0.16800000000000001</v>
      </c>
      <c r="E17204" s="2">
        <v>5</v>
      </c>
      <c r="F17204" s="2" t="s">
        <v>488</v>
      </c>
    </row>
    <row r="17205" spans="1:6" ht="25.5">
      <c r="A17205" s="2">
        <v>17202</v>
      </c>
      <c r="B17205" s="2" t="s">
        <v>17274</v>
      </c>
      <c r="C17205" s="2" t="str">
        <f>"19936019"</f>
        <v>19936019</v>
      </c>
      <c r="D17205" s="2">
        <v>0.11</v>
      </c>
      <c r="E17205" s="2">
        <v>3</v>
      </c>
      <c r="F17205" s="2" t="s">
        <v>43</v>
      </c>
    </row>
    <row r="17206" spans="1:6" ht="25.5">
      <c r="A17206" s="2">
        <v>17203</v>
      </c>
      <c r="B17206" s="2" t="s">
        <v>17275</v>
      </c>
      <c r="C17206" s="2" t="str">
        <f>"09743618"</f>
        <v>09743618</v>
      </c>
      <c r="D17206" s="2">
        <v>0.108</v>
      </c>
      <c r="E17206" s="2">
        <v>2</v>
      </c>
      <c r="F17206" s="2" t="s">
        <v>488</v>
      </c>
    </row>
    <row r="17207" spans="1:6" ht="25.5">
      <c r="A17207" s="2">
        <v>17204</v>
      </c>
      <c r="B17207" s="2" t="s">
        <v>17276</v>
      </c>
      <c r="C17207" s="2" t="str">
        <f>"18193471"</f>
        <v>18193471</v>
      </c>
      <c r="D17207" s="2">
        <v>0.498</v>
      </c>
      <c r="E17207" s="2">
        <v>7</v>
      </c>
      <c r="F17207" s="2" t="s">
        <v>6</v>
      </c>
    </row>
    <row r="17208" spans="1:6" ht="25.5">
      <c r="A17208" s="2">
        <v>17205</v>
      </c>
      <c r="B17208" s="2" t="s">
        <v>17277</v>
      </c>
      <c r="C17208" s="2" t="str">
        <f>"18193552"</f>
        <v>18193552</v>
      </c>
      <c r="D17208" s="2">
        <v>0.312</v>
      </c>
      <c r="E17208" s="2">
        <v>4</v>
      </c>
      <c r="F17208" s="2" t="s">
        <v>6</v>
      </c>
    </row>
    <row r="17209" spans="1:6" ht="25.5">
      <c r="A17209" s="2">
        <v>17206</v>
      </c>
      <c r="B17209" s="2" t="s">
        <v>17278</v>
      </c>
      <c r="C17209" s="2" t="str">
        <f>"14798387"</f>
        <v>14798387</v>
      </c>
      <c r="D17209" s="2">
        <v>0.83899999999999997</v>
      </c>
      <c r="E17209" s="2">
        <v>8</v>
      </c>
      <c r="F17209" s="2" t="s">
        <v>75</v>
      </c>
    </row>
    <row r="17210" spans="1:6" ht="25.5">
      <c r="A17210" s="2">
        <v>17207</v>
      </c>
      <c r="B17210" s="2" t="s">
        <v>17279</v>
      </c>
      <c r="C17210" s="2" t="str">
        <f>"01640275"</f>
        <v>01640275</v>
      </c>
      <c r="D17210" s="2">
        <v>0.71599999999999997</v>
      </c>
      <c r="E17210" s="2">
        <v>35</v>
      </c>
      <c r="F17210" s="2" t="s">
        <v>6</v>
      </c>
    </row>
    <row r="17211" spans="1:6" ht="25.5">
      <c r="A17211" s="2">
        <v>17208</v>
      </c>
      <c r="B17211" s="2" t="s">
        <v>17280</v>
      </c>
      <c r="C17211" s="2" t="str">
        <f>"15685675"</f>
        <v>15685675</v>
      </c>
      <c r="D17211" s="2">
        <v>0.309</v>
      </c>
      <c r="E17211" s="2">
        <v>26</v>
      </c>
      <c r="F17211" s="2" t="s">
        <v>75</v>
      </c>
    </row>
    <row r="17212" spans="1:6" ht="25.5">
      <c r="A17212" s="2">
        <v>17209</v>
      </c>
      <c r="B17212" s="2" t="s">
        <v>17281</v>
      </c>
      <c r="C17212" s="2" t="str">
        <f>"09723226"</f>
        <v>09723226</v>
      </c>
      <c r="D17212" s="2">
        <v>0.13400000000000001</v>
      </c>
      <c r="E17212" s="2">
        <v>3</v>
      </c>
      <c r="F17212" s="2" t="s">
        <v>488</v>
      </c>
    </row>
    <row r="17213" spans="1:6" ht="25.5">
      <c r="A17213" s="2">
        <v>17210</v>
      </c>
      <c r="B17213" s="2" t="s">
        <v>17282</v>
      </c>
      <c r="C17213" s="2" t="str">
        <f>"15728706"</f>
        <v>15728706</v>
      </c>
      <c r="D17213" s="2">
        <v>0.107</v>
      </c>
      <c r="E17213" s="2">
        <v>8</v>
      </c>
      <c r="F17213" s="2" t="s">
        <v>75</v>
      </c>
    </row>
    <row r="17214" spans="1:6" ht="25.5">
      <c r="A17214" s="2">
        <v>17211</v>
      </c>
      <c r="B17214" s="2" t="s">
        <v>17283</v>
      </c>
      <c r="C17214" s="2" t="str">
        <f>"15327973"</f>
        <v>15327973</v>
      </c>
      <c r="D17214" s="2">
        <v>2.0230000000000001</v>
      </c>
      <c r="E17214" s="2">
        <v>27</v>
      </c>
      <c r="F17214" s="2" t="s">
        <v>16</v>
      </c>
    </row>
    <row r="17215" spans="1:6" ht="25.5">
      <c r="A17215" s="2">
        <v>17212</v>
      </c>
      <c r="B17215" s="2" t="s">
        <v>17284</v>
      </c>
      <c r="C17215" s="2" t="str">
        <f>"15340856"</f>
        <v>15340856</v>
      </c>
      <c r="D17215" s="2">
        <v>0.437</v>
      </c>
      <c r="E17215" s="2">
        <v>7</v>
      </c>
      <c r="F17215" s="2" t="s">
        <v>6</v>
      </c>
    </row>
    <row r="17216" spans="1:6" ht="25.5">
      <c r="A17216" s="2">
        <v>17213</v>
      </c>
      <c r="B17216" s="2" t="s">
        <v>17285</v>
      </c>
      <c r="C17216" s="2" t="str">
        <f>"10497315"</f>
        <v>10497315</v>
      </c>
      <c r="D17216" s="2">
        <v>0.72399999999999998</v>
      </c>
      <c r="E17216" s="2">
        <v>31</v>
      </c>
      <c r="F17216" s="2" t="s">
        <v>6</v>
      </c>
    </row>
    <row r="17217" spans="1:6" ht="25.5">
      <c r="A17217" s="2">
        <v>17214</v>
      </c>
      <c r="B17217" s="2" t="s">
        <v>17286</v>
      </c>
      <c r="C17217" s="2" t="str">
        <f>"02671522"</f>
        <v>02671522</v>
      </c>
      <c r="D17217" s="2">
        <v>0.41699999999999998</v>
      </c>
      <c r="E17217" s="2">
        <v>3</v>
      </c>
      <c r="F17217" s="2" t="s">
        <v>16</v>
      </c>
    </row>
    <row r="17218" spans="1:6" ht="25.5">
      <c r="A17218" s="2">
        <v>17215</v>
      </c>
      <c r="B17218" s="2" t="s">
        <v>17287</v>
      </c>
      <c r="C17218" s="2" t="str">
        <f>"00487333"</f>
        <v>00487333</v>
      </c>
      <c r="D17218" s="2">
        <v>2.4580000000000002</v>
      </c>
      <c r="E17218" s="2">
        <v>110</v>
      </c>
      <c r="F17218" s="2" t="s">
        <v>75</v>
      </c>
    </row>
    <row r="17219" spans="1:6" ht="25.5">
      <c r="A17219" s="2">
        <v>17216</v>
      </c>
      <c r="B17219" s="2" t="s">
        <v>17288</v>
      </c>
      <c r="C17219" s="2" t="str">
        <f>"03649857"</f>
        <v>03649857</v>
      </c>
      <c r="D17219" s="2">
        <v>0.59399999999999997</v>
      </c>
      <c r="E17219" s="2">
        <v>52</v>
      </c>
      <c r="F17219" s="2" t="s">
        <v>6</v>
      </c>
    </row>
    <row r="17220" spans="1:6" ht="25.5">
      <c r="A17220" s="2">
        <v>17217</v>
      </c>
      <c r="B17220" s="2" t="s">
        <v>17289</v>
      </c>
      <c r="C17220" s="2" t="str">
        <f>"05180728"</f>
        <v>05180728</v>
      </c>
      <c r="D17220" s="2">
        <v>0.105</v>
      </c>
      <c r="E17220" s="2">
        <v>1</v>
      </c>
      <c r="F17220" s="2" t="s">
        <v>127</v>
      </c>
    </row>
    <row r="17221" spans="1:6" ht="25.5">
      <c r="A17221" s="2">
        <v>17218</v>
      </c>
      <c r="B17221" s="2" t="s">
        <v>17290</v>
      </c>
      <c r="C17221" s="2" t="str">
        <f>"10415505"</f>
        <v>10415505</v>
      </c>
      <c r="D17221" s="2">
        <v>0.72399999999999998</v>
      </c>
      <c r="E17221" s="2">
        <v>16</v>
      </c>
      <c r="F17221" s="2" t="s">
        <v>6</v>
      </c>
    </row>
    <row r="17222" spans="1:6" ht="25.5">
      <c r="A17222" s="2">
        <v>17219</v>
      </c>
      <c r="B17222" s="2" t="s">
        <v>17291</v>
      </c>
      <c r="C17222" s="2" t="str">
        <f>"0"</f>
        <v>0</v>
      </c>
      <c r="D17222" s="2">
        <v>0.10100000000000001</v>
      </c>
      <c r="E17222" s="2">
        <v>5</v>
      </c>
      <c r="F17222" s="2" t="s">
        <v>127</v>
      </c>
    </row>
    <row r="17223" spans="1:6" ht="25.5">
      <c r="A17223" s="2">
        <v>17220</v>
      </c>
      <c r="B17223" s="2" t="s">
        <v>17292</v>
      </c>
      <c r="C17223" s="2" t="str">
        <f>"18345530"</f>
        <v>18345530</v>
      </c>
      <c r="D17223" s="2">
        <v>0.186</v>
      </c>
      <c r="E17223" s="2">
        <v>9</v>
      </c>
      <c r="F17223" s="2" t="s">
        <v>16</v>
      </c>
    </row>
    <row r="17224" spans="1:6" ht="25.5">
      <c r="A17224" s="2">
        <v>17221</v>
      </c>
      <c r="B17224" s="2" t="s">
        <v>17293</v>
      </c>
      <c r="C17224" s="2" t="str">
        <f>"08956308"</f>
        <v>08956308</v>
      </c>
      <c r="D17224" s="2">
        <v>0.51100000000000001</v>
      </c>
      <c r="E17224" s="2">
        <v>37</v>
      </c>
      <c r="F17224" s="2" t="s">
        <v>6</v>
      </c>
    </row>
    <row r="17225" spans="1:6" ht="25.5">
      <c r="A17225" s="2">
        <v>17222</v>
      </c>
      <c r="B17225" s="2" t="s">
        <v>17294</v>
      </c>
      <c r="C17225" s="2" t="str">
        <f>"17775809"</f>
        <v>17775809</v>
      </c>
      <c r="D17225" s="2">
        <v>0.20100000000000001</v>
      </c>
      <c r="E17225" s="2">
        <v>8</v>
      </c>
      <c r="F17225" s="2" t="s">
        <v>66</v>
      </c>
    </row>
    <row r="17226" spans="1:6" ht="25.5">
      <c r="A17226" s="2">
        <v>17223</v>
      </c>
      <c r="B17226" s="2" t="s">
        <v>17295</v>
      </c>
      <c r="C17226" s="2" t="str">
        <f>"0886571X"</f>
        <v>0886571X</v>
      </c>
      <c r="D17226" s="2">
        <v>0.26800000000000002</v>
      </c>
      <c r="E17226" s="2">
        <v>6</v>
      </c>
      <c r="F17226" s="2" t="s">
        <v>16</v>
      </c>
    </row>
    <row r="17227" spans="1:6" ht="25.5">
      <c r="A17227" s="2">
        <v>17224</v>
      </c>
      <c r="B17227" s="2" t="s">
        <v>17296</v>
      </c>
      <c r="C17227" s="2" t="str">
        <f>"09718044"</f>
        <v>09718044</v>
      </c>
      <c r="D17227" s="2">
        <v>0.19900000000000001</v>
      </c>
      <c r="E17227" s="2">
        <v>2</v>
      </c>
      <c r="F17227" s="2" t="s">
        <v>488</v>
      </c>
    </row>
    <row r="17228" spans="1:6" ht="25.5">
      <c r="A17228" s="2">
        <v>17225</v>
      </c>
      <c r="B17228" s="2" t="s">
        <v>17297</v>
      </c>
      <c r="C17228" s="2" t="str">
        <f>"13441698"</f>
        <v>13441698</v>
      </c>
      <c r="D17228" s="2">
        <v>0.40600000000000003</v>
      </c>
      <c r="E17228" s="2">
        <v>19</v>
      </c>
      <c r="F17228" s="2" t="s">
        <v>16</v>
      </c>
    </row>
    <row r="17229" spans="1:6" ht="25.5">
      <c r="A17229" s="2">
        <v>17226</v>
      </c>
      <c r="B17229" s="2" t="s">
        <v>17298</v>
      </c>
      <c r="C17229" s="2" t="str">
        <f>"07444710"</f>
        <v>07444710</v>
      </c>
      <c r="D17229" s="2">
        <v>0.1</v>
      </c>
      <c r="E17229" s="2">
        <v>1</v>
      </c>
      <c r="F17229" s="2" t="s">
        <v>6</v>
      </c>
    </row>
    <row r="17230" spans="1:6" ht="25.5">
      <c r="A17230" s="2">
        <v>17227</v>
      </c>
      <c r="B17230" s="2" t="s">
        <v>17299</v>
      </c>
      <c r="C17230" s="2" t="str">
        <f>"09287655"</f>
        <v>09287655</v>
      </c>
      <c r="D17230" s="2">
        <v>1.129</v>
      </c>
      <c r="E17230" s="2">
        <v>34</v>
      </c>
      <c r="F17230" s="2" t="s">
        <v>75</v>
      </c>
    </row>
    <row r="17231" spans="1:6" ht="25.5">
      <c r="A17231" s="2">
        <v>17228</v>
      </c>
      <c r="B17231" s="2" t="s">
        <v>17300</v>
      </c>
      <c r="C17231" s="2" t="str">
        <f>"09213449"</f>
        <v>09213449</v>
      </c>
      <c r="D17231" s="2">
        <v>1.0720000000000001</v>
      </c>
      <c r="E17231" s="2">
        <v>52</v>
      </c>
      <c r="F17231" s="2" t="s">
        <v>75</v>
      </c>
    </row>
    <row r="17232" spans="1:6" ht="25.5">
      <c r="A17232" s="2">
        <v>17229</v>
      </c>
      <c r="B17232" s="2" t="s">
        <v>17301</v>
      </c>
      <c r="C17232" s="2" t="str">
        <f>"15291502"</f>
        <v>15291502</v>
      </c>
      <c r="D17232" s="2">
        <v>0.10199999999999999</v>
      </c>
      <c r="E17232" s="2">
        <v>1</v>
      </c>
      <c r="F17232" s="2" t="s">
        <v>6</v>
      </c>
    </row>
    <row r="17233" spans="1:6" ht="25.5">
      <c r="A17233" s="2">
        <v>17230</v>
      </c>
      <c r="B17233" s="2" t="s">
        <v>17302</v>
      </c>
      <c r="C17233" s="2" t="str">
        <f>"03014207"</f>
        <v>03014207</v>
      </c>
      <c r="D17233" s="2">
        <v>0.745</v>
      </c>
      <c r="E17233" s="2">
        <v>21</v>
      </c>
      <c r="F17233" s="2" t="s">
        <v>16</v>
      </c>
    </row>
    <row r="17234" spans="1:6" ht="25.5">
      <c r="A17234" s="2">
        <v>17231</v>
      </c>
      <c r="B17234" s="2" t="s">
        <v>17303</v>
      </c>
      <c r="C17234" s="2" t="str">
        <f>"04523458"</f>
        <v>04523458</v>
      </c>
      <c r="D17234" s="2">
        <v>0.10100000000000001</v>
      </c>
      <c r="E17234" s="2">
        <v>3</v>
      </c>
      <c r="F17234" s="2" t="s">
        <v>131</v>
      </c>
    </row>
    <row r="17235" spans="1:6" ht="25.5">
      <c r="A17235" s="2">
        <v>17232</v>
      </c>
      <c r="B17235" s="2" t="s">
        <v>17304</v>
      </c>
      <c r="C17235" s="2" t="str">
        <f>"14230356"</f>
        <v>14230356</v>
      </c>
      <c r="D17235" s="2">
        <v>0.94599999999999995</v>
      </c>
      <c r="E17235" s="2">
        <v>49</v>
      </c>
      <c r="F17235" s="2" t="s">
        <v>31</v>
      </c>
    </row>
    <row r="17236" spans="1:6" ht="25.5">
      <c r="A17236" s="2">
        <v>17233</v>
      </c>
      <c r="B17236" s="2" t="s">
        <v>17305</v>
      </c>
      <c r="C17236" s="2" t="str">
        <f>"00201324"</f>
        <v>00201324</v>
      </c>
      <c r="D17236" s="2">
        <v>0.58099999999999996</v>
      </c>
      <c r="E17236" s="2">
        <v>44</v>
      </c>
      <c r="F17236" s="2" t="s">
        <v>6</v>
      </c>
    </row>
    <row r="17237" spans="1:6" ht="25.5">
      <c r="A17237" s="2">
        <v>17234</v>
      </c>
      <c r="B17237" s="2" t="s">
        <v>17306</v>
      </c>
      <c r="C17237" s="2" t="str">
        <f>"22125345"</f>
        <v>22125345</v>
      </c>
      <c r="D17237" s="2">
        <v>0.127</v>
      </c>
      <c r="E17237" s="2">
        <v>11</v>
      </c>
      <c r="F17237" s="2" t="s">
        <v>75</v>
      </c>
    </row>
    <row r="17238" spans="1:6" ht="25.5">
      <c r="A17238" s="2">
        <v>17235</v>
      </c>
      <c r="B17238" s="2" t="s">
        <v>17307</v>
      </c>
      <c r="C17238" s="2" t="str">
        <f>"15323064"</f>
        <v>15323064</v>
      </c>
      <c r="D17238" s="2">
        <v>1.0549999999999999</v>
      </c>
      <c r="E17238" s="2">
        <v>72</v>
      </c>
      <c r="F17238" s="2" t="s">
        <v>16</v>
      </c>
    </row>
    <row r="17239" spans="1:6" ht="25.5">
      <c r="A17239" s="2">
        <v>17236</v>
      </c>
      <c r="B17239" s="2" t="s">
        <v>17308</v>
      </c>
      <c r="C17239" s="2" t="str">
        <f>"22130071"</f>
        <v>22130071</v>
      </c>
      <c r="D17239" s="2">
        <v>0.128</v>
      </c>
      <c r="E17239" s="2">
        <v>6</v>
      </c>
      <c r="F17239" s="2" t="s">
        <v>75</v>
      </c>
    </row>
    <row r="17240" spans="1:6" ht="25.5">
      <c r="A17240" s="2">
        <v>17237</v>
      </c>
      <c r="B17240" s="2" t="s">
        <v>17309</v>
      </c>
      <c r="C17240" s="2" t="str">
        <f>"15699048"</f>
        <v>15699048</v>
      </c>
      <c r="D17240" s="2">
        <v>0.78500000000000003</v>
      </c>
      <c r="E17240" s="2">
        <v>62</v>
      </c>
      <c r="F17240" s="2" t="s">
        <v>75</v>
      </c>
    </row>
    <row r="17241" spans="1:6" ht="25.5">
      <c r="A17241" s="2">
        <v>17238</v>
      </c>
      <c r="B17241" s="2" t="s">
        <v>17310</v>
      </c>
      <c r="C17241" s="2" t="str">
        <f>"1465993X"</f>
        <v>1465993X</v>
      </c>
      <c r="D17241" s="2">
        <v>1.502</v>
      </c>
      <c r="E17241" s="2">
        <v>61</v>
      </c>
      <c r="F17241" s="2" t="s">
        <v>16</v>
      </c>
    </row>
    <row r="17242" spans="1:6" ht="25.5">
      <c r="A17242" s="2">
        <v>17239</v>
      </c>
      <c r="B17242" s="2" t="s">
        <v>17311</v>
      </c>
      <c r="C17242" s="2" t="str">
        <f>"14401843"</f>
        <v>14401843</v>
      </c>
      <c r="D17242" s="2">
        <v>0.89100000000000001</v>
      </c>
      <c r="E17242" s="2">
        <v>41</v>
      </c>
      <c r="F17242" s="2" t="s">
        <v>16</v>
      </c>
    </row>
    <row r="17243" spans="1:6" ht="25.5">
      <c r="A17243" s="2">
        <v>17240</v>
      </c>
      <c r="B17243" s="2" t="s">
        <v>17312</v>
      </c>
      <c r="C17243" s="2" t="str">
        <f>"15728692"</f>
        <v>15728692</v>
      </c>
      <c r="D17243" s="2">
        <v>0.35499999999999998</v>
      </c>
      <c r="E17243" s="2">
        <v>7</v>
      </c>
      <c r="F17243" s="2" t="s">
        <v>75</v>
      </c>
    </row>
    <row r="17244" spans="1:6" ht="25.5">
      <c r="A17244" s="2">
        <v>17241</v>
      </c>
      <c r="B17244" s="2" t="s">
        <v>17313</v>
      </c>
      <c r="C17244" s="2" t="str">
        <f>"00978043"</f>
        <v>00978043</v>
      </c>
      <c r="D17244" s="2">
        <v>0.10100000000000001</v>
      </c>
      <c r="E17244" s="2">
        <v>2</v>
      </c>
      <c r="F17244" s="2" t="s">
        <v>6</v>
      </c>
    </row>
    <row r="17245" spans="1:6" ht="25.5">
      <c r="A17245" s="2">
        <v>17242</v>
      </c>
      <c r="B17245" s="2" t="s">
        <v>17314</v>
      </c>
      <c r="C17245" s="2" t="str">
        <f>"00345806"</f>
        <v>00345806</v>
      </c>
      <c r="D17245" s="2">
        <v>0.21299999999999999</v>
      </c>
      <c r="E17245" s="2">
        <v>18</v>
      </c>
      <c r="F17245" s="2" t="s">
        <v>12</v>
      </c>
    </row>
    <row r="17246" spans="1:6" ht="25.5">
      <c r="A17246" s="2">
        <v>17243</v>
      </c>
      <c r="B17246" s="2" t="s">
        <v>17315</v>
      </c>
      <c r="C17246" s="2" t="str">
        <f>"1526100X"</f>
        <v>1526100X</v>
      </c>
      <c r="D17246" s="2">
        <v>1.1359999999999999</v>
      </c>
      <c r="E17246" s="2">
        <v>55</v>
      </c>
      <c r="F17246" s="2" t="s">
        <v>16</v>
      </c>
    </row>
    <row r="17247" spans="1:6" ht="25.5">
      <c r="A17247" s="2">
        <v>17244</v>
      </c>
      <c r="B17247" s="2" t="s">
        <v>17316</v>
      </c>
      <c r="C17247" s="2" t="str">
        <f>"09226028"</f>
        <v>09226028</v>
      </c>
      <c r="D17247" s="2">
        <v>1.2450000000000001</v>
      </c>
      <c r="E17247" s="2">
        <v>43</v>
      </c>
      <c r="F17247" s="2" t="s">
        <v>75</v>
      </c>
    </row>
    <row r="17248" spans="1:6" ht="25.5">
      <c r="A17248" s="2">
        <v>17245</v>
      </c>
      <c r="B17248" s="2" t="s">
        <v>17317</v>
      </c>
      <c r="C17248" s="2" t="str">
        <f>"00801844"</f>
        <v>00801844</v>
      </c>
      <c r="D17248" s="2">
        <v>1.006</v>
      </c>
      <c r="E17248" s="2">
        <v>26</v>
      </c>
      <c r="F17248" s="2" t="s">
        <v>12</v>
      </c>
    </row>
    <row r="17249" spans="1:6" ht="25.5">
      <c r="A17249" s="2">
        <v>17246</v>
      </c>
      <c r="B17249" s="2" t="s">
        <v>17318</v>
      </c>
      <c r="C17249" s="2" t="str">
        <f>"22112839"</f>
        <v>22112839</v>
      </c>
      <c r="D17249" s="2">
        <v>0.316</v>
      </c>
      <c r="E17249" s="2">
        <v>1</v>
      </c>
      <c r="F17249" s="2" t="s">
        <v>75</v>
      </c>
    </row>
    <row r="17250" spans="1:6" ht="25.5">
      <c r="A17250" s="2">
        <v>17247</v>
      </c>
      <c r="B17250" s="2" t="s">
        <v>17319</v>
      </c>
      <c r="C17250" s="2" t="str">
        <f>"14226383"</f>
        <v>14226383</v>
      </c>
      <c r="D17250" s="2">
        <v>0.46500000000000002</v>
      </c>
      <c r="E17250" s="2">
        <v>9</v>
      </c>
      <c r="F17250" s="2" t="s">
        <v>31</v>
      </c>
    </row>
    <row r="17251" spans="1:6" ht="25.5">
      <c r="A17251" s="2">
        <v>17248</v>
      </c>
      <c r="B17251" s="2" t="s">
        <v>17320</v>
      </c>
      <c r="C17251" s="2" t="str">
        <f>"22112863"</f>
        <v>22112863</v>
      </c>
      <c r="D17251" s="2">
        <v>0.153</v>
      </c>
      <c r="E17251" s="2">
        <v>2</v>
      </c>
      <c r="F17251" s="2" t="s">
        <v>75</v>
      </c>
    </row>
    <row r="17252" spans="1:6" ht="25.5">
      <c r="A17252" s="2">
        <v>17249</v>
      </c>
      <c r="B17252" s="2" t="s">
        <v>17321</v>
      </c>
      <c r="C17252" s="2" t="str">
        <f>"22113797"</f>
        <v>22113797</v>
      </c>
      <c r="D17252" s="2">
        <v>0.375</v>
      </c>
      <c r="E17252" s="2">
        <v>3</v>
      </c>
      <c r="F17252" s="2" t="s">
        <v>75</v>
      </c>
    </row>
    <row r="17253" spans="1:6" ht="25.5">
      <c r="A17253" s="2">
        <v>17250</v>
      </c>
      <c r="B17253" s="2" t="s">
        <v>17322</v>
      </c>
      <c r="C17253" s="2" t="str">
        <f>"03009572"</f>
        <v>03009572</v>
      </c>
      <c r="D17253" s="2">
        <v>1.6739999999999999</v>
      </c>
      <c r="E17253" s="2">
        <v>80</v>
      </c>
      <c r="F17253" s="2" t="s">
        <v>732</v>
      </c>
    </row>
    <row r="17254" spans="1:6" ht="25.5">
      <c r="A17254" s="2">
        <v>17251</v>
      </c>
      <c r="B17254" s="2" t="s">
        <v>17323</v>
      </c>
      <c r="C17254" s="2" t="str">
        <f>"13642529"</f>
        <v>13642529</v>
      </c>
      <c r="D17254" s="2">
        <v>0.223</v>
      </c>
      <c r="E17254" s="2">
        <v>8</v>
      </c>
      <c r="F17254" s="2" t="s">
        <v>16</v>
      </c>
    </row>
    <row r="17255" spans="1:6" ht="25.5">
      <c r="A17255" s="2">
        <v>17252</v>
      </c>
      <c r="B17255" s="2" t="s">
        <v>17324</v>
      </c>
      <c r="C17255" s="2" t="str">
        <f>"08935696"</f>
        <v>08935696</v>
      </c>
      <c r="D17255" s="2">
        <v>0.16400000000000001</v>
      </c>
      <c r="E17255" s="2">
        <v>4</v>
      </c>
      <c r="F17255" s="2" t="s">
        <v>16</v>
      </c>
    </row>
    <row r="17256" spans="1:6" ht="25.5">
      <c r="A17256" s="2">
        <v>17253</v>
      </c>
      <c r="B17256" s="2" t="s">
        <v>17325</v>
      </c>
      <c r="C17256" s="2" t="str">
        <f>"15932214"</f>
        <v>15932214</v>
      </c>
      <c r="D17256" s="2">
        <v>0.10100000000000001</v>
      </c>
      <c r="E17256" s="2">
        <v>0</v>
      </c>
      <c r="F17256" s="2" t="s">
        <v>190</v>
      </c>
    </row>
    <row r="17257" spans="1:6" ht="25.5">
      <c r="A17257" s="2">
        <v>17254</v>
      </c>
      <c r="B17257" s="2" t="s">
        <v>17326</v>
      </c>
      <c r="C17257" s="2" t="str">
        <f>"15392864"</f>
        <v>15392864</v>
      </c>
      <c r="D17257" s="2">
        <v>1.786</v>
      </c>
      <c r="E17257" s="2">
        <v>70</v>
      </c>
      <c r="F17257" s="2" t="s">
        <v>6</v>
      </c>
    </row>
    <row r="17258" spans="1:6" ht="25.5">
      <c r="A17258" s="2">
        <v>17255</v>
      </c>
      <c r="B17258" s="2" t="s">
        <v>17327</v>
      </c>
      <c r="C17258" s="2" t="str">
        <f>"18250572"</f>
        <v>18250572</v>
      </c>
      <c r="D17258" s="2">
        <v>0.108</v>
      </c>
      <c r="E17258" s="2">
        <v>2</v>
      </c>
      <c r="F17258" s="2" t="s">
        <v>6</v>
      </c>
    </row>
    <row r="17259" spans="1:6" ht="25.5">
      <c r="A17259" s="2">
        <v>17256</v>
      </c>
      <c r="B17259" s="2" t="s">
        <v>17328</v>
      </c>
      <c r="C17259" s="2" t="str">
        <f>"13001256"</f>
        <v>13001256</v>
      </c>
      <c r="D17259" s="2">
        <v>0.111</v>
      </c>
      <c r="E17259" s="2">
        <v>4</v>
      </c>
      <c r="F17259" s="2" t="s">
        <v>345</v>
      </c>
    </row>
    <row r="17260" spans="1:6" ht="25.5">
      <c r="A17260" s="2">
        <v>17257</v>
      </c>
      <c r="B17260" s="2" t="s">
        <v>17329</v>
      </c>
      <c r="C17260" s="2" t="str">
        <f>"11674687"</f>
        <v>11674687</v>
      </c>
      <c r="D17260" s="2">
        <v>0.14299999999999999</v>
      </c>
      <c r="E17260" s="2">
        <v>3</v>
      </c>
      <c r="F17260" s="2" t="s">
        <v>66</v>
      </c>
    </row>
    <row r="17261" spans="1:6" ht="25.5">
      <c r="A17261" s="2">
        <v>17258</v>
      </c>
      <c r="B17261" s="2" t="s">
        <v>17330</v>
      </c>
      <c r="C17261" s="2" t="str">
        <f>"17424690"</f>
        <v>17424690</v>
      </c>
      <c r="D17261" s="2">
        <v>1.881</v>
      </c>
      <c r="E17261" s="2">
        <v>51</v>
      </c>
      <c r="F17261" s="2" t="s">
        <v>16</v>
      </c>
    </row>
    <row r="17262" spans="1:6" ht="25.5">
      <c r="A17262" s="2">
        <v>17259</v>
      </c>
      <c r="B17262" s="2" t="s">
        <v>17331</v>
      </c>
      <c r="C17262" s="2" t="str">
        <f>"00487449"</f>
        <v>00487449</v>
      </c>
      <c r="D17262" s="2">
        <v>0.26400000000000001</v>
      </c>
      <c r="E17262" s="2">
        <v>13</v>
      </c>
      <c r="F17262" s="2" t="s">
        <v>190</v>
      </c>
    </row>
    <row r="17263" spans="1:6" ht="25.5">
      <c r="A17263" s="2">
        <v>17260</v>
      </c>
      <c r="B17263" s="2" t="s">
        <v>17332</v>
      </c>
      <c r="C17263" s="2" t="str">
        <f>"03741338"</f>
        <v>03741338</v>
      </c>
      <c r="D17263" s="2">
        <v>0.107</v>
      </c>
      <c r="E17263" s="2">
        <v>4</v>
      </c>
      <c r="F17263" s="2" t="s">
        <v>149</v>
      </c>
    </row>
    <row r="17264" spans="1:6" ht="25.5">
      <c r="A17264" s="2">
        <v>17261</v>
      </c>
      <c r="B17264" s="2" t="s">
        <v>17333</v>
      </c>
      <c r="C17264" s="2" t="str">
        <f>"00346233"</f>
        <v>00346233</v>
      </c>
      <c r="D17264" s="2">
        <v>0.128</v>
      </c>
      <c r="E17264" s="2">
        <v>7</v>
      </c>
      <c r="F17264" s="2" t="s">
        <v>169</v>
      </c>
    </row>
    <row r="17265" spans="1:6" ht="25.5">
      <c r="A17265" s="2">
        <v>17262</v>
      </c>
      <c r="B17265" s="2" t="s">
        <v>17334</v>
      </c>
      <c r="C17265" s="2" t="str">
        <f>"1699258X"</f>
        <v>1699258X</v>
      </c>
      <c r="D17265" s="2">
        <v>0.16700000000000001</v>
      </c>
      <c r="E17265" s="2">
        <v>7</v>
      </c>
      <c r="F17265" s="2" t="s">
        <v>351</v>
      </c>
    </row>
    <row r="17266" spans="1:6" ht="25.5">
      <c r="A17266" s="2">
        <v>17263</v>
      </c>
      <c r="B17266" s="2" t="s">
        <v>17335</v>
      </c>
      <c r="C17266" s="2" t="str">
        <f>"18863604"</f>
        <v>18863604</v>
      </c>
      <c r="D17266" s="2">
        <v>0.10100000000000001</v>
      </c>
      <c r="E17266" s="2">
        <v>3</v>
      </c>
      <c r="F17266" s="2" t="s">
        <v>351</v>
      </c>
    </row>
    <row r="17267" spans="1:6" ht="25.5">
      <c r="A17267" s="2">
        <v>17264</v>
      </c>
      <c r="B17267" s="2" t="s">
        <v>17336</v>
      </c>
      <c r="C17267" s="2" t="str">
        <f>"15490858"</f>
        <v>15490858</v>
      </c>
      <c r="D17267" s="2">
        <v>0.1</v>
      </c>
      <c r="E17267" s="2">
        <v>1</v>
      </c>
      <c r="F17267" s="2" t="s">
        <v>6</v>
      </c>
    </row>
    <row r="17268" spans="1:6" ht="25.5">
      <c r="A17268" s="2">
        <v>17265</v>
      </c>
      <c r="B17268" s="2" t="s">
        <v>17337</v>
      </c>
      <c r="C17268" s="2" t="str">
        <f>"18858031"</f>
        <v>18858031</v>
      </c>
      <c r="D17268" s="2">
        <v>0.115</v>
      </c>
      <c r="E17268" s="2">
        <v>2</v>
      </c>
      <c r="F17268" s="2" t="s">
        <v>351</v>
      </c>
    </row>
    <row r="17269" spans="1:6" ht="25.5">
      <c r="A17269" s="2">
        <v>17266</v>
      </c>
      <c r="B17269" s="2" t="s">
        <v>17338</v>
      </c>
      <c r="C17269" s="2" t="str">
        <f>"14757702"</f>
        <v>14757702</v>
      </c>
      <c r="D17269" s="2">
        <v>0.11899999999999999</v>
      </c>
      <c r="E17269" s="2">
        <v>1</v>
      </c>
      <c r="F17269" s="2" t="s">
        <v>16</v>
      </c>
    </row>
    <row r="17270" spans="1:6" ht="25.5">
      <c r="A17270" s="2">
        <v>17267</v>
      </c>
      <c r="B17270" s="2" t="s">
        <v>17339</v>
      </c>
      <c r="C17270" s="2" t="str">
        <f>"15737136"</f>
        <v>15737136</v>
      </c>
      <c r="D17270" s="2">
        <v>1.5489999999999999</v>
      </c>
      <c r="E17270" s="2">
        <v>38</v>
      </c>
      <c r="F17270" s="2" t="s">
        <v>6</v>
      </c>
    </row>
    <row r="17271" spans="1:6" ht="25.5">
      <c r="A17271" s="2">
        <v>17268</v>
      </c>
      <c r="B17271" s="2" t="s">
        <v>17340</v>
      </c>
      <c r="C17271" s="2" t="str">
        <f>"03056244"</f>
        <v>03056244</v>
      </c>
      <c r="D17271" s="2">
        <v>0.65900000000000003</v>
      </c>
      <c r="E17271" s="2">
        <v>20</v>
      </c>
      <c r="F17271" s="2" t="s">
        <v>16</v>
      </c>
    </row>
    <row r="17272" spans="1:6" ht="25.5">
      <c r="A17272" s="2">
        <v>17269</v>
      </c>
      <c r="B17272" s="2" t="s">
        <v>17341</v>
      </c>
      <c r="C17272" s="2" t="str">
        <f>"15737128"</f>
        <v>15737128</v>
      </c>
      <c r="D17272" s="2">
        <v>0.27600000000000002</v>
      </c>
      <c r="E17272" s="2">
        <v>14</v>
      </c>
      <c r="F17272" s="2" t="s">
        <v>75</v>
      </c>
    </row>
    <row r="17273" spans="1:6" ht="25.5">
      <c r="A17273" s="2">
        <v>17270</v>
      </c>
      <c r="B17273" s="2" t="s">
        <v>17342</v>
      </c>
      <c r="C17273" s="2" t="str">
        <f>"00346446"</f>
        <v>00346446</v>
      </c>
      <c r="D17273" s="2">
        <v>0.2</v>
      </c>
      <c r="E17273" s="2">
        <v>8</v>
      </c>
      <c r="F17273" s="2" t="s">
        <v>6</v>
      </c>
    </row>
    <row r="17274" spans="1:6" ht="25.5">
      <c r="A17274" s="2">
        <v>17271</v>
      </c>
      <c r="B17274" s="2" t="s">
        <v>17343</v>
      </c>
      <c r="C17274" s="2" t="str">
        <f>"15730352"</f>
        <v>15730352</v>
      </c>
      <c r="D17274" s="2">
        <v>0.13500000000000001</v>
      </c>
      <c r="E17274" s="2">
        <v>4</v>
      </c>
      <c r="F17274" s="2" t="s">
        <v>75</v>
      </c>
    </row>
    <row r="17275" spans="1:6" ht="25.5">
      <c r="A17275" s="2">
        <v>17272</v>
      </c>
      <c r="B17275" s="2" t="s">
        <v>17344</v>
      </c>
      <c r="C17275" s="2" t="str">
        <f>"10116583"</f>
        <v>10116583</v>
      </c>
      <c r="D17275" s="2">
        <v>0.10199999999999999</v>
      </c>
      <c r="E17275" s="2">
        <v>5</v>
      </c>
      <c r="F17275" s="2" t="s">
        <v>293</v>
      </c>
    </row>
    <row r="17276" spans="1:6" ht="25.5">
      <c r="A17276" s="2">
        <v>17273</v>
      </c>
      <c r="B17276" s="2" t="s">
        <v>17345</v>
      </c>
      <c r="C17276" s="2" t="str">
        <f>"18779751"</f>
        <v>18779751</v>
      </c>
      <c r="D17276" s="2">
        <v>0.30599999999999999</v>
      </c>
      <c r="E17276" s="2">
        <v>6</v>
      </c>
      <c r="F17276" s="2" t="s">
        <v>75</v>
      </c>
    </row>
    <row r="17277" spans="1:6" ht="25.5">
      <c r="A17277" s="2">
        <v>17274</v>
      </c>
      <c r="B17277" s="2" t="s">
        <v>17346</v>
      </c>
      <c r="C17277" s="2" t="str">
        <f>"15358593"</f>
        <v>15358593</v>
      </c>
      <c r="D17277" s="2">
        <v>0.17799999999999999</v>
      </c>
      <c r="E17277" s="2">
        <v>2</v>
      </c>
      <c r="F17277" s="2" t="s">
        <v>6</v>
      </c>
    </row>
    <row r="17278" spans="1:6" ht="25.5">
      <c r="A17278" s="2">
        <v>17275</v>
      </c>
      <c r="B17278" s="2" t="s">
        <v>17347</v>
      </c>
      <c r="C17278" s="2" t="str">
        <f>"13806645"</f>
        <v>13806645</v>
      </c>
      <c r="D17278" s="2">
        <v>0.187</v>
      </c>
      <c r="E17278" s="2">
        <v>15</v>
      </c>
      <c r="F17278" s="2" t="s">
        <v>6</v>
      </c>
    </row>
    <row r="17279" spans="1:6" ht="25.5">
      <c r="A17279" s="2">
        <v>17276</v>
      </c>
      <c r="B17279" s="2" t="s">
        <v>17348</v>
      </c>
      <c r="C17279" s="2" t="str">
        <f>"14679361"</f>
        <v>14679361</v>
      </c>
      <c r="D17279" s="2">
        <v>0.75</v>
      </c>
      <c r="E17279" s="2">
        <v>24</v>
      </c>
      <c r="F17279" s="2" t="s">
        <v>16</v>
      </c>
    </row>
    <row r="17280" spans="1:6" ht="25.5">
      <c r="A17280" s="2">
        <v>17277</v>
      </c>
      <c r="B17280" s="2" t="s">
        <v>17349</v>
      </c>
      <c r="C17280" s="2" t="str">
        <f>"18799337"</f>
        <v>18799337</v>
      </c>
      <c r="D17280" s="2">
        <v>0.21</v>
      </c>
      <c r="E17280" s="2">
        <v>2</v>
      </c>
      <c r="F17280" s="2" t="s">
        <v>75</v>
      </c>
    </row>
    <row r="17281" spans="1:6" ht="25.5">
      <c r="A17281" s="2">
        <v>17278</v>
      </c>
      <c r="B17281" s="2" t="s">
        <v>17350</v>
      </c>
      <c r="C17281" s="2" t="str">
        <f>"16140575"</f>
        <v>16140575</v>
      </c>
      <c r="D17281" s="2">
        <v>0.52200000000000002</v>
      </c>
      <c r="E17281" s="2">
        <v>13</v>
      </c>
      <c r="F17281" s="2" t="s">
        <v>12</v>
      </c>
    </row>
    <row r="17282" spans="1:6" ht="25.5">
      <c r="A17282" s="2">
        <v>17279</v>
      </c>
      <c r="B17282" s="2" t="s">
        <v>17351</v>
      </c>
      <c r="C17282" s="2" t="str">
        <f>"00346799"</f>
        <v>00346799</v>
      </c>
      <c r="D17282" s="2">
        <v>0.10199999999999999</v>
      </c>
      <c r="E17282" s="2">
        <v>3</v>
      </c>
      <c r="F17282" s="2" t="s">
        <v>190</v>
      </c>
    </row>
    <row r="17283" spans="1:6" ht="25.5">
      <c r="A17283" s="2">
        <v>17280</v>
      </c>
      <c r="B17283" s="2" t="s">
        <v>17352</v>
      </c>
      <c r="C17283" s="2" t="str">
        <f>"14344750"</f>
        <v>14344750</v>
      </c>
      <c r="D17283" s="2">
        <v>0.45</v>
      </c>
      <c r="E17283" s="2">
        <v>16</v>
      </c>
      <c r="F17283" s="2" t="s">
        <v>12</v>
      </c>
    </row>
    <row r="17284" spans="1:6" ht="25.5">
      <c r="A17284" s="2">
        <v>17281</v>
      </c>
      <c r="B17284" s="2" t="s">
        <v>17353</v>
      </c>
      <c r="C17284" s="2" t="str">
        <f>"10966099"</f>
        <v>10966099</v>
      </c>
      <c r="D17284" s="2">
        <v>4.4610000000000003</v>
      </c>
      <c r="E17284" s="2">
        <v>34</v>
      </c>
      <c r="F17284" s="2" t="s">
        <v>6</v>
      </c>
    </row>
    <row r="17285" spans="1:6" ht="25.5">
      <c r="A17285" s="2">
        <v>17282</v>
      </c>
      <c r="B17285" s="2" t="s">
        <v>17354</v>
      </c>
      <c r="C17285" s="2" t="str">
        <f>"15309142"</f>
        <v>15309142</v>
      </c>
      <c r="D17285" s="2">
        <v>4.5250000000000004</v>
      </c>
      <c r="E17285" s="2">
        <v>84</v>
      </c>
      <c r="F17285" s="2" t="s">
        <v>6</v>
      </c>
    </row>
    <row r="17286" spans="1:6" ht="25.5">
      <c r="A17286" s="2">
        <v>17283</v>
      </c>
      <c r="B17286" s="2" t="s">
        <v>17355</v>
      </c>
      <c r="C17286" s="2" t="str">
        <f>"15737152"</f>
        <v>15737152</v>
      </c>
      <c r="D17286" s="2">
        <v>0.95399999999999996</v>
      </c>
      <c r="E17286" s="2">
        <v>11</v>
      </c>
      <c r="F17286" s="2" t="s">
        <v>75</v>
      </c>
    </row>
    <row r="17287" spans="1:6" ht="25.5">
      <c r="A17287" s="2">
        <v>17284</v>
      </c>
      <c r="B17287" s="2" t="s">
        <v>17356</v>
      </c>
      <c r="C17287" s="2" t="str">
        <f>"1467937X"</f>
        <v>1467937X</v>
      </c>
      <c r="D17287" s="2">
        <v>9.1140000000000008</v>
      </c>
      <c r="E17287" s="2">
        <v>72</v>
      </c>
      <c r="F17287" s="2" t="s">
        <v>16</v>
      </c>
    </row>
    <row r="17288" spans="1:6" ht="25.5">
      <c r="A17288" s="2">
        <v>17285</v>
      </c>
      <c r="B17288" s="2" t="s">
        <v>17357</v>
      </c>
      <c r="C17288" s="2" t="str">
        <f>"00346543"</f>
        <v>00346543</v>
      </c>
      <c r="D17288" s="2">
        <v>3.86</v>
      </c>
      <c r="E17288" s="2">
        <v>71</v>
      </c>
      <c r="F17288" s="2" t="s">
        <v>6</v>
      </c>
    </row>
    <row r="17289" spans="1:6" ht="25.5">
      <c r="A17289" s="2">
        <v>17286</v>
      </c>
      <c r="B17289" s="2" t="s">
        <v>17358</v>
      </c>
      <c r="C17289" s="2" t="str">
        <f>"15563022"</f>
        <v>15563022</v>
      </c>
      <c r="D17289" s="2">
        <v>0.14499999999999999</v>
      </c>
      <c r="E17289" s="2">
        <v>5</v>
      </c>
      <c r="F17289" s="2" t="s">
        <v>16</v>
      </c>
    </row>
    <row r="17290" spans="1:6" ht="25.5">
      <c r="A17290" s="2">
        <v>17287</v>
      </c>
      <c r="B17290" s="2" t="s">
        <v>17359</v>
      </c>
      <c r="C17290" s="2" t="str">
        <f>"14716968"</f>
        <v>14716968</v>
      </c>
      <c r="D17290" s="2">
        <v>0.182</v>
      </c>
      <c r="E17290" s="2">
        <v>7</v>
      </c>
      <c r="F17290" s="2" t="s">
        <v>16</v>
      </c>
    </row>
    <row r="17291" spans="1:6" ht="25.5">
      <c r="A17291" s="2">
        <v>17288</v>
      </c>
      <c r="B17291" s="2" t="s">
        <v>17360</v>
      </c>
      <c r="C17291" s="2" t="str">
        <f>"17506816"</f>
        <v>17506816</v>
      </c>
      <c r="D17291" s="2">
        <v>2.4159999999999999</v>
      </c>
      <c r="E17291" s="2">
        <v>13</v>
      </c>
      <c r="F17291" s="2" t="s">
        <v>6</v>
      </c>
    </row>
    <row r="17292" spans="1:6" ht="25.5">
      <c r="A17292" s="2">
        <v>17289</v>
      </c>
      <c r="B17292" s="2" t="s">
        <v>17361</v>
      </c>
      <c r="C17292" s="2" t="str">
        <f>"14679388"</f>
        <v>14679388</v>
      </c>
      <c r="D17292" s="2">
        <v>0.33600000000000002</v>
      </c>
      <c r="E17292" s="2">
        <v>12</v>
      </c>
      <c r="F17292" s="2" t="s">
        <v>16</v>
      </c>
    </row>
    <row r="17293" spans="1:6" ht="25.5">
      <c r="A17293" s="2">
        <v>17290</v>
      </c>
      <c r="B17293" s="2" t="s">
        <v>17362</v>
      </c>
      <c r="C17293" s="2" t="str">
        <f>"19187181"</f>
        <v>19187181</v>
      </c>
      <c r="D17293" s="2">
        <v>0.111</v>
      </c>
      <c r="E17293" s="2">
        <v>2</v>
      </c>
      <c r="F17293" s="2" t="s">
        <v>64</v>
      </c>
    </row>
    <row r="17294" spans="1:6" ht="25.5">
      <c r="A17294" s="2">
        <v>17291</v>
      </c>
      <c r="B17294" s="2" t="s">
        <v>17363</v>
      </c>
      <c r="C17294" s="2" t="str">
        <f>"15570274"</f>
        <v>15570274</v>
      </c>
      <c r="D17294" s="2">
        <v>0.106</v>
      </c>
      <c r="E17294" s="2">
        <v>2</v>
      </c>
      <c r="F17294" s="2" t="s">
        <v>6</v>
      </c>
    </row>
    <row r="17295" spans="1:6" ht="25.5">
      <c r="A17295" s="2">
        <v>17292</v>
      </c>
      <c r="B17295" s="2" t="s">
        <v>17364</v>
      </c>
      <c r="C17295" s="2" t="str">
        <f>"15723097"</f>
        <v>15723097</v>
      </c>
      <c r="D17295" s="2">
        <v>2.992</v>
      </c>
      <c r="E17295" s="2">
        <v>22</v>
      </c>
      <c r="F17295" s="2" t="s">
        <v>16</v>
      </c>
    </row>
    <row r="17296" spans="1:6" ht="25.5">
      <c r="A17296" s="2">
        <v>17293</v>
      </c>
      <c r="B17296" s="2" t="s">
        <v>17365</v>
      </c>
      <c r="C17296" s="2" t="str">
        <f>"10583300"</f>
        <v>10583300</v>
      </c>
      <c r="D17296" s="2">
        <v>0.27300000000000002</v>
      </c>
      <c r="E17296" s="2">
        <v>19</v>
      </c>
      <c r="F17296" s="2" t="s">
        <v>6</v>
      </c>
    </row>
    <row r="17297" spans="1:6" ht="25.5">
      <c r="A17297" s="2">
        <v>17294</v>
      </c>
      <c r="B17297" s="2" t="s">
        <v>17366</v>
      </c>
      <c r="C17297" s="2" t="str">
        <f>"14657368"</f>
        <v>14657368</v>
      </c>
      <c r="D17297" s="2">
        <v>10.579000000000001</v>
      </c>
      <c r="E17297" s="2">
        <v>84</v>
      </c>
      <c r="F17297" s="2" t="s">
        <v>16</v>
      </c>
    </row>
    <row r="17298" spans="1:6" ht="25.5">
      <c r="A17298" s="2">
        <v>17295</v>
      </c>
      <c r="B17298" s="2" t="s">
        <v>17367</v>
      </c>
      <c r="C17298" s="2" t="str">
        <f>"10892680"</f>
        <v>10892680</v>
      </c>
      <c r="D17298" s="2">
        <v>1.119</v>
      </c>
      <c r="E17298" s="2">
        <v>50</v>
      </c>
      <c r="F17298" s="2" t="s">
        <v>6</v>
      </c>
    </row>
    <row r="17299" spans="1:6" ht="25.5">
      <c r="A17299" s="2">
        <v>17296</v>
      </c>
      <c r="B17299" s="2" t="s">
        <v>17368</v>
      </c>
      <c r="C17299" s="2" t="str">
        <f>"10907009"</f>
        <v>10907009</v>
      </c>
      <c r="D17299" s="2">
        <v>1.169</v>
      </c>
      <c r="E17299" s="2">
        <v>26</v>
      </c>
      <c r="F17299" s="2" t="s">
        <v>6</v>
      </c>
    </row>
    <row r="17300" spans="1:6" ht="25.5">
      <c r="A17300" s="2">
        <v>17297</v>
      </c>
      <c r="B17300" s="2" t="s">
        <v>17369</v>
      </c>
      <c r="C17300" s="2" t="str">
        <f>"0917639X"</f>
        <v>0917639X</v>
      </c>
      <c r="D17300" s="2">
        <v>0.14299999999999999</v>
      </c>
      <c r="E17300" s="2">
        <v>5</v>
      </c>
      <c r="F17300" s="2" t="s">
        <v>131</v>
      </c>
    </row>
    <row r="17301" spans="1:6" ht="25.5">
      <c r="A17301" s="2">
        <v>17298</v>
      </c>
      <c r="B17301" s="2" t="s">
        <v>17370</v>
      </c>
      <c r="C17301" s="2" t="str">
        <f>"14754991"</f>
        <v>14754991</v>
      </c>
      <c r="D17301" s="2">
        <v>1.1399999999999999</v>
      </c>
      <c r="E17301" s="2">
        <v>28</v>
      </c>
      <c r="F17301" s="2" t="s">
        <v>16</v>
      </c>
    </row>
    <row r="17302" spans="1:6" ht="25.5">
      <c r="A17302" s="2">
        <v>17299</v>
      </c>
      <c r="B17302" s="2" t="s">
        <v>17371</v>
      </c>
      <c r="C17302" s="2" t="str">
        <f>"15737160"</f>
        <v>15737160</v>
      </c>
      <c r="D17302" s="2">
        <v>0.311</v>
      </c>
      <c r="E17302" s="2">
        <v>31</v>
      </c>
      <c r="F17302" s="2" t="s">
        <v>75</v>
      </c>
    </row>
    <row r="17303" spans="1:6" ht="25.5">
      <c r="A17303" s="2">
        <v>17300</v>
      </c>
      <c r="B17303" s="2" t="s">
        <v>17372</v>
      </c>
      <c r="C17303" s="2" t="str">
        <f>"14679396"</f>
        <v>14679396</v>
      </c>
      <c r="D17303" s="2">
        <v>0.751</v>
      </c>
      <c r="E17303" s="2">
        <v>29</v>
      </c>
      <c r="F17303" s="2" t="s">
        <v>16</v>
      </c>
    </row>
    <row r="17304" spans="1:6" ht="25.5">
      <c r="A17304" s="2">
        <v>17301</v>
      </c>
      <c r="B17304" s="2" t="s">
        <v>17373</v>
      </c>
      <c r="C17304" s="2" t="str">
        <f>"1559744X"</f>
        <v>1559744X</v>
      </c>
      <c r="D17304" s="2">
        <v>1.2450000000000001</v>
      </c>
      <c r="E17304" s="2">
        <v>10</v>
      </c>
      <c r="F17304" s="2" t="s">
        <v>6</v>
      </c>
    </row>
    <row r="17305" spans="1:6" ht="25.5">
      <c r="A17305" s="2">
        <v>17302</v>
      </c>
      <c r="B17305" s="2" t="s">
        <v>17374</v>
      </c>
      <c r="C17305" s="2" t="str">
        <f>"14664526"</f>
        <v>14664526</v>
      </c>
      <c r="D17305" s="2">
        <v>1.1339999999999999</v>
      </c>
      <c r="E17305" s="2">
        <v>31</v>
      </c>
      <c r="F17305" s="2" t="s">
        <v>6</v>
      </c>
    </row>
    <row r="17306" spans="1:6" ht="25.5">
      <c r="A17306" s="2">
        <v>17303</v>
      </c>
      <c r="B17306" s="2" t="s">
        <v>17375</v>
      </c>
      <c r="C17306" s="2" t="str">
        <f>"14699044"</f>
        <v>14699044</v>
      </c>
      <c r="D17306" s="2">
        <v>0.66700000000000004</v>
      </c>
      <c r="E17306" s="2">
        <v>26</v>
      </c>
      <c r="F17306" s="2" t="s">
        <v>16</v>
      </c>
    </row>
    <row r="17307" spans="1:6" ht="25.5">
      <c r="A17307" s="2">
        <v>17304</v>
      </c>
      <c r="B17307" s="2" t="s">
        <v>17376</v>
      </c>
      <c r="C17307" s="2" t="str">
        <f>"15555879"</f>
        <v>15555879</v>
      </c>
      <c r="D17307" s="2">
        <v>0.186</v>
      </c>
      <c r="E17307" s="2">
        <v>7</v>
      </c>
      <c r="F17307" s="2" t="s">
        <v>6</v>
      </c>
    </row>
    <row r="17308" spans="1:6" ht="25.5">
      <c r="A17308" s="2">
        <v>17305</v>
      </c>
      <c r="B17308" s="2" t="s">
        <v>17377</v>
      </c>
      <c r="C17308" s="2" t="str">
        <f>"00487481"</f>
        <v>00487481</v>
      </c>
      <c r="D17308" s="2">
        <v>0.104</v>
      </c>
      <c r="E17308" s="2">
        <v>2</v>
      </c>
      <c r="F17308" s="2" t="s">
        <v>6</v>
      </c>
    </row>
    <row r="17309" spans="1:6" ht="25.5">
      <c r="A17309" s="2">
        <v>17306</v>
      </c>
      <c r="B17309" s="2" t="s">
        <v>17378</v>
      </c>
      <c r="C17309" s="2" t="str">
        <f>"18636691"</f>
        <v>18636691</v>
      </c>
      <c r="D17309" s="2">
        <v>0.17299999999999999</v>
      </c>
      <c r="E17309" s="2">
        <v>2</v>
      </c>
      <c r="F17309" s="2" t="s">
        <v>12</v>
      </c>
    </row>
    <row r="17310" spans="1:6" ht="25.5">
      <c r="A17310" s="2">
        <v>17307</v>
      </c>
      <c r="B17310" s="2" t="s">
        <v>17379</v>
      </c>
      <c r="C17310" s="2" t="str">
        <f>"15465616"</f>
        <v>15465616</v>
      </c>
      <c r="D17310" s="2">
        <v>0.29099999999999998</v>
      </c>
      <c r="E17310" s="2">
        <v>4</v>
      </c>
      <c r="F17310" s="2" t="s">
        <v>6</v>
      </c>
    </row>
    <row r="17311" spans="1:6" ht="25.5">
      <c r="A17311" s="2">
        <v>17308</v>
      </c>
      <c r="B17311" s="2" t="s">
        <v>17380</v>
      </c>
      <c r="C17311" s="2" t="str">
        <f>"15494853"</f>
        <v>15494853</v>
      </c>
      <c r="D17311" s="2">
        <v>0.13</v>
      </c>
      <c r="E17311" s="2">
        <v>6</v>
      </c>
      <c r="F17311" s="2" t="s">
        <v>6</v>
      </c>
    </row>
    <row r="17312" spans="1:6" ht="25.5">
      <c r="A17312" s="2">
        <v>17309</v>
      </c>
      <c r="B17312" s="2" t="s">
        <v>17381</v>
      </c>
      <c r="C17312" s="2" t="str">
        <f>"14469022"</f>
        <v>14469022</v>
      </c>
      <c r="D17312" s="2">
        <v>0.60599999999999998</v>
      </c>
      <c r="E17312" s="2">
        <v>4</v>
      </c>
      <c r="F17312" s="2" t="s">
        <v>6</v>
      </c>
    </row>
    <row r="17313" spans="1:6" ht="25.5">
      <c r="A17313" s="2">
        <v>17310</v>
      </c>
      <c r="B17313" s="2" t="s">
        <v>17382</v>
      </c>
      <c r="C17313" s="2" t="str">
        <f>"02190915"</f>
        <v>02190915</v>
      </c>
      <c r="D17313" s="2">
        <v>0.45800000000000002</v>
      </c>
      <c r="E17313" s="2">
        <v>6</v>
      </c>
      <c r="F17313" s="2" t="s">
        <v>543</v>
      </c>
    </row>
    <row r="17314" spans="1:6" ht="25.5">
      <c r="A17314" s="2">
        <v>17311</v>
      </c>
      <c r="B17314" s="2" t="s">
        <v>17383</v>
      </c>
      <c r="C17314" s="2" t="str">
        <f>"00346667"</f>
        <v>00346667</v>
      </c>
      <c r="D17314" s="2">
        <v>0.86499999999999999</v>
      </c>
      <c r="E17314" s="2">
        <v>42</v>
      </c>
      <c r="F17314" s="2" t="s">
        <v>75</v>
      </c>
    </row>
    <row r="17315" spans="1:6" ht="25.5">
      <c r="A17315" s="2">
        <v>17312</v>
      </c>
      <c r="B17315" s="2" t="s">
        <v>17384</v>
      </c>
      <c r="C17315" s="2" t="str">
        <f>"18785166"</f>
        <v>18785166</v>
      </c>
      <c r="D17315" s="2">
        <v>1.161</v>
      </c>
      <c r="E17315" s="2">
        <v>7</v>
      </c>
      <c r="F17315" s="2" t="s">
        <v>12</v>
      </c>
    </row>
    <row r="17316" spans="1:6" ht="25.5">
      <c r="A17316" s="2">
        <v>17313</v>
      </c>
      <c r="B17316" s="2" t="s">
        <v>17385</v>
      </c>
      <c r="C17316" s="2" t="str">
        <f>"15411338"</f>
        <v>15411338</v>
      </c>
      <c r="D17316" s="2">
        <v>0.55300000000000005</v>
      </c>
      <c r="E17316" s="2">
        <v>19</v>
      </c>
      <c r="F17316" s="2" t="s">
        <v>16</v>
      </c>
    </row>
    <row r="17317" spans="1:6" ht="25.5">
      <c r="A17317" s="2">
        <v>17314</v>
      </c>
      <c r="B17317" s="2" t="s">
        <v>17386</v>
      </c>
      <c r="C17317" s="2" t="str">
        <f>"14653982"</f>
        <v>14653982</v>
      </c>
      <c r="D17317" s="2">
        <v>0.309</v>
      </c>
      <c r="E17317" s="2">
        <v>12</v>
      </c>
      <c r="F17317" s="2" t="s">
        <v>16</v>
      </c>
    </row>
    <row r="17318" spans="1:6" ht="25.5">
      <c r="A17318" s="2">
        <v>17315</v>
      </c>
      <c r="B17318" s="2" t="s">
        <v>17387</v>
      </c>
      <c r="C17318" s="2" t="str">
        <f>"00346705"</f>
        <v>00346705</v>
      </c>
      <c r="D17318" s="2">
        <v>0.156</v>
      </c>
      <c r="E17318" s="2">
        <v>7</v>
      </c>
      <c r="F17318" s="2" t="s">
        <v>16</v>
      </c>
    </row>
    <row r="17319" spans="1:6" ht="25.5">
      <c r="A17319" s="2">
        <v>17316</v>
      </c>
      <c r="B17319" s="2" t="s">
        <v>17388</v>
      </c>
      <c r="C17319" s="2" t="str">
        <f>"0734371X"</f>
        <v>0734371X</v>
      </c>
      <c r="D17319" s="2">
        <v>0.98299999999999998</v>
      </c>
      <c r="E17319" s="2">
        <v>7</v>
      </c>
      <c r="F17319" s="2" t="s">
        <v>6</v>
      </c>
    </row>
    <row r="17320" spans="1:6" ht="25.5">
      <c r="A17320" s="2">
        <v>17317</v>
      </c>
      <c r="B17320" s="2" t="s">
        <v>17389</v>
      </c>
      <c r="C17320" s="2" t="str">
        <f>"15737179"</f>
        <v>15737179</v>
      </c>
      <c r="D17320" s="2">
        <v>0.55400000000000005</v>
      </c>
      <c r="E17320" s="2">
        <v>19</v>
      </c>
      <c r="F17320" s="2" t="s">
        <v>6</v>
      </c>
    </row>
    <row r="17321" spans="1:6" ht="25.5">
      <c r="A17321" s="2">
        <v>17318</v>
      </c>
      <c r="B17321" s="2" t="s">
        <v>17390</v>
      </c>
      <c r="C17321" s="2" t="str">
        <f>"15700704"</f>
        <v>15700704</v>
      </c>
      <c r="D17321" s="2">
        <v>0.111</v>
      </c>
      <c r="E17321" s="2">
        <v>3</v>
      </c>
      <c r="F17321" s="2" t="s">
        <v>75</v>
      </c>
    </row>
    <row r="17322" spans="1:6" ht="25.5">
      <c r="A17322" s="2">
        <v>17319</v>
      </c>
      <c r="B17322" s="2" t="s">
        <v>17391</v>
      </c>
      <c r="C17322" s="2" t="str">
        <f>"04866134"</f>
        <v>04866134</v>
      </c>
      <c r="D17322" s="2">
        <v>0.43</v>
      </c>
      <c r="E17322" s="2">
        <v>13</v>
      </c>
      <c r="F17322" s="2" t="s">
        <v>6</v>
      </c>
    </row>
    <row r="17323" spans="1:6" ht="25.5">
      <c r="A17323" s="2">
        <v>17320</v>
      </c>
      <c r="B17323" s="2" t="s">
        <v>17392</v>
      </c>
      <c r="C17323" s="2" t="str">
        <f>"0048749X"</f>
        <v>0048749X</v>
      </c>
      <c r="D17323" s="2">
        <v>0.161</v>
      </c>
      <c r="E17323" s="2">
        <v>10</v>
      </c>
      <c r="F17323" s="2" t="s">
        <v>6</v>
      </c>
    </row>
    <row r="17324" spans="1:6" ht="25.5">
      <c r="A17324" s="2">
        <v>17321</v>
      </c>
      <c r="B17324" s="2" t="s">
        <v>17393</v>
      </c>
      <c r="C17324" s="2" t="str">
        <f>"0034673X"</f>
        <v>0034673X</v>
      </c>
      <c r="D17324" s="2">
        <v>0.29699999999999999</v>
      </c>
      <c r="E17324" s="2">
        <v>19</v>
      </c>
      <c r="F17324" s="2" t="s">
        <v>6</v>
      </c>
    </row>
    <row r="17325" spans="1:6" ht="25.5">
      <c r="A17325" s="2">
        <v>17322</v>
      </c>
      <c r="B17325" s="2" t="s">
        <v>17394</v>
      </c>
      <c r="C17325" s="2" t="str">
        <f>"19351038"</f>
        <v>19351038</v>
      </c>
      <c r="D17325" s="2">
        <v>1.2130000000000001</v>
      </c>
      <c r="E17325" s="2">
        <v>26</v>
      </c>
      <c r="F17325" s="2" t="s">
        <v>6</v>
      </c>
    </row>
    <row r="17326" spans="1:6" ht="25.5">
      <c r="A17326" s="2">
        <v>17323</v>
      </c>
      <c r="B17326" s="2" t="s">
        <v>17395</v>
      </c>
      <c r="C17326" s="2" t="str">
        <f>"00346748"</f>
        <v>00346748</v>
      </c>
      <c r="D17326" s="2">
        <v>0.80600000000000005</v>
      </c>
      <c r="E17326" s="2">
        <v>103</v>
      </c>
      <c r="F17326" s="2" t="s">
        <v>6</v>
      </c>
    </row>
    <row r="17327" spans="1:6" ht="25.5">
      <c r="A17327" s="2">
        <v>17324</v>
      </c>
      <c r="B17327" s="2" t="s">
        <v>17396</v>
      </c>
      <c r="C17327" s="2" t="str">
        <f>"14701162"</f>
        <v>14701162</v>
      </c>
      <c r="D17327" s="2">
        <v>0.35399999999999998</v>
      </c>
      <c r="E17327" s="2">
        <v>14</v>
      </c>
      <c r="F17327" s="2" t="s">
        <v>6</v>
      </c>
    </row>
    <row r="17328" spans="1:6" ht="25.5">
      <c r="A17328" s="2">
        <v>17325</v>
      </c>
      <c r="B17328" s="2" t="s">
        <v>17397</v>
      </c>
      <c r="C17328" s="2" t="str">
        <f>"17550211"</f>
        <v>17550211</v>
      </c>
      <c r="D17328" s="2">
        <v>0.71499999999999997</v>
      </c>
      <c r="E17328" s="2">
        <v>3</v>
      </c>
      <c r="F17328" s="2" t="s">
        <v>16</v>
      </c>
    </row>
    <row r="17329" spans="1:6" ht="25.5">
      <c r="A17329" s="2">
        <v>17326</v>
      </c>
      <c r="B17329" s="2" t="s">
        <v>17398</v>
      </c>
      <c r="C17329" s="2" t="str">
        <f>"1467940X"</f>
        <v>1467940X</v>
      </c>
      <c r="D17329" s="2">
        <v>0.14699999999999999</v>
      </c>
      <c r="E17329" s="2">
        <v>10</v>
      </c>
      <c r="F17329" s="2" t="s">
        <v>16</v>
      </c>
    </row>
    <row r="17330" spans="1:6" ht="25.5">
      <c r="A17330" s="2">
        <v>17327</v>
      </c>
      <c r="B17330" s="2" t="s">
        <v>17399</v>
      </c>
      <c r="C17330" s="2" t="str">
        <f>"16102878"</f>
        <v>16102878</v>
      </c>
      <c r="D17330" s="2">
        <v>0.78100000000000003</v>
      </c>
      <c r="E17330" s="2">
        <v>27</v>
      </c>
      <c r="F17330" s="2" t="s">
        <v>12</v>
      </c>
    </row>
    <row r="17331" spans="1:6" ht="25.5">
      <c r="A17331" s="2">
        <v>17328</v>
      </c>
      <c r="B17331" s="2" t="s">
        <v>17400</v>
      </c>
      <c r="C17331" s="2" t="str">
        <f>"10806628"</f>
        <v>10806628</v>
      </c>
      <c r="D17331" s="2">
        <v>0.156</v>
      </c>
      <c r="E17331" s="2">
        <v>3</v>
      </c>
      <c r="F17331" s="2" t="s">
        <v>6</v>
      </c>
    </row>
    <row r="17332" spans="1:6" ht="25.5">
      <c r="A17332" s="2">
        <v>17329</v>
      </c>
      <c r="B17332" s="2" t="s">
        <v>17401</v>
      </c>
      <c r="C17332" s="2" t="str">
        <f>"07930135"</f>
        <v>07930135</v>
      </c>
      <c r="D17332" s="2">
        <v>0.154</v>
      </c>
      <c r="E17332" s="2">
        <v>17</v>
      </c>
      <c r="F17332" s="2" t="s">
        <v>12</v>
      </c>
    </row>
    <row r="17333" spans="1:6" ht="25.5">
      <c r="A17333" s="2">
        <v>17330</v>
      </c>
      <c r="B17333" s="2" t="s">
        <v>17402</v>
      </c>
      <c r="C17333" s="2" t="str">
        <f>"00938157"</f>
        <v>00938157</v>
      </c>
      <c r="D17333" s="2">
        <v>0.215</v>
      </c>
      <c r="E17333" s="2">
        <v>3</v>
      </c>
      <c r="F17333" s="2" t="s">
        <v>16</v>
      </c>
    </row>
    <row r="17334" spans="1:6" ht="25.5">
      <c r="A17334" s="2">
        <v>17331</v>
      </c>
      <c r="B17334" s="2" t="s">
        <v>17403</v>
      </c>
      <c r="C17334" s="2" t="str">
        <f>"17535123"</f>
        <v>17535123</v>
      </c>
      <c r="D17334" s="2">
        <v>0.81599999999999995</v>
      </c>
      <c r="E17334" s="2">
        <v>5</v>
      </c>
      <c r="F17334" s="2" t="s">
        <v>127</v>
      </c>
    </row>
    <row r="17335" spans="1:6" ht="25.5">
      <c r="A17335" s="2">
        <v>17332</v>
      </c>
      <c r="B17335" s="2" t="s">
        <v>17404</v>
      </c>
      <c r="C17335" s="2" t="str">
        <f>"15306550"</f>
        <v>15306550</v>
      </c>
      <c r="D17335" s="2">
        <v>0.41299999999999998</v>
      </c>
      <c r="E17335" s="2">
        <v>29</v>
      </c>
      <c r="F17335" s="2" t="s">
        <v>6</v>
      </c>
    </row>
    <row r="17336" spans="1:6" ht="25.5">
      <c r="A17336" s="2">
        <v>17333</v>
      </c>
      <c r="B17336" s="2" t="s">
        <v>17405</v>
      </c>
      <c r="C17336" s="2" t="str">
        <f>"01678299"</f>
        <v>01678299</v>
      </c>
      <c r="D17336" s="2">
        <v>0.59199999999999997</v>
      </c>
      <c r="E17336" s="2">
        <v>20</v>
      </c>
      <c r="F17336" s="2" t="s">
        <v>12</v>
      </c>
    </row>
    <row r="17337" spans="1:6" ht="25.5">
      <c r="A17337" s="2">
        <v>17334</v>
      </c>
      <c r="B17337" s="2" t="s">
        <v>17406</v>
      </c>
      <c r="C17337" s="2" t="str">
        <f>"14699036"</f>
        <v>14699036</v>
      </c>
      <c r="D17337" s="2">
        <v>0.17499999999999999</v>
      </c>
      <c r="E17337" s="2">
        <v>17</v>
      </c>
      <c r="F17337" s="2" t="s">
        <v>16</v>
      </c>
    </row>
    <row r="17338" spans="1:6" ht="25.5">
      <c r="A17338" s="2">
        <v>17335</v>
      </c>
      <c r="B17338" s="2" t="s">
        <v>17407</v>
      </c>
      <c r="C17338" s="2" t="str">
        <f>"15732606"</f>
        <v>15732606</v>
      </c>
      <c r="D17338" s="2">
        <v>1.2869999999999999</v>
      </c>
      <c r="E17338" s="2">
        <v>42</v>
      </c>
      <c r="F17338" s="2" t="s">
        <v>75</v>
      </c>
    </row>
    <row r="17339" spans="1:6" ht="25.5">
      <c r="A17339" s="2">
        <v>17336</v>
      </c>
      <c r="B17339" s="2" t="s">
        <v>17408</v>
      </c>
      <c r="C17339" s="2" t="str">
        <f>"15691705"</f>
        <v>15691705</v>
      </c>
      <c r="D17339" s="2">
        <v>0.79</v>
      </c>
      <c r="E17339" s="2">
        <v>25</v>
      </c>
      <c r="F17339" s="2" t="s">
        <v>75</v>
      </c>
    </row>
    <row r="17340" spans="1:6" ht="25.5">
      <c r="A17340" s="2">
        <v>17337</v>
      </c>
      <c r="B17340" s="2" t="s">
        <v>17409</v>
      </c>
      <c r="C17340" s="2" t="str">
        <f>"15735184"</f>
        <v>15735184</v>
      </c>
      <c r="D17340" s="2">
        <v>1.0629999999999999</v>
      </c>
      <c r="E17340" s="2">
        <v>59</v>
      </c>
      <c r="F17340" s="2" t="s">
        <v>75</v>
      </c>
    </row>
    <row r="17341" spans="1:6" ht="25.5">
      <c r="A17341" s="2">
        <v>17338</v>
      </c>
      <c r="B17341" s="2" t="s">
        <v>17410</v>
      </c>
      <c r="C17341" s="2" t="str">
        <f>"10641262"</f>
        <v>10641262</v>
      </c>
      <c r="D17341" s="2">
        <v>0.81200000000000006</v>
      </c>
      <c r="E17341" s="2">
        <v>32</v>
      </c>
      <c r="F17341" s="2" t="s">
        <v>16</v>
      </c>
    </row>
    <row r="17342" spans="1:6" ht="25.5">
      <c r="A17342" s="2">
        <v>17339</v>
      </c>
      <c r="B17342" s="2" t="s">
        <v>17411</v>
      </c>
      <c r="C17342" s="2" t="str">
        <f>"01934929"</f>
        <v>01934929</v>
      </c>
      <c r="D17342" s="2">
        <v>0.24199999999999999</v>
      </c>
      <c r="E17342" s="2">
        <v>13</v>
      </c>
      <c r="F17342" s="2" t="s">
        <v>12</v>
      </c>
    </row>
    <row r="17343" spans="1:6" ht="25.5">
      <c r="A17343" s="2">
        <v>17340</v>
      </c>
      <c r="B17343" s="2" t="s">
        <v>17412</v>
      </c>
      <c r="C17343" s="2" t="str">
        <f>"0129055X"</f>
        <v>0129055X</v>
      </c>
      <c r="D17343" s="2">
        <v>1.0629999999999999</v>
      </c>
      <c r="E17343" s="2">
        <v>29</v>
      </c>
      <c r="F17343" s="2" t="s">
        <v>543</v>
      </c>
    </row>
    <row r="17344" spans="1:6" ht="25.5">
      <c r="A17344" s="2">
        <v>17341</v>
      </c>
      <c r="B17344" s="2" t="s">
        <v>17413</v>
      </c>
      <c r="C17344" s="2" t="str">
        <f>"0954139X"</f>
        <v>0954139X</v>
      </c>
      <c r="D17344" s="2">
        <v>0.20100000000000001</v>
      </c>
      <c r="E17344" s="2">
        <v>20</v>
      </c>
      <c r="F17344" s="2" t="s">
        <v>6</v>
      </c>
    </row>
    <row r="17345" spans="1:6" ht="25.5">
      <c r="A17345" s="2">
        <v>17342</v>
      </c>
      <c r="B17345" s="2" t="s">
        <v>17414</v>
      </c>
      <c r="C17345" s="2" t="str">
        <f>"10991654"</f>
        <v>10991654</v>
      </c>
      <c r="D17345" s="2">
        <v>2.4750000000000001</v>
      </c>
      <c r="E17345" s="2">
        <v>61</v>
      </c>
      <c r="F17345" s="2" t="s">
        <v>16</v>
      </c>
    </row>
    <row r="17346" spans="1:6" ht="25.5">
      <c r="A17346" s="2">
        <v>17343</v>
      </c>
      <c r="B17346" s="2" t="s">
        <v>17415</v>
      </c>
      <c r="C17346" s="2" t="str">
        <f>"15296466"</f>
        <v>15296466</v>
      </c>
      <c r="D17346" s="2">
        <v>1.899</v>
      </c>
      <c r="E17346" s="2">
        <v>59</v>
      </c>
      <c r="F17346" s="2" t="s">
        <v>6</v>
      </c>
    </row>
    <row r="17347" spans="1:6" ht="25.5">
      <c r="A17347" s="2">
        <v>17344</v>
      </c>
      <c r="B17347" s="2" t="s">
        <v>17416</v>
      </c>
      <c r="C17347" s="2" t="str">
        <f>"15452913"</f>
        <v>15452913</v>
      </c>
      <c r="D17347" s="2">
        <v>0.36099999999999999</v>
      </c>
      <c r="E17347" s="2">
        <v>13</v>
      </c>
      <c r="F17347" s="2" t="s">
        <v>6</v>
      </c>
    </row>
    <row r="17348" spans="1:6" ht="25.5">
      <c r="A17348" s="2">
        <v>17345</v>
      </c>
      <c r="B17348" s="2" t="s">
        <v>17417</v>
      </c>
      <c r="C17348" s="2" t="str">
        <f>"03341763"</f>
        <v>03341763</v>
      </c>
      <c r="D17348" s="2">
        <v>1.254</v>
      </c>
      <c r="E17348" s="2">
        <v>48</v>
      </c>
      <c r="F17348" s="2" t="s">
        <v>12</v>
      </c>
    </row>
    <row r="17349" spans="1:6" ht="25.5">
      <c r="A17349" s="2">
        <v>17346</v>
      </c>
      <c r="B17349" s="2" t="s">
        <v>17418</v>
      </c>
      <c r="C17349" s="2" t="str">
        <f>"01795953"</f>
        <v>01795953</v>
      </c>
      <c r="D17349" s="2">
        <v>1.7210000000000001</v>
      </c>
      <c r="E17349" s="2">
        <v>38</v>
      </c>
      <c r="F17349" s="2" t="s">
        <v>6</v>
      </c>
    </row>
    <row r="17350" spans="1:6" ht="25.5">
      <c r="A17350" s="2">
        <v>17347</v>
      </c>
      <c r="B17350" s="2" t="s">
        <v>17419</v>
      </c>
      <c r="C17350" s="2" t="str">
        <f>"87551209"</f>
        <v>87551209</v>
      </c>
      <c r="D17350" s="2">
        <v>8.8369999999999997</v>
      </c>
      <c r="E17350" s="2">
        <v>87</v>
      </c>
      <c r="F17350" s="2" t="s">
        <v>6</v>
      </c>
    </row>
    <row r="17351" spans="1:6" ht="25.5">
      <c r="A17351" s="2">
        <v>17348</v>
      </c>
      <c r="B17351" s="2" t="s">
        <v>17420</v>
      </c>
      <c r="C17351" s="2" t="str">
        <f>"1557234X"</f>
        <v>1557234X</v>
      </c>
      <c r="D17351" s="2">
        <v>0.121</v>
      </c>
      <c r="E17351" s="2">
        <v>2</v>
      </c>
      <c r="F17351" s="2" t="s">
        <v>6</v>
      </c>
    </row>
    <row r="17352" spans="1:6" ht="25.5">
      <c r="A17352" s="2">
        <v>17349</v>
      </c>
      <c r="B17352" s="2" t="s">
        <v>17421</v>
      </c>
      <c r="C17352" s="2" t="str">
        <f>"15390756"</f>
        <v>15390756</v>
      </c>
      <c r="D17352" s="2">
        <v>39.439</v>
      </c>
      <c r="E17352" s="2">
        <v>198</v>
      </c>
      <c r="F17352" s="2" t="s">
        <v>6</v>
      </c>
    </row>
    <row r="17353" spans="1:6" ht="25.5">
      <c r="A17353" s="2">
        <v>17350</v>
      </c>
      <c r="B17353" s="2" t="s">
        <v>17422</v>
      </c>
      <c r="C17353" s="2" t="str">
        <f>"03034240"</f>
        <v>03034240</v>
      </c>
      <c r="D17353" s="2">
        <v>0</v>
      </c>
      <c r="E17353" s="2">
        <v>52</v>
      </c>
      <c r="F17353" s="2" t="s">
        <v>12</v>
      </c>
    </row>
    <row r="17354" spans="1:6" ht="25.5">
      <c r="A17354" s="2">
        <v>17351</v>
      </c>
      <c r="B17354" s="2" t="s">
        <v>17423</v>
      </c>
      <c r="C17354" s="2" t="str">
        <f>"16058127"</f>
        <v>16058127</v>
      </c>
      <c r="D17354" s="2">
        <v>0.437</v>
      </c>
      <c r="E17354" s="2">
        <v>27</v>
      </c>
      <c r="F17354" s="2" t="s">
        <v>129</v>
      </c>
    </row>
    <row r="17355" spans="1:6" ht="25.5">
      <c r="A17355" s="2">
        <v>17352</v>
      </c>
      <c r="B17355" s="2" t="s">
        <v>17424</v>
      </c>
      <c r="C17355" s="2" t="str">
        <f>"00487554"</f>
        <v>00487554</v>
      </c>
      <c r="D17355" s="2">
        <v>0.439</v>
      </c>
      <c r="E17355" s="2">
        <v>32</v>
      </c>
      <c r="F17355" s="2" t="s">
        <v>12</v>
      </c>
    </row>
    <row r="17356" spans="1:6" ht="25.5">
      <c r="A17356" s="2">
        <v>17353</v>
      </c>
      <c r="B17356" s="2" t="s">
        <v>17425</v>
      </c>
      <c r="C17356" s="2" t="str">
        <f>"15748871"</f>
        <v>15748871</v>
      </c>
      <c r="D17356" s="2">
        <v>0.56399999999999995</v>
      </c>
      <c r="E17356" s="2">
        <v>17</v>
      </c>
      <c r="F17356" s="2" t="s">
        <v>75</v>
      </c>
    </row>
    <row r="17357" spans="1:6" ht="25.5">
      <c r="A17357" s="2">
        <v>17354</v>
      </c>
      <c r="B17357" s="2" t="s">
        <v>17426</v>
      </c>
      <c r="C17357" s="2" t="str">
        <f>"08905762"</f>
        <v>08905762</v>
      </c>
      <c r="D17357" s="2">
        <v>0.1</v>
      </c>
      <c r="E17357" s="2">
        <v>2</v>
      </c>
      <c r="F17357" s="2" t="s">
        <v>16</v>
      </c>
    </row>
    <row r="17358" spans="1:6" ht="25.5">
      <c r="A17358" s="2">
        <v>17355</v>
      </c>
      <c r="B17358" s="2" t="s">
        <v>17427</v>
      </c>
      <c r="C17358" s="2" t="str">
        <f>"13302965"</f>
        <v>13302965</v>
      </c>
      <c r="D17358" s="2">
        <v>0.13</v>
      </c>
      <c r="E17358" s="2">
        <v>6</v>
      </c>
      <c r="F17358" s="2" t="s">
        <v>149</v>
      </c>
    </row>
    <row r="17359" spans="1:6" ht="25.5">
      <c r="A17359" s="2">
        <v>17356</v>
      </c>
      <c r="B17359" s="2" t="s">
        <v>17428</v>
      </c>
      <c r="C17359" s="2" t="str">
        <f>"0350154X"</f>
        <v>0350154X</v>
      </c>
      <c r="D17359" s="2">
        <v>0.13900000000000001</v>
      </c>
      <c r="E17359" s="2">
        <v>3</v>
      </c>
      <c r="F17359" s="2" t="s">
        <v>149</v>
      </c>
    </row>
    <row r="17360" spans="1:6" ht="25.5">
      <c r="A17360" s="2">
        <v>17357</v>
      </c>
      <c r="B17360" s="2" t="s">
        <v>17429</v>
      </c>
      <c r="C17360" s="2" t="str">
        <f>"02138573"</f>
        <v>02138573</v>
      </c>
      <c r="D17360" s="2">
        <v>0.1</v>
      </c>
      <c r="E17360" s="2">
        <v>2</v>
      </c>
      <c r="F17360" s="2" t="s">
        <v>351</v>
      </c>
    </row>
    <row r="17361" spans="1:6" ht="25.5">
      <c r="A17361" s="2">
        <v>17358</v>
      </c>
      <c r="B17361" s="2" t="s">
        <v>17430</v>
      </c>
      <c r="C17361" s="2" t="str">
        <f>"00025151"</f>
        <v>00025151</v>
      </c>
      <c r="D17361" s="2">
        <v>0.14499999999999999</v>
      </c>
      <c r="E17361" s="2">
        <v>7</v>
      </c>
      <c r="F17361" s="2" t="s">
        <v>200</v>
      </c>
    </row>
    <row r="17362" spans="1:6" ht="25.5">
      <c r="A17362" s="2">
        <v>17359</v>
      </c>
      <c r="B17362" s="2" t="s">
        <v>17431</v>
      </c>
      <c r="C17362" s="2" t="str">
        <f>"18887546"</f>
        <v>18887546</v>
      </c>
      <c r="D17362" s="2">
        <v>0.16400000000000001</v>
      </c>
      <c r="E17362" s="2">
        <v>3</v>
      </c>
      <c r="F17362" s="2" t="s">
        <v>351</v>
      </c>
    </row>
    <row r="17363" spans="1:6" ht="25.5">
      <c r="A17363" s="2">
        <v>17360</v>
      </c>
      <c r="B17363" s="2" t="s">
        <v>17432</v>
      </c>
      <c r="C17363" s="2" t="str">
        <f>"00347000"</f>
        <v>00347000</v>
      </c>
      <c r="D17363" s="2">
        <v>0.108</v>
      </c>
      <c r="E17363" s="2">
        <v>4</v>
      </c>
      <c r="F17363" s="2" t="s">
        <v>192</v>
      </c>
    </row>
    <row r="17364" spans="1:6" ht="25.5">
      <c r="A17364" s="2">
        <v>17361</v>
      </c>
      <c r="B17364" s="2" t="s">
        <v>17433</v>
      </c>
      <c r="C17364" s="2" t="str">
        <f>"03276716"</f>
        <v>03276716</v>
      </c>
      <c r="D17364" s="2">
        <v>0.31</v>
      </c>
      <c r="E17364" s="2">
        <v>5</v>
      </c>
      <c r="F17364" s="2" t="s">
        <v>192</v>
      </c>
    </row>
    <row r="17365" spans="1:6" ht="25.5">
      <c r="A17365" s="2">
        <v>17362</v>
      </c>
      <c r="B17365" s="2" t="s">
        <v>17434</v>
      </c>
      <c r="C17365" s="2" t="str">
        <f>"03252787"</f>
        <v>03252787</v>
      </c>
      <c r="D17365" s="2">
        <v>0.1</v>
      </c>
      <c r="E17365" s="2">
        <v>2</v>
      </c>
      <c r="F17365" s="2" t="s">
        <v>192</v>
      </c>
    </row>
    <row r="17366" spans="1:6" ht="25.5">
      <c r="A17366" s="2">
        <v>17363</v>
      </c>
      <c r="B17366" s="2" t="s">
        <v>17435</v>
      </c>
      <c r="C17366" s="2" t="str">
        <f>"03264610"</f>
        <v>03264610</v>
      </c>
      <c r="D17366" s="2">
        <v>0.109</v>
      </c>
      <c r="E17366" s="2">
        <v>9</v>
      </c>
      <c r="F17366" s="2" t="s">
        <v>192</v>
      </c>
    </row>
    <row r="17367" spans="1:6" ht="25.5">
      <c r="A17367" s="2">
        <v>17364</v>
      </c>
      <c r="B17367" s="2" t="s">
        <v>17436</v>
      </c>
      <c r="C17367" s="2" t="str">
        <f>"03257541"</f>
        <v>03257541</v>
      </c>
      <c r="D17367" s="2">
        <v>0.245</v>
      </c>
      <c r="E17367" s="2">
        <v>13</v>
      </c>
      <c r="F17367" s="2" t="s">
        <v>192</v>
      </c>
    </row>
    <row r="17368" spans="1:6" ht="25.5">
      <c r="A17368" s="2">
        <v>17365</v>
      </c>
      <c r="B17368" s="2" t="s">
        <v>17437</v>
      </c>
      <c r="C17368" s="2" t="str">
        <f>"01006762"</f>
        <v>01006762</v>
      </c>
      <c r="D17368" s="2">
        <v>0.48799999999999999</v>
      </c>
      <c r="E17368" s="2">
        <v>13</v>
      </c>
      <c r="F17368" s="2" t="s">
        <v>159</v>
      </c>
    </row>
    <row r="17369" spans="1:6" ht="25.5">
      <c r="A17369" s="2">
        <v>17366</v>
      </c>
      <c r="B17369" s="2" t="s">
        <v>17438</v>
      </c>
      <c r="C17369" s="2" t="str">
        <f>"00347094"</f>
        <v>00347094</v>
      </c>
      <c r="D17369" s="2">
        <v>0.26800000000000002</v>
      </c>
      <c r="E17369" s="2">
        <v>11</v>
      </c>
      <c r="F17369" s="2" t="s">
        <v>159</v>
      </c>
    </row>
    <row r="17370" spans="1:6" ht="25.5">
      <c r="A17370" s="2">
        <v>17367</v>
      </c>
      <c r="B17370" s="2" t="s">
        <v>17439</v>
      </c>
      <c r="C17370" s="2" t="str">
        <f>"01008404"</f>
        <v>01008404</v>
      </c>
      <c r="D17370" s="2">
        <v>0.379</v>
      </c>
      <c r="E17370" s="2">
        <v>12</v>
      </c>
      <c r="F17370" s="2" t="s">
        <v>159</v>
      </c>
    </row>
    <row r="17371" spans="1:6" ht="25.5">
      <c r="A17371" s="2">
        <v>17368</v>
      </c>
      <c r="B17371" s="2" t="s">
        <v>17440</v>
      </c>
      <c r="C17371" s="2" t="str">
        <f>"01041843"</f>
        <v>01041843</v>
      </c>
      <c r="D17371" s="2">
        <v>0.121</v>
      </c>
      <c r="E17371" s="2">
        <v>4</v>
      </c>
      <c r="F17371" s="2" t="s">
        <v>159</v>
      </c>
    </row>
    <row r="17372" spans="1:6" ht="25.5">
      <c r="A17372" s="2">
        <v>17369</v>
      </c>
      <c r="B17372" s="2" t="s">
        <v>17441</v>
      </c>
      <c r="C17372" s="2" t="str">
        <f>"1516635X"</f>
        <v>1516635X</v>
      </c>
      <c r="D17372" s="2">
        <v>0.254</v>
      </c>
      <c r="E17372" s="2">
        <v>8</v>
      </c>
      <c r="F17372" s="2" t="s">
        <v>159</v>
      </c>
    </row>
    <row r="17373" spans="1:6" ht="25.5">
      <c r="A17373" s="2">
        <v>17370</v>
      </c>
      <c r="B17373" s="2" t="s">
        <v>17442</v>
      </c>
      <c r="C17373" s="2" t="str">
        <f>"01000683"</f>
        <v>01000683</v>
      </c>
      <c r="D17373" s="2">
        <v>0.77700000000000002</v>
      </c>
      <c r="E17373" s="2">
        <v>26</v>
      </c>
      <c r="F17373" s="2" t="s">
        <v>159</v>
      </c>
    </row>
    <row r="17374" spans="1:6" ht="25.5">
      <c r="A17374" s="2">
        <v>17371</v>
      </c>
      <c r="B17374" s="2" t="s">
        <v>17443</v>
      </c>
      <c r="C17374" s="2" t="str">
        <f>"01026909"</f>
        <v>01026909</v>
      </c>
      <c r="D17374" s="2">
        <v>0.248</v>
      </c>
      <c r="E17374" s="2">
        <v>4</v>
      </c>
      <c r="F17374" s="2" t="s">
        <v>159</v>
      </c>
    </row>
    <row r="17375" spans="1:6" ht="25.5">
      <c r="A17375" s="2">
        <v>17372</v>
      </c>
      <c r="B17375" s="2" t="s">
        <v>17444</v>
      </c>
      <c r="C17375" s="2" t="str">
        <f>"19800037"</f>
        <v>19800037</v>
      </c>
      <c r="D17375" s="2">
        <v>0.20399999999999999</v>
      </c>
      <c r="E17375" s="2">
        <v>4</v>
      </c>
      <c r="F17375" s="2" t="s">
        <v>159</v>
      </c>
    </row>
    <row r="17376" spans="1:6" ht="25.5">
      <c r="A17376" s="2">
        <v>17373</v>
      </c>
      <c r="B17376" s="2" t="s">
        <v>17445</v>
      </c>
      <c r="C17376" s="2" t="str">
        <f>"01019880"</f>
        <v>01019880</v>
      </c>
      <c r="D17376" s="2">
        <v>0.11</v>
      </c>
      <c r="E17376" s="2">
        <v>4</v>
      </c>
      <c r="F17376" s="2" t="s">
        <v>159</v>
      </c>
    </row>
    <row r="17377" spans="1:6" ht="25.5">
      <c r="A17377" s="2">
        <v>17374</v>
      </c>
      <c r="B17377" s="2" t="s">
        <v>17446</v>
      </c>
      <c r="C17377" s="2" t="str">
        <f>"01041282"</f>
        <v>01041282</v>
      </c>
      <c r="D17377" s="2">
        <v>0</v>
      </c>
      <c r="E17377" s="2">
        <v>1</v>
      </c>
      <c r="F17377" s="2" t="s">
        <v>159</v>
      </c>
    </row>
    <row r="17378" spans="1:6" ht="25.5">
      <c r="A17378" s="2">
        <v>17375</v>
      </c>
      <c r="B17378" s="2" t="s">
        <v>17447</v>
      </c>
      <c r="C17378" s="2" t="str">
        <f>"00347140"</f>
        <v>00347140</v>
      </c>
      <c r="D17378" s="2">
        <v>0.151</v>
      </c>
      <c r="E17378" s="2">
        <v>5</v>
      </c>
      <c r="F17378" s="2" t="s">
        <v>159</v>
      </c>
    </row>
    <row r="17379" spans="1:6" ht="25.5">
      <c r="A17379" s="2">
        <v>17376</v>
      </c>
      <c r="B17379" s="2" t="s">
        <v>17448</v>
      </c>
      <c r="C17379" s="2" t="str">
        <f>"1809449X"</f>
        <v>1809449X</v>
      </c>
      <c r="D17379" s="2">
        <v>0.20300000000000001</v>
      </c>
      <c r="E17379" s="2">
        <v>3</v>
      </c>
      <c r="F17379" s="2" t="s">
        <v>159</v>
      </c>
    </row>
    <row r="17380" spans="1:6" ht="25.5">
      <c r="A17380" s="2">
        <v>17377</v>
      </c>
      <c r="B17380" s="2" t="s">
        <v>17449</v>
      </c>
      <c r="C17380" s="2" t="str">
        <f>"14136538"</f>
        <v>14136538</v>
      </c>
      <c r="D17380" s="2">
        <v>0.21099999999999999</v>
      </c>
      <c r="E17380" s="2">
        <v>4</v>
      </c>
      <c r="F17380" s="2" t="s">
        <v>159</v>
      </c>
    </row>
    <row r="17381" spans="1:6" ht="25.5">
      <c r="A17381" s="2">
        <v>17378</v>
      </c>
      <c r="B17381" s="2" t="s">
        <v>17450</v>
      </c>
      <c r="C17381" s="2" t="str">
        <f>"00347167"</f>
        <v>00347167</v>
      </c>
      <c r="D17381" s="2">
        <v>0.26</v>
      </c>
      <c r="E17381" s="2">
        <v>9</v>
      </c>
      <c r="F17381" s="2" t="s">
        <v>159</v>
      </c>
    </row>
    <row r="17382" spans="1:6" ht="25.5">
      <c r="A17382" s="2">
        <v>17379</v>
      </c>
      <c r="B17382" s="2" t="s">
        <v>17451</v>
      </c>
      <c r="C17382" s="2" t="str">
        <f>"14154366"</f>
        <v>14154366</v>
      </c>
      <c r="D17382" s="2">
        <v>0.56799999999999995</v>
      </c>
      <c r="E17382" s="2">
        <v>13</v>
      </c>
      <c r="F17382" s="2" t="s">
        <v>159</v>
      </c>
    </row>
    <row r="17383" spans="1:6" ht="25.5">
      <c r="A17383" s="2">
        <v>17380</v>
      </c>
      <c r="B17383" s="2" t="s">
        <v>17452</v>
      </c>
      <c r="C17383" s="2" t="str">
        <f>"15173151"</f>
        <v>15173151</v>
      </c>
      <c r="D17383" s="2">
        <v>0.13300000000000001</v>
      </c>
      <c r="E17383" s="2">
        <v>1</v>
      </c>
      <c r="F17383" s="2" t="s">
        <v>159</v>
      </c>
    </row>
    <row r="17384" spans="1:6" ht="25.5">
      <c r="A17384" s="2">
        <v>17381</v>
      </c>
      <c r="B17384" s="2" t="s">
        <v>17453</v>
      </c>
      <c r="C17384" s="2" t="str">
        <f>"01024744"</f>
        <v>01024744</v>
      </c>
      <c r="D17384" s="2">
        <v>0.15</v>
      </c>
      <c r="E17384" s="2">
        <v>4</v>
      </c>
      <c r="F17384" s="2" t="s">
        <v>159</v>
      </c>
    </row>
    <row r="17385" spans="1:6" ht="25.5">
      <c r="A17385" s="2">
        <v>17382</v>
      </c>
      <c r="B17385" s="2" t="s">
        <v>17454</v>
      </c>
      <c r="C17385" s="2" t="str">
        <f>"18069665"</f>
        <v>18069665</v>
      </c>
      <c r="D17385" s="2">
        <v>0.48</v>
      </c>
      <c r="E17385" s="2">
        <v>10</v>
      </c>
      <c r="F17385" s="2" t="s">
        <v>159</v>
      </c>
    </row>
    <row r="17386" spans="1:6" ht="25.5">
      <c r="A17386" s="2">
        <v>17383</v>
      </c>
      <c r="B17386" s="2" t="s">
        <v>17455</v>
      </c>
      <c r="C17386" s="2" t="str">
        <f>"1415790X"</f>
        <v>1415790X</v>
      </c>
      <c r="D17386" s="2">
        <v>0.38900000000000001</v>
      </c>
      <c r="E17386" s="2">
        <v>12</v>
      </c>
      <c r="F17386" s="2" t="s">
        <v>159</v>
      </c>
    </row>
    <row r="17387" spans="1:6" ht="25.5">
      <c r="A17387" s="2">
        <v>17384</v>
      </c>
      <c r="B17387" s="2" t="s">
        <v>17456</v>
      </c>
      <c r="C17387" s="2" t="str">
        <f>"01023098"</f>
        <v>01023098</v>
      </c>
      <c r="D17387" s="2">
        <v>0.317</v>
      </c>
      <c r="E17387" s="2">
        <v>4</v>
      </c>
      <c r="F17387" s="2" t="s">
        <v>159</v>
      </c>
    </row>
    <row r="17388" spans="1:6" ht="25.5">
      <c r="A17388" s="2">
        <v>17385</v>
      </c>
      <c r="B17388" s="2" t="s">
        <v>17457</v>
      </c>
      <c r="C17388" s="2" t="str">
        <f>"14133555"</f>
        <v>14133555</v>
      </c>
      <c r="D17388" s="2">
        <v>0.36899999999999999</v>
      </c>
      <c r="E17388" s="2">
        <v>8</v>
      </c>
      <c r="F17388" s="2" t="s">
        <v>159</v>
      </c>
    </row>
    <row r="17389" spans="1:6" ht="25.5">
      <c r="A17389" s="2">
        <v>17386</v>
      </c>
      <c r="B17389" s="2" t="s">
        <v>17458</v>
      </c>
      <c r="C17389" s="2" t="str">
        <f>"01002945"</f>
        <v>01002945</v>
      </c>
      <c r="D17389" s="2">
        <v>0.34200000000000003</v>
      </c>
      <c r="E17389" s="2">
        <v>11</v>
      </c>
      <c r="F17389" s="2" t="s">
        <v>159</v>
      </c>
    </row>
    <row r="17390" spans="1:6" ht="25.5">
      <c r="A17390" s="2">
        <v>17387</v>
      </c>
      <c r="B17390" s="2" t="s">
        <v>17459</v>
      </c>
      <c r="C17390" s="2" t="str">
        <f>"0102261X"</f>
        <v>0102261X</v>
      </c>
      <c r="D17390" s="2">
        <v>0.155</v>
      </c>
      <c r="E17390" s="2">
        <v>9</v>
      </c>
      <c r="F17390" s="2" t="s">
        <v>159</v>
      </c>
    </row>
    <row r="17391" spans="1:6" ht="25.5">
      <c r="A17391" s="2">
        <v>17388</v>
      </c>
      <c r="B17391" s="2" t="s">
        <v>17460</v>
      </c>
      <c r="C17391" s="2" t="str">
        <f>"19830807"</f>
        <v>19830807</v>
      </c>
      <c r="D17391" s="2">
        <v>0.112</v>
      </c>
      <c r="E17391" s="2">
        <v>3</v>
      </c>
      <c r="F17391" s="2" t="s">
        <v>159</v>
      </c>
    </row>
    <row r="17392" spans="1:6" ht="25.5">
      <c r="A17392" s="2">
        <v>17389</v>
      </c>
      <c r="B17392" s="2" t="s">
        <v>17461</v>
      </c>
      <c r="C17392" s="2" t="str">
        <f>"1809239X"</f>
        <v>1809239X</v>
      </c>
      <c r="D17392" s="2">
        <v>0.123</v>
      </c>
      <c r="E17392" s="2">
        <v>1</v>
      </c>
      <c r="F17392" s="2" t="s">
        <v>159</v>
      </c>
    </row>
    <row r="17393" spans="1:6" ht="25.5">
      <c r="A17393" s="2">
        <v>17390</v>
      </c>
      <c r="B17393" s="2" t="s">
        <v>17462</v>
      </c>
      <c r="C17393" s="2" t="str">
        <f>"01007203"</f>
        <v>01007203</v>
      </c>
      <c r="D17393" s="2">
        <v>0.21299999999999999</v>
      </c>
      <c r="E17393" s="2">
        <v>9</v>
      </c>
      <c r="F17393" s="2" t="s">
        <v>159</v>
      </c>
    </row>
    <row r="17394" spans="1:6" ht="25.5">
      <c r="A17394" s="2">
        <v>17391</v>
      </c>
      <c r="B17394" s="2" t="s">
        <v>17463</v>
      </c>
      <c r="C17394" s="2" t="str">
        <f>"18069339"</f>
        <v>18069339</v>
      </c>
      <c r="D17394" s="2">
        <v>0.151</v>
      </c>
      <c r="E17394" s="2">
        <v>2</v>
      </c>
      <c r="F17394" s="2" t="s">
        <v>159</v>
      </c>
    </row>
    <row r="17395" spans="1:6" ht="25.5">
      <c r="A17395" s="2">
        <v>17392</v>
      </c>
      <c r="B17395" s="2" t="s">
        <v>17464</v>
      </c>
      <c r="C17395" s="2" t="str">
        <f>"15168484"</f>
        <v>15168484</v>
      </c>
      <c r="D17395" s="2">
        <v>0.14199999999999999</v>
      </c>
      <c r="E17395" s="2">
        <v>7</v>
      </c>
      <c r="F17395" s="2" t="s">
        <v>159</v>
      </c>
    </row>
    <row r="17396" spans="1:6" ht="25.5">
      <c r="A17396" s="2">
        <v>17393</v>
      </c>
      <c r="B17396" s="2" t="s">
        <v>17465</v>
      </c>
      <c r="C17396" s="2" t="str">
        <f>"01022188"</f>
        <v>01022188</v>
      </c>
      <c r="D17396" s="2">
        <v>0.1</v>
      </c>
      <c r="E17396" s="2">
        <v>3</v>
      </c>
      <c r="F17396" s="2" t="s">
        <v>159</v>
      </c>
    </row>
    <row r="17397" spans="1:6" ht="25.5">
      <c r="A17397" s="2">
        <v>17394</v>
      </c>
      <c r="B17397" s="2" t="s">
        <v>17466</v>
      </c>
      <c r="C17397" s="2" t="str">
        <f>"00347264"</f>
        <v>00347264</v>
      </c>
      <c r="D17397" s="2">
        <v>0.124</v>
      </c>
      <c r="E17397" s="2">
        <v>5</v>
      </c>
      <c r="F17397" s="2" t="s">
        <v>159</v>
      </c>
    </row>
    <row r="17398" spans="1:6" ht="25.5">
      <c r="A17398" s="2">
        <v>17395</v>
      </c>
      <c r="B17398" s="2" t="s">
        <v>17467</v>
      </c>
      <c r="C17398" s="2" t="str">
        <f>"15178692"</f>
        <v>15178692</v>
      </c>
      <c r="D17398" s="2">
        <v>0.21299999999999999</v>
      </c>
      <c r="E17398" s="2">
        <v>13</v>
      </c>
      <c r="F17398" s="2" t="s">
        <v>159</v>
      </c>
    </row>
    <row r="17399" spans="1:6" ht="25.5">
      <c r="A17399" s="2">
        <v>17396</v>
      </c>
      <c r="B17399" s="2" t="s">
        <v>17468</v>
      </c>
      <c r="C17399" s="2" t="str">
        <f>"16794435"</f>
        <v>16794435</v>
      </c>
      <c r="D17399" s="2">
        <v>0.10199999999999999</v>
      </c>
      <c r="E17399" s="2">
        <v>0</v>
      </c>
      <c r="F17399" s="2" t="s">
        <v>159</v>
      </c>
    </row>
    <row r="17400" spans="1:6" ht="25.5">
      <c r="A17400" s="2">
        <v>17397</v>
      </c>
      <c r="B17400" s="2" t="s">
        <v>17469</v>
      </c>
      <c r="C17400" s="2" t="str">
        <f>"00347280"</f>
        <v>00347280</v>
      </c>
      <c r="D17400" s="2">
        <v>0.13600000000000001</v>
      </c>
      <c r="E17400" s="2">
        <v>6</v>
      </c>
      <c r="F17400" s="2" t="s">
        <v>159</v>
      </c>
    </row>
    <row r="17401" spans="1:6" ht="25.5">
      <c r="A17401" s="2">
        <v>17398</v>
      </c>
      <c r="B17401" s="2" t="s">
        <v>17470</v>
      </c>
      <c r="C17401" s="2" t="str">
        <f>"16793390"</f>
        <v>16793390</v>
      </c>
      <c r="D17401" s="2">
        <v>0.16800000000000001</v>
      </c>
      <c r="E17401" s="2">
        <v>1</v>
      </c>
      <c r="F17401" s="2" t="s">
        <v>159</v>
      </c>
    </row>
    <row r="17402" spans="1:6" ht="25.5">
      <c r="A17402" s="2">
        <v>17399</v>
      </c>
      <c r="B17402" s="2" t="s">
        <v>17471</v>
      </c>
      <c r="C17402" s="2" t="str">
        <f>"01023616"</f>
        <v>01023616</v>
      </c>
      <c r="D17402" s="2">
        <v>0.105</v>
      </c>
      <c r="E17402" s="2">
        <v>6</v>
      </c>
      <c r="F17402" s="2" t="s">
        <v>159</v>
      </c>
    </row>
    <row r="17403" spans="1:6" ht="25.5">
      <c r="A17403" s="2">
        <v>17400</v>
      </c>
      <c r="B17403" s="2" t="s">
        <v>17472</v>
      </c>
      <c r="C17403" s="2" t="str">
        <f>"15197530"</f>
        <v>15197530</v>
      </c>
      <c r="D17403" s="2">
        <v>0.215</v>
      </c>
      <c r="E17403" s="2">
        <v>3</v>
      </c>
      <c r="F17403" s="2" t="s">
        <v>159</v>
      </c>
    </row>
    <row r="17404" spans="1:6" ht="25.5">
      <c r="A17404" s="2">
        <v>17401</v>
      </c>
      <c r="B17404" s="2" t="s">
        <v>17473</v>
      </c>
      <c r="C17404" s="2" t="str">
        <f>"0103846X"</f>
        <v>0103846X</v>
      </c>
      <c r="D17404" s="2">
        <v>0.35299999999999998</v>
      </c>
      <c r="E17404" s="2">
        <v>11</v>
      </c>
      <c r="F17404" s="2" t="s">
        <v>159</v>
      </c>
    </row>
    <row r="17405" spans="1:6" ht="25.5">
      <c r="A17405" s="2">
        <v>17402</v>
      </c>
      <c r="B17405" s="2" t="s">
        <v>17474</v>
      </c>
      <c r="C17405" s="2" t="str">
        <f>"15160572"</f>
        <v>15160572</v>
      </c>
      <c r="D17405" s="2">
        <v>0.224</v>
      </c>
      <c r="E17405" s="2">
        <v>12</v>
      </c>
      <c r="F17405" s="2" t="s">
        <v>159</v>
      </c>
    </row>
    <row r="17406" spans="1:6" ht="25.5">
      <c r="A17406" s="2">
        <v>17403</v>
      </c>
      <c r="B17406" s="2" t="s">
        <v>17475</v>
      </c>
      <c r="C17406" s="2" t="str">
        <f>"00347329"</f>
        <v>00347329</v>
      </c>
      <c r="D17406" s="2">
        <v>0.25700000000000001</v>
      </c>
      <c r="E17406" s="2">
        <v>4</v>
      </c>
      <c r="F17406" s="2" t="s">
        <v>159</v>
      </c>
    </row>
    <row r="17407" spans="1:6" ht="25.5">
      <c r="A17407" s="2">
        <v>17404</v>
      </c>
      <c r="B17407" s="2" t="s">
        <v>17476</v>
      </c>
      <c r="C17407" s="2" t="str">
        <f>"15164446"</f>
        <v>15164446</v>
      </c>
      <c r="D17407" s="2">
        <v>0.43</v>
      </c>
      <c r="E17407" s="2">
        <v>26</v>
      </c>
      <c r="F17407" s="2" t="s">
        <v>159</v>
      </c>
    </row>
    <row r="17408" spans="1:6" ht="25.5">
      <c r="A17408" s="2">
        <v>17405</v>
      </c>
      <c r="B17408" s="2" t="s">
        <v>17477</v>
      </c>
      <c r="C17408" s="2" t="str">
        <f>"04825004"</f>
        <v>04825004</v>
      </c>
      <c r="D17408" s="2">
        <v>0.2</v>
      </c>
      <c r="E17408" s="2">
        <v>10</v>
      </c>
      <c r="F17408" s="2" t="s">
        <v>159</v>
      </c>
    </row>
    <row r="17409" spans="1:6" ht="25.5">
      <c r="A17409" s="2">
        <v>17406</v>
      </c>
      <c r="B17409" s="2" t="s">
        <v>17478</v>
      </c>
      <c r="C17409" s="2" t="str">
        <f>"15193829"</f>
        <v>15193829</v>
      </c>
      <c r="D17409" s="2">
        <v>0.38400000000000001</v>
      </c>
      <c r="E17409" s="2">
        <v>12</v>
      </c>
      <c r="F17409" s="2" t="s">
        <v>159</v>
      </c>
    </row>
    <row r="17410" spans="1:6" ht="25.5">
      <c r="A17410" s="2">
        <v>17407</v>
      </c>
      <c r="B17410" s="2" t="s">
        <v>17479</v>
      </c>
      <c r="C17410" s="2" t="str">
        <f>"01013122"</f>
        <v>01013122</v>
      </c>
      <c r="D17410" s="2">
        <v>0.63800000000000001</v>
      </c>
      <c r="E17410" s="2">
        <v>11</v>
      </c>
      <c r="F17410" s="2" t="s">
        <v>159</v>
      </c>
    </row>
    <row r="17411" spans="1:6" ht="25.5">
      <c r="A17411" s="2">
        <v>17408</v>
      </c>
      <c r="B17411" s="2" t="s">
        <v>17480</v>
      </c>
      <c r="C17411" s="2" t="str">
        <f>"15163598"</f>
        <v>15163598</v>
      </c>
      <c r="D17411" s="2">
        <v>0.505</v>
      </c>
      <c r="E17411" s="2">
        <v>30</v>
      </c>
      <c r="F17411" s="2" t="s">
        <v>159</v>
      </c>
    </row>
    <row r="17412" spans="1:6" ht="25.5">
      <c r="A17412" s="2">
        <v>17409</v>
      </c>
      <c r="B17412" s="2" t="s">
        <v>17481</v>
      </c>
      <c r="C17412" s="2" t="str">
        <f>"19832125"</f>
        <v>19832125</v>
      </c>
      <c r="D17412" s="2">
        <v>0.29499999999999998</v>
      </c>
      <c r="E17412" s="2">
        <v>4</v>
      </c>
      <c r="F17412" s="2" t="s">
        <v>159</v>
      </c>
    </row>
    <row r="17413" spans="1:6" ht="25.5">
      <c r="A17413" s="2">
        <v>17410</v>
      </c>
      <c r="B17413" s="2" t="s">
        <v>17482</v>
      </c>
      <c r="C17413" s="2" t="str">
        <f>"03848167"</f>
        <v>03848167</v>
      </c>
      <c r="D17413" s="2">
        <v>0.1</v>
      </c>
      <c r="E17413" s="2">
        <v>3</v>
      </c>
      <c r="F17413" s="2" t="s">
        <v>64</v>
      </c>
    </row>
    <row r="17414" spans="1:6" ht="25.5">
      <c r="A17414" s="2">
        <v>17411</v>
      </c>
      <c r="B17414" s="2" t="s">
        <v>17483</v>
      </c>
      <c r="C17414" s="2" t="str">
        <f>"16974697"</f>
        <v>16974697</v>
      </c>
      <c r="D17414" s="2">
        <v>0.104</v>
      </c>
      <c r="E17414" s="2">
        <v>1</v>
      </c>
      <c r="F17414" s="2" t="s">
        <v>351</v>
      </c>
    </row>
    <row r="17415" spans="1:6" ht="25.5">
      <c r="A17415" s="2">
        <v>17412</v>
      </c>
      <c r="B17415" s="2" t="s">
        <v>17484</v>
      </c>
      <c r="C17415" s="2" t="str">
        <f>"01863231"</f>
        <v>01863231</v>
      </c>
      <c r="D17415" s="2">
        <v>0.159</v>
      </c>
      <c r="E17415" s="2">
        <v>2</v>
      </c>
      <c r="F17415" s="2" t="s">
        <v>200</v>
      </c>
    </row>
    <row r="17416" spans="1:6" ht="25.5">
      <c r="A17416" s="2">
        <v>17413</v>
      </c>
      <c r="B17416" s="2" t="s">
        <v>17485</v>
      </c>
      <c r="C17416" s="2" t="str">
        <f>"07164076"</f>
        <v>07164076</v>
      </c>
      <c r="D17416" s="2">
        <v>0.1</v>
      </c>
      <c r="E17416" s="2">
        <v>1</v>
      </c>
      <c r="F17416" s="2" t="s">
        <v>182</v>
      </c>
    </row>
    <row r="17417" spans="1:6" ht="25.5">
      <c r="A17417" s="2">
        <v>17414</v>
      </c>
      <c r="B17417" s="2" t="s">
        <v>17486</v>
      </c>
      <c r="C17417" s="2" t="str">
        <f>"03793893"</f>
        <v>03793893</v>
      </c>
      <c r="D17417" s="2">
        <v>0.11700000000000001</v>
      </c>
      <c r="E17417" s="2">
        <v>4</v>
      </c>
      <c r="F17417" s="2" t="s">
        <v>182</v>
      </c>
    </row>
    <row r="17418" spans="1:6" ht="25.5">
      <c r="A17418" s="2">
        <v>17415</v>
      </c>
      <c r="B17418" s="2" t="s">
        <v>17487</v>
      </c>
      <c r="C17418" s="2" t="str">
        <f>"07183437"</f>
        <v>07183437</v>
      </c>
      <c r="D17418" s="2">
        <v>0.182</v>
      </c>
      <c r="E17418" s="2">
        <v>2</v>
      </c>
      <c r="F17418" s="2" t="s">
        <v>182</v>
      </c>
    </row>
    <row r="17419" spans="1:6" ht="25.5">
      <c r="A17419" s="2">
        <v>17416</v>
      </c>
      <c r="B17419" s="2" t="s">
        <v>17488</v>
      </c>
      <c r="C17419" s="2" t="str">
        <f>"07175698"</f>
        <v>07175698</v>
      </c>
      <c r="D17419" s="2">
        <v>0.186</v>
      </c>
      <c r="E17419" s="2">
        <v>5</v>
      </c>
      <c r="F17419" s="2" t="s">
        <v>182</v>
      </c>
    </row>
    <row r="17420" spans="1:6" ht="25.5">
      <c r="A17420" s="2">
        <v>17417</v>
      </c>
      <c r="B17420" s="2" t="s">
        <v>17489</v>
      </c>
      <c r="C17420" s="2" t="str">
        <f>"07176317"</f>
        <v>07176317</v>
      </c>
      <c r="D17420" s="2">
        <v>0.37</v>
      </c>
      <c r="E17420" s="2">
        <v>22</v>
      </c>
      <c r="F17420" s="2" t="s">
        <v>182</v>
      </c>
    </row>
    <row r="17421" spans="1:6" ht="25.5">
      <c r="A17421" s="2">
        <v>17418</v>
      </c>
      <c r="B17421" s="2" t="s">
        <v>17490</v>
      </c>
      <c r="C17421" s="2" t="str">
        <f>"07161018"</f>
        <v>07161018</v>
      </c>
      <c r="D17421" s="2">
        <v>0.16500000000000001</v>
      </c>
      <c r="E17421" s="2">
        <v>10</v>
      </c>
      <c r="F17421" s="2" t="s">
        <v>182</v>
      </c>
    </row>
    <row r="17422" spans="1:6" ht="25.5">
      <c r="A17422" s="2">
        <v>17419</v>
      </c>
      <c r="B17422" s="2" t="s">
        <v>17491</v>
      </c>
      <c r="C17422" s="2" t="str">
        <f>"07182295"</f>
        <v>07182295</v>
      </c>
      <c r="D17422" s="2">
        <v>0.1</v>
      </c>
      <c r="E17422" s="2">
        <v>2</v>
      </c>
      <c r="F17422" s="2" t="s">
        <v>182</v>
      </c>
    </row>
    <row r="17423" spans="1:6" ht="25.5">
      <c r="A17423" s="2">
        <v>17420</v>
      </c>
      <c r="B17423" s="2" t="s">
        <v>17492</v>
      </c>
      <c r="C17423" s="2" t="str">
        <f>"00347388"</f>
        <v>00347388</v>
      </c>
      <c r="D17423" s="2">
        <v>0.124</v>
      </c>
      <c r="E17423" s="2">
        <v>8</v>
      </c>
      <c r="F17423" s="2" t="s">
        <v>182</v>
      </c>
    </row>
    <row r="17424" spans="1:6" ht="25.5">
      <c r="A17424" s="2">
        <v>17421</v>
      </c>
      <c r="B17424" s="2" t="s">
        <v>17493</v>
      </c>
      <c r="C17424" s="2" t="str">
        <f>"07177518"</f>
        <v>07177518</v>
      </c>
      <c r="D17424" s="2">
        <v>0.14899999999999999</v>
      </c>
      <c r="E17424" s="2">
        <v>5</v>
      </c>
      <c r="F17424" s="2" t="s">
        <v>182</v>
      </c>
    </row>
    <row r="17425" spans="1:6" ht="25.5">
      <c r="A17425" s="2">
        <v>17422</v>
      </c>
      <c r="B17425" s="2" t="s">
        <v>17494</v>
      </c>
      <c r="C17425" s="2" t="str">
        <f>"07177526"</f>
        <v>07177526</v>
      </c>
      <c r="D17425" s="2">
        <v>0.114</v>
      </c>
      <c r="E17425" s="2">
        <v>6</v>
      </c>
      <c r="F17425" s="2" t="s">
        <v>182</v>
      </c>
    </row>
    <row r="17426" spans="1:6" ht="25.5">
      <c r="A17426" s="2">
        <v>17423</v>
      </c>
      <c r="B17426" s="2" t="s">
        <v>17495</v>
      </c>
      <c r="C17426" s="2" t="str">
        <f>"07176228"</f>
        <v>07176228</v>
      </c>
      <c r="D17426" s="2">
        <v>0.13700000000000001</v>
      </c>
      <c r="E17426" s="2">
        <v>8</v>
      </c>
      <c r="F17426" s="2" t="s">
        <v>182</v>
      </c>
    </row>
    <row r="17427" spans="1:6" ht="25.5">
      <c r="A17427" s="2">
        <v>17424</v>
      </c>
      <c r="B17427" s="2" t="s">
        <v>17496</v>
      </c>
      <c r="C17427" s="2" t="str">
        <f>"07179308"</f>
        <v>07179308</v>
      </c>
      <c r="D17427" s="2">
        <v>0.10100000000000001</v>
      </c>
      <c r="E17427" s="2">
        <v>2</v>
      </c>
      <c r="F17427" s="2" t="s">
        <v>182</v>
      </c>
    </row>
    <row r="17428" spans="1:6" ht="25.5">
      <c r="A17428" s="2">
        <v>17425</v>
      </c>
      <c r="B17428" s="2" t="s">
        <v>17497</v>
      </c>
      <c r="C17428" s="2" t="str">
        <f>"18066690"</f>
        <v>18066690</v>
      </c>
      <c r="D17428" s="2">
        <v>0.66800000000000004</v>
      </c>
      <c r="E17428" s="2">
        <v>8</v>
      </c>
      <c r="F17428" s="2" t="s">
        <v>159</v>
      </c>
    </row>
    <row r="17429" spans="1:6" ht="25.5">
      <c r="A17429" s="2">
        <v>17426</v>
      </c>
      <c r="B17429" s="2" t="s">
        <v>17498</v>
      </c>
      <c r="C17429" s="2" t="str">
        <f>"16927273"</f>
        <v>16927273</v>
      </c>
      <c r="D17429" s="2">
        <v>0.10299999999999999</v>
      </c>
      <c r="E17429" s="2">
        <v>2</v>
      </c>
      <c r="F17429" s="2" t="s">
        <v>184</v>
      </c>
    </row>
    <row r="17430" spans="1:6" ht="25.5">
      <c r="A17430" s="2">
        <v>17427</v>
      </c>
      <c r="B17430" s="2" t="s">
        <v>17499</v>
      </c>
      <c r="C17430" s="2" t="str">
        <f>"07982259"</f>
        <v>07982259</v>
      </c>
      <c r="D17430" s="2">
        <v>0.17299999999999999</v>
      </c>
      <c r="E17430" s="2">
        <v>7</v>
      </c>
      <c r="F17430" s="2" t="s">
        <v>40</v>
      </c>
    </row>
    <row r="17431" spans="1:6" ht="25.5">
      <c r="A17431" s="2">
        <v>17428</v>
      </c>
      <c r="B17431" s="2" t="s">
        <v>17500</v>
      </c>
      <c r="C17431" s="2" t="str">
        <f>"21739153"</f>
        <v>21739153</v>
      </c>
      <c r="D17431" s="2">
        <v>0.10100000000000001</v>
      </c>
      <c r="E17431" s="2">
        <v>0</v>
      </c>
      <c r="F17431" s="2" t="s">
        <v>351</v>
      </c>
    </row>
    <row r="17432" spans="1:6" ht="25.5">
      <c r="A17432" s="2">
        <v>17429</v>
      </c>
      <c r="B17432" s="2" t="s">
        <v>17501</v>
      </c>
      <c r="C17432" s="2" t="str">
        <f>"15781860"</f>
        <v>15781860</v>
      </c>
      <c r="D17432" s="2">
        <v>0.247</v>
      </c>
      <c r="E17432" s="2">
        <v>19</v>
      </c>
      <c r="F17432" s="2" t="s">
        <v>351</v>
      </c>
    </row>
    <row r="17433" spans="1:6" ht="25.5">
      <c r="A17433" s="2">
        <v>17430</v>
      </c>
      <c r="B17433" s="2" t="s">
        <v>17502</v>
      </c>
      <c r="C17433" s="2" t="str">
        <f>"01203347"</f>
        <v>01203347</v>
      </c>
      <c r="D17433" s="2">
        <v>0.14499999999999999</v>
      </c>
      <c r="E17433" s="2">
        <v>3</v>
      </c>
      <c r="F17433" s="2" t="s">
        <v>184</v>
      </c>
    </row>
    <row r="17434" spans="1:6" ht="25.5">
      <c r="A17434" s="2">
        <v>17431</v>
      </c>
      <c r="B17434" s="2" t="s">
        <v>17503</v>
      </c>
      <c r="C17434" s="2" t="str">
        <f>"04866525"</f>
        <v>04866525</v>
      </c>
      <c r="D17434" s="2">
        <v>0.14199999999999999</v>
      </c>
      <c r="E17434" s="2">
        <v>1</v>
      </c>
      <c r="F17434" s="2" t="s">
        <v>184</v>
      </c>
    </row>
    <row r="17435" spans="1:6" ht="25.5">
      <c r="A17435" s="2">
        <v>17432</v>
      </c>
      <c r="B17435" s="2" t="s">
        <v>17504</v>
      </c>
      <c r="C17435" s="2" t="str">
        <f>"01205633"</f>
        <v>01205633</v>
      </c>
      <c r="D17435" s="2">
        <v>0.11799999999999999</v>
      </c>
      <c r="E17435" s="2">
        <v>3</v>
      </c>
      <c r="F17435" s="2" t="s">
        <v>184</v>
      </c>
    </row>
    <row r="17436" spans="1:6" ht="25.5">
      <c r="A17436" s="2">
        <v>17433</v>
      </c>
      <c r="B17436" s="2" t="s">
        <v>17505</v>
      </c>
      <c r="C17436" s="2" t="str">
        <f>"01200690"</f>
        <v>01200690</v>
      </c>
      <c r="D17436" s="2">
        <v>0.14899999999999999</v>
      </c>
      <c r="E17436" s="2">
        <v>3</v>
      </c>
      <c r="F17436" s="2" t="s">
        <v>184</v>
      </c>
    </row>
    <row r="17437" spans="1:6" ht="25.5">
      <c r="A17437" s="2">
        <v>17434</v>
      </c>
      <c r="B17437" s="2" t="s">
        <v>17506</v>
      </c>
      <c r="C17437" s="2" t="str">
        <f>"01200488"</f>
        <v>01200488</v>
      </c>
      <c r="D17437" s="2">
        <v>0.16400000000000001</v>
      </c>
      <c r="E17437" s="2">
        <v>7</v>
      </c>
      <c r="F17437" s="2" t="s">
        <v>184</v>
      </c>
    </row>
    <row r="17438" spans="1:6" ht="25.5">
      <c r="A17438" s="2">
        <v>17435</v>
      </c>
      <c r="B17438" s="2" t="s">
        <v>17507</v>
      </c>
      <c r="C17438" s="2" t="str">
        <f>"01201751"</f>
        <v>01201751</v>
      </c>
      <c r="D17438" s="2">
        <v>0.17399999999999999</v>
      </c>
      <c r="E17438" s="2">
        <v>4</v>
      </c>
      <c r="F17438" s="2" t="s">
        <v>184</v>
      </c>
    </row>
    <row r="17439" spans="1:6" ht="25.5">
      <c r="A17439" s="2">
        <v>17436</v>
      </c>
      <c r="B17439" s="2" t="s">
        <v>17508</v>
      </c>
      <c r="C17439" s="2" t="str">
        <f>"01209957"</f>
        <v>01209957</v>
      </c>
      <c r="D17439" s="2">
        <v>0.10199999999999999</v>
      </c>
      <c r="E17439" s="2">
        <v>3</v>
      </c>
      <c r="F17439" s="2" t="s">
        <v>184</v>
      </c>
    </row>
    <row r="17440" spans="1:6" ht="25.5">
      <c r="A17440" s="2">
        <v>17437</v>
      </c>
      <c r="B17440" s="2" t="s">
        <v>17509</v>
      </c>
      <c r="C17440" s="2" t="str">
        <f>"00347434"</f>
        <v>00347434</v>
      </c>
      <c r="D17440" s="2">
        <v>0.11700000000000001</v>
      </c>
      <c r="E17440" s="2">
        <v>3</v>
      </c>
      <c r="F17440" s="2" t="s">
        <v>184</v>
      </c>
    </row>
    <row r="17441" spans="1:6" ht="25.5">
      <c r="A17441" s="2">
        <v>17438</v>
      </c>
      <c r="B17441" s="2" t="s">
        <v>17510</v>
      </c>
      <c r="C17441" s="2" t="str">
        <f>"01215469"</f>
        <v>01215469</v>
      </c>
      <c r="D17441" s="2">
        <v>0.108</v>
      </c>
      <c r="E17441" s="2">
        <v>1</v>
      </c>
      <c r="F17441" s="2" t="s">
        <v>184</v>
      </c>
    </row>
    <row r="17442" spans="1:6" ht="25.5">
      <c r="A17442" s="2">
        <v>17439</v>
      </c>
      <c r="B17442" s="2" t="s">
        <v>17511</v>
      </c>
      <c r="C17442" s="2" t="str">
        <f>"01202804"</f>
        <v>01202804</v>
      </c>
      <c r="D17442" s="2">
        <v>0.11600000000000001</v>
      </c>
      <c r="E17442" s="2">
        <v>4</v>
      </c>
      <c r="F17442" s="2" t="s">
        <v>184</v>
      </c>
    </row>
    <row r="17443" spans="1:6" ht="25.5">
      <c r="A17443" s="2">
        <v>17440</v>
      </c>
      <c r="B17443" s="2" t="s">
        <v>17512</v>
      </c>
      <c r="C17443" s="2" t="str">
        <f>"19882793"</f>
        <v>19882793</v>
      </c>
      <c r="D17443" s="2">
        <v>0.187</v>
      </c>
      <c r="E17443" s="2">
        <v>2</v>
      </c>
      <c r="F17443" s="2" t="s">
        <v>351</v>
      </c>
    </row>
    <row r="17444" spans="1:6" ht="25.5">
      <c r="A17444" s="2">
        <v>17441</v>
      </c>
      <c r="B17444" s="2" t="s">
        <v>17513</v>
      </c>
      <c r="C17444" s="2" t="str">
        <f>"1988270X"</f>
        <v>1988270X</v>
      </c>
      <c r="D17444" s="2">
        <v>0.10100000000000001</v>
      </c>
      <c r="E17444" s="2">
        <v>3</v>
      </c>
      <c r="F17444" s="2" t="s">
        <v>351</v>
      </c>
    </row>
    <row r="17445" spans="1:6" ht="25.5">
      <c r="A17445" s="2">
        <v>17442</v>
      </c>
      <c r="B17445" s="2" t="s">
        <v>17514</v>
      </c>
      <c r="C17445" s="2" t="str">
        <f>"15612945"</f>
        <v>15612945</v>
      </c>
      <c r="D17445" s="2">
        <v>0.1</v>
      </c>
      <c r="E17445" s="2">
        <v>4</v>
      </c>
      <c r="F17445" s="2" t="s">
        <v>88</v>
      </c>
    </row>
    <row r="17446" spans="1:6" ht="25.5">
      <c r="A17446" s="2">
        <v>17443</v>
      </c>
      <c r="B17446" s="2" t="s">
        <v>17515</v>
      </c>
      <c r="C17446" s="2" t="str">
        <f>"08642141"</f>
        <v>08642141</v>
      </c>
      <c r="D17446" s="2">
        <v>0.1</v>
      </c>
      <c r="E17446" s="2">
        <v>6</v>
      </c>
      <c r="F17446" s="2" t="s">
        <v>88</v>
      </c>
    </row>
    <row r="17447" spans="1:6" ht="25.5">
      <c r="A17447" s="2">
        <v>17444</v>
      </c>
      <c r="B17447" s="2" t="s">
        <v>17516</v>
      </c>
      <c r="C17447" s="2" t="str">
        <f>"15612961"</f>
        <v>15612961</v>
      </c>
      <c r="D17447" s="2">
        <v>0.11</v>
      </c>
      <c r="E17447" s="2">
        <v>4</v>
      </c>
      <c r="F17447" s="2" t="s">
        <v>88</v>
      </c>
    </row>
    <row r="17448" spans="1:6" ht="25.5">
      <c r="A17448" s="2">
        <v>17445</v>
      </c>
      <c r="B17448" s="2" t="s">
        <v>17517</v>
      </c>
      <c r="C17448" s="2" t="str">
        <f>"1561297X"</f>
        <v>1561297X</v>
      </c>
      <c r="D17448" s="2">
        <v>0.13800000000000001</v>
      </c>
      <c r="E17448" s="2">
        <v>4</v>
      </c>
      <c r="F17448" s="2" t="s">
        <v>88</v>
      </c>
    </row>
    <row r="17449" spans="1:6" ht="25.5">
      <c r="A17449" s="2">
        <v>17446</v>
      </c>
      <c r="B17449" s="2" t="s">
        <v>17518</v>
      </c>
      <c r="C17449" s="2" t="str">
        <f>"15612988"</f>
        <v>15612988</v>
      </c>
      <c r="D17449" s="2">
        <v>0.111</v>
      </c>
      <c r="E17449" s="2">
        <v>4</v>
      </c>
      <c r="F17449" s="2" t="s">
        <v>88</v>
      </c>
    </row>
    <row r="17450" spans="1:6" ht="25.5">
      <c r="A17450" s="2">
        <v>17447</v>
      </c>
      <c r="B17450" s="2" t="s">
        <v>17519</v>
      </c>
      <c r="C17450" s="2" t="str">
        <f>"02539268"</f>
        <v>02539268</v>
      </c>
      <c r="D17450" s="2">
        <v>0.105</v>
      </c>
      <c r="E17450" s="2">
        <v>1</v>
      </c>
      <c r="F17450" s="2" t="s">
        <v>88</v>
      </c>
    </row>
    <row r="17451" spans="1:6" ht="25.5">
      <c r="A17451" s="2">
        <v>17448</v>
      </c>
      <c r="B17451" s="2" t="s">
        <v>17520</v>
      </c>
      <c r="C17451" s="2" t="str">
        <f>"15612996"</f>
        <v>15612996</v>
      </c>
      <c r="D17451" s="2">
        <v>0.109</v>
      </c>
      <c r="E17451" s="2">
        <v>5</v>
      </c>
      <c r="F17451" s="2" t="s">
        <v>88</v>
      </c>
    </row>
    <row r="17452" spans="1:6" ht="25.5">
      <c r="A17452" s="2">
        <v>17449</v>
      </c>
      <c r="B17452" s="2" t="s">
        <v>17521</v>
      </c>
      <c r="C17452" s="2" t="str">
        <f>"02531151"</f>
        <v>02531151</v>
      </c>
      <c r="D17452" s="2">
        <v>0.106</v>
      </c>
      <c r="E17452" s="2">
        <v>6</v>
      </c>
      <c r="F17452" s="2" t="s">
        <v>88</v>
      </c>
    </row>
    <row r="17453" spans="1:6" ht="25.5">
      <c r="A17453" s="2">
        <v>17450</v>
      </c>
      <c r="B17453" s="2" t="s">
        <v>17522</v>
      </c>
      <c r="C17453" s="2" t="str">
        <f>"15613011"</f>
        <v>15613011</v>
      </c>
      <c r="D17453" s="2">
        <v>0.127</v>
      </c>
      <c r="E17453" s="2">
        <v>6</v>
      </c>
      <c r="F17453" s="2" t="s">
        <v>88</v>
      </c>
    </row>
    <row r="17454" spans="1:6" ht="25.5">
      <c r="A17454" s="2">
        <v>17451</v>
      </c>
      <c r="B17454" s="2" t="s">
        <v>17523</v>
      </c>
      <c r="C17454" s="2" t="str">
        <f>"1561302X"</f>
        <v>1561302X</v>
      </c>
      <c r="D17454" s="2">
        <v>0.121</v>
      </c>
      <c r="E17454" s="2">
        <v>6</v>
      </c>
      <c r="F17454" s="2" t="s">
        <v>88</v>
      </c>
    </row>
    <row r="17455" spans="1:6" ht="25.5">
      <c r="A17455" s="2">
        <v>17452</v>
      </c>
      <c r="B17455" s="2" t="s">
        <v>17524</v>
      </c>
      <c r="C17455" s="2" t="str">
        <f>"08642125"</f>
        <v>08642125</v>
      </c>
      <c r="D17455" s="2">
        <v>0.129</v>
      </c>
      <c r="E17455" s="2">
        <v>8</v>
      </c>
      <c r="F17455" s="2" t="s">
        <v>88</v>
      </c>
    </row>
    <row r="17456" spans="1:6" ht="25.5">
      <c r="A17456" s="2">
        <v>17453</v>
      </c>
      <c r="B17456" s="2" t="s">
        <v>17525</v>
      </c>
      <c r="C17456" s="2" t="str">
        <f>"15613046"</f>
        <v>15613046</v>
      </c>
      <c r="D17456" s="2">
        <v>0.1</v>
      </c>
      <c r="E17456" s="2">
        <v>6</v>
      </c>
      <c r="F17456" s="2" t="s">
        <v>88</v>
      </c>
    </row>
    <row r="17457" spans="1:6" ht="25.5">
      <c r="A17457" s="2">
        <v>17454</v>
      </c>
      <c r="B17457" s="2" t="s">
        <v>17526</v>
      </c>
      <c r="C17457" s="2" t="str">
        <f>"15613054"</f>
        <v>15613054</v>
      </c>
      <c r="D17457" s="2">
        <v>0.13200000000000001</v>
      </c>
      <c r="E17457" s="2">
        <v>11</v>
      </c>
      <c r="F17457" s="2" t="s">
        <v>88</v>
      </c>
    </row>
    <row r="17458" spans="1:6" ht="25.5">
      <c r="A17458" s="2">
        <v>17455</v>
      </c>
      <c r="B17458" s="2" t="s">
        <v>17527</v>
      </c>
      <c r="C17458" s="2" t="str">
        <f>"0138600X"</f>
        <v>0138600X</v>
      </c>
      <c r="D17458" s="2">
        <v>0.158</v>
      </c>
      <c r="E17458" s="2">
        <v>7</v>
      </c>
      <c r="F17458" s="2" t="s">
        <v>88</v>
      </c>
    </row>
    <row r="17459" spans="1:6" ht="25.5">
      <c r="A17459" s="2">
        <v>17456</v>
      </c>
      <c r="B17459" s="2" t="s">
        <v>17528</v>
      </c>
      <c r="C17459" s="2" t="str">
        <f>"0864215X"</f>
        <v>0864215X</v>
      </c>
      <c r="D17459" s="2">
        <v>0.1</v>
      </c>
      <c r="E17459" s="2">
        <v>4</v>
      </c>
      <c r="F17459" s="2" t="s">
        <v>88</v>
      </c>
    </row>
    <row r="17460" spans="1:6" ht="25.5">
      <c r="A17460" s="2">
        <v>17457</v>
      </c>
      <c r="B17460" s="2" t="s">
        <v>17529</v>
      </c>
      <c r="C17460" s="2" t="str">
        <f>"15613119"</f>
        <v>15613119</v>
      </c>
      <c r="D17460" s="2">
        <v>0.123</v>
      </c>
      <c r="E17460" s="2">
        <v>6</v>
      </c>
      <c r="F17460" s="2" t="s">
        <v>88</v>
      </c>
    </row>
    <row r="17461" spans="1:6" ht="25.5">
      <c r="A17461" s="2">
        <v>17458</v>
      </c>
      <c r="B17461" s="2" t="s">
        <v>17530</v>
      </c>
      <c r="C17461" s="2" t="str">
        <f>"10284796"</f>
        <v>10284796</v>
      </c>
      <c r="D17461" s="2">
        <v>0.122</v>
      </c>
      <c r="E17461" s="2">
        <v>6</v>
      </c>
      <c r="F17461" s="2" t="s">
        <v>88</v>
      </c>
    </row>
    <row r="17462" spans="1:6" ht="25.5">
      <c r="A17462" s="2">
        <v>17459</v>
      </c>
      <c r="B17462" s="2" t="s">
        <v>17531</v>
      </c>
      <c r="C17462" s="2" t="str">
        <f>"08643466"</f>
        <v>08643466</v>
      </c>
      <c r="D17462" s="2">
        <v>0.114</v>
      </c>
      <c r="E17462" s="2">
        <v>6</v>
      </c>
      <c r="F17462" s="2" t="s">
        <v>88</v>
      </c>
    </row>
    <row r="17463" spans="1:6" ht="25.5">
      <c r="A17463" s="2">
        <v>17460</v>
      </c>
      <c r="B17463" s="2" t="s">
        <v>17532</v>
      </c>
      <c r="C17463" s="2" t="str">
        <f>"18096867"</f>
        <v>18096867</v>
      </c>
      <c r="D17463" s="2">
        <v>0</v>
      </c>
      <c r="E17463" s="2">
        <v>0</v>
      </c>
      <c r="F17463" s="2" t="s">
        <v>159</v>
      </c>
    </row>
    <row r="17464" spans="1:6" ht="25.5">
      <c r="A17464" s="2">
        <v>17461</v>
      </c>
      <c r="B17464" s="2" t="s">
        <v>17533</v>
      </c>
      <c r="C17464" s="2" t="str">
        <f>"01044230"</f>
        <v>01044230</v>
      </c>
      <c r="D17464" s="2">
        <v>0.215</v>
      </c>
      <c r="E17464" s="2">
        <v>18</v>
      </c>
      <c r="F17464" s="2" t="s">
        <v>159</v>
      </c>
    </row>
    <row r="17465" spans="1:6" ht="25.5">
      <c r="A17465" s="2">
        <v>17462</v>
      </c>
      <c r="B17465" s="2" t="s">
        <v>17534</v>
      </c>
      <c r="C17465" s="2" t="str">
        <f>"19833083"</f>
        <v>19833083</v>
      </c>
      <c r="D17465" s="2">
        <v>0.105</v>
      </c>
      <c r="E17465" s="2">
        <v>1</v>
      </c>
      <c r="F17465" s="2" t="s">
        <v>159</v>
      </c>
    </row>
    <row r="17466" spans="1:6" ht="25.5">
      <c r="A17466" s="2">
        <v>17463</v>
      </c>
      <c r="B17466" s="2" t="s">
        <v>17535</v>
      </c>
      <c r="C17466" s="2" t="str">
        <f>"00806234"</f>
        <v>00806234</v>
      </c>
      <c r="D17466" s="2">
        <v>0.32300000000000001</v>
      </c>
      <c r="E17466" s="2">
        <v>14</v>
      </c>
      <c r="F17466" s="2" t="s">
        <v>159</v>
      </c>
    </row>
    <row r="17467" spans="1:6" ht="25.5">
      <c r="A17467" s="2">
        <v>17464</v>
      </c>
      <c r="B17467" s="2" t="s">
        <v>17536</v>
      </c>
      <c r="C17467" s="2" t="str">
        <f>"00378682"</f>
        <v>00378682</v>
      </c>
      <c r="D17467" s="2">
        <v>0.41299999999999998</v>
      </c>
      <c r="E17467" s="2">
        <v>32</v>
      </c>
      <c r="F17467" s="2" t="s">
        <v>159</v>
      </c>
    </row>
    <row r="17468" spans="1:6" ht="25.5">
      <c r="A17468" s="2">
        <v>17465</v>
      </c>
      <c r="B17468" s="2" t="s">
        <v>17537</v>
      </c>
      <c r="C17468" s="2" t="str">
        <f>"19823134"</f>
        <v>19823134</v>
      </c>
      <c r="D17468" s="2">
        <v>0.223</v>
      </c>
      <c r="E17468" s="2">
        <v>5</v>
      </c>
      <c r="F17468" s="2" t="s">
        <v>159</v>
      </c>
    </row>
    <row r="17469" spans="1:6" ht="25.5">
      <c r="A17469" s="2">
        <v>17466</v>
      </c>
      <c r="B17469" s="2" t="s">
        <v>17538</v>
      </c>
      <c r="C17469" s="2" t="str">
        <f>"07188870"</f>
        <v>07188870</v>
      </c>
      <c r="D17469" s="2">
        <v>0.11700000000000001</v>
      </c>
      <c r="E17469" s="2">
        <v>1</v>
      </c>
      <c r="F17469" s="2" t="s">
        <v>182</v>
      </c>
    </row>
    <row r="17470" spans="1:6" ht="25.5">
      <c r="A17470" s="2">
        <v>17467</v>
      </c>
      <c r="B17470" s="2" t="s">
        <v>17539</v>
      </c>
      <c r="C17470" s="2" t="str">
        <f>"16789857"</f>
        <v>16789857</v>
      </c>
      <c r="D17470" s="2">
        <v>0.10199999999999999</v>
      </c>
      <c r="E17470" s="2">
        <v>3</v>
      </c>
      <c r="F17470" s="2" t="s">
        <v>159</v>
      </c>
    </row>
    <row r="17471" spans="1:6" ht="25.5">
      <c r="A17471" s="2">
        <v>17468</v>
      </c>
      <c r="B17471" s="2" t="s">
        <v>17540</v>
      </c>
      <c r="C17471" s="2" t="str">
        <f>"19882831"</f>
        <v>19882831</v>
      </c>
      <c r="D17471" s="2">
        <v>0.10199999999999999</v>
      </c>
      <c r="E17471" s="2">
        <v>2</v>
      </c>
      <c r="F17471" s="2" t="s">
        <v>351</v>
      </c>
    </row>
    <row r="17472" spans="1:6" ht="25.5">
      <c r="A17472" s="2">
        <v>17469</v>
      </c>
      <c r="B17472" s="2" t="s">
        <v>17541</v>
      </c>
      <c r="C17472" s="2" t="str">
        <f>"07173326"</f>
        <v>07173326</v>
      </c>
      <c r="D17472" s="2">
        <v>0.26500000000000001</v>
      </c>
      <c r="E17472" s="2">
        <v>12</v>
      </c>
      <c r="F17472" s="2" t="s">
        <v>182</v>
      </c>
    </row>
    <row r="17473" spans="1:6" ht="25.5">
      <c r="A17473" s="2">
        <v>17470</v>
      </c>
      <c r="B17473" s="2" t="s">
        <v>17542</v>
      </c>
      <c r="C17473" s="2" t="str">
        <f>"00347744"</f>
        <v>00347744</v>
      </c>
      <c r="D17473" s="2">
        <v>0.27800000000000002</v>
      </c>
      <c r="E17473" s="2">
        <v>21</v>
      </c>
      <c r="F17473" s="2" t="s">
        <v>17543</v>
      </c>
    </row>
    <row r="17474" spans="1:6" ht="25.5">
      <c r="A17474" s="2">
        <v>17471</v>
      </c>
      <c r="B17474" s="2" t="s">
        <v>17544</v>
      </c>
      <c r="C17474" s="2" t="str">
        <f>"18871364"</f>
        <v>18871364</v>
      </c>
      <c r="D17474" s="2">
        <v>0.219</v>
      </c>
      <c r="E17474" s="2">
        <v>12</v>
      </c>
      <c r="F17474" s="2" t="s">
        <v>351</v>
      </c>
    </row>
    <row r="17475" spans="1:6" ht="25.5">
      <c r="A17475" s="2">
        <v>17472</v>
      </c>
      <c r="B17475" s="2" t="s">
        <v>17545</v>
      </c>
      <c r="C17475" s="2" t="str">
        <f>"00347752"</f>
        <v>00347752</v>
      </c>
      <c r="D17475" s="2">
        <v>0.26200000000000001</v>
      </c>
      <c r="E17475" s="2">
        <v>13</v>
      </c>
      <c r="F17475" s="2" t="s">
        <v>19</v>
      </c>
    </row>
    <row r="17476" spans="1:6" ht="25.5">
      <c r="A17476" s="2">
        <v>17473</v>
      </c>
      <c r="B17476" s="2" t="s">
        <v>17546</v>
      </c>
      <c r="C17476" s="2" t="str">
        <f>"07161417"</f>
        <v>07161417</v>
      </c>
      <c r="D17476" s="2">
        <v>0.36099999999999999</v>
      </c>
      <c r="E17476" s="2">
        <v>6</v>
      </c>
      <c r="F17476" s="2" t="s">
        <v>182</v>
      </c>
    </row>
    <row r="17477" spans="1:6" ht="25.5">
      <c r="A17477" s="2">
        <v>17474</v>
      </c>
      <c r="B17477" s="2" t="s">
        <v>17547</v>
      </c>
      <c r="C17477" s="2" t="str">
        <f>"18084532"</f>
        <v>18084532</v>
      </c>
      <c r="D17477" s="2">
        <v>0.159</v>
      </c>
      <c r="E17477" s="2">
        <v>7</v>
      </c>
      <c r="F17477" s="2" t="s">
        <v>159</v>
      </c>
    </row>
    <row r="17478" spans="1:6" ht="25.5">
      <c r="A17478" s="2">
        <v>17475</v>
      </c>
      <c r="B17478" s="2" t="s">
        <v>17548</v>
      </c>
      <c r="C17478" s="2" t="str">
        <f>"13159518"</f>
        <v>13159518</v>
      </c>
      <c r="D17478" s="2">
        <v>0.1</v>
      </c>
      <c r="E17478" s="2">
        <v>2</v>
      </c>
      <c r="F17478" s="2" t="s">
        <v>40</v>
      </c>
    </row>
    <row r="17479" spans="1:6" ht="25.5">
      <c r="A17479" s="2">
        <v>17476</v>
      </c>
      <c r="B17479" s="2" t="s">
        <v>17549</v>
      </c>
      <c r="C17479" s="2" t="str">
        <f>"02528843"</f>
        <v>02528843</v>
      </c>
      <c r="D17479" s="2">
        <v>0.14799999999999999</v>
      </c>
      <c r="E17479" s="2">
        <v>2</v>
      </c>
      <c r="F17479" s="2" t="s">
        <v>17550</v>
      </c>
    </row>
    <row r="17480" spans="1:6" ht="25.5">
      <c r="A17480" s="2">
        <v>17477</v>
      </c>
      <c r="B17480" s="2" t="s">
        <v>17551</v>
      </c>
      <c r="C17480" s="2" t="str">
        <f>"07180950"</f>
        <v>07180950</v>
      </c>
      <c r="D17480" s="2">
        <v>0.158</v>
      </c>
      <c r="E17480" s="2">
        <v>2</v>
      </c>
      <c r="F17480" s="2" t="s">
        <v>182</v>
      </c>
    </row>
    <row r="17481" spans="1:6" ht="38.25">
      <c r="A17481" s="2">
        <v>17478</v>
      </c>
      <c r="B17481" s="2" t="s">
        <v>17552</v>
      </c>
      <c r="C17481" s="2" t="str">
        <f>"11347198"</f>
        <v>11347198</v>
      </c>
      <c r="D17481" s="2">
        <v>0.10100000000000001</v>
      </c>
      <c r="E17481" s="2">
        <v>0</v>
      </c>
      <c r="F17481" s="2" t="s">
        <v>351</v>
      </c>
    </row>
    <row r="17482" spans="1:6" ht="25.5">
      <c r="A17482" s="2">
        <v>17479</v>
      </c>
      <c r="B17482" s="2" t="s">
        <v>17553</v>
      </c>
      <c r="C17482" s="2" t="str">
        <f>"19888457"</f>
        <v>19888457</v>
      </c>
      <c r="D17482" s="2">
        <v>0.13</v>
      </c>
      <c r="E17482" s="2">
        <v>4</v>
      </c>
      <c r="F17482" s="2" t="s">
        <v>351</v>
      </c>
    </row>
    <row r="17483" spans="1:6" ht="25.5">
      <c r="A17483" s="2">
        <v>17480</v>
      </c>
      <c r="B17483" s="2" t="s">
        <v>17554</v>
      </c>
      <c r="C17483" s="2" t="str">
        <f>"1133455X"</f>
        <v>1133455X</v>
      </c>
      <c r="D17483" s="2">
        <v>0.16800000000000001</v>
      </c>
      <c r="E17483" s="2">
        <v>4</v>
      </c>
      <c r="F17483" s="2" t="s">
        <v>351</v>
      </c>
    </row>
    <row r="17484" spans="1:6" ht="25.5">
      <c r="A17484" s="2">
        <v>17481</v>
      </c>
      <c r="B17484" s="2" t="s">
        <v>17555</v>
      </c>
      <c r="C17484" s="2" t="str">
        <f>"14159848"</f>
        <v>14159848</v>
      </c>
      <c r="D17484" s="2">
        <v>0.124</v>
      </c>
      <c r="E17484" s="2">
        <v>2</v>
      </c>
      <c r="F17484" s="2" t="s">
        <v>159</v>
      </c>
    </row>
    <row r="17485" spans="1:6" ht="25.5">
      <c r="A17485" s="2">
        <v>17482</v>
      </c>
      <c r="B17485" s="2" t="s">
        <v>17556</v>
      </c>
      <c r="C17485" s="2" t="str">
        <f>"01235362"</f>
        <v>01235362</v>
      </c>
      <c r="D17485" s="2">
        <v>0.10100000000000001</v>
      </c>
      <c r="E17485" s="2">
        <v>2</v>
      </c>
      <c r="F17485" s="2" t="s">
        <v>184</v>
      </c>
    </row>
    <row r="17486" spans="1:6" ht="25.5">
      <c r="A17486" s="2">
        <v>17483</v>
      </c>
      <c r="B17486" s="2" t="s">
        <v>17557</v>
      </c>
      <c r="C17486" s="2" t="str">
        <f>"01032003"</f>
        <v>01032003</v>
      </c>
      <c r="D17486" s="2">
        <v>0.222</v>
      </c>
      <c r="E17486" s="2">
        <v>4</v>
      </c>
      <c r="F17486" s="2" t="s">
        <v>159</v>
      </c>
    </row>
    <row r="17487" spans="1:6" ht="25.5">
      <c r="A17487" s="2">
        <v>17484</v>
      </c>
      <c r="B17487" s="2" t="s">
        <v>17558</v>
      </c>
      <c r="C17487" s="2" t="str">
        <f>"01245996"</f>
        <v>01245996</v>
      </c>
      <c r="D17487" s="2">
        <v>0.127</v>
      </c>
      <c r="E17487" s="2">
        <v>2</v>
      </c>
      <c r="F17487" s="2" t="s">
        <v>184</v>
      </c>
    </row>
    <row r="17488" spans="1:6" ht="25.5">
      <c r="A17488" s="2">
        <v>17485</v>
      </c>
      <c r="B17488" s="2" t="s">
        <v>17559</v>
      </c>
      <c r="C17488" s="2" t="str">
        <f>"15760162"</f>
        <v>15760162</v>
      </c>
      <c r="D17488" s="2">
        <v>0.125</v>
      </c>
      <c r="E17488" s="2">
        <v>2</v>
      </c>
      <c r="F17488" s="2" t="s">
        <v>16</v>
      </c>
    </row>
    <row r="17489" spans="1:6" ht="25.5">
      <c r="A17489" s="2">
        <v>17486</v>
      </c>
      <c r="B17489" s="2" t="s">
        <v>17560</v>
      </c>
      <c r="C17489" s="2" t="str">
        <f>"01013157"</f>
        <v>01013157</v>
      </c>
      <c r="D17489" s="2">
        <v>0.214</v>
      </c>
      <c r="E17489" s="2">
        <v>4</v>
      </c>
      <c r="F17489" s="2" t="s">
        <v>159</v>
      </c>
    </row>
    <row r="17490" spans="1:6" ht="25.5">
      <c r="A17490" s="2">
        <v>17487</v>
      </c>
      <c r="B17490" s="2" t="s">
        <v>17561</v>
      </c>
      <c r="C17490" s="2" t="str">
        <f>"1988592X"</f>
        <v>1988592X</v>
      </c>
      <c r="D17490" s="2">
        <v>0.159</v>
      </c>
      <c r="E17490" s="2">
        <v>4</v>
      </c>
      <c r="F17490" s="2" t="s">
        <v>351</v>
      </c>
    </row>
    <row r="17491" spans="1:6" ht="25.5">
      <c r="A17491" s="2">
        <v>17488</v>
      </c>
      <c r="B17491" s="2" t="s">
        <v>17562</v>
      </c>
      <c r="C17491" s="2" t="str">
        <f>"02105020"</f>
        <v>02105020</v>
      </c>
      <c r="D17491" s="2">
        <v>0.10100000000000001</v>
      </c>
      <c r="E17491" s="2">
        <v>6</v>
      </c>
      <c r="F17491" s="2" t="s">
        <v>351</v>
      </c>
    </row>
    <row r="17492" spans="1:6" ht="25.5">
      <c r="A17492" s="2">
        <v>17489</v>
      </c>
      <c r="B17492" s="2" t="s">
        <v>17563</v>
      </c>
      <c r="C17492" s="2" t="str">
        <f>"0034818X"</f>
        <v>0034818X</v>
      </c>
      <c r="D17492" s="2">
        <v>0.1</v>
      </c>
      <c r="E17492" s="2">
        <v>3</v>
      </c>
      <c r="F17492" s="2" t="s">
        <v>6</v>
      </c>
    </row>
    <row r="17493" spans="1:6" ht="25.5">
      <c r="A17493" s="2">
        <v>17490</v>
      </c>
      <c r="B17493" s="2" t="s">
        <v>17564</v>
      </c>
      <c r="C17493" s="2" t="str">
        <f>"07176260"</f>
        <v>07176260</v>
      </c>
      <c r="D17493" s="2">
        <v>0.1</v>
      </c>
      <c r="E17493" s="2">
        <v>2</v>
      </c>
      <c r="F17493" s="2" t="s">
        <v>182</v>
      </c>
    </row>
    <row r="17494" spans="1:6" ht="25.5">
      <c r="A17494" s="2">
        <v>17491</v>
      </c>
      <c r="B17494" s="2" t="s">
        <v>17565</v>
      </c>
      <c r="C17494" s="2" t="str">
        <f>"18856675"</f>
        <v>18856675</v>
      </c>
      <c r="D17494" s="2">
        <v>0.104</v>
      </c>
      <c r="E17494" s="2">
        <v>2</v>
      </c>
      <c r="F17494" s="2" t="s">
        <v>351</v>
      </c>
    </row>
    <row r="17495" spans="1:6" ht="25.5">
      <c r="A17495" s="2">
        <v>17492</v>
      </c>
      <c r="B17495" s="2" t="s">
        <v>17566</v>
      </c>
      <c r="C17495" s="2" t="str">
        <f>"19005180"</f>
        <v>19005180</v>
      </c>
      <c r="D17495" s="2">
        <v>0.112</v>
      </c>
      <c r="E17495" s="2">
        <v>1</v>
      </c>
      <c r="F17495" s="2" t="s">
        <v>184</v>
      </c>
    </row>
    <row r="17496" spans="1:6" ht="25.5">
      <c r="A17496" s="2">
        <v>17493</v>
      </c>
      <c r="B17496" s="2" t="s">
        <v>17567</v>
      </c>
      <c r="C17496" s="2" t="str">
        <f>"19882823"</f>
        <v>19882823</v>
      </c>
      <c r="D17496" s="2">
        <v>0.10100000000000001</v>
      </c>
      <c r="E17496" s="2">
        <v>2</v>
      </c>
      <c r="F17496" s="2" t="s">
        <v>351</v>
      </c>
    </row>
    <row r="17497" spans="1:6" ht="25.5">
      <c r="A17497" s="2">
        <v>17494</v>
      </c>
      <c r="B17497" s="2" t="s">
        <v>17568</v>
      </c>
      <c r="C17497" s="2" t="str">
        <f>"02109174"</f>
        <v>02109174</v>
      </c>
      <c r="D17497" s="2">
        <v>0.108</v>
      </c>
      <c r="E17497" s="2">
        <v>3</v>
      </c>
      <c r="F17497" s="2" t="s">
        <v>351</v>
      </c>
    </row>
    <row r="17498" spans="1:6" ht="25.5">
      <c r="A17498" s="2">
        <v>17495</v>
      </c>
      <c r="B17498" s="2" t="s">
        <v>17569</v>
      </c>
      <c r="C17498" s="2" t="str">
        <f>"19882815"</f>
        <v>19882815</v>
      </c>
      <c r="D17498" s="2">
        <v>0.1</v>
      </c>
      <c r="E17498" s="2">
        <v>2</v>
      </c>
      <c r="F17498" s="2" t="s">
        <v>351</v>
      </c>
    </row>
    <row r="17499" spans="1:6" ht="25.5">
      <c r="A17499" s="2">
        <v>17496</v>
      </c>
      <c r="B17499" s="2" t="s">
        <v>17570</v>
      </c>
      <c r="C17499" s="2" t="str">
        <f>"07981171"</f>
        <v>07981171</v>
      </c>
      <c r="D17499" s="2">
        <v>0.1</v>
      </c>
      <c r="E17499" s="2">
        <v>1</v>
      </c>
      <c r="F17499" s="2" t="s">
        <v>40</v>
      </c>
    </row>
    <row r="17500" spans="1:6" ht="25.5">
      <c r="A17500" s="2">
        <v>17497</v>
      </c>
      <c r="B17500" s="2" t="s">
        <v>17571</v>
      </c>
      <c r="C17500" s="2" t="str">
        <f>"19805934"</f>
        <v>19805934</v>
      </c>
      <c r="D17500" s="2">
        <v>0.1</v>
      </c>
      <c r="E17500" s="2">
        <v>0</v>
      </c>
      <c r="F17500" s="2" t="s">
        <v>159</v>
      </c>
    </row>
    <row r="17501" spans="1:6" ht="25.5">
      <c r="A17501" s="2">
        <v>17498</v>
      </c>
      <c r="B17501" s="2" t="s">
        <v>17572</v>
      </c>
      <c r="C17501" s="2" t="str">
        <f>"19885806"</f>
        <v>19885806</v>
      </c>
      <c r="D17501" s="2">
        <v>0.107</v>
      </c>
      <c r="E17501" s="2">
        <v>1</v>
      </c>
      <c r="F17501" s="2" t="s">
        <v>351</v>
      </c>
    </row>
    <row r="17502" spans="1:6" ht="25.5">
      <c r="A17502" s="2">
        <v>17499</v>
      </c>
      <c r="B17502" s="2" t="s">
        <v>17573</v>
      </c>
      <c r="C17502" s="2" t="str">
        <f>"1609722X"</f>
        <v>1609722X</v>
      </c>
      <c r="D17502" s="2">
        <v>0.13500000000000001</v>
      </c>
      <c r="E17502" s="2">
        <v>10</v>
      </c>
      <c r="F17502" s="2" t="s">
        <v>17550</v>
      </c>
    </row>
    <row r="17503" spans="1:6" ht="25.5">
      <c r="A17503" s="2">
        <v>17500</v>
      </c>
      <c r="B17503" s="2" t="s">
        <v>17574</v>
      </c>
      <c r="C17503" s="2" t="str">
        <f>"03750906"</f>
        <v>03750906</v>
      </c>
      <c r="D17503" s="2">
        <v>0.157</v>
      </c>
      <c r="E17503" s="2">
        <v>12</v>
      </c>
      <c r="F17503" s="2" t="s">
        <v>200</v>
      </c>
    </row>
    <row r="17504" spans="1:6" ht="25.5">
      <c r="A17504" s="2">
        <v>17501</v>
      </c>
      <c r="B17504" s="2" t="s">
        <v>17575</v>
      </c>
      <c r="C17504" s="2" t="str">
        <f>"03798682"</f>
        <v>03798682</v>
      </c>
      <c r="D17504" s="2">
        <v>0.182</v>
      </c>
      <c r="E17504" s="2">
        <v>5</v>
      </c>
      <c r="F17504" s="2" t="s">
        <v>182</v>
      </c>
    </row>
    <row r="17505" spans="1:6" ht="25.5">
      <c r="A17505" s="2">
        <v>17502</v>
      </c>
      <c r="B17505" s="2" t="s">
        <v>17576</v>
      </c>
      <c r="C17505" s="2" t="str">
        <f>"02126109"</f>
        <v>02126109</v>
      </c>
      <c r="D17505" s="2">
        <v>0.33900000000000002</v>
      </c>
      <c r="E17505" s="2">
        <v>4</v>
      </c>
      <c r="F17505" s="2" t="s">
        <v>351</v>
      </c>
    </row>
    <row r="17506" spans="1:6" ht="25.5">
      <c r="A17506" s="2">
        <v>17503</v>
      </c>
      <c r="B17506" s="2" t="s">
        <v>17577</v>
      </c>
      <c r="C17506" s="2" t="str">
        <f>"11327200"</f>
        <v>11327200</v>
      </c>
      <c r="D17506" s="2">
        <v>0.111</v>
      </c>
      <c r="E17506" s="2">
        <v>2</v>
      </c>
      <c r="F17506" s="2" t="s">
        <v>351</v>
      </c>
    </row>
    <row r="17507" spans="1:6" ht="25.5">
      <c r="A17507" s="2">
        <v>17504</v>
      </c>
      <c r="B17507" s="2" t="s">
        <v>17578</v>
      </c>
      <c r="C17507" s="2" t="str">
        <f>"07170491"</f>
        <v>07170491</v>
      </c>
      <c r="D17507" s="2">
        <v>0.10100000000000001</v>
      </c>
      <c r="E17507" s="2">
        <v>0</v>
      </c>
      <c r="F17507" s="2" t="s">
        <v>182</v>
      </c>
    </row>
    <row r="17508" spans="1:6" ht="25.5">
      <c r="A17508" s="2">
        <v>17505</v>
      </c>
      <c r="B17508" s="2" t="s">
        <v>17579</v>
      </c>
      <c r="C17508" s="2" t="str">
        <f>"00348341"</f>
        <v>00348341</v>
      </c>
      <c r="D17508" s="2">
        <v>0.10100000000000001</v>
      </c>
      <c r="E17508" s="2">
        <v>5</v>
      </c>
      <c r="F17508" s="2" t="s">
        <v>351</v>
      </c>
    </row>
    <row r="17509" spans="1:6" ht="25.5">
      <c r="A17509" s="2">
        <v>17506</v>
      </c>
      <c r="B17509" s="2" t="s">
        <v>17580</v>
      </c>
      <c r="C17509" s="2" t="str">
        <f>"00348376"</f>
        <v>00348376</v>
      </c>
      <c r="D17509" s="2">
        <v>0.17</v>
      </c>
      <c r="E17509" s="2">
        <v>16</v>
      </c>
      <c r="F17509" s="2" t="s">
        <v>200</v>
      </c>
    </row>
    <row r="17510" spans="1:6" ht="25.5">
      <c r="A17510" s="2">
        <v>17507</v>
      </c>
      <c r="B17510" s="2" t="s">
        <v>17581</v>
      </c>
      <c r="C17510" s="2" t="str">
        <f>"19899106"</f>
        <v>19899106</v>
      </c>
      <c r="D17510" s="2">
        <v>0</v>
      </c>
      <c r="E17510" s="2">
        <v>0</v>
      </c>
      <c r="F17510" s="2" t="s">
        <v>351</v>
      </c>
    </row>
    <row r="17511" spans="1:6" ht="25.5">
      <c r="A17511" s="2">
        <v>17508</v>
      </c>
      <c r="B17511" s="2" t="s">
        <v>17582</v>
      </c>
      <c r="C17511" s="2" t="str">
        <f>"16823419"</f>
        <v>16823419</v>
      </c>
      <c r="D17511" s="2">
        <v>0.1</v>
      </c>
      <c r="E17511" s="2">
        <v>1</v>
      </c>
      <c r="F17511" s="2" t="s">
        <v>17550</v>
      </c>
    </row>
    <row r="17512" spans="1:6" ht="25.5">
      <c r="A17512" s="2">
        <v>17509</v>
      </c>
      <c r="B17512" s="2" t="s">
        <v>17583</v>
      </c>
      <c r="C17512" s="2" t="str">
        <f>"11326255"</f>
        <v>11326255</v>
      </c>
      <c r="D17512" s="2">
        <v>0.1</v>
      </c>
      <c r="E17512" s="2">
        <v>1</v>
      </c>
      <c r="F17512" s="2" t="s">
        <v>351</v>
      </c>
    </row>
    <row r="17513" spans="1:6" ht="25.5">
      <c r="A17513" s="2">
        <v>17510</v>
      </c>
      <c r="B17513" s="2" t="s">
        <v>17584</v>
      </c>
      <c r="C17513" s="2" t="str">
        <f>"00044822"</f>
        <v>00044822</v>
      </c>
      <c r="D17513" s="2">
        <v>0.32200000000000001</v>
      </c>
      <c r="E17513" s="2">
        <v>21</v>
      </c>
      <c r="F17513" s="2" t="s">
        <v>192</v>
      </c>
    </row>
    <row r="17514" spans="1:6" ht="25.5">
      <c r="A17514" s="2">
        <v>17511</v>
      </c>
      <c r="B17514" s="2" t="s">
        <v>17585</v>
      </c>
      <c r="C17514" s="2" t="str">
        <f>"07177925"</f>
        <v>07177925</v>
      </c>
      <c r="D17514" s="2">
        <v>0.105</v>
      </c>
      <c r="E17514" s="2">
        <v>2</v>
      </c>
      <c r="F17514" s="2" t="s">
        <v>182</v>
      </c>
    </row>
    <row r="17515" spans="1:6" ht="25.5">
      <c r="A17515" s="2">
        <v>17512</v>
      </c>
      <c r="B17515" s="2" t="s">
        <v>17586</v>
      </c>
      <c r="C17515" s="2" t="str">
        <f>"03787818"</f>
        <v>03787818</v>
      </c>
      <c r="D17515" s="2">
        <v>0.14599999999999999</v>
      </c>
      <c r="E17515" s="2">
        <v>2</v>
      </c>
      <c r="F17515" s="2" t="s">
        <v>40</v>
      </c>
    </row>
    <row r="17516" spans="1:6" ht="25.5">
      <c r="A17516" s="2">
        <v>17513</v>
      </c>
      <c r="B17516" s="2" t="s">
        <v>17587</v>
      </c>
      <c r="C17516" s="2" t="str">
        <f>"03704661"</f>
        <v>03704661</v>
      </c>
      <c r="D17516" s="2">
        <v>0.2</v>
      </c>
      <c r="E17516" s="2">
        <v>3</v>
      </c>
      <c r="F17516" s="2" t="s">
        <v>192</v>
      </c>
    </row>
    <row r="17517" spans="1:6" ht="25.5">
      <c r="A17517" s="2">
        <v>17514</v>
      </c>
      <c r="B17517" s="2" t="s">
        <v>17588</v>
      </c>
      <c r="C17517" s="2" t="str">
        <f>"00146722"</f>
        <v>00146722</v>
      </c>
      <c r="D17517" s="2">
        <v>0.1</v>
      </c>
      <c r="E17517" s="2">
        <v>6</v>
      </c>
      <c r="F17517" s="2" t="s">
        <v>192</v>
      </c>
    </row>
    <row r="17518" spans="1:6" ht="25.5">
      <c r="A17518" s="2">
        <v>17515</v>
      </c>
      <c r="B17518" s="2" t="s">
        <v>17589</v>
      </c>
      <c r="C17518" s="2" t="str">
        <f>"07984065"</f>
        <v>07984065</v>
      </c>
      <c r="D17518" s="2">
        <v>0.1</v>
      </c>
      <c r="E17518" s="2">
        <v>3</v>
      </c>
      <c r="F17518" s="2" t="s">
        <v>40</v>
      </c>
    </row>
    <row r="17519" spans="1:6" ht="25.5">
      <c r="A17519" s="2">
        <v>17516</v>
      </c>
      <c r="B17519" s="2" t="s">
        <v>17590</v>
      </c>
      <c r="C17519" s="2" t="str">
        <f>"01200011"</f>
        <v>01200011</v>
      </c>
      <c r="D17519" s="2">
        <v>0.12</v>
      </c>
      <c r="E17519" s="2">
        <v>2</v>
      </c>
      <c r="F17519" s="2" t="s">
        <v>184</v>
      </c>
    </row>
    <row r="17520" spans="1:6" ht="25.5">
      <c r="A17520" s="2">
        <v>17517</v>
      </c>
      <c r="B17520" s="2" t="s">
        <v>17591</v>
      </c>
      <c r="C17520" s="2" t="str">
        <f>"16665694"</f>
        <v>16665694</v>
      </c>
      <c r="D17520" s="2">
        <v>0</v>
      </c>
      <c r="E17520" s="2">
        <v>1</v>
      </c>
      <c r="F17520" s="2" t="s">
        <v>192</v>
      </c>
    </row>
    <row r="17521" spans="1:6" ht="25.5">
      <c r="A17521" s="2">
        <v>17518</v>
      </c>
      <c r="B17521" s="2" t="s">
        <v>17592</v>
      </c>
      <c r="C17521" s="2" t="str">
        <f>"15791505"</f>
        <v>15791505</v>
      </c>
      <c r="D17521" s="2">
        <v>0.41299999999999998</v>
      </c>
      <c r="E17521" s="2">
        <v>4</v>
      </c>
      <c r="F17521" s="2" t="s">
        <v>190</v>
      </c>
    </row>
    <row r="17522" spans="1:6" ht="25.5">
      <c r="A17522" s="2">
        <v>17519</v>
      </c>
      <c r="B17522" s="2" t="s">
        <v>17593</v>
      </c>
      <c r="C17522" s="2" t="str">
        <f>"11391375"</f>
        <v>11391375</v>
      </c>
      <c r="D17522" s="2">
        <v>0.10299999999999999</v>
      </c>
      <c r="E17522" s="2">
        <v>2</v>
      </c>
      <c r="F17522" s="2" t="s">
        <v>351</v>
      </c>
    </row>
    <row r="17523" spans="1:6" ht="25.5">
      <c r="A17523" s="2">
        <v>17520</v>
      </c>
      <c r="B17523" s="2" t="s">
        <v>17594</v>
      </c>
      <c r="C17523" s="2" t="str">
        <f>"00416932"</f>
        <v>00416932</v>
      </c>
      <c r="D17523" s="2">
        <v>0.32100000000000001</v>
      </c>
      <c r="E17523" s="2">
        <v>2</v>
      </c>
      <c r="F17523" s="2" t="s">
        <v>192</v>
      </c>
    </row>
    <row r="17524" spans="1:6" ht="25.5">
      <c r="A17524" s="2">
        <v>17521</v>
      </c>
      <c r="B17524" s="2" t="s">
        <v>17595</v>
      </c>
      <c r="C17524" s="2" t="str">
        <f>"19817886"</f>
        <v>19817886</v>
      </c>
      <c r="D17524" s="2">
        <v>0.1</v>
      </c>
      <c r="E17524" s="2">
        <v>1</v>
      </c>
      <c r="F17524" s="2" t="s">
        <v>159</v>
      </c>
    </row>
    <row r="17525" spans="1:6" ht="25.5">
      <c r="A17525" s="2">
        <v>17522</v>
      </c>
      <c r="B17525" s="2" t="s">
        <v>17596</v>
      </c>
      <c r="C17525" s="2" t="str">
        <f>"18136257"</f>
        <v>18136257</v>
      </c>
      <c r="D17525" s="2">
        <v>0.1</v>
      </c>
      <c r="E17525" s="2">
        <v>2</v>
      </c>
      <c r="F17525" s="2" t="s">
        <v>88</v>
      </c>
    </row>
    <row r="17526" spans="1:6" ht="25.5">
      <c r="A17526" s="2">
        <v>17523</v>
      </c>
      <c r="B17526" s="2" t="s">
        <v>17597</v>
      </c>
      <c r="C17526" s="2" t="str">
        <f>"01877585"</f>
        <v>01877585</v>
      </c>
      <c r="D17526" s="2">
        <v>0.13800000000000001</v>
      </c>
      <c r="E17526" s="2">
        <v>6</v>
      </c>
      <c r="F17526" s="2" t="s">
        <v>200</v>
      </c>
    </row>
    <row r="17527" spans="1:6" ht="25.5">
      <c r="A17527" s="2">
        <v>17524</v>
      </c>
      <c r="B17527" s="2" t="s">
        <v>17598</v>
      </c>
      <c r="C17527" s="2" t="str">
        <f>"0034849X"</f>
        <v>0034849X</v>
      </c>
      <c r="D17527" s="2">
        <v>0.1</v>
      </c>
      <c r="E17527" s="2">
        <v>3</v>
      </c>
      <c r="F17527" s="2" t="s">
        <v>351</v>
      </c>
    </row>
    <row r="17528" spans="1:6" ht="25.5">
      <c r="A17528" s="2">
        <v>17525</v>
      </c>
      <c r="B17528" s="2" t="s">
        <v>17599</v>
      </c>
      <c r="C17528" s="2" t="str">
        <f>"11303611"</f>
        <v>11303611</v>
      </c>
      <c r="D17528" s="2">
        <v>0.1</v>
      </c>
      <c r="E17528" s="2">
        <v>2</v>
      </c>
      <c r="F17528" s="2" t="s">
        <v>351</v>
      </c>
    </row>
    <row r="17529" spans="1:6" ht="25.5">
      <c r="A17529" s="2">
        <v>17526</v>
      </c>
      <c r="B17529" s="2" t="s">
        <v>17600</v>
      </c>
      <c r="C17529" s="2" t="str">
        <f>"19890389"</f>
        <v>19890389</v>
      </c>
      <c r="D17529" s="2">
        <v>0.19500000000000001</v>
      </c>
      <c r="E17529" s="2">
        <v>2</v>
      </c>
      <c r="F17529" s="2" t="s">
        <v>351</v>
      </c>
    </row>
    <row r="17530" spans="1:6" ht="25.5">
      <c r="A17530" s="2">
        <v>17527</v>
      </c>
      <c r="B17530" s="2" t="s">
        <v>17601</v>
      </c>
      <c r="C17530" s="2" t="str">
        <f>"02125056"</f>
        <v>02125056</v>
      </c>
      <c r="D17530" s="2">
        <v>0.123</v>
      </c>
      <c r="E17530" s="2">
        <v>1</v>
      </c>
      <c r="F17530" s="2" t="s">
        <v>351</v>
      </c>
    </row>
    <row r="17531" spans="1:6" ht="25.5">
      <c r="A17531" s="2">
        <v>17528</v>
      </c>
      <c r="B17531" s="2" t="s">
        <v>17602</v>
      </c>
      <c r="C17531" s="2" t="str">
        <f>"15145158"</f>
        <v>15145158</v>
      </c>
      <c r="D17531" s="2">
        <v>0.23699999999999999</v>
      </c>
      <c r="E17531" s="2">
        <v>5</v>
      </c>
      <c r="F17531" s="2" t="s">
        <v>192</v>
      </c>
    </row>
    <row r="17532" spans="1:6" ht="25.5">
      <c r="A17532" s="2">
        <v>17529</v>
      </c>
      <c r="B17532" s="2" t="s">
        <v>17603</v>
      </c>
      <c r="C17532" s="2" t="str">
        <f>"02144603"</f>
        <v>02144603</v>
      </c>
      <c r="D17532" s="2">
        <v>0.159</v>
      </c>
      <c r="E17532" s="2">
        <v>6</v>
      </c>
      <c r="F17532" s="2" t="s">
        <v>351</v>
      </c>
    </row>
    <row r="17533" spans="1:6" ht="25.5">
      <c r="A17533" s="2">
        <v>17530</v>
      </c>
      <c r="B17533" s="2" t="s">
        <v>17604</v>
      </c>
      <c r="C17533" s="2" t="str">
        <f>"00348570"</f>
        <v>00348570</v>
      </c>
      <c r="D17533" s="2">
        <v>0.17199999999999999</v>
      </c>
      <c r="E17533" s="2">
        <v>11</v>
      </c>
      <c r="F17533" s="2" t="s">
        <v>351</v>
      </c>
    </row>
    <row r="17534" spans="1:6" ht="25.5">
      <c r="A17534" s="2">
        <v>17531</v>
      </c>
      <c r="B17534" s="2" t="s">
        <v>17605</v>
      </c>
      <c r="C17534" s="2" t="str">
        <f>"1886516X"</f>
        <v>1886516X</v>
      </c>
      <c r="D17534" s="2">
        <v>0.14399999999999999</v>
      </c>
      <c r="E17534" s="2">
        <v>3</v>
      </c>
      <c r="F17534" s="2" t="s">
        <v>351</v>
      </c>
    </row>
    <row r="17535" spans="1:6" ht="25.5">
      <c r="A17535" s="2">
        <v>17532</v>
      </c>
      <c r="B17535" s="2" t="s">
        <v>17606</v>
      </c>
      <c r="C17535" s="2" t="str">
        <f>"03263428"</f>
        <v>03263428</v>
      </c>
      <c r="D17535" s="2">
        <v>0.10100000000000001</v>
      </c>
      <c r="E17535" s="2">
        <v>2</v>
      </c>
      <c r="F17535" s="2" t="s">
        <v>192</v>
      </c>
    </row>
    <row r="17536" spans="1:6" ht="25.5">
      <c r="A17536" s="2">
        <v>17533</v>
      </c>
      <c r="B17536" s="2" t="s">
        <v>17607</v>
      </c>
      <c r="C17536" s="2" t="str">
        <f>"15766578"</f>
        <v>15766578</v>
      </c>
      <c r="D17536" s="2">
        <v>0.23599999999999999</v>
      </c>
      <c r="E17536" s="2">
        <v>27</v>
      </c>
      <c r="F17536" s="2" t="s">
        <v>351</v>
      </c>
    </row>
    <row r="17537" spans="1:6" ht="25.5">
      <c r="A17537" s="2">
        <v>17534</v>
      </c>
      <c r="B17537" s="2" t="s">
        <v>17608</v>
      </c>
      <c r="C17537" s="2" t="str">
        <f>"14155273"</f>
        <v>14155273</v>
      </c>
      <c r="D17537" s="2">
        <v>0.216</v>
      </c>
      <c r="E17537" s="2">
        <v>20</v>
      </c>
      <c r="F17537" s="2" t="s">
        <v>159</v>
      </c>
    </row>
    <row r="17538" spans="1:6" ht="25.5">
      <c r="A17538" s="2">
        <v>17535</v>
      </c>
      <c r="B17538" s="2" t="s">
        <v>17609</v>
      </c>
      <c r="C17538" s="2" t="str">
        <f>"00348619"</f>
        <v>00348619</v>
      </c>
      <c r="D17538" s="2">
        <v>0.1</v>
      </c>
      <c r="E17538" s="2">
        <v>4</v>
      </c>
      <c r="F17538" s="2" t="s">
        <v>351</v>
      </c>
    </row>
    <row r="17539" spans="1:6" ht="25.5">
      <c r="A17539" s="2">
        <v>17536</v>
      </c>
      <c r="B17539" s="2" t="s">
        <v>17610</v>
      </c>
      <c r="C17539" s="2" t="str">
        <f>"00487732"</f>
        <v>00487732</v>
      </c>
      <c r="D17539" s="2">
        <v>0.17199999999999999</v>
      </c>
      <c r="E17539" s="2">
        <v>4</v>
      </c>
      <c r="F17539" s="2" t="s">
        <v>40</v>
      </c>
    </row>
    <row r="17540" spans="1:6" ht="25.5">
      <c r="A17540" s="2">
        <v>17537</v>
      </c>
      <c r="B17540" s="2" t="s">
        <v>17611</v>
      </c>
      <c r="C17540" s="2" t="str">
        <f>"00348635"</f>
        <v>00348635</v>
      </c>
      <c r="D17540" s="2">
        <v>0.1</v>
      </c>
      <c r="E17540" s="2">
        <v>2</v>
      </c>
      <c r="F17540" s="2" t="s">
        <v>351</v>
      </c>
    </row>
    <row r="17541" spans="1:6" ht="25.5">
      <c r="A17541" s="2">
        <v>17538</v>
      </c>
      <c r="B17541" s="2" t="s">
        <v>17612</v>
      </c>
      <c r="C17541" s="2" t="str">
        <f>"07989792"</f>
        <v>07989792</v>
      </c>
      <c r="D17541" s="2">
        <v>0.10100000000000001</v>
      </c>
      <c r="E17541" s="2">
        <v>2</v>
      </c>
      <c r="F17541" s="2" t="s">
        <v>40</v>
      </c>
    </row>
    <row r="17542" spans="1:6" ht="25.5">
      <c r="A17542" s="2">
        <v>17539</v>
      </c>
      <c r="B17542" s="2" t="s">
        <v>17613</v>
      </c>
      <c r="C17542" s="2" t="str">
        <f>"11361034"</f>
        <v>11361034</v>
      </c>
      <c r="D17542" s="2">
        <v>0.76200000000000001</v>
      </c>
      <c r="E17542" s="2">
        <v>8</v>
      </c>
      <c r="F17542" s="2" t="s">
        <v>351</v>
      </c>
    </row>
    <row r="17543" spans="1:6" ht="25.5">
      <c r="A17543" s="2">
        <v>17540</v>
      </c>
      <c r="B17543" s="2" t="s">
        <v>17614</v>
      </c>
      <c r="C17543" s="2" t="str">
        <f>"1132239X"</f>
        <v>1132239X</v>
      </c>
      <c r="D17543" s="2">
        <v>0.32100000000000001</v>
      </c>
      <c r="E17543" s="2">
        <v>6</v>
      </c>
      <c r="F17543" s="2" t="s">
        <v>351</v>
      </c>
    </row>
    <row r="17544" spans="1:6" ht="25.5">
      <c r="A17544" s="2">
        <v>17541</v>
      </c>
      <c r="B17544" s="2" t="s">
        <v>17615</v>
      </c>
      <c r="C17544" s="2" t="str">
        <f>"15793680"</f>
        <v>15793680</v>
      </c>
      <c r="D17544" s="2">
        <v>0.185</v>
      </c>
      <c r="E17544" s="2">
        <v>5</v>
      </c>
      <c r="F17544" s="2" t="s">
        <v>351</v>
      </c>
    </row>
    <row r="17545" spans="1:6" ht="25.5">
      <c r="A17545" s="2">
        <v>17542</v>
      </c>
      <c r="B17545" s="2" t="s">
        <v>17616</v>
      </c>
      <c r="C17545" s="2" t="str">
        <f>"11365420"</f>
        <v>11365420</v>
      </c>
      <c r="D17545" s="2">
        <v>0.189</v>
      </c>
      <c r="E17545" s="2">
        <v>2</v>
      </c>
      <c r="F17545" s="2" t="s">
        <v>351</v>
      </c>
    </row>
    <row r="17546" spans="1:6" ht="25.5">
      <c r="A17546" s="2">
        <v>17543</v>
      </c>
      <c r="B17546" s="2" t="s">
        <v>17617</v>
      </c>
      <c r="C17546" s="2" t="str">
        <f>"01016083"</f>
        <v>01016083</v>
      </c>
      <c r="D17546" s="2">
        <v>0.214</v>
      </c>
      <c r="E17546" s="2">
        <v>12</v>
      </c>
      <c r="F17546" s="2" t="s">
        <v>159</v>
      </c>
    </row>
    <row r="17547" spans="1:6" ht="25.5">
      <c r="A17547" s="2">
        <v>17544</v>
      </c>
      <c r="B17547" s="2" t="s">
        <v>17618</v>
      </c>
      <c r="C17547" s="2" t="str">
        <f>"01018108"</f>
        <v>01018108</v>
      </c>
      <c r="D17547" s="2">
        <v>0.18</v>
      </c>
      <c r="E17547" s="2">
        <v>8</v>
      </c>
      <c r="F17547" s="2" t="s">
        <v>159</v>
      </c>
    </row>
    <row r="17548" spans="1:6" ht="25.5">
      <c r="A17548" s="2">
        <v>17545</v>
      </c>
      <c r="B17548" s="2" t="s">
        <v>17619</v>
      </c>
      <c r="C17548" s="2" t="str">
        <f>"18889891"</f>
        <v>18889891</v>
      </c>
      <c r="D17548" s="2">
        <v>0.17299999999999999</v>
      </c>
      <c r="E17548" s="2">
        <v>4</v>
      </c>
      <c r="F17548" s="2" t="s">
        <v>351</v>
      </c>
    </row>
    <row r="17549" spans="1:6" ht="25.5">
      <c r="A17549" s="2">
        <v>17546</v>
      </c>
      <c r="B17549" s="2" t="s">
        <v>17620</v>
      </c>
      <c r="C17549" s="2" t="str">
        <f>"01240064"</f>
        <v>01240064</v>
      </c>
      <c r="D17549" s="2">
        <v>0.193</v>
      </c>
      <c r="E17549" s="2">
        <v>10</v>
      </c>
      <c r="F17549" s="2" t="s">
        <v>184</v>
      </c>
    </row>
    <row r="17550" spans="1:6" ht="25.5">
      <c r="A17550" s="2">
        <v>17547</v>
      </c>
      <c r="B17550" s="2" t="s">
        <v>17621</v>
      </c>
      <c r="C17550" s="2" t="str">
        <f>"00348910"</f>
        <v>00348910</v>
      </c>
      <c r="D17550" s="2">
        <v>0.92400000000000004</v>
      </c>
      <c r="E17550" s="2">
        <v>42</v>
      </c>
      <c r="F17550" s="2" t="s">
        <v>159</v>
      </c>
    </row>
    <row r="17551" spans="1:6" ht="25.5">
      <c r="A17551" s="2">
        <v>17548</v>
      </c>
      <c r="B17551" s="2" t="s">
        <v>17622</v>
      </c>
      <c r="C17551" s="2" t="str">
        <f>"01044478"</f>
        <v>01044478</v>
      </c>
      <c r="D17551" s="2">
        <v>0.23499999999999999</v>
      </c>
      <c r="E17551" s="2">
        <v>3</v>
      </c>
      <c r="F17551" s="2" t="s">
        <v>159</v>
      </c>
    </row>
    <row r="17552" spans="1:6" ht="25.5">
      <c r="A17552" s="2">
        <v>17549</v>
      </c>
      <c r="B17552" s="2" t="s">
        <v>17623</v>
      </c>
      <c r="C17552" s="2" t="str">
        <f>"18862632"</f>
        <v>18862632</v>
      </c>
      <c r="D17552" s="2">
        <v>0</v>
      </c>
      <c r="E17552" s="2">
        <v>0</v>
      </c>
      <c r="F17552" s="2" t="s">
        <v>351</v>
      </c>
    </row>
    <row r="17553" spans="1:6" ht="25.5">
      <c r="A17553" s="2">
        <v>17550</v>
      </c>
      <c r="B17553" s="2" t="s">
        <v>17624</v>
      </c>
      <c r="C17553" s="2" t="str">
        <f>"02127113"</f>
        <v>02127113</v>
      </c>
      <c r="D17553" s="2">
        <v>0.10100000000000001</v>
      </c>
      <c r="E17553" s="2">
        <v>8</v>
      </c>
      <c r="F17553" s="2" t="s">
        <v>351</v>
      </c>
    </row>
    <row r="17554" spans="1:6" ht="25.5">
      <c r="A17554" s="2">
        <v>17551</v>
      </c>
      <c r="B17554" s="2" t="s">
        <v>17625</v>
      </c>
      <c r="C17554" s="2" t="str">
        <f>"1698580X"</f>
        <v>1698580X</v>
      </c>
      <c r="D17554" s="2">
        <v>0.157</v>
      </c>
      <c r="E17554" s="2">
        <v>3</v>
      </c>
      <c r="F17554" s="2" t="s">
        <v>351</v>
      </c>
    </row>
    <row r="17555" spans="1:6" ht="25.5">
      <c r="A17555" s="2">
        <v>17552</v>
      </c>
      <c r="B17555" s="2" t="s">
        <v>17626</v>
      </c>
      <c r="C17555" s="2" t="str">
        <f>"01006991"</f>
        <v>01006991</v>
      </c>
      <c r="D17555" s="2">
        <v>0.16700000000000001</v>
      </c>
      <c r="E17555" s="2">
        <v>6</v>
      </c>
      <c r="F17555" s="2" t="s">
        <v>159</v>
      </c>
    </row>
    <row r="17556" spans="1:6" ht="25.5">
      <c r="A17556" s="2">
        <v>17553</v>
      </c>
      <c r="B17556" s="2" t="s">
        <v>17627</v>
      </c>
      <c r="C17556" s="2" t="str">
        <f>"16789946"</f>
        <v>16789946</v>
      </c>
      <c r="D17556" s="2">
        <v>0.30199999999999999</v>
      </c>
      <c r="E17556" s="2">
        <v>29</v>
      </c>
      <c r="F17556" s="2" t="s">
        <v>159</v>
      </c>
    </row>
    <row r="17557" spans="1:6" ht="25.5">
      <c r="A17557" s="2">
        <v>17554</v>
      </c>
      <c r="B17557" s="2" t="s">
        <v>17628</v>
      </c>
      <c r="C17557" s="2" t="str">
        <f>"10198113"</f>
        <v>10198113</v>
      </c>
      <c r="D17557" s="2">
        <v>0.1</v>
      </c>
      <c r="E17557" s="2">
        <v>3</v>
      </c>
      <c r="F17557" s="2" t="s">
        <v>3454</v>
      </c>
    </row>
    <row r="17558" spans="1:6" ht="25.5">
      <c r="A17558" s="2">
        <v>17555</v>
      </c>
      <c r="B17558" s="2" t="s">
        <v>17629</v>
      </c>
      <c r="C17558" s="2" t="str">
        <f>"16987454"</f>
        <v>16987454</v>
      </c>
      <c r="D17558" s="2">
        <v>0.104</v>
      </c>
      <c r="E17558" s="2">
        <v>1</v>
      </c>
      <c r="F17558" s="2" t="s">
        <v>351</v>
      </c>
    </row>
    <row r="17559" spans="1:6" ht="25.5">
      <c r="A17559" s="2">
        <v>17556</v>
      </c>
      <c r="B17559" s="2" t="s">
        <v>17630</v>
      </c>
      <c r="C17559" s="2" t="str">
        <f>"16074041"</f>
        <v>16074041</v>
      </c>
      <c r="D17559" s="2">
        <v>0.123</v>
      </c>
      <c r="E17559" s="2">
        <v>1</v>
      </c>
      <c r="F17559" s="2" t="s">
        <v>200</v>
      </c>
    </row>
    <row r="17560" spans="1:6" ht="25.5">
      <c r="A17560" s="2">
        <v>17557</v>
      </c>
      <c r="B17560" s="2" t="s">
        <v>17631</v>
      </c>
      <c r="C17560" s="2" t="str">
        <f>"11344032"</f>
        <v>11344032</v>
      </c>
      <c r="D17560" s="2">
        <v>0.13700000000000001</v>
      </c>
      <c r="E17560" s="2">
        <v>3</v>
      </c>
      <c r="F17560" s="2" t="s">
        <v>351</v>
      </c>
    </row>
    <row r="17561" spans="1:6" ht="25.5">
      <c r="A17561" s="2">
        <v>17558</v>
      </c>
      <c r="B17561" s="2" t="s">
        <v>17632</v>
      </c>
      <c r="C17561" s="2" t="str">
        <f>"21769168"</f>
        <v>21769168</v>
      </c>
      <c r="D17561" s="2">
        <v>0.114</v>
      </c>
      <c r="E17561" s="2">
        <v>2</v>
      </c>
      <c r="F17561" s="2" t="s">
        <v>159</v>
      </c>
    </row>
    <row r="17562" spans="1:6" ht="25.5">
      <c r="A17562" s="2">
        <v>17559</v>
      </c>
      <c r="B17562" s="2" t="s">
        <v>17633</v>
      </c>
      <c r="C17562" s="2" t="str">
        <f>"01043552"</f>
        <v>01043552</v>
      </c>
      <c r="D17562" s="2">
        <v>0.23499999999999999</v>
      </c>
      <c r="E17562" s="2">
        <v>4</v>
      </c>
      <c r="F17562" s="2" t="s">
        <v>159</v>
      </c>
    </row>
    <row r="17563" spans="1:6" ht="25.5">
      <c r="A17563" s="2">
        <v>17560</v>
      </c>
      <c r="B17563" s="2" t="s">
        <v>17634</v>
      </c>
      <c r="C17563" s="2" t="str">
        <f>"03704467"</f>
        <v>03704467</v>
      </c>
      <c r="D17563" s="2">
        <v>0.20100000000000001</v>
      </c>
      <c r="E17563" s="2">
        <v>6</v>
      </c>
      <c r="F17563" s="2" t="s">
        <v>159</v>
      </c>
    </row>
    <row r="17564" spans="1:6" ht="25.5">
      <c r="A17564" s="2">
        <v>17561</v>
      </c>
      <c r="B17564" s="2" t="s">
        <v>17635</v>
      </c>
      <c r="C17564" s="2" t="str">
        <f>"00349356"</f>
        <v>00349356</v>
      </c>
      <c r="D17564" s="2">
        <v>0.14199999999999999</v>
      </c>
      <c r="E17564" s="2">
        <v>13</v>
      </c>
      <c r="F17564" s="2" t="s">
        <v>351</v>
      </c>
    </row>
    <row r="17565" spans="1:6" ht="25.5">
      <c r="A17565" s="2">
        <v>17562</v>
      </c>
      <c r="B17565" s="2" t="s">
        <v>17636</v>
      </c>
      <c r="C17565" s="2" t="str">
        <f>"1695503X"</f>
        <v>1695503X</v>
      </c>
      <c r="D17565" s="2">
        <v>0.129</v>
      </c>
      <c r="E17565" s="2">
        <v>1</v>
      </c>
      <c r="F17565" s="2" t="s">
        <v>351</v>
      </c>
    </row>
    <row r="17566" spans="1:6" ht="25.5">
      <c r="A17566" s="2">
        <v>17563</v>
      </c>
      <c r="B17566" s="2" t="s">
        <v>17637</v>
      </c>
      <c r="C17566" s="2" t="str">
        <f>"03008932"</f>
        <v>03008932</v>
      </c>
      <c r="D17566" s="2">
        <v>0.52700000000000002</v>
      </c>
      <c r="E17566" s="2">
        <v>39</v>
      </c>
      <c r="F17566" s="2" t="s">
        <v>351</v>
      </c>
    </row>
    <row r="17567" spans="1:6" ht="25.5">
      <c r="A17567" s="2">
        <v>17564</v>
      </c>
      <c r="B17567" s="2" t="s">
        <v>17638</v>
      </c>
      <c r="C17567" s="2" t="str">
        <f>"15792250"</f>
        <v>15792250</v>
      </c>
      <c r="D17567" s="2">
        <v>0.108</v>
      </c>
      <c r="E17567" s="2">
        <v>8</v>
      </c>
      <c r="F17567" s="2" t="s">
        <v>351</v>
      </c>
    </row>
    <row r="17568" spans="1:6" ht="25.5">
      <c r="A17568" s="2">
        <v>17565</v>
      </c>
      <c r="B17568" s="2" t="s">
        <v>17639</v>
      </c>
      <c r="C17568" s="2" t="str">
        <f>"11300558"</f>
        <v>11300558</v>
      </c>
      <c r="D17568" s="2">
        <v>0.11600000000000001</v>
      </c>
      <c r="E17568" s="2">
        <v>2</v>
      </c>
      <c r="F17568" s="2" t="s">
        <v>351</v>
      </c>
    </row>
    <row r="17569" spans="1:6" ht="25.5">
      <c r="A17569" s="2">
        <v>17566</v>
      </c>
      <c r="B17569" s="2" t="s">
        <v>17640</v>
      </c>
      <c r="C17569" s="2" t="str">
        <f>"19888856"</f>
        <v>19888856</v>
      </c>
      <c r="D17569" s="2">
        <v>0.121</v>
      </c>
      <c r="E17569" s="2">
        <v>7</v>
      </c>
      <c r="F17569" s="2" t="s">
        <v>351</v>
      </c>
    </row>
    <row r="17570" spans="1:6" ht="25.5">
      <c r="A17570" s="2">
        <v>17567</v>
      </c>
      <c r="B17570" s="2" t="s">
        <v>17641</v>
      </c>
      <c r="C17570" s="2" t="str">
        <f>"19890648"</f>
        <v>19890648</v>
      </c>
      <c r="D17570" s="2">
        <v>0.1</v>
      </c>
      <c r="E17570" s="2">
        <v>1</v>
      </c>
      <c r="F17570" s="2" t="s">
        <v>351</v>
      </c>
    </row>
    <row r="17571" spans="1:6" ht="25.5">
      <c r="A17571" s="2">
        <v>17568</v>
      </c>
      <c r="B17571" s="2" t="s">
        <v>17642</v>
      </c>
      <c r="C17571" s="2" t="str">
        <f>"19884621"</f>
        <v>19884621</v>
      </c>
      <c r="D17571" s="2">
        <v>0.27800000000000002</v>
      </c>
      <c r="E17571" s="2">
        <v>5</v>
      </c>
      <c r="F17571" s="2" t="s">
        <v>351</v>
      </c>
    </row>
    <row r="17572" spans="1:6" ht="25.5">
      <c r="A17572" s="2">
        <v>17569</v>
      </c>
      <c r="B17572" s="2" t="s">
        <v>17643</v>
      </c>
      <c r="C17572" s="2" t="str">
        <f>"02137615"</f>
        <v>02137615</v>
      </c>
      <c r="D17572" s="2">
        <v>0</v>
      </c>
      <c r="E17572" s="2">
        <v>1</v>
      </c>
      <c r="F17572" s="2" t="s">
        <v>351</v>
      </c>
    </row>
    <row r="17573" spans="1:6" ht="25.5">
      <c r="A17573" s="2">
        <v>17570</v>
      </c>
      <c r="B17573" s="2" t="s">
        <v>17644</v>
      </c>
      <c r="C17573" s="2" t="str">
        <f>"11304588"</f>
        <v>11304588</v>
      </c>
      <c r="D17573" s="2">
        <v>0.34399999999999997</v>
      </c>
      <c r="E17573" s="2">
        <v>21</v>
      </c>
      <c r="F17573" s="2" t="s">
        <v>351</v>
      </c>
    </row>
    <row r="17574" spans="1:6" ht="25.5">
      <c r="A17574" s="2">
        <v>17571</v>
      </c>
      <c r="B17574" s="2" t="s">
        <v>17645</v>
      </c>
      <c r="C17574" s="2" t="str">
        <f>"02102412"</f>
        <v>02102412</v>
      </c>
      <c r="D17574" s="2">
        <v>0.156</v>
      </c>
      <c r="E17574" s="2">
        <v>8</v>
      </c>
      <c r="F17574" s="2" t="s">
        <v>351</v>
      </c>
    </row>
    <row r="17575" spans="1:6" ht="25.5">
      <c r="A17575" s="2">
        <v>17572</v>
      </c>
      <c r="B17575" s="2" t="s">
        <v>17646</v>
      </c>
      <c r="C17575" s="2" t="str">
        <f>"0211139X"</f>
        <v>0211139X</v>
      </c>
      <c r="D17575" s="2">
        <v>0.23699999999999999</v>
      </c>
      <c r="E17575" s="2">
        <v>10</v>
      </c>
      <c r="F17575" s="2" t="s">
        <v>351</v>
      </c>
    </row>
    <row r="17576" spans="1:6" ht="25.5">
      <c r="A17576" s="2">
        <v>17573</v>
      </c>
      <c r="B17576" s="2" t="s">
        <v>17647</v>
      </c>
      <c r="C17576" s="2" t="str">
        <f>"02105233"</f>
        <v>02105233</v>
      </c>
      <c r="D17576" s="2">
        <v>0.13400000000000001</v>
      </c>
      <c r="E17576" s="2">
        <v>4</v>
      </c>
      <c r="F17576" s="2" t="s">
        <v>351</v>
      </c>
    </row>
    <row r="17577" spans="1:6" ht="25.5">
      <c r="A17577" s="2">
        <v>17574</v>
      </c>
      <c r="B17577" s="2" t="s">
        <v>17648</v>
      </c>
      <c r="C17577" s="2" t="str">
        <f>"02132028"</f>
        <v>02132028</v>
      </c>
      <c r="D17577" s="2">
        <v>0.10299999999999999</v>
      </c>
      <c r="E17577" s="2">
        <v>1</v>
      </c>
      <c r="F17577" s="2" t="s">
        <v>351</v>
      </c>
    </row>
    <row r="17578" spans="1:6" ht="25.5">
      <c r="A17578" s="2">
        <v>17575</v>
      </c>
      <c r="B17578" s="2" t="s">
        <v>17649</v>
      </c>
      <c r="C17578" s="2" t="str">
        <f>"03774732"</f>
        <v>03774732</v>
      </c>
      <c r="D17578" s="2">
        <v>0.123</v>
      </c>
      <c r="E17578" s="2">
        <v>2</v>
      </c>
      <c r="F17578" s="2" t="s">
        <v>351</v>
      </c>
    </row>
    <row r="17579" spans="1:6" ht="25.5">
      <c r="A17579" s="2">
        <v>17576</v>
      </c>
      <c r="B17579" s="2" t="s">
        <v>17650</v>
      </c>
      <c r="C17579" s="2" t="str">
        <f>"2253654X"</f>
        <v>2253654X</v>
      </c>
      <c r="D17579" s="2">
        <v>0.25700000000000001</v>
      </c>
      <c r="E17579" s="2">
        <v>10</v>
      </c>
      <c r="F17579" s="2" t="s">
        <v>351</v>
      </c>
    </row>
    <row r="17580" spans="1:6" ht="25.5">
      <c r="A17580" s="2">
        <v>17577</v>
      </c>
      <c r="B17580" s="2" t="s">
        <v>17651</v>
      </c>
      <c r="C17580" s="2" t="str">
        <f>"21745145"</f>
        <v>21745145</v>
      </c>
      <c r="D17580" s="2">
        <v>0.113</v>
      </c>
      <c r="E17580" s="2">
        <v>3</v>
      </c>
      <c r="F17580" s="2" t="s">
        <v>351</v>
      </c>
    </row>
    <row r="17581" spans="1:6" ht="25.5">
      <c r="A17581" s="2">
        <v>17578</v>
      </c>
      <c r="B17581" s="2" t="s">
        <v>17652</v>
      </c>
      <c r="C17581" s="2" t="str">
        <f>"16966112"</f>
        <v>16966112</v>
      </c>
      <c r="D17581" s="2">
        <v>0.121</v>
      </c>
      <c r="E17581" s="2">
        <v>4</v>
      </c>
      <c r="F17581" s="2" t="s">
        <v>351</v>
      </c>
    </row>
    <row r="17582" spans="1:6" ht="25.5">
      <c r="A17582" s="2">
        <v>17579</v>
      </c>
      <c r="B17582" s="2" t="s">
        <v>17653</v>
      </c>
      <c r="C17582" s="2" t="str">
        <f>"02136937"</f>
        <v>02136937</v>
      </c>
      <c r="D17582" s="2">
        <v>0.23499999999999999</v>
      </c>
      <c r="E17582" s="2">
        <v>3</v>
      </c>
      <c r="F17582" s="2" t="s">
        <v>351</v>
      </c>
    </row>
    <row r="17583" spans="1:6" ht="25.5">
      <c r="A17583" s="2">
        <v>17580</v>
      </c>
      <c r="B17583" s="2" t="s">
        <v>17654</v>
      </c>
      <c r="C17583" s="2" t="str">
        <f>"1988561X"</f>
        <v>1988561X</v>
      </c>
      <c r="D17583" s="2">
        <v>0.10299999999999999</v>
      </c>
      <c r="E17583" s="2">
        <v>3</v>
      </c>
      <c r="F17583" s="2" t="s">
        <v>351</v>
      </c>
    </row>
    <row r="17584" spans="1:6" ht="25.5">
      <c r="A17584" s="2">
        <v>17581</v>
      </c>
      <c r="B17584" s="2" t="s">
        <v>17655</v>
      </c>
      <c r="C17584" s="2" t="str">
        <f>"00349461"</f>
        <v>00349461</v>
      </c>
      <c r="D17584" s="2">
        <v>0.187</v>
      </c>
      <c r="E17584" s="2">
        <v>5</v>
      </c>
      <c r="F17584" s="2" t="s">
        <v>351</v>
      </c>
    </row>
    <row r="17585" spans="1:6" ht="25.5">
      <c r="A17585" s="2">
        <v>17582</v>
      </c>
      <c r="B17585" s="2" t="s">
        <v>17656</v>
      </c>
      <c r="C17585" s="2" t="str">
        <f>"0034947X"</f>
        <v>0034947X</v>
      </c>
      <c r="D17585" s="2">
        <v>0.111</v>
      </c>
      <c r="E17585" s="2">
        <v>8</v>
      </c>
      <c r="F17585" s="2" t="s">
        <v>351</v>
      </c>
    </row>
    <row r="17586" spans="1:6" ht="25.5">
      <c r="A17586" s="2">
        <v>17583</v>
      </c>
      <c r="B17586" s="2" t="s">
        <v>17657</v>
      </c>
      <c r="C17586" s="2" t="str">
        <f>"02143429"</f>
        <v>02143429</v>
      </c>
      <c r="D17586" s="2">
        <v>0.22500000000000001</v>
      </c>
      <c r="E17586" s="2">
        <v>15</v>
      </c>
      <c r="F17586" s="2" t="s">
        <v>351</v>
      </c>
    </row>
    <row r="17587" spans="1:6" ht="25.5">
      <c r="A17587" s="2">
        <v>17584</v>
      </c>
      <c r="B17587" s="2" t="s">
        <v>17658</v>
      </c>
      <c r="C17587" s="2" t="str">
        <f>"11355727"</f>
        <v>11355727</v>
      </c>
      <c r="D17587" s="2">
        <v>0.27</v>
      </c>
      <c r="E17587" s="2">
        <v>21</v>
      </c>
      <c r="F17587" s="2" t="s">
        <v>351</v>
      </c>
    </row>
    <row r="17588" spans="1:6" ht="25.5">
      <c r="A17588" s="2">
        <v>17585</v>
      </c>
      <c r="B17588" s="2" t="s">
        <v>17659</v>
      </c>
      <c r="C17588" s="2" t="str">
        <f>"15782824"</f>
        <v>15782824</v>
      </c>
      <c r="D17588" s="2">
        <v>0.10100000000000001</v>
      </c>
      <c r="E17588" s="2">
        <v>1</v>
      </c>
      <c r="F17588" s="2" t="s">
        <v>351</v>
      </c>
    </row>
    <row r="17589" spans="1:6" ht="25.5">
      <c r="A17589" s="2">
        <v>17586</v>
      </c>
      <c r="B17589" s="2" t="s">
        <v>17660</v>
      </c>
      <c r="C17589" s="2" t="str">
        <f>"10196838"</f>
        <v>10196838</v>
      </c>
      <c r="D17589" s="2">
        <v>0.13600000000000001</v>
      </c>
      <c r="E17589" s="2">
        <v>2</v>
      </c>
      <c r="F17589" s="2" t="s">
        <v>351</v>
      </c>
    </row>
    <row r="17590" spans="1:6" ht="25.5">
      <c r="A17590" s="2">
        <v>17587</v>
      </c>
      <c r="B17590" s="2" t="s">
        <v>17661</v>
      </c>
      <c r="C17590" s="2" t="str">
        <f>"09240608"</f>
        <v>09240608</v>
      </c>
      <c r="D17590" s="2">
        <v>0</v>
      </c>
      <c r="E17590" s="2">
        <v>2</v>
      </c>
      <c r="F17590" s="2" t="s">
        <v>75</v>
      </c>
    </row>
    <row r="17591" spans="1:6" ht="25.5">
      <c r="A17591" s="2">
        <v>17588</v>
      </c>
      <c r="B17591" s="2" t="s">
        <v>17662</v>
      </c>
      <c r="C17591" s="2" t="str">
        <f>"01206230"</f>
        <v>01206230</v>
      </c>
      <c r="D17591" s="2">
        <v>0.13200000000000001</v>
      </c>
      <c r="E17591" s="2">
        <v>3</v>
      </c>
      <c r="F17591" s="2" t="s">
        <v>184</v>
      </c>
    </row>
    <row r="17592" spans="1:6" ht="25.5">
      <c r="A17592" s="2">
        <v>17589</v>
      </c>
      <c r="B17592" s="2" t="s">
        <v>17663</v>
      </c>
      <c r="C17592" s="2" t="str">
        <f>"01877380"</f>
        <v>01877380</v>
      </c>
      <c r="D17592" s="2">
        <v>0.17100000000000001</v>
      </c>
      <c r="E17592" s="2">
        <v>4</v>
      </c>
      <c r="F17592" s="2" t="s">
        <v>200</v>
      </c>
    </row>
    <row r="17593" spans="1:6" ht="25.5">
      <c r="A17593" s="2">
        <v>17590</v>
      </c>
      <c r="B17593" s="2" t="s">
        <v>17664</v>
      </c>
      <c r="C17593" s="2" t="str">
        <f>"11322799"</f>
        <v>11322799</v>
      </c>
      <c r="D17593" s="2">
        <v>0.10199999999999999</v>
      </c>
      <c r="E17593" s="2">
        <v>2</v>
      </c>
      <c r="F17593" s="2" t="s">
        <v>351</v>
      </c>
    </row>
    <row r="17594" spans="1:6" ht="25.5">
      <c r="A17594" s="2">
        <v>17591</v>
      </c>
      <c r="B17594" s="2" t="s">
        <v>17665</v>
      </c>
      <c r="C17594" s="2" t="str">
        <f>"01026933"</f>
        <v>01026933</v>
      </c>
      <c r="D17594" s="2">
        <v>0.188</v>
      </c>
      <c r="E17594" s="2">
        <v>7</v>
      </c>
      <c r="F17594" s="2" t="s">
        <v>159</v>
      </c>
    </row>
    <row r="17595" spans="1:6" ht="25.5">
      <c r="A17595" s="2">
        <v>17592</v>
      </c>
      <c r="B17595" s="2" t="s">
        <v>17666</v>
      </c>
      <c r="C17595" s="2" t="str">
        <f>"19882858"</f>
        <v>19882858</v>
      </c>
      <c r="D17595" s="2">
        <v>0.1</v>
      </c>
      <c r="E17595" s="2">
        <v>1</v>
      </c>
      <c r="F17595" s="2" t="s">
        <v>351</v>
      </c>
    </row>
    <row r="17596" spans="1:6" ht="25.5">
      <c r="A17596" s="2">
        <v>17593</v>
      </c>
      <c r="B17596" s="2" t="s">
        <v>17667</v>
      </c>
      <c r="C17596" s="2" t="str">
        <f>"10121617"</f>
        <v>10121617</v>
      </c>
      <c r="D17596" s="2">
        <v>0.108</v>
      </c>
      <c r="E17596" s="2">
        <v>5</v>
      </c>
      <c r="F17596" s="2" t="s">
        <v>40</v>
      </c>
    </row>
    <row r="17597" spans="1:6" ht="25.5">
      <c r="A17597" s="2">
        <v>17594</v>
      </c>
      <c r="B17597" s="2" t="s">
        <v>17668</v>
      </c>
      <c r="C17597" s="2" t="str">
        <f>"16577027"</f>
        <v>16577027</v>
      </c>
      <c r="D17597" s="2">
        <v>0.10100000000000001</v>
      </c>
      <c r="E17597" s="2">
        <v>1</v>
      </c>
      <c r="F17597" s="2" t="s">
        <v>184</v>
      </c>
    </row>
    <row r="17598" spans="1:6" ht="25.5">
      <c r="A17598" s="2">
        <v>17595</v>
      </c>
      <c r="B17598" s="2" t="s">
        <v>17669</v>
      </c>
      <c r="C17598" s="2" t="str">
        <f>"00349631"</f>
        <v>00349631</v>
      </c>
      <c r="D17598" s="2">
        <v>0.122</v>
      </c>
      <c r="E17598" s="2">
        <v>2</v>
      </c>
      <c r="F17598" s="2" t="s">
        <v>6</v>
      </c>
    </row>
    <row r="17599" spans="1:6" ht="25.5">
      <c r="A17599" s="2">
        <v>17596</v>
      </c>
      <c r="B17599" s="2" t="s">
        <v>17670</v>
      </c>
      <c r="C17599" s="2" t="str">
        <f>"11353848"</f>
        <v>11353848</v>
      </c>
      <c r="D17599" s="2">
        <v>0.121</v>
      </c>
      <c r="E17599" s="2">
        <v>3</v>
      </c>
      <c r="F17599" s="2" t="s">
        <v>192</v>
      </c>
    </row>
    <row r="17600" spans="1:6" ht="25.5">
      <c r="A17600" s="2">
        <v>17597</v>
      </c>
      <c r="B17600" s="2" t="s">
        <v>17671</v>
      </c>
      <c r="C17600" s="2" t="str">
        <f>"11320249"</f>
        <v>11320249</v>
      </c>
      <c r="D17600" s="2">
        <v>0.105</v>
      </c>
      <c r="E17600" s="2">
        <v>5</v>
      </c>
      <c r="F17600" s="2" t="s">
        <v>351</v>
      </c>
    </row>
    <row r="17601" spans="1:6" ht="25.5">
      <c r="A17601" s="2">
        <v>17598</v>
      </c>
      <c r="B17601" s="2" t="s">
        <v>17672</v>
      </c>
      <c r="C17601" s="2" t="str">
        <f>"15781941"</f>
        <v>15781941</v>
      </c>
      <c r="D17601" s="2">
        <v>0.10100000000000001</v>
      </c>
      <c r="E17601" s="2">
        <v>2</v>
      </c>
      <c r="F17601" s="2" t="s">
        <v>351</v>
      </c>
    </row>
    <row r="17602" spans="1:6" ht="25.5">
      <c r="A17602" s="2">
        <v>17599</v>
      </c>
      <c r="B17602" s="2" t="s">
        <v>17673</v>
      </c>
      <c r="C17602" s="2" t="str">
        <f>"11301406"</f>
        <v>11301406</v>
      </c>
      <c r="D17602" s="2">
        <v>0.32300000000000001</v>
      </c>
      <c r="E17602" s="2">
        <v>25</v>
      </c>
      <c r="F17602" s="2" t="s">
        <v>351</v>
      </c>
    </row>
    <row r="17603" spans="1:6" ht="25.5">
      <c r="A17603" s="2">
        <v>17600</v>
      </c>
      <c r="B17603" s="2" t="s">
        <v>17674</v>
      </c>
      <c r="C17603" s="2" t="str">
        <f>"18868576"</f>
        <v>18868576</v>
      </c>
      <c r="D17603" s="2">
        <v>0</v>
      </c>
      <c r="E17603" s="2">
        <v>0</v>
      </c>
      <c r="F17603" s="2" t="s">
        <v>351</v>
      </c>
    </row>
    <row r="17604" spans="1:6" ht="25.5">
      <c r="A17604" s="2">
        <v>17601</v>
      </c>
      <c r="B17604" s="2" t="s">
        <v>17675</v>
      </c>
      <c r="C17604" s="2" t="str">
        <f>"07185073"</f>
        <v>07185073</v>
      </c>
      <c r="D17604" s="2">
        <v>0</v>
      </c>
      <c r="E17604" s="2">
        <v>0</v>
      </c>
      <c r="F17604" s="2" t="s">
        <v>182</v>
      </c>
    </row>
    <row r="17605" spans="1:6" ht="25.5">
      <c r="A17605" s="2">
        <v>17602</v>
      </c>
      <c r="B17605" s="2" t="s">
        <v>17676</v>
      </c>
      <c r="C17605" s="2" t="str">
        <f>"00349690"</f>
        <v>00349690</v>
      </c>
      <c r="D17605" s="2">
        <v>0.25600000000000001</v>
      </c>
      <c r="E17605" s="2">
        <v>9</v>
      </c>
      <c r="F17605" s="2" t="s">
        <v>6</v>
      </c>
    </row>
    <row r="17606" spans="1:6" ht="25.5">
      <c r="A17606" s="2">
        <v>17603</v>
      </c>
      <c r="B17606" s="2" t="s">
        <v>17677</v>
      </c>
      <c r="C17606" s="2" t="str">
        <f>"18878369"</f>
        <v>18878369</v>
      </c>
      <c r="D17606" s="2">
        <v>0.123</v>
      </c>
      <c r="E17606" s="2">
        <v>2</v>
      </c>
      <c r="F17606" s="2" t="s">
        <v>351</v>
      </c>
    </row>
    <row r="17607" spans="1:6" ht="25.5">
      <c r="A17607" s="2">
        <v>17604</v>
      </c>
      <c r="B17607" s="2" t="s">
        <v>17678</v>
      </c>
      <c r="C17607" s="2" t="str">
        <f>"1698031X"</f>
        <v>1698031X</v>
      </c>
      <c r="D17607" s="2">
        <v>0.16</v>
      </c>
      <c r="E17607" s="2">
        <v>4</v>
      </c>
      <c r="F17607" s="2" t="s">
        <v>351</v>
      </c>
    </row>
    <row r="17608" spans="1:6" ht="25.5">
      <c r="A17608" s="2">
        <v>17605</v>
      </c>
      <c r="B17608" s="2" t="s">
        <v>17679</v>
      </c>
      <c r="C17608" s="2" t="str">
        <f>"01884999"</f>
        <v>01884999</v>
      </c>
      <c r="D17608" s="2">
        <v>0.14799999999999999</v>
      </c>
      <c r="E17608" s="2">
        <v>8</v>
      </c>
      <c r="F17608" s="2" t="s">
        <v>200</v>
      </c>
    </row>
    <row r="17609" spans="1:6" ht="25.5">
      <c r="A17609" s="2">
        <v>17606</v>
      </c>
      <c r="B17609" s="2" t="s">
        <v>17680</v>
      </c>
      <c r="C17609" s="2" t="str">
        <f>"15799425"</f>
        <v>15799425</v>
      </c>
      <c r="D17609" s="2">
        <v>0.1</v>
      </c>
      <c r="E17609" s="2">
        <v>3</v>
      </c>
      <c r="F17609" s="2" t="s">
        <v>12</v>
      </c>
    </row>
    <row r="17610" spans="1:6" ht="25.5">
      <c r="A17610" s="2">
        <v>17607</v>
      </c>
      <c r="B17610" s="2" t="s">
        <v>17681</v>
      </c>
      <c r="C17610" s="2" t="str">
        <f>"15770354"</f>
        <v>15770354</v>
      </c>
      <c r="D17610" s="2">
        <v>0.217</v>
      </c>
      <c r="E17610" s="2">
        <v>5</v>
      </c>
      <c r="F17610" s="2" t="s">
        <v>351</v>
      </c>
    </row>
    <row r="17611" spans="1:6" ht="25.5">
      <c r="A17611" s="2">
        <v>17608</v>
      </c>
      <c r="B17611" s="2" t="s">
        <v>17682</v>
      </c>
      <c r="C17611" s="2" t="str">
        <f>"1886158X"</f>
        <v>1886158X</v>
      </c>
      <c r="D17611" s="2">
        <v>0.16300000000000001</v>
      </c>
      <c r="E17611" s="2">
        <v>2</v>
      </c>
      <c r="F17611" s="2" t="s">
        <v>351</v>
      </c>
    </row>
    <row r="17612" spans="1:6" ht="25.5">
      <c r="A17612" s="2">
        <v>17609</v>
      </c>
      <c r="B17612" s="2" t="s">
        <v>17683</v>
      </c>
      <c r="C17612" s="2" t="str">
        <f>"00349712"</f>
        <v>00349712</v>
      </c>
      <c r="D17612" s="2">
        <v>0.17100000000000001</v>
      </c>
      <c r="E17612" s="2">
        <v>4</v>
      </c>
      <c r="F17612" s="2" t="s">
        <v>351</v>
      </c>
    </row>
    <row r="17613" spans="1:6" ht="25.5">
      <c r="A17613" s="2">
        <v>17610</v>
      </c>
      <c r="B17613" s="2" t="s">
        <v>17684</v>
      </c>
      <c r="C17613" s="2" t="str">
        <f>"07181299"</f>
        <v>07181299</v>
      </c>
      <c r="D17613" s="2">
        <v>0.10100000000000001</v>
      </c>
      <c r="E17613" s="2">
        <v>1</v>
      </c>
      <c r="F17613" s="2" t="s">
        <v>182</v>
      </c>
    </row>
    <row r="17614" spans="1:6" ht="25.5">
      <c r="A17614" s="2">
        <v>17611</v>
      </c>
      <c r="B17614" s="2" t="s">
        <v>17685</v>
      </c>
      <c r="C17614" s="2" t="str">
        <f>"17944449"</f>
        <v>17944449</v>
      </c>
      <c r="D17614" s="2">
        <v>0.10100000000000001</v>
      </c>
      <c r="E17614" s="2">
        <v>0</v>
      </c>
      <c r="F17614" s="2" t="s">
        <v>184</v>
      </c>
    </row>
    <row r="17615" spans="1:6" ht="25.5">
      <c r="A17615" s="2">
        <v>17612</v>
      </c>
      <c r="B17615" s="2" t="s">
        <v>17686</v>
      </c>
      <c r="C17615" s="2" t="str">
        <f>"11385820"</f>
        <v>11385820</v>
      </c>
      <c r="D17615" s="2">
        <v>0.124</v>
      </c>
      <c r="E17615" s="2">
        <v>1</v>
      </c>
      <c r="F17615" s="2" t="s">
        <v>351</v>
      </c>
    </row>
    <row r="17616" spans="1:6" ht="25.5">
      <c r="A17616" s="2">
        <v>17613</v>
      </c>
      <c r="B17616" s="2" t="s">
        <v>17687</v>
      </c>
      <c r="C17616" s="2" t="str">
        <f>"01041169"</f>
        <v>01041169</v>
      </c>
      <c r="D17616" s="2">
        <v>0.34399999999999997</v>
      </c>
      <c r="E17616" s="2">
        <v>21</v>
      </c>
      <c r="F17616" s="2" t="s">
        <v>159</v>
      </c>
    </row>
    <row r="17617" spans="1:6" ht="25.5">
      <c r="A17617" s="2">
        <v>17614</v>
      </c>
      <c r="B17617" s="2" t="s">
        <v>17688</v>
      </c>
      <c r="C17617" s="2" t="str">
        <f>"18564550"</f>
        <v>18564550</v>
      </c>
      <c r="D17617" s="2">
        <v>0.127</v>
      </c>
      <c r="E17617" s="2">
        <v>2</v>
      </c>
      <c r="F17617" s="2" t="s">
        <v>40</v>
      </c>
    </row>
    <row r="17618" spans="1:6" ht="25.5">
      <c r="A17618" s="2">
        <v>17615</v>
      </c>
      <c r="B17618" s="2" t="s">
        <v>17689</v>
      </c>
      <c r="C17618" s="2" t="str">
        <f>"02556952"</f>
        <v>02556952</v>
      </c>
      <c r="D17618" s="2">
        <v>0.151</v>
      </c>
      <c r="E17618" s="2">
        <v>2</v>
      </c>
      <c r="F17618" s="2" t="s">
        <v>40</v>
      </c>
    </row>
    <row r="17619" spans="1:6" ht="25.5">
      <c r="A17619" s="2">
        <v>17616</v>
      </c>
      <c r="B17619" s="2" t="s">
        <v>17690</v>
      </c>
      <c r="C17619" s="2" t="str">
        <f>"01200534"</f>
        <v>01200534</v>
      </c>
      <c r="D17619" s="2">
        <v>0.27100000000000002</v>
      </c>
      <c r="E17619" s="2">
        <v>11</v>
      </c>
      <c r="F17619" s="2" t="s">
        <v>184</v>
      </c>
    </row>
    <row r="17620" spans="1:6" ht="25.5">
      <c r="A17620" s="2">
        <v>17617</v>
      </c>
      <c r="B17620" s="2" t="s">
        <v>17691</v>
      </c>
      <c r="C17620" s="2" t="str">
        <f>"14154714"</f>
        <v>14154714</v>
      </c>
      <c r="D17620" s="2">
        <v>0.14599999999999999</v>
      </c>
      <c r="E17620" s="2">
        <v>2</v>
      </c>
      <c r="F17620" s="2" t="s">
        <v>159</v>
      </c>
    </row>
    <row r="17621" spans="1:6" ht="25.5">
      <c r="A17621" s="2">
        <v>17618</v>
      </c>
      <c r="B17621" s="2" t="s">
        <v>17692</v>
      </c>
      <c r="C17621" s="2" t="str">
        <f>"03705943"</f>
        <v>03705943</v>
      </c>
      <c r="D17621" s="2">
        <v>0</v>
      </c>
      <c r="E17621" s="2">
        <v>0</v>
      </c>
      <c r="F17621" s="2" t="s">
        <v>200</v>
      </c>
    </row>
    <row r="17622" spans="1:6" ht="25.5">
      <c r="A17622" s="2">
        <v>17619</v>
      </c>
      <c r="B17622" s="2" t="s">
        <v>17693</v>
      </c>
      <c r="C17622" s="2" t="str">
        <f>"1646401X"</f>
        <v>1646401X</v>
      </c>
      <c r="D17622" s="2">
        <v>0.15</v>
      </c>
      <c r="E17622" s="2">
        <v>3</v>
      </c>
      <c r="F17622" s="2" t="s">
        <v>306</v>
      </c>
    </row>
    <row r="17623" spans="1:6" ht="25.5">
      <c r="A17623" s="2">
        <v>17620</v>
      </c>
      <c r="B17623" s="2" t="s">
        <v>17694</v>
      </c>
      <c r="C17623" s="2" t="str">
        <f>"11391138"</f>
        <v>11391138</v>
      </c>
      <c r="D17623" s="2">
        <v>0.55900000000000005</v>
      </c>
      <c r="E17623" s="2">
        <v>7</v>
      </c>
      <c r="F17623" s="2" t="s">
        <v>190</v>
      </c>
    </row>
    <row r="17624" spans="1:6" ht="25.5">
      <c r="A17624" s="2">
        <v>17621</v>
      </c>
      <c r="B17624" s="2" t="s">
        <v>17695</v>
      </c>
      <c r="C17624" s="2" t="str">
        <f>"02132230"</f>
        <v>02132230</v>
      </c>
      <c r="D17624" s="2">
        <v>1.1879999999999999</v>
      </c>
      <c r="E17624" s="2">
        <v>27</v>
      </c>
      <c r="F17624" s="2" t="s">
        <v>351</v>
      </c>
    </row>
    <row r="17625" spans="1:6" ht="25.5">
      <c r="A17625" s="2">
        <v>17622</v>
      </c>
      <c r="B17625" s="2" t="s">
        <v>17696</v>
      </c>
      <c r="C17625" s="2" t="str">
        <f>"15177076"</f>
        <v>15177076</v>
      </c>
      <c r="D17625" s="2">
        <v>0.20899999999999999</v>
      </c>
      <c r="E17625" s="2">
        <v>4</v>
      </c>
      <c r="F17625" s="2" t="s">
        <v>159</v>
      </c>
    </row>
    <row r="17626" spans="1:6" ht="25.5">
      <c r="A17626" s="2">
        <v>17623</v>
      </c>
      <c r="B17626" s="2" t="s">
        <v>17697</v>
      </c>
      <c r="C17626" s="2" t="str">
        <f>"07176163"</f>
        <v>07176163</v>
      </c>
      <c r="D17626" s="2">
        <v>0.17699999999999999</v>
      </c>
      <c r="E17626" s="2">
        <v>23</v>
      </c>
      <c r="F17626" s="2" t="s">
        <v>182</v>
      </c>
    </row>
    <row r="17627" spans="1:6" ht="25.5">
      <c r="A17627" s="2">
        <v>17624</v>
      </c>
      <c r="B17627" s="2" t="s">
        <v>17698</v>
      </c>
      <c r="C17627" s="2" t="str">
        <f>"18888526"</f>
        <v>18888526</v>
      </c>
      <c r="D17627" s="2">
        <v>0.188</v>
      </c>
      <c r="E17627" s="2">
        <v>1</v>
      </c>
      <c r="F17627" s="2" t="s">
        <v>351</v>
      </c>
    </row>
    <row r="17628" spans="1:6" ht="25.5">
      <c r="A17628" s="2">
        <v>17625</v>
      </c>
      <c r="B17628" s="2" t="s">
        <v>17699</v>
      </c>
      <c r="C17628" s="2" t="str">
        <f>"04435117"</f>
        <v>04435117</v>
      </c>
      <c r="D17628" s="2">
        <v>0.112</v>
      </c>
      <c r="E17628" s="2">
        <v>7</v>
      </c>
      <c r="F17628" s="2" t="s">
        <v>200</v>
      </c>
    </row>
    <row r="17629" spans="1:6" ht="25.5">
      <c r="A17629" s="2">
        <v>17626</v>
      </c>
      <c r="B17629" s="2" t="s">
        <v>17700</v>
      </c>
      <c r="C17629" s="2" t="str">
        <f>"03275019"</f>
        <v>03275019</v>
      </c>
      <c r="D17629" s="2">
        <v>0.10100000000000001</v>
      </c>
      <c r="E17629" s="2">
        <v>2</v>
      </c>
      <c r="F17629" s="2" t="s">
        <v>192</v>
      </c>
    </row>
    <row r="17630" spans="1:6" ht="25.5">
      <c r="A17630" s="2">
        <v>17627</v>
      </c>
      <c r="B17630" s="2" t="s">
        <v>17701</v>
      </c>
      <c r="C17630" s="2" t="str">
        <f>"00487848"</f>
        <v>00487848</v>
      </c>
      <c r="D17630" s="2">
        <v>0.109</v>
      </c>
      <c r="E17630" s="2">
        <v>2</v>
      </c>
      <c r="F17630" s="2" t="s">
        <v>19</v>
      </c>
    </row>
    <row r="17631" spans="1:6" ht="25.5">
      <c r="A17631" s="2">
        <v>17628</v>
      </c>
      <c r="B17631" s="2" t="s">
        <v>17702</v>
      </c>
      <c r="C17631" s="2" t="str">
        <f>"01851012"</f>
        <v>01851012</v>
      </c>
      <c r="D17631" s="2">
        <v>0.112</v>
      </c>
      <c r="E17631" s="2">
        <v>5</v>
      </c>
      <c r="F17631" s="2" t="s">
        <v>200</v>
      </c>
    </row>
    <row r="17632" spans="1:6" ht="25.5">
      <c r="A17632" s="2">
        <v>17629</v>
      </c>
      <c r="B17632" s="2" t="s">
        <v>17703</v>
      </c>
      <c r="C17632" s="2" t="str">
        <f>"01851101"</f>
        <v>01851101</v>
      </c>
      <c r="D17632" s="2">
        <v>0.47499999999999998</v>
      </c>
      <c r="E17632" s="2">
        <v>18</v>
      </c>
      <c r="F17632" s="2" t="s">
        <v>200</v>
      </c>
    </row>
    <row r="17633" spans="1:6" ht="25.5">
      <c r="A17633" s="2">
        <v>17630</v>
      </c>
      <c r="B17633" s="2" t="s">
        <v>17704</v>
      </c>
      <c r="C17633" s="2" t="str">
        <f>"1870509X"</f>
        <v>1870509X</v>
      </c>
      <c r="D17633" s="2">
        <v>0.24099999999999999</v>
      </c>
      <c r="E17633" s="2">
        <v>8</v>
      </c>
      <c r="F17633" s="2" t="s">
        <v>200</v>
      </c>
    </row>
    <row r="17634" spans="1:6" ht="25.5">
      <c r="A17634" s="2">
        <v>17631</v>
      </c>
      <c r="B17634" s="2" t="s">
        <v>17705</v>
      </c>
      <c r="C17634" s="2" t="str">
        <f>"01882198"</f>
        <v>01882198</v>
      </c>
      <c r="D17634" s="2">
        <v>0.113</v>
      </c>
      <c r="E17634" s="2">
        <v>2</v>
      </c>
      <c r="F17634" s="2" t="s">
        <v>200</v>
      </c>
    </row>
    <row r="17635" spans="1:6" ht="25.5">
      <c r="A17635" s="2">
        <v>17632</v>
      </c>
      <c r="B17635" s="2" t="s">
        <v>17706</v>
      </c>
      <c r="C17635" s="2" t="str">
        <f>"10273956"</f>
        <v>10273956</v>
      </c>
      <c r="D17635" s="2">
        <v>0.114</v>
      </c>
      <c r="E17635" s="2">
        <v>4</v>
      </c>
      <c r="F17635" s="2" t="s">
        <v>200</v>
      </c>
    </row>
    <row r="17636" spans="1:6" ht="25.5">
      <c r="A17636" s="2">
        <v>17633</v>
      </c>
      <c r="B17636" s="2" t="s">
        <v>17707</v>
      </c>
      <c r="C17636" s="2" t="str">
        <f>"10268774"</f>
        <v>10268774</v>
      </c>
      <c r="D17636" s="2">
        <v>0.41</v>
      </c>
      <c r="E17636" s="2">
        <v>19</v>
      </c>
      <c r="F17636" s="2" t="s">
        <v>200</v>
      </c>
    </row>
    <row r="17637" spans="1:6" ht="25.5">
      <c r="A17637" s="2">
        <v>17634</v>
      </c>
      <c r="B17637" s="2" t="s">
        <v>17708</v>
      </c>
      <c r="C17637" s="2" t="str">
        <f>"14050315"</f>
        <v>14050315</v>
      </c>
      <c r="D17637" s="2">
        <v>0.10100000000000001</v>
      </c>
      <c r="E17637" s="2">
        <v>1</v>
      </c>
      <c r="F17637" s="2" t="s">
        <v>200</v>
      </c>
    </row>
    <row r="17638" spans="1:6" ht="25.5">
      <c r="A17638" s="2">
        <v>17635</v>
      </c>
      <c r="B17638" s="2" t="s">
        <v>17709</v>
      </c>
      <c r="C17638" s="2" t="str">
        <f>"18703542"</f>
        <v>18703542</v>
      </c>
      <c r="D17638" s="2">
        <v>0.26200000000000001</v>
      </c>
      <c r="E17638" s="2">
        <v>15</v>
      </c>
      <c r="F17638" s="2" t="s">
        <v>200</v>
      </c>
    </row>
    <row r="17639" spans="1:6" ht="25.5">
      <c r="A17639" s="2">
        <v>17636</v>
      </c>
      <c r="B17639" s="2" t="s">
        <v>17710</v>
      </c>
      <c r="C17639" s="2" t="str">
        <f>"16652738"</f>
        <v>16652738</v>
      </c>
      <c r="D17639" s="2">
        <v>0.246</v>
      </c>
      <c r="E17639" s="2">
        <v>4</v>
      </c>
      <c r="F17639" s="2" t="s">
        <v>200</v>
      </c>
    </row>
    <row r="17640" spans="1:6" ht="25.5">
      <c r="A17640" s="2">
        <v>17637</v>
      </c>
      <c r="B17640" s="2" t="s">
        <v>17711</v>
      </c>
      <c r="C17640" s="2" t="str">
        <f>"01889532"</f>
        <v>01889532</v>
      </c>
      <c r="D17640" s="2">
        <v>0.10199999999999999</v>
      </c>
      <c r="E17640" s="2">
        <v>0</v>
      </c>
      <c r="F17640" s="2" t="s">
        <v>200</v>
      </c>
    </row>
    <row r="17641" spans="1:6" ht="25.5">
      <c r="A17641" s="2">
        <v>17638</v>
      </c>
      <c r="B17641" s="2" t="s">
        <v>17712</v>
      </c>
      <c r="C17641" s="2" t="str">
        <f>"14056666"</f>
        <v>14056666</v>
      </c>
      <c r="D17641" s="2">
        <v>0</v>
      </c>
      <c r="E17641" s="2">
        <v>1</v>
      </c>
      <c r="F17641" s="2" t="s">
        <v>200</v>
      </c>
    </row>
    <row r="17642" spans="1:6" ht="25.5">
      <c r="A17642" s="2">
        <v>17639</v>
      </c>
      <c r="B17642" s="2" t="s">
        <v>17713</v>
      </c>
      <c r="C17642" s="2" t="str">
        <f>"16655044"</f>
        <v>16655044</v>
      </c>
      <c r="D17642" s="2">
        <v>0.155</v>
      </c>
      <c r="E17642" s="2">
        <v>3</v>
      </c>
      <c r="F17642" s="2" t="s">
        <v>200</v>
      </c>
    </row>
    <row r="17643" spans="1:6" ht="25.5">
      <c r="A17643" s="2">
        <v>17640</v>
      </c>
      <c r="B17643" s="2" t="s">
        <v>17714</v>
      </c>
      <c r="C17643" s="2" t="str">
        <f>"01874519"</f>
        <v>01874519</v>
      </c>
      <c r="D17643" s="2">
        <v>0.124</v>
      </c>
      <c r="E17643" s="2">
        <v>4</v>
      </c>
      <c r="F17643" s="2" t="s">
        <v>200</v>
      </c>
    </row>
    <row r="17644" spans="1:6" ht="25.5">
      <c r="A17644" s="2">
        <v>17641</v>
      </c>
      <c r="B17644" s="2" t="s">
        <v>17715</v>
      </c>
      <c r="C17644" s="2" t="str">
        <f>"01856073"</f>
        <v>01856073</v>
      </c>
      <c r="D17644" s="2">
        <v>0.36299999999999999</v>
      </c>
      <c r="E17644" s="2">
        <v>10</v>
      </c>
      <c r="F17644" s="2" t="s">
        <v>200</v>
      </c>
    </row>
    <row r="17645" spans="1:6" ht="25.5">
      <c r="A17645" s="2">
        <v>17642</v>
      </c>
      <c r="B17645" s="2" t="s">
        <v>17716</v>
      </c>
      <c r="C17645" s="2" t="str">
        <f>"01882503"</f>
        <v>01882503</v>
      </c>
      <c r="D17645" s="2">
        <v>0.10199999999999999</v>
      </c>
      <c r="E17645" s="2">
        <v>1</v>
      </c>
      <c r="F17645" s="2" t="s">
        <v>200</v>
      </c>
    </row>
    <row r="17646" spans="1:6" ht="25.5">
      <c r="A17646" s="2">
        <v>17643</v>
      </c>
      <c r="B17646" s="2" t="s">
        <v>17717</v>
      </c>
      <c r="C17646" s="2" t="str">
        <f>"11390921"</f>
        <v>11390921</v>
      </c>
      <c r="D17646" s="2">
        <v>0.10100000000000001</v>
      </c>
      <c r="E17646" s="2">
        <v>4</v>
      </c>
      <c r="F17646" s="2" t="s">
        <v>351</v>
      </c>
    </row>
    <row r="17647" spans="1:6" ht="25.5">
      <c r="A17647" s="2">
        <v>17644</v>
      </c>
      <c r="B17647" s="2" t="s">
        <v>17718</v>
      </c>
      <c r="C17647" s="2" t="str">
        <f>"07176252"</f>
        <v>07176252</v>
      </c>
      <c r="D17647" s="2">
        <v>0.10100000000000001</v>
      </c>
      <c r="E17647" s="2">
        <v>1</v>
      </c>
      <c r="F17647" s="2" t="s">
        <v>182</v>
      </c>
    </row>
    <row r="17648" spans="1:6" ht="25.5">
      <c r="A17648" s="2">
        <v>17645</v>
      </c>
      <c r="B17648" s="2" t="s">
        <v>17719</v>
      </c>
      <c r="C17648" s="2" t="str">
        <f>"19090544"</f>
        <v>19090544</v>
      </c>
      <c r="D17648" s="2">
        <v>0.151</v>
      </c>
      <c r="E17648" s="2">
        <v>3</v>
      </c>
      <c r="F17648" s="2" t="s">
        <v>184</v>
      </c>
    </row>
    <row r="17649" spans="1:6" ht="25.5">
      <c r="A17649" s="2">
        <v>17646</v>
      </c>
      <c r="B17649" s="2" t="s">
        <v>17720</v>
      </c>
      <c r="C17649" s="2" t="str">
        <f>"19844905"</f>
        <v>19844905</v>
      </c>
      <c r="D17649" s="2">
        <v>0.18</v>
      </c>
      <c r="E17649" s="2">
        <v>3</v>
      </c>
      <c r="F17649" s="2" t="s">
        <v>159</v>
      </c>
    </row>
    <row r="17650" spans="1:6" ht="25.5">
      <c r="A17650" s="2">
        <v>17647</v>
      </c>
      <c r="B17650" s="2" t="s">
        <v>17721</v>
      </c>
      <c r="C17650" s="2" t="str">
        <f>"01029460"</f>
        <v>01029460</v>
      </c>
      <c r="D17650" s="2">
        <v>0.113</v>
      </c>
      <c r="E17650" s="2">
        <v>1</v>
      </c>
      <c r="F17650" s="2" t="s">
        <v>159</v>
      </c>
    </row>
    <row r="17651" spans="1:6" ht="25.5">
      <c r="A17651" s="2">
        <v>17648</v>
      </c>
      <c r="B17651" s="2" t="s">
        <v>17722</v>
      </c>
      <c r="C17651" s="2" t="str">
        <f>"16805348"</f>
        <v>16805348</v>
      </c>
      <c r="D17651" s="2">
        <v>0.38800000000000001</v>
      </c>
      <c r="E17651" s="2">
        <v>35</v>
      </c>
      <c r="F17651" s="2" t="s">
        <v>6</v>
      </c>
    </row>
    <row r="17652" spans="1:6" ht="25.5">
      <c r="A17652" s="2">
        <v>17649</v>
      </c>
      <c r="B17652" s="2" t="s">
        <v>17723</v>
      </c>
      <c r="C17652" s="2" t="str">
        <f>"01030582"</f>
        <v>01030582</v>
      </c>
      <c r="D17652" s="2">
        <v>0.16300000000000001</v>
      </c>
      <c r="E17652" s="2">
        <v>3</v>
      </c>
      <c r="F17652" s="2" t="s">
        <v>159</v>
      </c>
    </row>
    <row r="17653" spans="1:6" ht="25.5">
      <c r="A17653" s="2">
        <v>17650</v>
      </c>
      <c r="B17653" s="2" t="s">
        <v>17724</v>
      </c>
      <c r="C17653" s="2" t="str">
        <f>"17264642"</f>
        <v>17264642</v>
      </c>
      <c r="D17653" s="2">
        <v>0.16300000000000001</v>
      </c>
      <c r="E17653" s="2">
        <v>6</v>
      </c>
      <c r="F17653" s="2" t="s">
        <v>17550</v>
      </c>
    </row>
    <row r="17654" spans="1:6" ht="25.5">
      <c r="A17654" s="2">
        <v>17651</v>
      </c>
      <c r="B17654" s="2" t="s">
        <v>17725</v>
      </c>
      <c r="C17654" s="2" t="str">
        <f>"08702551"</f>
        <v>08702551</v>
      </c>
      <c r="D17654" s="2">
        <v>0.216</v>
      </c>
      <c r="E17654" s="2">
        <v>17</v>
      </c>
      <c r="F17654" s="2" t="s">
        <v>306</v>
      </c>
    </row>
    <row r="17655" spans="1:6" ht="25.5">
      <c r="A17655" s="2">
        <v>17652</v>
      </c>
      <c r="B17655" s="2" t="s">
        <v>17726</v>
      </c>
      <c r="C17655" s="2" t="str">
        <f>"16462890"</f>
        <v>16462890</v>
      </c>
      <c r="D17655" s="2">
        <v>0.111</v>
      </c>
      <c r="E17655" s="2">
        <v>2</v>
      </c>
      <c r="F17655" s="2" t="s">
        <v>306</v>
      </c>
    </row>
    <row r="17656" spans="1:6" ht="25.5">
      <c r="A17656" s="2">
        <v>17653</v>
      </c>
      <c r="B17656" s="2" t="s">
        <v>17727</v>
      </c>
      <c r="C17656" s="2" t="str">
        <f>"08719721"</f>
        <v>08719721</v>
      </c>
      <c r="D17656" s="2">
        <v>0.11799999999999999</v>
      </c>
      <c r="E17656" s="2">
        <v>2</v>
      </c>
      <c r="F17656" s="2" t="s">
        <v>306</v>
      </c>
    </row>
    <row r="17657" spans="1:6" ht="25.5">
      <c r="A17657" s="2">
        <v>17654</v>
      </c>
      <c r="B17657" s="2" t="s">
        <v>17728</v>
      </c>
      <c r="C17657" s="2" t="str">
        <f>"08732159"</f>
        <v>08732159</v>
      </c>
      <c r="D17657" s="2">
        <v>0.19900000000000001</v>
      </c>
      <c r="E17657" s="2">
        <v>8</v>
      </c>
      <c r="F17657" s="2" t="s">
        <v>306</v>
      </c>
    </row>
    <row r="17658" spans="1:6" ht="25.5">
      <c r="A17658" s="2">
        <v>17655</v>
      </c>
      <c r="B17658" s="2" t="s">
        <v>17729</v>
      </c>
      <c r="C17658" s="2" t="str">
        <f>"15835170"</f>
        <v>15835170</v>
      </c>
      <c r="D17658" s="2">
        <v>0.19700000000000001</v>
      </c>
      <c r="E17658" s="2">
        <v>5</v>
      </c>
      <c r="F17658" s="2" t="s">
        <v>19</v>
      </c>
    </row>
    <row r="17659" spans="1:6" ht="25.5">
      <c r="A17659" s="2">
        <v>17656</v>
      </c>
      <c r="B17659" s="2" t="s">
        <v>17730</v>
      </c>
      <c r="C17659" s="2" t="str">
        <f>"15833186"</f>
        <v>15833186</v>
      </c>
      <c r="D17659" s="2">
        <v>0.22900000000000001</v>
      </c>
      <c r="E17659" s="2">
        <v>4</v>
      </c>
      <c r="F17659" s="2" t="s">
        <v>19</v>
      </c>
    </row>
    <row r="17660" spans="1:6" ht="25.5">
      <c r="A17660" s="2">
        <v>17657</v>
      </c>
      <c r="B17660" s="2" t="s">
        <v>17731</v>
      </c>
      <c r="C17660" s="2" t="str">
        <f>"18416624"</f>
        <v>18416624</v>
      </c>
      <c r="D17660" s="2">
        <v>0.13100000000000001</v>
      </c>
      <c r="E17660" s="2">
        <v>3</v>
      </c>
      <c r="F17660" s="2" t="s">
        <v>19</v>
      </c>
    </row>
    <row r="17661" spans="1:6" ht="25.5">
      <c r="A17661" s="2">
        <v>17658</v>
      </c>
      <c r="B17661" s="2" t="s">
        <v>17732</v>
      </c>
      <c r="C17661" s="2" t="str">
        <f>"07180934"</f>
        <v>07180934</v>
      </c>
      <c r="D17661" s="2">
        <v>0.17599999999999999</v>
      </c>
      <c r="E17661" s="2">
        <v>4</v>
      </c>
      <c r="F17661" s="2" t="s">
        <v>182</v>
      </c>
    </row>
    <row r="17662" spans="1:6" ht="25.5">
      <c r="A17662" s="2">
        <v>17659</v>
      </c>
      <c r="B17662" s="2" t="s">
        <v>17733</v>
      </c>
      <c r="C17662" s="2" t="str">
        <f>"02540770"</f>
        <v>02540770</v>
      </c>
      <c r="D17662" s="2">
        <v>0.11600000000000001</v>
      </c>
      <c r="E17662" s="2">
        <v>5</v>
      </c>
      <c r="F17662" s="2" t="s">
        <v>40</v>
      </c>
    </row>
    <row r="17663" spans="1:6" ht="25.5">
      <c r="A17663" s="2">
        <v>17660</v>
      </c>
      <c r="B17663" s="2" t="s">
        <v>17734</v>
      </c>
      <c r="C17663" s="2" t="str">
        <f>"02550539"</f>
        <v>02550539</v>
      </c>
      <c r="D17663" s="2">
        <v>0.1</v>
      </c>
      <c r="E17663" s="2">
        <v>0</v>
      </c>
      <c r="F17663" s="2" t="s">
        <v>19</v>
      </c>
    </row>
    <row r="17664" spans="1:6" ht="25.5">
      <c r="A17664" s="2">
        <v>17661</v>
      </c>
      <c r="B17664" s="2" t="s">
        <v>17735</v>
      </c>
      <c r="C17664" s="2" t="str">
        <f>"13159984"</f>
        <v>13159984</v>
      </c>
      <c r="D17664" s="2">
        <v>0.17599999999999999</v>
      </c>
      <c r="E17664" s="2">
        <v>3</v>
      </c>
      <c r="F17664" s="2" t="s">
        <v>40</v>
      </c>
    </row>
    <row r="17665" spans="1:6" ht="25.5">
      <c r="A17665" s="2">
        <v>17662</v>
      </c>
      <c r="B17665" s="2" t="s">
        <v>17736</v>
      </c>
      <c r="C17665" s="2" t="str">
        <f>"07980582"</f>
        <v>07980582</v>
      </c>
      <c r="D17665" s="2">
        <v>0.113</v>
      </c>
      <c r="E17665" s="2">
        <v>2</v>
      </c>
      <c r="F17665" s="2" t="s">
        <v>40</v>
      </c>
    </row>
    <row r="17666" spans="1:6" ht="25.5">
      <c r="A17666" s="2">
        <v>17663</v>
      </c>
      <c r="B17666" s="2" t="s">
        <v>17737</v>
      </c>
      <c r="C17666" s="2" t="str">
        <f>"16696840"</f>
        <v>16696840</v>
      </c>
      <c r="D17666" s="2">
        <v>0.113</v>
      </c>
      <c r="E17666" s="2">
        <v>2</v>
      </c>
      <c r="F17666" s="2" t="s">
        <v>192</v>
      </c>
    </row>
    <row r="17667" spans="1:6" ht="25.5">
      <c r="A17667" s="2">
        <v>17664</v>
      </c>
      <c r="B17667" s="2" t="s">
        <v>17738</v>
      </c>
      <c r="C17667" s="2" t="str">
        <f>"19846835"</f>
        <v>19846835</v>
      </c>
      <c r="D17667" s="2">
        <v>0.13100000000000001</v>
      </c>
      <c r="E17667" s="2">
        <v>2</v>
      </c>
      <c r="F17667" s="2" t="s">
        <v>159</v>
      </c>
    </row>
    <row r="17668" spans="1:6" ht="25.5">
      <c r="A17668" s="2">
        <v>17665</v>
      </c>
      <c r="B17668" s="2" t="s">
        <v>17739</v>
      </c>
      <c r="C17668" s="2" t="str">
        <f>"17437873"</f>
        <v>17437873</v>
      </c>
      <c r="D17668" s="2">
        <v>0.10100000000000001</v>
      </c>
      <c r="E17668" s="2">
        <v>1</v>
      </c>
      <c r="F17668" s="2" t="s">
        <v>16</v>
      </c>
    </row>
    <row r="17669" spans="1:6" ht="25.5">
      <c r="A17669" s="2">
        <v>17666</v>
      </c>
      <c r="B17669" s="2" t="s">
        <v>17740</v>
      </c>
      <c r="C17669" s="2" t="str">
        <f>"00354066"</f>
        <v>00354066</v>
      </c>
      <c r="D17669" s="2">
        <v>0.126</v>
      </c>
      <c r="E17669" s="2">
        <v>1</v>
      </c>
      <c r="F17669" s="2" t="s">
        <v>19</v>
      </c>
    </row>
    <row r="17670" spans="1:6" ht="25.5">
      <c r="A17670" s="2">
        <v>17667</v>
      </c>
      <c r="B17670" s="2" t="s">
        <v>17741</v>
      </c>
      <c r="C17670" s="2" t="str">
        <f>"00350737"</f>
        <v>00350737</v>
      </c>
      <c r="D17670" s="2">
        <v>0.10100000000000001</v>
      </c>
      <c r="E17670" s="2">
        <v>2</v>
      </c>
      <c r="F17670" s="2" t="s">
        <v>66</v>
      </c>
    </row>
    <row r="17671" spans="1:6" ht="25.5">
      <c r="A17671" s="2">
        <v>17668</v>
      </c>
      <c r="B17671" s="2" t="s">
        <v>17742</v>
      </c>
      <c r="C17671" s="2" t="str">
        <f>"12667706"</f>
        <v>12667706</v>
      </c>
      <c r="D17671" s="2">
        <v>0.10199999999999999</v>
      </c>
      <c r="E17671" s="2">
        <v>0</v>
      </c>
      <c r="F17671" s="2" t="s">
        <v>66</v>
      </c>
    </row>
    <row r="17672" spans="1:6" ht="25.5">
      <c r="A17672" s="2">
        <v>17669</v>
      </c>
      <c r="B17672" s="2" t="s">
        <v>17743</v>
      </c>
      <c r="C17672" s="2" t="str">
        <f>"00350818"</f>
        <v>00350818</v>
      </c>
      <c r="D17672" s="2">
        <v>0.1</v>
      </c>
      <c r="E17672" s="2">
        <v>3</v>
      </c>
      <c r="F17672" s="2" t="s">
        <v>161</v>
      </c>
    </row>
    <row r="17673" spans="1:6" ht="25.5">
      <c r="A17673" s="2">
        <v>17670</v>
      </c>
      <c r="B17673" s="2" t="s">
        <v>17744</v>
      </c>
      <c r="C17673" s="2" t="str">
        <f>"00350869"</f>
        <v>00350869</v>
      </c>
      <c r="D17673" s="2">
        <v>0.14399999999999999</v>
      </c>
      <c r="E17673" s="2">
        <v>4</v>
      </c>
      <c r="F17673" s="2" t="s">
        <v>161</v>
      </c>
    </row>
    <row r="17674" spans="1:6" ht="25.5">
      <c r="A17674" s="2">
        <v>17671</v>
      </c>
      <c r="B17674" s="2" t="s">
        <v>17745</v>
      </c>
      <c r="C17674" s="2" t="str">
        <f>"00350907"</f>
        <v>00350907</v>
      </c>
      <c r="D17674" s="2">
        <v>0.25800000000000001</v>
      </c>
      <c r="E17674" s="2">
        <v>4</v>
      </c>
      <c r="F17674" s="2" t="s">
        <v>66</v>
      </c>
    </row>
    <row r="17675" spans="1:6" ht="25.5">
      <c r="A17675" s="2">
        <v>17672</v>
      </c>
      <c r="B17675" s="2" t="s">
        <v>17746</v>
      </c>
      <c r="C17675" s="2" t="str">
        <f>"17605393"</f>
        <v>17605393</v>
      </c>
      <c r="D17675" s="2">
        <v>0.20599999999999999</v>
      </c>
      <c r="E17675" s="2">
        <v>5</v>
      </c>
      <c r="F17675" s="2" t="s">
        <v>66</v>
      </c>
    </row>
    <row r="17676" spans="1:6" ht="25.5">
      <c r="A17676" s="2">
        <v>17673</v>
      </c>
      <c r="B17676" s="2" t="s">
        <v>17747</v>
      </c>
      <c r="C17676" s="2" t="str">
        <f>"18770517"</f>
        <v>18770517</v>
      </c>
      <c r="D17676" s="2">
        <v>0.158</v>
      </c>
      <c r="E17676" s="2">
        <v>29</v>
      </c>
      <c r="F17676" s="2" t="s">
        <v>66</v>
      </c>
    </row>
    <row r="17677" spans="1:6" ht="25.5">
      <c r="A17677" s="2">
        <v>17674</v>
      </c>
      <c r="B17677" s="2" t="s">
        <v>17748</v>
      </c>
      <c r="C17677" s="2" t="str">
        <f>"02497395"</f>
        <v>02497395</v>
      </c>
      <c r="D17677" s="2">
        <v>0.16600000000000001</v>
      </c>
      <c r="E17677" s="2">
        <v>17</v>
      </c>
      <c r="F17677" s="2" t="s">
        <v>66</v>
      </c>
    </row>
    <row r="17678" spans="1:6" ht="25.5">
      <c r="A17678" s="2">
        <v>17675</v>
      </c>
      <c r="B17678" s="2" t="s">
        <v>17749</v>
      </c>
      <c r="C17678" s="2" t="str">
        <f>"12454060"</f>
        <v>12454060</v>
      </c>
      <c r="D17678" s="2">
        <v>0.107</v>
      </c>
      <c r="E17678" s="2">
        <v>4</v>
      </c>
      <c r="F17678" s="2" t="s">
        <v>161</v>
      </c>
    </row>
    <row r="17679" spans="1:6" ht="25.5">
      <c r="A17679" s="2">
        <v>17676</v>
      </c>
      <c r="B17679" s="2" t="s">
        <v>17750</v>
      </c>
      <c r="C17679" s="2" t="str">
        <f>"03732630"</f>
        <v>03732630</v>
      </c>
      <c r="D17679" s="2">
        <v>0.11700000000000001</v>
      </c>
      <c r="E17679" s="2">
        <v>4</v>
      </c>
      <c r="F17679" s="2" t="s">
        <v>66</v>
      </c>
    </row>
    <row r="17680" spans="1:6" ht="25.5">
      <c r="A17680" s="2">
        <v>17677</v>
      </c>
      <c r="B17680" s="2" t="s">
        <v>17751</v>
      </c>
      <c r="C17680" s="2" t="str">
        <f>"00351121"</f>
        <v>00351121</v>
      </c>
      <c r="D17680" s="2">
        <v>0.11</v>
      </c>
      <c r="E17680" s="2">
        <v>6</v>
      </c>
      <c r="F17680" s="2" t="s">
        <v>66</v>
      </c>
    </row>
    <row r="17681" spans="1:6" ht="25.5">
      <c r="A17681" s="2">
        <v>17678</v>
      </c>
      <c r="B17681" s="2" t="s">
        <v>17752</v>
      </c>
      <c r="C17681" s="2" t="str">
        <f>"03977927"</f>
        <v>03977927</v>
      </c>
      <c r="D17681" s="2">
        <v>0.124</v>
      </c>
      <c r="E17681" s="2">
        <v>11</v>
      </c>
      <c r="F17681" s="2" t="s">
        <v>66</v>
      </c>
    </row>
    <row r="17682" spans="1:6" ht="25.5">
      <c r="A17682" s="2">
        <v>17679</v>
      </c>
      <c r="B17682" s="2" t="s">
        <v>17753</v>
      </c>
      <c r="C17682" s="2" t="str">
        <f>"17831733"</f>
        <v>17831733</v>
      </c>
      <c r="D17682" s="2">
        <v>0.10100000000000001</v>
      </c>
      <c r="E17682" s="2">
        <v>3</v>
      </c>
      <c r="F17682" s="2" t="s">
        <v>161</v>
      </c>
    </row>
    <row r="17683" spans="1:6" ht="25.5">
      <c r="A17683" s="2">
        <v>17680</v>
      </c>
      <c r="B17683" s="2" t="s">
        <v>17754</v>
      </c>
      <c r="C17683" s="2" t="str">
        <f>"00352411"</f>
        <v>00352411</v>
      </c>
      <c r="D17683" s="2">
        <v>0.1</v>
      </c>
      <c r="E17683" s="2">
        <v>2</v>
      </c>
      <c r="F17683" s="2" t="s">
        <v>66</v>
      </c>
    </row>
    <row r="17684" spans="1:6" ht="25.5">
      <c r="A17684" s="2">
        <v>17681</v>
      </c>
      <c r="B17684" s="2" t="s">
        <v>17755</v>
      </c>
      <c r="C17684" s="2" t="str">
        <f>"00351423"</f>
        <v>00351423</v>
      </c>
      <c r="D17684" s="2">
        <v>0.107</v>
      </c>
      <c r="E17684" s="2">
        <v>1</v>
      </c>
      <c r="F17684" s="2" t="s">
        <v>66</v>
      </c>
    </row>
    <row r="17685" spans="1:6" ht="25.5">
      <c r="A17685" s="2">
        <v>17682</v>
      </c>
      <c r="B17685" s="2" t="s">
        <v>17756</v>
      </c>
      <c r="C17685" s="2" t="str">
        <f>"1953812X"</f>
        <v>1953812X</v>
      </c>
      <c r="D17685" s="2">
        <v>0.1</v>
      </c>
      <c r="E17685" s="2">
        <v>2</v>
      </c>
      <c r="F17685" s="2" t="s">
        <v>66</v>
      </c>
    </row>
    <row r="17686" spans="1:6" ht="25.5">
      <c r="A17686" s="2">
        <v>17683</v>
      </c>
      <c r="B17686" s="2" t="s">
        <v>17757</v>
      </c>
      <c r="C17686" s="2" t="str">
        <f>"00351334"</f>
        <v>00351334</v>
      </c>
      <c r="D17686" s="2">
        <v>0.17599999999999999</v>
      </c>
      <c r="E17686" s="2">
        <v>17</v>
      </c>
      <c r="F17686" s="2" t="s">
        <v>66</v>
      </c>
    </row>
    <row r="17687" spans="1:6" ht="25.5">
      <c r="A17687" s="2">
        <v>17684</v>
      </c>
      <c r="B17687" s="2" t="s">
        <v>17758</v>
      </c>
      <c r="C17687" s="2" t="str">
        <f>"1255250X"</f>
        <v>1255250X</v>
      </c>
      <c r="D17687" s="2">
        <v>0.10299999999999999</v>
      </c>
      <c r="E17687" s="2">
        <v>1</v>
      </c>
      <c r="F17687" s="2" t="s">
        <v>66</v>
      </c>
    </row>
    <row r="17688" spans="1:6" ht="25.5">
      <c r="A17688" s="2">
        <v>17685</v>
      </c>
      <c r="B17688" s="2" t="s">
        <v>17759</v>
      </c>
      <c r="C17688" s="2" t="str">
        <f>"12938505"</f>
        <v>12938505</v>
      </c>
      <c r="D17688" s="2">
        <v>0.1</v>
      </c>
      <c r="E17688" s="2">
        <v>2</v>
      </c>
      <c r="F17688" s="2" t="s">
        <v>190</v>
      </c>
    </row>
    <row r="17689" spans="1:6" ht="25.5">
      <c r="A17689" s="2">
        <v>17686</v>
      </c>
      <c r="B17689" s="2" t="s">
        <v>17760</v>
      </c>
      <c r="C17689" s="2" t="str">
        <f>"00351458"</f>
        <v>00351458</v>
      </c>
      <c r="D17689" s="2">
        <v>0.111</v>
      </c>
      <c r="E17689" s="2">
        <v>3</v>
      </c>
      <c r="F17689" s="2" t="s">
        <v>66</v>
      </c>
    </row>
    <row r="17690" spans="1:6" ht="25.5">
      <c r="A17690" s="2">
        <v>17687</v>
      </c>
      <c r="B17690" s="2" t="s">
        <v>17761</v>
      </c>
      <c r="C17690" s="2" t="str">
        <f>"17775647"</f>
        <v>17775647</v>
      </c>
      <c r="D17690" s="2">
        <v>0.13500000000000001</v>
      </c>
      <c r="E17690" s="2">
        <v>6</v>
      </c>
      <c r="F17690" s="2" t="s">
        <v>66</v>
      </c>
    </row>
    <row r="17691" spans="1:6" ht="25.5">
      <c r="A17691" s="2">
        <v>17688</v>
      </c>
      <c r="B17691" s="2" t="s">
        <v>17762</v>
      </c>
      <c r="C17691" s="2" t="str">
        <f>"02488663"</f>
        <v>02488663</v>
      </c>
      <c r="D17691" s="2">
        <v>0.19700000000000001</v>
      </c>
      <c r="E17691" s="2">
        <v>26</v>
      </c>
      <c r="F17691" s="2" t="s">
        <v>66</v>
      </c>
    </row>
    <row r="17692" spans="1:6" ht="25.5">
      <c r="A17692" s="2">
        <v>17689</v>
      </c>
      <c r="B17692" s="2" t="s">
        <v>17763</v>
      </c>
      <c r="C17692" s="2" t="str">
        <f>"18786529"</f>
        <v>18786529</v>
      </c>
      <c r="D17692" s="2">
        <v>0.11799999999999999</v>
      </c>
      <c r="E17692" s="2">
        <v>2</v>
      </c>
      <c r="F17692" s="2" t="s">
        <v>66</v>
      </c>
    </row>
    <row r="17693" spans="1:6" ht="25.5">
      <c r="A17693" s="2">
        <v>17690</v>
      </c>
      <c r="B17693" s="2" t="s">
        <v>17764</v>
      </c>
      <c r="C17693" s="2" t="str">
        <f>"19650841"</f>
        <v>19650841</v>
      </c>
      <c r="D17693" s="2">
        <v>0.1</v>
      </c>
      <c r="E17693" s="2">
        <v>1</v>
      </c>
      <c r="F17693" s="2" t="s">
        <v>66</v>
      </c>
    </row>
    <row r="17694" spans="1:6" ht="25.5">
      <c r="A17694" s="2">
        <v>17691</v>
      </c>
      <c r="B17694" s="2" t="s">
        <v>17765</v>
      </c>
      <c r="C17694" s="2" t="str">
        <f>"00351555"</f>
        <v>00351555</v>
      </c>
      <c r="D17694" s="2">
        <v>0.215</v>
      </c>
      <c r="E17694" s="2">
        <v>20</v>
      </c>
      <c r="F17694" s="2" t="s">
        <v>66</v>
      </c>
    </row>
    <row r="17695" spans="1:6" ht="25.5">
      <c r="A17695" s="2">
        <v>17692</v>
      </c>
      <c r="B17695" s="2" t="s">
        <v>17766</v>
      </c>
      <c r="C17695" s="2" t="str">
        <f>"00351563"</f>
        <v>00351563</v>
      </c>
      <c r="D17695" s="2">
        <v>0.16</v>
      </c>
      <c r="E17695" s="2">
        <v>11</v>
      </c>
      <c r="F17695" s="2" t="s">
        <v>66</v>
      </c>
    </row>
    <row r="17696" spans="1:6" ht="25.5">
      <c r="A17696" s="2">
        <v>17693</v>
      </c>
      <c r="B17696" s="2" t="s">
        <v>17767</v>
      </c>
      <c r="C17696" s="2" t="str">
        <f>"00351571"</f>
        <v>00351571</v>
      </c>
      <c r="D17696" s="2">
        <v>0.1</v>
      </c>
      <c r="E17696" s="2">
        <v>1</v>
      </c>
      <c r="F17696" s="2" t="s">
        <v>66</v>
      </c>
    </row>
    <row r="17697" spans="1:6" ht="25.5">
      <c r="A17697" s="2">
        <v>17694</v>
      </c>
      <c r="B17697" s="2" t="s">
        <v>17768</v>
      </c>
      <c r="C17697" s="2" t="str">
        <f>"00351598"</f>
        <v>00351598</v>
      </c>
      <c r="D17697" s="2">
        <v>0.79</v>
      </c>
      <c r="E17697" s="2">
        <v>17</v>
      </c>
      <c r="F17697" s="2" t="s">
        <v>66</v>
      </c>
    </row>
    <row r="17698" spans="1:6" ht="25.5">
      <c r="A17698" s="2">
        <v>17695</v>
      </c>
      <c r="B17698" s="2" t="s">
        <v>17769</v>
      </c>
      <c r="C17698" s="2" t="str">
        <f>"00351601"</f>
        <v>00351601</v>
      </c>
      <c r="D17698" s="2">
        <v>0.1</v>
      </c>
      <c r="E17698" s="2">
        <v>2</v>
      </c>
      <c r="F17698" s="2" t="s">
        <v>66</v>
      </c>
    </row>
    <row r="17699" spans="1:6" ht="25.5">
      <c r="A17699" s="2">
        <v>17696</v>
      </c>
      <c r="B17699" s="2" t="s">
        <v>17770</v>
      </c>
      <c r="C17699" s="2" t="str">
        <f>"02536730"</f>
        <v>02536730</v>
      </c>
      <c r="D17699" s="2">
        <v>0.26400000000000001</v>
      </c>
      <c r="E17699" s="2">
        <v>20</v>
      </c>
      <c r="F17699" s="2" t="s">
        <v>66</v>
      </c>
    </row>
    <row r="17700" spans="1:6" ht="25.5">
      <c r="A17700" s="2">
        <v>17697</v>
      </c>
      <c r="B17700" s="2" t="s">
        <v>17771</v>
      </c>
      <c r="C17700" s="2" t="str">
        <f>"07715420"</f>
        <v>07715420</v>
      </c>
      <c r="D17700" s="2">
        <v>0.10100000000000001</v>
      </c>
      <c r="E17700" s="2">
        <v>0</v>
      </c>
      <c r="F17700" s="2" t="s">
        <v>161</v>
      </c>
    </row>
    <row r="17701" spans="1:6" ht="25.5">
      <c r="A17701" s="2">
        <v>17698</v>
      </c>
      <c r="B17701" s="2" t="s">
        <v>17772</v>
      </c>
      <c r="C17701" s="2" t="str">
        <f>"03987620"</f>
        <v>03987620</v>
      </c>
      <c r="D17701" s="2">
        <v>0.247</v>
      </c>
      <c r="E17701" s="2">
        <v>26</v>
      </c>
      <c r="F17701" s="2" t="s">
        <v>66</v>
      </c>
    </row>
    <row r="17702" spans="1:6" ht="25.5">
      <c r="A17702" s="2">
        <v>17699</v>
      </c>
      <c r="B17702" s="2" t="s">
        <v>17773</v>
      </c>
      <c r="C17702" s="2" t="str">
        <f>"07618417"</f>
        <v>07618417</v>
      </c>
      <c r="D17702" s="2">
        <v>0.16</v>
      </c>
      <c r="E17702" s="2">
        <v>11</v>
      </c>
      <c r="F17702" s="2" t="s">
        <v>66</v>
      </c>
    </row>
    <row r="17703" spans="1:6" ht="25.5">
      <c r="A17703" s="2">
        <v>17700</v>
      </c>
      <c r="B17703" s="2" t="s">
        <v>17774</v>
      </c>
      <c r="C17703" s="2" t="str">
        <f>"17762863"</f>
        <v>17762863</v>
      </c>
      <c r="D17703" s="2">
        <v>0.11</v>
      </c>
      <c r="E17703" s="2">
        <v>5</v>
      </c>
      <c r="F17703" s="2" t="s">
        <v>66</v>
      </c>
    </row>
    <row r="17704" spans="1:6" ht="25.5">
      <c r="A17704" s="2">
        <v>17701</v>
      </c>
      <c r="B17704" s="2" t="s">
        <v>17775</v>
      </c>
      <c r="C17704" s="2" t="str">
        <f>"00351725"</f>
        <v>00351725</v>
      </c>
      <c r="D17704" s="2">
        <v>0.16800000000000001</v>
      </c>
      <c r="E17704" s="2">
        <v>5</v>
      </c>
      <c r="F17704" s="2" t="s">
        <v>66</v>
      </c>
    </row>
    <row r="17705" spans="1:6" ht="25.5">
      <c r="A17705" s="2">
        <v>17702</v>
      </c>
      <c r="B17705" s="2" t="s">
        <v>17776</v>
      </c>
      <c r="C17705" s="2" t="str">
        <f>"00352004"</f>
        <v>00352004</v>
      </c>
      <c r="D17705" s="2">
        <v>0.1</v>
      </c>
      <c r="E17705" s="2">
        <v>3</v>
      </c>
      <c r="F17705" s="2" t="s">
        <v>66</v>
      </c>
    </row>
    <row r="17706" spans="1:6" ht="25.5">
      <c r="A17706" s="2">
        <v>17703</v>
      </c>
      <c r="B17706" s="2" t="s">
        <v>17777</v>
      </c>
      <c r="C17706" s="2" t="str">
        <f>"17831741"</f>
        <v>17831741</v>
      </c>
      <c r="D17706" s="2">
        <v>0.10199999999999999</v>
      </c>
      <c r="E17706" s="2">
        <v>1</v>
      </c>
      <c r="F17706" s="2" t="s">
        <v>161</v>
      </c>
    </row>
    <row r="17707" spans="1:6" ht="25.5">
      <c r="A17707" s="2">
        <v>17704</v>
      </c>
      <c r="B17707" s="2" t="s">
        <v>17778</v>
      </c>
      <c r="C17707" s="2" t="str">
        <f>"00352039"</f>
        <v>00352039</v>
      </c>
      <c r="D17707" s="2">
        <v>0.10100000000000001</v>
      </c>
      <c r="E17707" s="2">
        <v>4</v>
      </c>
      <c r="F17707" s="2" t="s">
        <v>66</v>
      </c>
    </row>
    <row r="17708" spans="1:6" ht="25.5">
      <c r="A17708" s="2">
        <v>17705</v>
      </c>
      <c r="B17708" s="2" t="s">
        <v>17779</v>
      </c>
      <c r="C17708" s="2" t="str">
        <f>"04848616"</f>
        <v>04848616</v>
      </c>
      <c r="D17708" s="2">
        <v>0.1</v>
      </c>
      <c r="E17708" s="2">
        <v>3</v>
      </c>
      <c r="F17708" s="2" t="s">
        <v>161</v>
      </c>
    </row>
    <row r="17709" spans="1:6" ht="25.5">
      <c r="A17709" s="2">
        <v>17706</v>
      </c>
      <c r="B17709" s="2" t="s">
        <v>17780</v>
      </c>
      <c r="C17709" s="2" t="str">
        <f>"02233711"</f>
        <v>02233711</v>
      </c>
      <c r="D17709" s="2">
        <v>0.1</v>
      </c>
      <c r="E17709" s="2">
        <v>1</v>
      </c>
      <c r="F17709" s="2" t="s">
        <v>66</v>
      </c>
    </row>
    <row r="17710" spans="1:6" ht="25.5">
      <c r="A17710" s="2">
        <v>17707</v>
      </c>
      <c r="B17710" s="2" t="s">
        <v>17781</v>
      </c>
      <c r="C17710" s="2" t="str">
        <f>"07618425"</f>
        <v>07618425</v>
      </c>
      <c r="D17710" s="2">
        <v>0.17699999999999999</v>
      </c>
      <c r="E17710" s="2">
        <v>19</v>
      </c>
      <c r="F17710" s="2" t="s">
        <v>66</v>
      </c>
    </row>
    <row r="17711" spans="1:6" ht="25.5">
      <c r="A17711" s="2">
        <v>17708</v>
      </c>
      <c r="B17711" s="2" t="s">
        <v>17782</v>
      </c>
      <c r="C17711" s="2" t="str">
        <f>"18771203"</f>
        <v>18771203</v>
      </c>
      <c r="D17711" s="2">
        <v>0.10199999999999999</v>
      </c>
      <c r="E17711" s="2">
        <v>2</v>
      </c>
      <c r="F17711" s="2" t="s">
        <v>190</v>
      </c>
    </row>
    <row r="17712" spans="1:6" ht="25.5">
      <c r="A17712" s="2">
        <v>17709</v>
      </c>
      <c r="B17712" s="2" t="s">
        <v>17783</v>
      </c>
      <c r="C17712" s="2" t="str">
        <f>"19624271"</f>
        <v>19624271</v>
      </c>
      <c r="D17712" s="2">
        <v>0.1</v>
      </c>
      <c r="E17712" s="2">
        <v>1</v>
      </c>
      <c r="F17712" s="2" t="s">
        <v>66</v>
      </c>
    </row>
    <row r="17713" spans="1:6" ht="25.5">
      <c r="A17713" s="2">
        <v>17710</v>
      </c>
      <c r="B17713" s="2" t="s">
        <v>17784</v>
      </c>
      <c r="C17713" s="2" t="str">
        <f>"17188598"</f>
        <v>17188598</v>
      </c>
      <c r="D17713" s="2">
        <v>0.16200000000000001</v>
      </c>
      <c r="E17713" s="2">
        <v>14</v>
      </c>
      <c r="F17713" s="2" t="s">
        <v>64</v>
      </c>
    </row>
    <row r="17714" spans="1:6" ht="25.5">
      <c r="A17714" s="2">
        <v>17711</v>
      </c>
      <c r="B17714" s="2" t="s">
        <v>17785</v>
      </c>
      <c r="C17714" s="2" t="str">
        <f>"00352195"</f>
        <v>00352195</v>
      </c>
      <c r="D17714" s="2">
        <v>0.1</v>
      </c>
      <c r="E17714" s="2">
        <v>1</v>
      </c>
      <c r="F17714" s="2" t="s">
        <v>66</v>
      </c>
    </row>
    <row r="17715" spans="1:6" ht="25.5">
      <c r="A17715" s="2">
        <v>17712</v>
      </c>
      <c r="B17715" s="2" t="s">
        <v>17786</v>
      </c>
      <c r="C17715" s="2" t="str">
        <f>"1776257X"</f>
        <v>1776257X</v>
      </c>
      <c r="D17715" s="2">
        <v>0.245</v>
      </c>
      <c r="E17715" s="2">
        <v>10</v>
      </c>
      <c r="F17715" s="2" t="s">
        <v>66</v>
      </c>
    </row>
    <row r="17716" spans="1:6" ht="25.5">
      <c r="A17716" s="2">
        <v>17713</v>
      </c>
      <c r="B17716" s="2" t="s">
        <v>17787</v>
      </c>
      <c r="C17716" s="2" t="str">
        <f>"00351776"</f>
        <v>00351776</v>
      </c>
      <c r="D17716" s="2">
        <v>0.11600000000000001</v>
      </c>
      <c r="E17716" s="2">
        <v>3</v>
      </c>
      <c r="F17716" s="2" t="s">
        <v>66</v>
      </c>
    </row>
    <row r="17717" spans="1:6" ht="25.5">
      <c r="A17717" s="2">
        <v>17714</v>
      </c>
      <c r="B17717" s="2" t="s">
        <v>17788</v>
      </c>
      <c r="C17717" s="2" t="str">
        <f>"00351784"</f>
        <v>00351784</v>
      </c>
      <c r="D17717" s="2">
        <v>0.10100000000000001</v>
      </c>
      <c r="E17717" s="2">
        <v>1</v>
      </c>
      <c r="F17717" s="2" t="s">
        <v>31</v>
      </c>
    </row>
    <row r="17718" spans="1:6" ht="25.5">
      <c r="A17718" s="2">
        <v>17715</v>
      </c>
      <c r="B17718" s="2" t="s">
        <v>17789</v>
      </c>
      <c r="C17718" s="2" t="str">
        <f>"17689260"</f>
        <v>17689260</v>
      </c>
      <c r="D17718" s="2">
        <v>0.11700000000000001</v>
      </c>
      <c r="E17718" s="2">
        <v>3</v>
      </c>
      <c r="F17718" s="2" t="s">
        <v>161</v>
      </c>
    </row>
    <row r="17719" spans="1:6" ht="25.5">
      <c r="A17719" s="2">
        <v>17716</v>
      </c>
      <c r="B17719" s="2" t="s">
        <v>17790</v>
      </c>
      <c r="C17719" s="2" t="str">
        <f>"03380599"</f>
        <v>03380599</v>
      </c>
      <c r="D17719" s="2">
        <v>0.16300000000000001</v>
      </c>
      <c r="E17719" s="2">
        <v>5</v>
      </c>
      <c r="F17719" s="2" t="s">
        <v>66</v>
      </c>
    </row>
    <row r="17720" spans="1:6" ht="25.5">
      <c r="A17720" s="2">
        <v>17717</v>
      </c>
      <c r="B17720" s="2" t="s">
        <v>17791</v>
      </c>
      <c r="C17720" s="2" t="str">
        <f>"00352349"</f>
        <v>00352349</v>
      </c>
      <c r="D17720" s="2">
        <v>0.10299999999999999</v>
      </c>
      <c r="E17720" s="2">
        <v>3</v>
      </c>
      <c r="F17720" s="2" t="s">
        <v>66</v>
      </c>
    </row>
    <row r="17721" spans="1:6" ht="25.5">
      <c r="A17721" s="2">
        <v>17718</v>
      </c>
      <c r="B17721" s="2" t="s">
        <v>17792</v>
      </c>
      <c r="C17721" s="2" t="str">
        <f>"1622468X"</f>
        <v>1622468X</v>
      </c>
      <c r="D17721" s="2">
        <v>0.1</v>
      </c>
      <c r="E17721" s="2">
        <v>3</v>
      </c>
      <c r="F17721" s="2" t="s">
        <v>66</v>
      </c>
    </row>
    <row r="17722" spans="1:6" ht="25.5">
      <c r="A17722" s="2">
        <v>17719</v>
      </c>
      <c r="B17722" s="2" t="s">
        <v>17793</v>
      </c>
      <c r="C17722" s="2" t="str">
        <f>"03736075"</f>
        <v>03736075</v>
      </c>
      <c r="D17722" s="2">
        <v>0.111</v>
      </c>
      <c r="E17722" s="2">
        <v>2</v>
      </c>
      <c r="F17722" s="2" t="s">
        <v>161</v>
      </c>
    </row>
    <row r="17723" spans="1:6" ht="25.5">
      <c r="A17723" s="2">
        <v>17720</v>
      </c>
      <c r="B17723" s="2" t="s">
        <v>17794</v>
      </c>
      <c r="C17723" s="2" t="str">
        <f>"12912530"</f>
        <v>12912530</v>
      </c>
      <c r="D17723" s="2">
        <v>0.1</v>
      </c>
      <c r="E17723" s="2">
        <v>1</v>
      </c>
      <c r="F17723" s="2" t="s">
        <v>66</v>
      </c>
    </row>
    <row r="17724" spans="1:6" ht="25.5">
      <c r="A17724" s="2">
        <v>17721</v>
      </c>
      <c r="B17724" s="2" t="s">
        <v>17795</v>
      </c>
      <c r="C17724" s="2" t="str">
        <f>"17775329"</f>
        <v>17775329</v>
      </c>
      <c r="D17724" s="2">
        <v>0.13900000000000001</v>
      </c>
      <c r="E17724" s="2">
        <v>2</v>
      </c>
      <c r="F17724" s="2" t="s">
        <v>66</v>
      </c>
    </row>
    <row r="17725" spans="1:6" ht="25.5">
      <c r="A17725" s="2">
        <v>17722</v>
      </c>
      <c r="B17725" s="2" t="s">
        <v>17796</v>
      </c>
      <c r="C17725" s="2" t="str">
        <f>"00352381"</f>
        <v>00352381</v>
      </c>
      <c r="D17725" s="2">
        <v>0.1</v>
      </c>
      <c r="E17725" s="2">
        <v>3</v>
      </c>
      <c r="F17725" s="2" t="s">
        <v>161</v>
      </c>
    </row>
    <row r="17726" spans="1:6" ht="25.5">
      <c r="A17726" s="2">
        <v>17723</v>
      </c>
      <c r="B17726" s="2" t="s">
        <v>17797</v>
      </c>
      <c r="C17726" s="2" t="str">
        <f>"00488003"</f>
        <v>00488003</v>
      </c>
      <c r="D17726" s="2">
        <v>0.16600000000000001</v>
      </c>
      <c r="E17726" s="2">
        <v>5</v>
      </c>
      <c r="F17726" s="2" t="s">
        <v>66</v>
      </c>
    </row>
    <row r="17727" spans="1:6" ht="25.5">
      <c r="A17727" s="2">
        <v>17724</v>
      </c>
      <c r="B17727" s="2" t="s">
        <v>17798</v>
      </c>
      <c r="C17727" s="2" t="str">
        <f>"18789730"</f>
        <v>18789730</v>
      </c>
      <c r="D17727" s="2">
        <v>0.123</v>
      </c>
      <c r="E17727" s="2">
        <v>1</v>
      </c>
      <c r="F17727" s="2" t="s">
        <v>190</v>
      </c>
    </row>
    <row r="17728" spans="1:6" ht="25.5">
      <c r="A17728" s="2">
        <v>17725</v>
      </c>
      <c r="B17728" s="2" t="s">
        <v>17799</v>
      </c>
      <c r="C17728" s="2" t="str">
        <f>"0992499X"</f>
        <v>0992499X</v>
      </c>
      <c r="D17728" s="2">
        <v>0.12</v>
      </c>
      <c r="E17728" s="2">
        <v>8</v>
      </c>
      <c r="F17728" s="2" t="s">
        <v>66</v>
      </c>
    </row>
    <row r="17729" spans="1:6" ht="25.5">
      <c r="A17729" s="2">
        <v>17726</v>
      </c>
      <c r="B17729" s="2" t="s">
        <v>17800</v>
      </c>
      <c r="C17729" s="2" t="str">
        <f>"00352616"</f>
        <v>00352616</v>
      </c>
      <c r="D17729" s="2">
        <v>0.114</v>
      </c>
      <c r="E17729" s="2">
        <v>3</v>
      </c>
      <c r="F17729" s="2" t="s">
        <v>66</v>
      </c>
    </row>
    <row r="17730" spans="1:6" ht="25.5">
      <c r="A17730" s="2">
        <v>17727</v>
      </c>
      <c r="B17730" s="2" t="s">
        <v>17801</v>
      </c>
      <c r="C17730" s="2" t="str">
        <f>"00352624"</f>
        <v>00352624</v>
      </c>
      <c r="D17730" s="2">
        <v>0.1</v>
      </c>
      <c r="E17730" s="2">
        <v>2</v>
      </c>
      <c r="F17730" s="2" t="s">
        <v>66</v>
      </c>
    </row>
    <row r="17731" spans="1:6" ht="25.5">
      <c r="A17731" s="2">
        <v>17728</v>
      </c>
      <c r="B17731" s="2" t="s">
        <v>17802</v>
      </c>
      <c r="C17731" s="2" t="str">
        <f>"17667313"</f>
        <v>17667313</v>
      </c>
      <c r="D17731" s="2">
        <v>0.1</v>
      </c>
      <c r="E17731" s="2">
        <v>1</v>
      </c>
      <c r="F17731" s="2" t="s">
        <v>190</v>
      </c>
    </row>
    <row r="17732" spans="1:6" ht="25.5">
      <c r="A17732" s="2">
        <v>17729</v>
      </c>
      <c r="B17732" s="2" t="s">
        <v>17803</v>
      </c>
      <c r="C17732" s="2" t="str">
        <f>"00352640"</f>
        <v>00352640</v>
      </c>
      <c r="D17732" s="2">
        <v>0.121</v>
      </c>
      <c r="E17732" s="2">
        <v>15</v>
      </c>
      <c r="F17732" s="2" t="s">
        <v>66</v>
      </c>
    </row>
    <row r="17733" spans="1:6" ht="25.5">
      <c r="A17733" s="2">
        <v>17730</v>
      </c>
      <c r="B17733" s="2" t="s">
        <v>17804</v>
      </c>
      <c r="C17733" s="2" t="str">
        <f>"11698330"</f>
        <v>11698330</v>
      </c>
      <c r="D17733" s="2">
        <v>0.107</v>
      </c>
      <c r="E17733" s="2">
        <v>28</v>
      </c>
      <c r="F17733" s="2" t="s">
        <v>66</v>
      </c>
    </row>
    <row r="17734" spans="1:6" ht="25.5">
      <c r="A17734" s="2">
        <v>17731</v>
      </c>
      <c r="B17734" s="2" t="s">
        <v>17805</v>
      </c>
      <c r="C17734" s="2" t="str">
        <f>"18786227"</f>
        <v>18786227</v>
      </c>
      <c r="D17734" s="2">
        <v>0.13300000000000001</v>
      </c>
      <c r="E17734" s="2">
        <v>3</v>
      </c>
      <c r="F17734" s="2" t="s">
        <v>190</v>
      </c>
    </row>
    <row r="17735" spans="1:6" ht="25.5">
      <c r="A17735" s="2">
        <v>17732</v>
      </c>
      <c r="B17735" s="2" t="s">
        <v>17806</v>
      </c>
      <c r="C17735" s="2" t="str">
        <f>"19506694"</f>
        <v>19506694</v>
      </c>
      <c r="D17735" s="2">
        <v>0.17699999999999999</v>
      </c>
      <c r="E17735" s="2">
        <v>10</v>
      </c>
      <c r="F17735" s="2" t="s">
        <v>66</v>
      </c>
    </row>
    <row r="17736" spans="1:6" ht="25.5">
      <c r="A17736" s="2">
        <v>17733</v>
      </c>
      <c r="B17736" s="2" t="s">
        <v>17807</v>
      </c>
      <c r="C17736" s="2" t="str">
        <f>"11629088"</f>
        <v>11629088</v>
      </c>
      <c r="D17736" s="2">
        <v>0.224</v>
      </c>
      <c r="E17736" s="2">
        <v>10</v>
      </c>
      <c r="F17736" s="2" t="s">
        <v>66</v>
      </c>
    </row>
    <row r="17737" spans="1:6" ht="25.5">
      <c r="A17737" s="2">
        <v>17734</v>
      </c>
      <c r="B17737" s="2" t="s">
        <v>17808</v>
      </c>
      <c r="C17737" s="2" t="str">
        <f>"01527401"</f>
        <v>01527401</v>
      </c>
      <c r="D17737" s="2">
        <v>0.19700000000000001</v>
      </c>
      <c r="E17737" s="2">
        <v>5</v>
      </c>
      <c r="F17737" s="2" t="s">
        <v>66</v>
      </c>
    </row>
    <row r="17738" spans="1:6" ht="25.5">
      <c r="A17738" s="2">
        <v>17735</v>
      </c>
      <c r="B17738" s="2" t="s">
        <v>17809</v>
      </c>
      <c r="C17738" s="2" t="str">
        <f>"18770320"</f>
        <v>18770320</v>
      </c>
      <c r="D17738" s="2">
        <v>0.111</v>
      </c>
      <c r="E17738" s="2">
        <v>14</v>
      </c>
      <c r="F17738" s="2" t="s">
        <v>75</v>
      </c>
    </row>
    <row r="17739" spans="1:6" ht="25.5">
      <c r="A17739" s="2">
        <v>17736</v>
      </c>
      <c r="B17739" s="2" t="s">
        <v>17810</v>
      </c>
      <c r="C17739" s="2" t="str">
        <f>"03384551"</f>
        <v>03384551</v>
      </c>
      <c r="D17739" s="2">
        <v>0.19600000000000001</v>
      </c>
      <c r="E17739" s="2">
        <v>9</v>
      </c>
      <c r="F17739" s="2" t="s">
        <v>66</v>
      </c>
    </row>
    <row r="17740" spans="1:6" ht="25.5">
      <c r="A17740" s="2">
        <v>17737</v>
      </c>
      <c r="B17740" s="2" t="s">
        <v>17811</v>
      </c>
      <c r="C17740" s="2" t="str">
        <f>"13861204"</f>
        <v>13861204</v>
      </c>
      <c r="D17740" s="2">
        <v>0.11</v>
      </c>
      <c r="E17740" s="2">
        <v>2</v>
      </c>
      <c r="F17740" s="2" t="s">
        <v>66</v>
      </c>
    </row>
    <row r="17741" spans="1:6" ht="25.5">
      <c r="A17741" s="2">
        <v>17738</v>
      </c>
      <c r="B17741" s="2" t="s">
        <v>17812</v>
      </c>
      <c r="C17741" s="2" t="str">
        <f>"05567807"</f>
        <v>05567807</v>
      </c>
      <c r="D17741" s="2">
        <v>0.17399999999999999</v>
      </c>
      <c r="E17741" s="2">
        <v>7</v>
      </c>
      <c r="F17741" s="2" t="s">
        <v>66</v>
      </c>
    </row>
    <row r="17742" spans="1:6" ht="25.5">
      <c r="A17742" s="2">
        <v>17739</v>
      </c>
      <c r="B17742" s="2" t="s">
        <v>17813</v>
      </c>
      <c r="C17742" s="2" t="str">
        <f>"17689791"</f>
        <v>17689791</v>
      </c>
      <c r="D17742" s="2">
        <v>0.156</v>
      </c>
      <c r="E17742" s="2">
        <v>3</v>
      </c>
      <c r="F17742" s="2" t="s">
        <v>66</v>
      </c>
    </row>
    <row r="17743" spans="1:6" ht="25.5">
      <c r="A17743" s="2">
        <v>17740</v>
      </c>
      <c r="B17743" s="2" t="s">
        <v>17814</v>
      </c>
      <c r="C17743" s="2" t="str">
        <f>"00352942"</f>
        <v>00352942</v>
      </c>
      <c r="D17743" s="2">
        <v>0.106</v>
      </c>
      <c r="E17743" s="2">
        <v>8</v>
      </c>
      <c r="F17743" s="2" t="s">
        <v>66</v>
      </c>
    </row>
    <row r="17744" spans="1:6" ht="25.5">
      <c r="A17744" s="2">
        <v>17741</v>
      </c>
      <c r="B17744" s="2" t="s">
        <v>17815</v>
      </c>
      <c r="C17744" s="2" t="str">
        <f>"11644796"</f>
        <v>11644796</v>
      </c>
      <c r="D17744" s="2">
        <v>0.1</v>
      </c>
      <c r="E17744" s="2">
        <v>4</v>
      </c>
      <c r="F17744" s="2" t="s">
        <v>66</v>
      </c>
    </row>
    <row r="17745" spans="1:6" ht="25.5">
      <c r="A17745" s="2">
        <v>17742</v>
      </c>
      <c r="B17745" s="2" t="s">
        <v>17816</v>
      </c>
      <c r="C17745" s="2" t="str">
        <f>"19506686"</f>
        <v>19506686</v>
      </c>
      <c r="D17745" s="2">
        <v>0.45100000000000001</v>
      </c>
      <c r="E17745" s="2">
        <v>11</v>
      </c>
      <c r="F17745" s="2" t="s">
        <v>66</v>
      </c>
    </row>
    <row r="17746" spans="1:6" ht="25.5">
      <c r="A17746" s="2">
        <v>17743</v>
      </c>
      <c r="B17746" s="2" t="s">
        <v>17817</v>
      </c>
      <c r="C17746" s="2" t="str">
        <f>"00352969"</f>
        <v>00352969</v>
      </c>
      <c r="D17746" s="2">
        <v>0.28299999999999997</v>
      </c>
      <c r="E17746" s="2">
        <v>16</v>
      </c>
      <c r="F17746" s="2" t="s">
        <v>66</v>
      </c>
    </row>
    <row r="17747" spans="1:6" ht="25.5">
      <c r="A17747" s="2">
        <v>17744</v>
      </c>
      <c r="B17747" s="2" t="s">
        <v>17818</v>
      </c>
      <c r="C17747" s="2" t="str">
        <f>"03977870"</f>
        <v>03977870</v>
      </c>
      <c r="D17747" s="2">
        <v>0.1</v>
      </c>
      <c r="E17747" s="2">
        <v>3</v>
      </c>
      <c r="F17747" s="2" t="s">
        <v>66</v>
      </c>
    </row>
    <row r="17748" spans="1:6" ht="25.5">
      <c r="A17748" s="2">
        <v>17745</v>
      </c>
      <c r="B17748" s="2" t="s">
        <v>17819</v>
      </c>
      <c r="C17748" s="2" t="str">
        <f>"1773035X"</f>
        <v>1773035X</v>
      </c>
      <c r="D17748" s="2">
        <v>0.126</v>
      </c>
      <c r="E17748" s="2">
        <v>6</v>
      </c>
      <c r="F17748" s="2" t="s">
        <v>190</v>
      </c>
    </row>
    <row r="17749" spans="1:6" ht="25.5">
      <c r="A17749" s="2">
        <v>17746</v>
      </c>
      <c r="B17749" s="2" t="s">
        <v>17820</v>
      </c>
      <c r="C17749" s="2" t="str">
        <f>"18762204"</f>
        <v>18762204</v>
      </c>
      <c r="D17749" s="2">
        <v>0.1</v>
      </c>
      <c r="E17749" s="2">
        <v>2</v>
      </c>
      <c r="F17749" s="2" t="s">
        <v>190</v>
      </c>
    </row>
    <row r="17750" spans="1:6" ht="25.5">
      <c r="A17750" s="2">
        <v>17747</v>
      </c>
      <c r="B17750" s="2" t="s">
        <v>17821</v>
      </c>
      <c r="C17750" s="2" t="str">
        <f>"00353264"</f>
        <v>00353264</v>
      </c>
      <c r="D17750" s="2">
        <v>0.1</v>
      </c>
      <c r="E17750" s="2">
        <v>2</v>
      </c>
      <c r="F17750" s="2" t="s">
        <v>66</v>
      </c>
    </row>
    <row r="17751" spans="1:6" ht="25.5">
      <c r="A17751" s="2">
        <v>17748</v>
      </c>
      <c r="B17751" s="2" t="s">
        <v>17822</v>
      </c>
      <c r="C17751" s="2" t="str">
        <f>"00353280"</f>
        <v>00353280</v>
      </c>
      <c r="D17751" s="2">
        <v>0.1</v>
      </c>
      <c r="E17751" s="2">
        <v>2</v>
      </c>
      <c r="F17751" s="2" t="s">
        <v>66</v>
      </c>
    </row>
    <row r="17752" spans="1:6" ht="25.5">
      <c r="A17752" s="2">
        <v>17749</v>
      </c>
      <c r="B17752" s="2" t="s">
        <v>17823</v>
      </c>
      <c r="C17752" s="2" t="str">
        <f>"14244683"</f>
        <v>14244683</v>
      </c>
      <c r="D17752" s="2">
        <v>0.123</v>
      </c>
      <c r="E17752" s="2">
        <v>2</v>
      </c>
      <c r="F17752" s="2" t="s">
        <v>31</v>
      </c>
    </row>
    <row r="17753" spans="1:6" ht="25.5">
      <c r="A17753" s="2">
        <v>17750</v>
      </c>
      <c r="B17753" s="2" t="s">
        <v>17824</v>
      </c>
      <c r="C17753" s="2" t="str">
        <f>"17821525"</f>
        <v>17821525</v>
      </c>
      <c r="D17753" s="2">
        <v>0.105</v>
      </c>
      <c r="E17753" s="2">
        <v>3</v>
      </c>
      <c r="F17753" s="2" t="s">
        <v>161</v>
      </c>
    </row>
    <row r="17754" spans="1:6" ht="25.5">
      <c r="A17754" s="2">
        <v>17751</v>
      </c>
      <c r="B17754" s="2" t="s">
        <v>17825</v>
      </c>
      <c r="C17754" s="2" t="str">
        <f>"19516312"</f>
        <v>19516312</v>
      </c>
      <c r="D17754" s="2">
        <v>0.1</v>
      </c>
      <c r="E17754" s="2">
        <v>3</v>
      </c>
      <c r="F17754" s="2" t="s">
        <v>66</v>
      </c>
    </row>
    <row r="17755" spans="1:6" ht="25.5">
      <c r="A17755" s="2">
        <v>17752</v>
      </c>
      <c r="B17755" s="2" t="s">
        <v>17826</v>
      </c>
      <c r="C17755" s="2" t="str">
        <f>"00488143"</f>
        <v>00488143</v>
      </c>
      <c r="D17755" s="2">
        <v>0.123</v>
      </c>
      <c r="E17755" s="2">
        <v>4</v>
      </c>
      <c r="F17755" s="2" t="s">
        <v>161</v>
      </c>
    </row>
    <row r="17756" spans="1:6" ht="25.5">
      <c r="A17756" s="2">
        <v>17753</v>
      </c>
      <c r="B17756" s="2" t="s">
        <v>17827</v>
      </c>
      <c r="C17756" s="2" t="str">
        <f>"17821533"</f>
        <v>17821533</v>
      </c>
      <c r="D17756" s="2">
        <v>0.20499999999999999</v>
      </c>
      <c r="E17756" s="2">
        <v>6</v>
      </c>
      <c r="F17756" s="2" t="s">
        <v>161</v>
      </c>
    </row>
    <row r="17757" spans="1:6" ht="25.5">
      <c r="A17757" s="2">
        <v>17754</v>
      </c>
      <c r="B17757" s="2" t="s">
        <v>17828</v>
      </c>
      <c r="C17757" s="2" t="str">
        <f>"12871672"</f>
        <v>12871672</v>
      </c>
      <c r="D17757" s="2">
        <v>0.1</v>
      </c>
      <c r="E17757" s="2">
        <v>3</v>
      </c>
      <c r="F17757" s="2" t="s">
        <v>66</v>
      </c>
    </row>
    <row r="17758" spans="1:6" ht="25.5">
      <c r="A17758" s="2">
        <v>17755</v>
      </c>
      <c r="B17758" s="2" t="s">
        <v>17829</v>
      </c>
      <c r="C17758" s="2" t="str">
        <f>"00353639"</f>
        <v>00353639</v>
      </c>
      <c r="D17758" s="2">
        <v>0.114</v>
      </c>
      <c r="E17758" s="2">
        <v>8</v>
      </c>
      <c r="F17758" s="2" t="s">
        <v>161</v>
      </c>
    </row>
    <row r="17759" spans="1:6" ht="25.5">
      <c r="A17759" s="2">
        <v>17756</v>
      </c>
      <c r="B17759" s="2" t="s">
        <v>17830</v>
      </c>
      <c r="C17759" s="2" t="str">
        <f>"0370629X"</f>
        <v>0370629X</v>
      </c>
      <c r="D17759" s="2">
        <v>0.14799999999999999</v>
      </c>
      <c r="E17759" s="2">
        <v>16</v>
      </c>
      <c r="F17759" s="2" t="s">
        <v>161</v>
      </c>
    </row>
    <row r="17760" spans="1:6" ht="25.5">
      <c r="A17760" s="2">
        <v>17757</v>
      </c>
      <c r="B17760" s="2" t="s">
        <v>17831</v>
      </c>
      <c r="C17760" s="2" t="str">
        <f>"16609379"</f>
        <v>16609379</v>
      </c>
      <c r="D17760" s="2">
        <v>0.121</v>
      </c>
      <c r="E17760" s="2">
        <v>8</v>
      </c>
      <c r="F17760" s="2" t="s">
        <v>31</v>
      </c>
    </row>
    <row r="17761" spans="1:6" ht="25.5">
      <c r="A17761" s="2">
        <v>17758</v>
      </c>
      <c r="B17761" s="2" t="s">
        <v>17832</v>
      </c>
      <c r="C17761" s="2" t="str">
        <f>"00353787"</f>
        <v>00353787</v>
      </c>
      <c r="D17761" s="2">
        <v>0.222</v>
      </c>
      <c r="E17761" s="2">
        <v>29</v>
      </c>
      <c r="F17761" s="2" t="s">
        <v>66</v>
      </c>
    </row>
    <row r="17762" spans="1:6" ht="25.5">
      <c r="A17762" s="2">
        <v>17759</v>
      </c>
      <c r="B17762" s="2" t="s">
        <v>17833</v>
      </c>
      <c r="C17762" s="2" t="str">
        <f>"04848942"</f>
        <v>04848942</v>
      </c>
      <c r="D17762" s="2">
        <v>0.1</v>
      </c>
      <c r="E17762" s="2">
        <v>3</v>
      </c>
      <c r="F17762" s="2" t="s">
        <v>66</v>
      </c>
    </row>
    <row r="17763" spans="1:6" ht="25.5">
      <c r="A17763" s="2">
        <v>17760</v>
      </c>
      <c r="B17763" s="2" t="s">
        <v>17834</v>
      </c>
      <c r="C17763" s="2" t="str">
        <f>"00353833"</f>
        <v>00353833</v>
      </c>
      <c r="D17763" s="2">
        <v>0.1</v>
      </c>
      <c r="E17763" s="2">
        <v>2</v>
      </c>
      <c r="F17763" s="2" t="s">
        <v>66</v>
      </c>
    </row>
    <row r="17764" spans="1:6" ht="25.5">
      <c r="A17764" s="2">
        <v>17761</v>
      </c>
      <c r="B17764" s="2" t="s">
        <v>17835</v>
      </c>
      <c r="C17764" s="2" t="str">
        <f>"17831768"</f>
        <v>17831768</v>
      </c>
      <c r="D17764" s="2">
        <v>0.1</v>
      </c>
      <c r="E17764" s="2">
        <v>2</v>
      </c>
      <c r="F17764" s="2" t="s">
        <v>161</v>
      </c>
    </row>
    <row r="17765" spans="1:6" ht="25.5">
      <c r="A17765" s="2">
        <v>17762</v>
      </c>
      <c r="B17765" s="2" t="s">
        <v>17836</v>
      </c>
      <c r="C17765" s="2" t="str">
        <f>"00353906"</f>
        <v>00353906</v>
      </c>
      <c r="D17765" s="2">
        <v>0.1</v>
      </c>
      <c r="E17765" s="2">
        <v>3</v>
      </c>
      <c r="F17765" s="2" t="s">
        <v>75</v>
      </c>
    </row>
    <row r="17766" spans="1:6" ht="25.5">
      <c r="A17766" s="2">
        <v>17763</v>
      </c>
      <c r="B17766" s="2" t="s">
        <v>17837</v>
      </c>
      <c r="C17766" s="2" t="str">
        <f>"00353930"</f>
        <v>00353930</v>
      </c>
      <c r="D17766" s="2">
        <v>0.19700000000000001</v>
      </c>
      <c r="E17766" s="2">
        <v>15</v>
      </c>
      <c r="F17766" s="2" t="s">
        <v>19</v>
      </c>
    </row>
    <row r="17767" spans="1:6" ht="25.5">
      <c r="A17767" s="2">
        <v>17764</v>
      </c>
      <c r="B17767" s="2" t="s">
        <v>17838</v>
      </c>
      <c r="C17767" s="2" t="str">
        <f>"00353957"</f>
        <v>00353957</v>
      </c>
      <c r="D17767" s="2">
        <v>0.17199999999999999</v>
      </c>
      <c r="E17767" s="2">
        <v>2</v>
      </c>
      <c r="F17767" s="2" t="s">
        <v>19</v>
      </c>
    </row>
    <row r="17768" spans="1:6" ht="25.5">
      <c r="A17768" s="2">
        <v>17765</v>
      </c>
      <c r="B17768" s="2" t="s">
        <v>17839</v>
      </c>
      <c r="C17768" s="2" t="str">
        <f>"16374088"</f>
        <v>16374088</v>
      </c>
      <c r="D17768" s="2">
        <v>0.1</v>
      </c>
      <c r="E17768" s="2">
        <v>2</v>
      </c>
      <c r="F17768" s="2" t="s">
        <v>66</v>
      </c>
    </row>
    <row r="17769" spans="1:6" ht="25.5">
      <c r="A17769" s="2">
        <v>17766</v>
      </c>
      <c r="B17769" s="2" t="s">
        <v>17840</v>
      </c>
      <c r="C17769" s="2" t="str">
        <f>"0035418X"</f>
        <v>0035418X</v>
      </c>
      <c r="D17769" s="2">
        <v>0.245</v>
      </c>
      <c r="E17769" s="2">
        <v>17</v>
      </c>
      <c r="F17769" s="2" t="s">
        <v>31</v>
      </c>
    </row>
    <row r="17770" spans="1:6" ht="25.5">
      <c r="A17770" s="2">
        <v>17767</v>
      </c>
      <c r="B17770" s="2" t="s">
        <v>17841</v>
      </c>
      <c r="C17770" s="2" t="str">
        <f>"17838401"</f>
        <v>17838401</v>
      </c>
      <c r="D17770" s="2">
        <v>0.105</v>
      </c>
      <c r="E17770" s="2">
        <v>3</v>
      </c>
      <c r="F17770" s="2" t="s">
        <v>161</v>
      </c>
    </row>
    <row r="17771" spans="1:6" ht="25.5">
      <c r="A17771" s="2">
        <v>17768</v>
      </c>
      <c r="B17771" s="2" t="s">
        <v>17842</v>
      </c>
      <c r="C17771" s="2" t="str">
        <f>"09712313"</f>
        <v>09712313</v>
      </c>
      <c r="D17771" s="2">
        <v>0.19400000000000001</v>
      </c>
      <c r="E17771" s="2">
        <v>3</v>
      </c>
      <c r="F17771" s="2" t="s">
        <v>488</v>
      </c>
    </row>
    <row r="17772" spans="1:6" ht="25.5">
      <c r="A17772" s="2">
        <v>17769</v>
      </c>
      <c r="B17772" s="2" t="s">
        <v>17843</v>
      </c>
      <c r="C17772" s="2" t="str">
        <f>"00354511"</f>
        <v>00354511</v>
      </c>
      <c r="D17772" s="2">
        <v>0.81899999999999995</v>
      </c>
      <c r="E17772" s="2">
        <v>49</v>
      </c>
      <c r="F17772" s="2" t="s">
        <v>12</v>
      </c>
    </row>
    <row r="17773" spans="1:6" ht="25.5">
      <c r="A17773" s="2">
        <v>17770</v>
      </c>
      <c r="B17773" s="2" t="s">
        <v>17844</v>
      </c>
      <c r="C17773" s="2" t="str">
        <f>"15338541"</f>
        <v>15338541</v>
      </c>
      <c r="D17773" s="2">
        <v>0.13100000000000001</v>
      </c>
      <c r="E17773" s="2">
        <v>7</v>
      </c>
      <c r="F17773" s="2" t="s">
        <v>6</v>
      </c>
    </row>
    <row r="17774" spans="1:6" ht="25.5">
      <c r="A17774" s="2">
        <v>17771</v>
      </c>
      <c r="B17774" s="2" t="s">
        <v>17845</v>
      </c>
      <c r="C17774" s="2" t="str">
        <f>"10948392"</f>
        <v>10948392</v>
      </c>
      <c r="D17774" s="2">
        <v>0.252</v>
      </c>
      <c r="E17774" s="2">
        <v>3</v>
      </c>
      <c r="F17774" s="2" t="s">
        <v>6</v>
      </c>
    </row>
    <row r="17775" spans="1:6" ht="25.5">
      <c r="A17775" s="2">
        <v>17772</v>
      </c>
      <c r="B17775" s="2" t="s">
        <v>17846</v>
      </c>
      <c r="C17775" s="2" t="str">
        <f>"07350198"</f>
        <v>07350198</v>
      </c>
      <c r="D17775" s="2">
        <v>0.33</v>
      </c>
      <c r="E17775" s="2">
        <v>5</v>
      </c>
      <c r="F17775" s="2" t="s">
        <v>16</v>
      </c>
    </row>
    <row r="17776" spans="1:6" ht="25.5">
      <c r="A17776" s="2">
        <v>17773</v>
      </c>
      <c r="B17776" s="2" t="s">
        <v>17847</v>
      </c>
      <c r="C17776" s="2" t="str">
        <f>"0889857X"</f>
        <v>0889857X</v>
      </c>
      <c r="D17776" s="2">
        <v>0.90100000000000002</v>
      </c>
      <c r="E17776" s="2">
        <v>61</v>
      </c>
      <c r="F17776" s="2" t="s">
        <v>16</v>
      </c>
    </row>
    <row r="17777" spans="1:6" ht="25.5">
      <c r="A17777" s="2">
        <v>17774</v>
      </c>
      <c r="B17777" s="2" t="s">
        <v>17848</v>
      </c>
      <c r="C17777" s="2" t="str">
        <f>"14620332"</f>
        <v>14620332</v>
      </c>
      <c r="D17777" s="2">
        <v>1.5069999999999999</v>
      </c>
      <c r="E17777" s="2">
        <v>106</v>
      </c>
      <c r="F17777" s="2" t="s">
        <v>16</v>
      </c>
    </row>
    <row r="17778" spans="1:6" ht="25.5">
      <c r="A17778" s="2">
        <v>17775</v>
      </c>
      <c r="B17778" s="2" t="s">
        <v>17849</v>
      </c>
      <c r="C17778" s="2" t="str">
        <f>"1437160X"</f>
        <v>1437160X</v>
      </c>
      <c r="D17778" s="2">
        <v>0.57999999999999996</v>
      </c>
      <c r="E17778" s="2">
        <v>43</v>
      </c>
      <c r="F17778" s="2" t="s">
        <v>12</v>
      </c>
    </row>
    <row r="17779" spans="1:6" ht="25.5">
      <c r="A17779" s="2">
        <v>17776</v>
      </c>
      <c r="B17779" s="2" t="s">
        <v>17850</v>
      </c>
      <c r="C17779" s="2" t="str">
        <f>"20367511"</f>
        <v>20367511</v>
      </c>
      <c r="D17779" s="2">
        <v>0.13600000000000001</v>
      </c>
      <c r="E17779" s="2">
        <v>1</v>
      </c>
      <c r="F17779" s="2" t="s">
        <v>190</v>
      </c>
    </row>
    <row r="17780" spans="1:6" ht="25.5">
      <c r="A17780" s="2">
        <v>17777</v>
      </c>
      <c r="B17780" s="2" t="s">
        <v>17851</v>
      </c>
      <c r="C17780" s="2" t="str">
        <f>"03000729"</f>
        <v>03000729</v>
      </c>
      <c r="D17780" s="2">
        <v>0.67200000000000004</v>
      </c>
      <c r="E17780" s="2">
        <v>33</v>
      </c>
      <c r="F17780" s="2" t="s">
        <v>75</v>
      </c>
    </row>
    <row r="17781" spans="1:6" ht="25.5">
      <c r="A17781" s="2">
        <v>17778</v>
      </c>
      <c r="B17781" s="2" t="s">
        <v>17852</v>
      </c>
      <c r="C17781" s="2" t="str">
        <f>"10130047"</f>
        <v>10130047</v>
      </c>
      <c r="D17781" s="2">
        <v>5.6719999999999997</v>
      </c>
      <c r="E17781" s="2">
        <v>4</v>
      </c>
      <c r="F17781" s="2" t="s">
        <v>75</v>
      </c>
    </row>
    <row r="17782" spans="1:6" ht="25.5">
      <c r="A17782" s="2">
        <v>17779</v>
      </c>
      <c r="B17782" s="2" t="s">
        <v>17853</v>
      </c>
      <c r="C17782" s="2" t="str">
        <f>"15584291"</f>
        <v>15584291</v>
      </c>
      <c r="D17782" s="2">
        <v>0.10100000000000001</v>
      </c>
      <c r="E17782" s="2">
        <v>0</v>
      </c>
      <c r="F17782" s="2" t="s">
        <v>6</v>
      </c>
    </row>
    <row r="17783" spans="1:6" ht="25.5">
      <c r="A17783" s="2">
        <v>17780</v>
      </c>
      <c r="B17783" s="2" t="s">
        <v>17854</v>
      </c>
      <c r="C17783" s="2" t="str">
        <f>"00354902"</f>
        <v>00354902</v>
      </c>
      <c r="D17783" s="2">
        <v>0.19600000000000001</v>
      </c>
      <c r="E17783" s="2">
        <v>14</v>
      </c>
      <c r="F17783" s="2" t="s">
        <v>6</v>
      </c>
    </row>
    <row r="17784" spans="1:6" ht="25.5">
      <c r="A17784" s="2">
        <v>17781</v>
      </c>
      <c r="B17784" s="2" t="s">
        <v>17855</v>
      </c>
      <c r="C17784" s="2" t="str">
        <f>"16977920"</f>
        <v>16977920</v>
      </c>
      <c r="D17784" s="2">
        <v>0.21</v>
      </c>
      <c r="E17784" s="2">
        <v>6</v>
      </c>
      <c r="F17784" s="2" t="s">
        <v>351</v>
      </c>
    </row>
    <row r="17785" spans="1:6" ht="25.5">
      <c r="A17785" s="2">
        <v>17782</v>
      </c>
      <c r="B17785" s="2" t="s">
        <v>17856</v>
      </c>
      <c r="C17785" s="2" t="str">
        <f>"19398425"</f>
        <v>19398425</v>
      </c>
      <c r="D17785" s="2">
        <v>1.1619999999999999</v>
      </c>
      <c r="E17785" s="2">
        <v>13</v>
      </c>
      <c r="F17785" s="2" t="s">
        <v>6</v>
      </c>
    </row>
    <row r="17786" spans="1:6" ht="25.5">
      <c r="A17786" s="2">
        <v>17783</v>
      </c>
      <c r="B17786" s="2" t="s">
        <v>17857</v>
      </c>
      <c r="C17786" s="2" t="str">
        <f>"1120379X"</f>
        <v>1120379X</v>
      </c>
      <c r="D17786" s="2">
        <v>0.11</v>
      </c>
      <c r="E17786" s="2">
        <v>3</v>
      </c>
      <c r="F17786" s="2" t="s">
        <v>190</v>
      </c>
    </row>
    <row r="17787" spans="1:6" ht="25.5">
      <c r="A17787" s="2">
        <v>17784</v>
      </c>
      <c r="B17787" s="2" t="s">
        <v>17858</v>
      </c>
      <c r="C17787" s="2" t="str">
        <f>"18273491"</f>
        <v>18273491</v>
      </c>
      <c r="D17787" s="2">
        <v>0.35499999999999998</v>
      </c>
      <c r="E17787" s="2">
        <v>6</v>
      </c>
      <c r="F17787" s="2" t="s">
        <v>190</v>
      </c>
    </row>
    <row r="17788" spans="1:6" ht="25.5">
      <c r="A17788" s="2">
        <v>17785</v>
      </c>
      <c r="B17788" s="2" t="s">
        <v>17859</v>
      </c>
      <c r="C17788" s="2" t="str">
        <f>"03927202"</f>
        <v>03927202</v>
      </c>
      <c r="D17788" s="2">
        <v>0.1</v>
      </c>
      <c r="E17788" s="2">
        <v>0</v>
      </c>
      <c r="F17788" s="2" t="s">
        <v>190</v>
      </c>
    </row>
    <row r="17789" spans="1:6" ht="25.5">
      <c r="A17789" s="2">
        <v>17786</v>
      </c>
      <c r="B17789" s="2" t="s">
        <v>17860</v>
      </c>
      <c r="C17789" s="2" t="str">
        <f>"11209526"</f>
        <v>11209526</v>
      </c>
      <c r="D17789" s="2">
        <v>0</v>
      </c>
      <c r="E17789" s="2">
        <v>0</v>
      </c>
      <c r="F17789" s="2" t="s">
        <v>190</v>
      </c>
    </row>
    <row r="17790" spans="1:6" ht="25.5">
      <c r="A17790" s="2">
        <v>17787</v>
      </c>
      <c r="B17790" s="2" t="s">
        <v>17861</v>
      </c>
      <c r="C17790" s="2" t="str">
        <f>"16726308"</f>
        <v>16726308</v>
      </c>
      <c r="D17790" s="2">
        <v>0.22900000000000001</v>
      </c>
      <c r="E17790" s="2">
        <v>6</v>
      </c>
      <c r="F17790" s="2" t="s">
        <v>75</v>
      </c>
    </row>
    <row r="17791" spans="1:6">
      <c r="A17791" s="2">
        <v>17788</v>
      </c>
      <c r="B17791" s="2" t="s">
        <v>17862</v>
      </c>
      <c r="C17791" s="2" t="str">
        <f>"0"</f>
        <v>0</v>
      </c>
      <c r="D17791" s="2">
        <v>0</v>
      </c>
      <c r="E17791" s="2">
        <v>0</v>
      </c>
      <c r="F17791" s="2" t="s">
        <v>6</v>
      </c>
    </row>
    <row r="17792" spans="1:6" ht="25.5">
      <c r="A17792" s="2">
        <v>17789</v>
      </c>
      <c r="B17792" s="2" t="s">
        <v>17863</v>
      </c>
      <c r="C17792" s="2" t="str">
        <f>"18853137"</f>
        <v>18853137</v>
      </c>
      <c r="D17792" s="2">
        <v>0.18</v>
      </c>
      <c r="E17792" s="2">
        <v>2</v>
      </c>
      <c r="F17792" s="2" t="s">
        <v>351</v>
      </c>
    </row>
    <row r="17793" spans="1:6" ht="25.5">
      <c r="A17793" s="2">
        <v>17790</v>
      </c>
      <c r="B17793" s="2" t="s">
        <v>17864</v>
      </c>
      <c r="C17793" s="2" t="str">
        <f>"13411667"</f>
        <v>13411667</v>
      </c>
      <c r="D17793" s="2">
        <v>0.10199999999999999</v>
      </c>
      <c r="E17793" s="2">
        <v>4</v>
      </c>
      <c r="F17793" s="2" t="s">
        <v>131</v>
      </c>
    </row>
    <row r="17794" spans="1:6" ht="25.5">
      <c r="A17794" s="2">
        <v>17791</v>
      </c>
      <c r="B17794" s="2" t="s">
        <v>17865</v>
      </c>
      <c r="C17794" s="2" t="str">
        <f>"02132370"</f>
        <v>02132370</v>
      </c>
      <c r="D17794" s="2">
        <v>0.1</v>
      </c>
      <c r="E17794" s="2">
        <v>1</v>
      </c>
      <c r="F17794" s="2" t="s">
        <v>351</v>
      </c>
    </row>
    <row r="17795" spans="1:6" ht="25.5">
      <c r="A17795" s="2">
        <v>17792</v>
      </c>
      <c r="B17795" s="2" t="s">
        <v>17866</v>
      </c>
      <c r="C17795" s="2" t="str">
        <f>"08157251"</f>
        <v>08157251</v>
      </c>
      <c r="D17795" s="2">
        <v>0.10299999999999999</v>
      </c>
      <c r="E17795" s="2">
        <v>1</v>
      </c>
      <c r="F17795" s="2" t="s">
        <v>127</v>
      </c>
    </row>
    <row r="17796" spans="1:6" ht="25.5">
      <c r="A17796" s="2">
        <v>17793</v>
      </c>
      <c r="B17796" s="2" t="s">
        <v>17867</v>
      </c>
      <c r="C17796" s="2" t="str">
        <f>"03078698"</f>
        <v>03078698</v>
      </c>
      <c r="D17796" s="2">
        <v>0.42399999999999999</v>
      </c>
      <c r="E17796" s="2">
        <v>9</v>
      </c>
      <c r="F17796" s="2" t="s">
        <v>16</v>
      </c>
    </row>
    <row r="17797" spans="1:6" ht="25.5">
      <c r="A17797" s="2">
        <v>17794</v>
      </c>
      <c r="B17797" s="2" t="s">
        <v>17868</v>
      </c>
      <c r="C17797" s="2" t="str">
        <f>"0913140X"</f>
        <v>0913140X</v>
      </c>
      <c r="D17797" s="2">
        <v>0.10199999999999999</v>
      </c>
      <c r="E17797" s="2">
        <v>3</v>
      </c>
      <c r="F17797" s="2" t="s">
        <v>131</v>
      </c>
    </row>
    <row r="17798" spans="1:6" ht="38.25">
      <c r="A17798" s="2">
        <v>17795</v>
      </c>
      <c r="B17798" s="2" t="s">
        <v>17869</v>
      </c>
      <c r="C17798" s="2" t="str">
        <f>"09151753"</f>
        <v>09151753</v>
      </c>
      <c r="D17798" s="2">
        <v>0.106</v>
      </c>
      <c r="E17798" s="2">
        <v>4</v>
      </c>
      <c r="F17798" s="2" t="s">
        <v>131</v>
      </c>
    </row>
    <row r="17799" spans="1:6" ht="25.5">
      <c r="A17799" s="2">
        <v>17796</v>
      </c>
      <c r="B17799" s="2" t="s">
        <v>17870</v>
      </c>
      <c r="C17799" s="2" t="str">
        <f>"00471860"</f>
        <v>00471860</v>
      </c>
      <c r="D17799" s="2">
        <v>0.11899999999999999</v>
      </c>
      <c r="E17799" s="2">
        <v>11</v>
      </c>
      <c r="F17799" s="2" t="s">
        <v>131</v>
      </c>
    </row>
    <row r="17800" spans="1:6" ht="25.5">
      <c r="A17800" s="2">
        <v>17797</v>
      </c>
      <c r="B17800" s="2" t="s">
        <v>17871</v>
      </c>
      <c r="C17800" s="2" t="str">
        <f>"04851439"</f>
        <v>04851439</v>
      </c>
      <c r="D17800" s="2">
        <v>0.11899999999999999</v>
      </c>
      <c r="E17800" s="2">
        <v>10</v>
      </c>
      <c r="F17800" s="2" t="s">
        <v>131</v>
      </c>
    </row>
    <row r="17801" spans="1:6" ht="25.5">
      <c r="A17801" s="2">
        <v>17798</v>
      </c>
      <c r="B17801" s="2" t="s">
        <v>17872</v>
      </c>
      <c r="C17801" s="2" t="str">
        <f>"15396924"</f>
        <v>15396924</v>
      </c>
      <c r="D17801" s="2">
        <v>0.96899999999999997</v>
      </c>
      <c r="E17801" s="2">
        <v>63</v>
      </c>
      <c r="F17801" s="2" t="s">
        <v>16</v>
      </c>
    </row>
    <row r="17802" spans="1:6" ht="25.5">
      <c r="A17802" s="2">
        <v>17799</v>
      </c>
      <c r="B17802" s="2" t="s">
        <v>17873</v>
      </c>
      <c r="C17802" s="2" t="str">
        <f>"18759173"</f>
        <v>18759173</v>
      </c>
      <c r="D17802" s="2">
        <v>0.129</v>
      </c>
      <c r="E17802" s="2">
        <v>4</v>
      </c>
      <c r="F17802" s="2" t="s">
        <v>6</v>
      </c>
    </row>
    <row r="17803" spans="1:6" ht="25.5">
      <c r="A17803" s="2">
        <v>17800</v>
      </c>
      <c r="B17803" s="2" t="s">
        <v>17874</v>
      </c>
      <c r="C17803" s="2" t="str">
        <f>"11791594"</f>
        <v>11791594</v>
      </c>
      <c r="D17803" s="2">
        <v>0.16800000000000001</v>
      </c>
      <c r="E17803" s="2">
        <v>2</v>
      </c>
      <c r="F17803" s="2" t="s">
        <v>503</v>
      </c>
    </row>
    <row r="17804" spans="1:6" ht="25.5">
      <c r="A17804" s="2">
        <v>17801</v>
      </c>
      <c r="B17804" s="2" t="s">
        <v>17875</v>
      </c>
      <c r="C17804" s="2" t="str">
        <f>"15406296"</f>
        <v>15406296</v>
      </c>
      <c r="D17804" s="2">
        <v>0.22700000000000001</v>
      </c>
      <c r="E17804" s="2">
        <v>5</v>
      </c>
      <c r="F17804" s="2" t="s">
        <v>16</v>
      </c>
    </row>
    <row r="17805" spans="1:6" ht="25.5">
      <c r="A17805" s="2">
        <v>17802</v>
      </c>
      <c r="B17805" s="2" t="s">
        <v>17876</v>
      </c>
      <c r="C17805" s="2" t="str">
        <f>"14603799"</f>
        <v>14603799</v>
      </c>
      <c r="D17805" s="2">
        <v>0.26800000000000002</v>
      </c>
      <c r="E17805" s="2">
        <v>4</v>
      </c>
      <c r="F17805" s="2" t="s">
        <v>16</v>
      </c>
    </row>
    <row r="17806" spans="1:6" ht="25.5">
      <c r="A17806" s="2">
        <v>17803</v>
      </c>
      <c r="B17806" s="2" t="s">
        <v>17877</v>
      </c>
      <c r="C17806" s="2" t="str">
        <f>"16469895"</f>
        <v>16469895</v>
      </c>
      <c r="D17806" s="2">
        <v>0.10199999999999999</v>
      </c>
      <c r="E17806" s="2">
        <v>0</v>
      </c>
      <c r="F17806" s="2" t="s">
        <v>306</v>
      </c>
    </row>
    <row r="17807" spans="1:6" ht="25.5">
      <c r="A17807" s="2">
        <v>17804</v>
      </c>
      <c r="B17807" s="2" t="s">
        <v>17878</v>
      </c>
      <c r="C17807" s="2" t="str">
        <f>"15351467"</f>
        <v>15351467</v>
      </c>
      <c r="D17807" s="2">
        <v>0.85</v>
      </c>
      <c r="E17807" s="2">
        <v>52</v>
      </c>
      <c r="F17807" s="2" t="s">
        <v>16</v>
      </c>
    </row>
    <row r="17808" spans="1:6" ht="25.5">
      <c r="A17808" s="2">
        <v>17805</v>
      </c>
      <c r="B17808" s="2" t="s">
        <v>17879</v>
      </c>
      <c r="C17808" s="2" t="str">
        <f>"00356050"</f>
        <v>00356050</v>
      </c>
      <c r="D17808" s="2">
        <v>0.19900000000000001</v>
      </c>
      <c r="E17808" s="2">
        <v>11</v>
      </c>
      <c r="F17808" s="2" t="s">
        <v>190</v>
      </c>
    </row>
    <row r="17809" spans="1:6" ht="25.5">
      <c r="A17809" s="2">
        <v>17806</v>
      </c>
      <c r="B17809" s="2" t="s">
        <v>17880</v>
      </c>
      <c r="C17809" s="2" t="str">
        <f>"1724062X"</f>
        <v>1724062X</v>
      </c>
      <c r="D17809" s="2">
        <v>0.10199999999999999</v>
      </c>
      <c r="E17809" s="2">
        <v>1</v>
      </c>
      <c r="F17809" s="2" t="s">
        <v>190</v>
      </c>
    </row>
    <row r="17810" spans="1:6" ht="25.5">
      <c r="A17810" s="2">
        <v>17807</v>
      </c>
      <c r="B17810" s="2" t="s">
        <v>17881</v>
      </c>
      <c r="C17810" s="2" t="str">
        <f>"18732000"</f>
        <v>18732000</v>
      </c>
      <c r="D17810" s="2">
        <v>0.1</v>
      </c>
      <c r="E17810" s="2">
        <v>2</v>
      </c>
      <c r="F17810" s="2" t="s">
        <v>190</v>
      </c>
    </row>
    <row r="17811" spans="1:6" ht="25.5">
      <c r="A17811" s="2">
        <v>17808</v>
      </c>
      <c r="B17811" s="2" t="s">
        <v>17882</v>
      </c>
      <c r="C17811" s="2" t="str">
        <f>"00356247"</f>
        <v>00356247</v>
      </c>
      <c r="D17811" s="2">
        <v>0.1</v>
      </c>
      <c r="E17811" s="2">
        <v>2</v>
      </c>
      <c r="F17811" s="2" t="s">
        <v>190</v>
      </c>
    </row>
    <row r="17812" spans="1:6" ht="25.5">
      <c r="A17812" s="2">
        <v>17809</v>
      </c>
      <c r="B17812" s="2" t="s">
        <v>17883</v>
      </c>
      <c r="C17812" s="2" t="str">
        <f>"03912108"</f>
        <v>03912108</v>
      </c>
      <c r="D17812" s="2">
        <v>0.1</v>
      </c>
      <c r="E17812" s="2">
        <v>1</v>
      </c>
      <c r="F17812" s="2" t="s">
        <v>190</v>
      </c>
    </row>
    <row r="17813" spans="1:6" ht="25.5">
      <c r="A17813" s="2">
        <v>17810</v>
      </c>
      <c r="B17813" s="2" t="s">
        <v>17884</v>
      </c>
      <c r="C17813" s="2" t="str">
        <f>"11202726"</f>
        <v>11202726</v>
      </c>
      <c r="D17813" s="2">
        <v>0.10199999999999999</v>
      </c>
      <c r="E17813" s="2">
        <v>0</v>
      </c>
      <c r="F17813" s="2" t="s">
        <v>190</v>
      </c>
    </row>
    <row r="17814" spans="1:6" ht="25.5">
      <c r="A17814" s="2">
        <v>17811</v>
      </c>
      <c r="B17814" s="2" t="s">
        <v>17885</v>
      </c>
      <c r="C17814" s="2" t="str">
        <f>"00356484"</f>
        <v>00356484</v>
      </c>
      <c r="D17814" s="2">
        <v>0.14699999999999999</v>
      </c>
      <c r="E17814" s="2">
        <v>5</v>
      </c>
      <c r="F17814" s="2" t="s">
        <v>190</v>
      </c>
    </row>
    <row r="17815" spans="1:6" ht="25.5">
      <c r="A17815" s="2">
        <v>17812</v>
      </c>
      <c r="B17815" s="2" t="s">
        <v>17886</v>
      </c>
      <c r="C17815" s="2" t="str">
        <f>"00356492"</f>
        <v>00356492</v>
      </c>
      <c r="D17815" s="2">
        <v>0.185</v>
      </c>
      <c r="E17815" s="2">
        <v>2</v>
      </c>
      <c r="F17815" s="2" t="s">
        <v>190</v>
      </c>
    </row>
    <row r="17816" spans="1:6" ht="25.5">
      <c r="A17816" s="2">
        <v>17813</v>
      </c>
      <c r="B17816" s="2" t="s">
        <v>17887</v>
      </c>
      <c r="C17816" s="2" t="str">
        <f>"19725558"</f>
        <v>19725558</v>
      </c>
      <c r="D17816" s="2">
        <v>0.1</v>
      </c>
      <c r="E17816" s="2">
        <v>3</v>
      </c>
      <c r="F17816" s="2" t="s">
        <v>190</v>
      </c>
    </row>
    <row r="17817" spans="1:6" ht="25.5">
      <c r="A17817" s="2">
        <v>17814</v>
      </c>
      <c r="B17817" s="2" t="s">
        <v>17888</v>
      </c>
      <c r="C17817" s="2" t="str">
        <f>"20357583"</f>
        <v>20357583</v>
      </c>
      <c r="D17817" s="2">
        <v>0.10100000000000001</v>
      </c>
      <c r="E17817" s="2">
        <v>2</v>
      </c>
      <c r="F17817" s="2" t="s">
        <v>190</v>
      </c>
    </row>
    <row r="17818" spans="1:6" ht="25.5">
      <c r="A17818" s="2">
        <v>17815</v>
      </c>
      <c r="B17818" s="2" t="s">
        <v>17889</v>
      </c>
      <c r="C17818" s="2" t="str">
        <f>"03942287"</f>
        <v>03942287</v>
      </c>
      <c r="D17818" s="2">
        <v>0.125</v>
      </c>
      <c r="E17818" s="2">
        <v>2</v>
      </c>
      <c r="F17818" s="2" t="s">
        <v>190</v>
      </c>
    </row>
    <row r="17819" spans="1:6" ht="25.5">
      <c r="A17819" s="2">
        <v>17816</v>
      </c>
      <c r="B17819" s="2" t="s">
        <v>17890</v>
      </c>
      <c r="C17819" s="2" t="str">
        <f>"1825859X"</f>
        <v>1825859X</v>
      </c>
      <c r="D17819" s="2">
        <v>0.127</v>
      </c>
      <c r="E17819" s="2">
        <v>6</v>
      </c>
      <c r="F17819" s="2" t="s">
        <v>190</v>
      </c>
    </row>
    <row r="17820" spans="1:6" ht="25.5">
      <c r="A17820" s="2">
        <v>17817</v>
      </c>
      <c r="B17820" s="2" t="s">
        <v>17891</v>
      </c>
      <c r="C17820" s="2" t="str">
        <f>"00356794"</f>
        <v>00356794</v>
      </c>
      <c r="D17820" s="2">
        <v>0.10100000000000001</v>
      </c>
      <c r="E17820" s="2">
        <v>2</v>
      </c>
      <c r="F17820" s="2" t="s">
        <v>190</v>
      </c>
    </row>
    <row r="17821" spans="1:6" ht="25.5">
      <c r="A17821" s="2">
        <v>17818</v>
      </c>
      <c r="B17821" s="2" t="s">
        <v>17892</v>
      </c>
      <c r="C17821" s="2" t="str">
        <f>"00356808"</f>
        <v>00356808</v>
      </c>
      <c r="D17821" s="2">
        <v>0.27800000000000002</v>
      </c>
      <c r="E17821" s="2">
        <v>5</v>
      </c>
      <c r="F17821" s="2" t="s">
        <v>190</v>
      </c>
    </row>
    <row r="17822" spans="1:6">
      <c r="A17822" s="2">
        <v>17819</v>
      </c>
      <c r="B17822" s="2" t="s">
        <v>17893</v>
      </c>
      <c r="C17822" s="2" t="str">
        <f>"0"</f>
        <v>0</v>
      </c>
      <c r="D17822" s="2">
        <v>0.10199999999999999</v>
      </c>
      <c r="E17822" s="2">
        <v>1</v>
      </c>
      <c r="F17822" s="2" t="s">
        <v>190</v>
      </c>
    </row>
    <row r="17823" spans="1:6" ht="25.5">
      <c r="A17823" s="2">
        <v>17820</v>
      </c>
      <c r="B17823" s="2" t="s">
        <v>17894</v>
      </c>
      <c r="C17823" s="2" t="str">
        <f>"00356883"</f>
        <v>00356883</v>
      </c>
      <c r="D17823" s="2">
        <v>0.29199999999999998</v>
      </c>
      <c r="E17823" s="2">
        <v>23</v>
      </c>
      <c r="F17823" s="2" t="s">
        <v>190</v>
      </c>
    </row>
    <row r="17824" spans="1:6" ht="25.5">
      <c r="A17824" s="2">
        <v>17821</v>
      </c>
      <c r="B17824" s="2" t="s">
        <v>17895</v>
      </c>
      <c r="C17824" s="2" t="str">
        <f>"00488402"</f>
        <v>00488402</v>
      </c>
      <c r="D17824" s="2">
        <v>0.27600000000000002</v>
      </c>
      <c r="E17824" s="2">
        <v>1</v>
      </c>
      <c r="F17824" s="2" t="s">
        <v>190</v>
      </c>
    </row>
    <row r="17825" spans="1:6" ht="25.5">
      <c r="A17825" s="2">
        <v>17822</v>
      </c>
      <c r="B17825" s="2" t="s">
        <v>17896</v>
      </c>
      <c r="C17825" s="2" t="str">
        <f>"0300340X"</f>
        <v>0300340X</v>
      </c>
      <c r="D17825" s="2">
        <v>0.113</v>
      </c>
      <c r="E17825" s="2">
        <v>1</v>
      </c>
      <c r="F17825" s="2" t="s">
        <v>190</v>
      </c>
    </row>
    <row r="17826" spans="1:6" ht="25.5">
      <c r="A17826" s="2">
        <v>17823</v>
      </c>
      <c r="B17826" s="2" t="s">
        <v>17897</v>
      </c>
      <c r="C17826" s="2" t="str">
        <f>"00357073"</f>
        <v>00357073</v>
      </c>
      <c r="D17826" s="2">
        <v>0.1</v>
      </c>
      <c r="E17826" s="2">
        <v>2</v>
      </c>
      <c r="F17826" s="2" t="s">
        <v>190</v>
      </c>
    </row>
    <row r="17827" spans="1:6" ht="25.5">
      <c r="A17827" s="2">
        <v>17824</v>
      </c>
      <c r="B17827" s="2" t="s">
        <v>17898</v>
      </c>
      <c r="C17827" s="2" t="str">
        <f>"0033698X"</f>
        <v>0033698X</v>
      </c>
      <c r="D17827" s="2">
        <v>0.13200000000000001</v>
      </c>
      <c r="E17827" s="2">
        <v>2</v>
      </c>
      <c r="F17827" s="2" t="s">
        <v>182</v>
      </c>
    </row>
    <row r="17828" spans="1:6" ht="25.5">
      <c r="A17828" s="2">
        <v>17825</v>
      </c>
      <c r="B17828" s="2" t="s">
        <v>17899</v>
      </c>
      <c r="C17828" s="2" t="str">
        <f>"19650264"</f>
        <v>19650264</v>
      </c>
      <c r="D17828" s="2">
        <v>0.1</v>
      </c>
      <c r="E17828" s="2">
        <v>1</v>
      </c>
      <c r="F17828" s="2" t="s">
        <v>66</v>
      </c>
    </row>
    <row r="17829" spans="1:6" ht="25.5">
      <c r="A17829" s="2">
        <v>17826</v>
      </c>
      <c r="B17829" s="2" t="s">
        <v>17900</v>
      </c>
      <c r="C17829" s="2" t="str">
        <f>"14699001"</f>
        <v>14699001</v>
      </c>
      <c r="D17829" s="2">
        <v>3.6150000000000002</v>
      </c>
      <c r="E17829" s="2">
        <v>112</v>
      </c>
      <c r="F17829" s="2" t="s">
        <v>6</v>
      </c>
    </row>
    <row r="17830" spans="1:6" ht="25.5">
      <c r="A17830" s="2">
        <v>17827</v>
      </c>
      <c r="B17830" s="2" t="s">
        <v>17901</v>
      </c>
      <c r="C17830" s="2" t="str">
        <f>"15558584"</f>
        <v>15558584</v>
      </c>
      <c r="D17830" s="2">
        <v>1.6639999999999999</v>
      </c>
      <c r="E17830" s="2">
        <v>27</v>
      </c>
      <c r="F17830" s="2" t="s">
        <v>6</v>
      </c>
    </row>
    <row r="17831" spans="1:6" ht="25.5">
      <c r="A17831" s="2">
        <v>17828</v>
      </c>
      <c r="B17831" s="2" t="s">
        <v>17902</v>
      </c>
      <c r="C17831" s="2" t="str">
        <f>"16431618"</f>
        <v>16431618</v>
      </c>
      <c r="D17831" s="2">
        <v>0</v>
      </c>
      <c r="E17831" s="2">
        <v>0</v>
      </c>
      <c r="F17831" s="2" t="s">
        <v>169</v>
      </c>
    </row>
    <row r="17832" spans="1:6" ht="25.5">
      <c r="A17832" s="2">
        <v>17829</v>
      </c>
      <c r="B17832" s="2" t="s">
        <v>17903</v>
      </c>
      <c r="C17832" s="2" t="str">
        <f>"10375783"</f>
        <v>10375783</v>
      </c>
      <c r="D17832" s="2">
        <v>0.21099999999999999</v>
      </c>
      <c r="E17832" s="2">
        <v>10</v>
      </c>
      <c r="F17832" s="2" t="s">
        <v>127</v>
      </c>
    </row>
    <row r="17833" spans="1:6" ht="25.5">
      <c r="A17833" s="2">
        <v>17830</v>
      </c>
      <c r="B17833" s="2" t="s">
        <v>17904</v>
      </c>
      <c r="C17833" s="2" t="str">
        <f>"14680629"</f>
        <v>14680629</v>
      </c>
      <c r="D17833" s="2">
        <v>0.80700000000000005</v>
      </c>
      <c r="E17833" s="2">
        <v>10</v>
      </c>
      <c r="F17833" s="2" t="s">
        <v>16</v>
      </c>
    </row>
    <row r="17834" spans="1:6" ht="25.5">
      <c r="A17834" s="2">
        <v>17831</v>
      </c>
      <c r="B17834" s="2" t="s">
        <v>17905</v>
      </c>
      <c r="C17834" s="2" t="str">
        <f>"14698668"</f>
        <v>14698668</v>
      </c>
      <c r="D17834" s="2">
        <v>0.876</v>
      </c>
      <c r="E17834" s="2">
        <v>37</v>
      </c>
      <c r="F17834" s="2" t="s">
        <v>16</v>
      </c>
    </row>
    <row r="17835" spans="1:6" ht="25.5">
      <c r="A17835" s="2">
        <v>17832</v>
      </c>
      <c r="B17835" s="2" t="s">
        <v>17906</v>
      </c>
      <c r="C17835" s="2" t="str">
        <f>"09218890"</f>
        <v>09218890</v>
      </c>
      <c r="D17835" s="2">
        <v>1.52</v>
      </c>
      <c r="E17835" s="2">
        <v>61</v>
      </c>
      <c r="F17835" s="2" t="s">
        <v>75</v>
      </c>
    </row>
    <row r="17836" spans="1:6" ht="25.5">
      <c r="A17836" s="2">
        <v>17833</v>
      </c>
      <c r="B17836" s="2" t="s">
        <v>17907</v>
      </c>
      <c r="C17836" s="2" t="str">
        <f>"07365845"</f>
        <v>07365845</v>
      </c>
      <c r="D17836" s="2">
        <v>1.347</v>
      </c>
      <c r="E17836" s="2">
        <v>44</v>
      </c>
      <c r="F17836" s="2" t="s">
        <v>16</v>
      </c>
    </row>
    <row r="17837" spans="1:6">
      <c r="A17837" s="2">
        <v>17834</v>
      </c>
      <c r="B17837" s="2" t="s">
        <v>17908</v>
      </c>
      <c r="C17837" s="2" t="str">
        <f>"0"</f>
        <v>0</v>
      </c>
      <c r="D17837" s="2">
        <v>0</v>
      </c>
      <c r="E17837" s="2">
        <v>0</v>
      </c>
      <c r="F17837" s="2" t="s">
        <v>6</v>
      </c>
    </row>
    <row r="17838" spans="1:6" ht="25.5">
      <c r="A17838" s="2">
        <v>17835</v>
      </c>
      <c r="B17838" s="2" t="s">
        <v>17909</v>
      </c>
      <c r="C17838" s="2" t="str">
        <f>"08130426"</f>
        <v>08130426</v>
      </c>
      <c r="D17838" s="2">
        <v>0.217</v>
      </c>
      <c r="E17838" s="2">
        <v>2</v>
      </c>
      <c r="F17838" s="2" t="s">
        <v>127</v>
      </c>
    </row>
    <row r="17839" spans="1:6" ht="25.5">
      <c r="A17839" s="2">
        <v>17836</v>
      </c>
      <c r="B17839" s="2" t="s">
        <v>17910</v>
      </c>
      <c r="C17839" s="2" t="str">
        <f>"07232632"</f>
        <v>07232632</v>
      </c>
      <c r="D17839" s="2">
        <v>1.3380000000000001</v>
      </c>
      <c r="E17839" s="2">
        <v>26</v>
      </c>
      <c r="F17839" s="2" t="s">
        <v>288</v>
      </c>
    </row>
    <row r="17840" spans="1:6" ht="25.5">
      <c r="A17840" s="2">
        <v>17837</v>
      </c>
      <c r="B17840" s="2" t="s">
        <v>17911</v>
      </c>
      <c r="C17840" s="2" t="str">
        <f>"15557340"</f>
        <v>15557340</v>
      </c>
      <c r="D17840" s="2">
        <v>0.3</v>
      </c>
      <c r="E17840" s="2">
        <v>4</v>
      </c>
      <c r="F17840" s="2" t="s">
        <v>6</v>
      </c>
    </row>
    <row r="17841" spans="1:6" ht="25.5">
      <c r="A17841" s="2">
        <v>17838</v>
      </c>
      <c r="B17841" s="2" t="s">
        <v>17912</v>
      </c>
      <c r="C17841" s="2" t="str">
        <f>"00357596"</f>
        <v>00357596</v>
      </c>
      <c r="D17841" s="2">
        <v>0.45100000000000001</v>
      </c>
      <c r="E17841" s="2">
        <v>24</v>
      </c>
      <c r="F17841" s="2" t="s">
        <v>6</v>
      </c>
    </row>
    <row r="17842" spans="1:6" ht="25.5">
      <c r="A17842" s="2">
        <v>17839</v>
      </c>
      <c r="B17842" s="2" t="s">
        <v>17913</v>
      </c>
      <c r="C17842" s="2" t="str">
        <f>"00357715"</f>
        <v>00357715</v>
      </c>
      <c r="D17842" s="2">
        <v>0.106</v>
      </c>
      <c r="E17842" s="2">
        <v>8</v>
      </c>
      <c r="F17842" s="2" t="s">
        <v>169</v>
      </c>
    </row>
    <row r="17843" spans="1:6" ht="25.5">
      <c r="A17843" s="2">
        <v>17840</v>
      </c>
      <c r="B17843" s="2" t="s">
        <v>17914</v>
      </c>
      <c r="C17843" s="2" t="str">
        <f>"1506218X"</f>
        <v>1506218X</v>
      </c>
      <c r="D17843" s="2">
        <v>0.10299999999999999</v>
      </c>
      <c r="E17843" s="2">
        <v>3</v>
      </c>
      <c r="F17843" s="2" t="s">
        <v>169</v>
      </c>
    </row>
    <row r="17844" spans="1:6" ht="25.5">
      <c r="A17844" s="2">
        <v>17841</v>
      </c>
      <c r="B17844" s="2" t="s">
        <v>17915</v>
      </c>
      <c r="C17844" s="2" t="str">
        <f>"21757860"</f>
        <v>21757860</v>
      </c>
      <c r="D17844" s="2">
        <v>0.17599999999999999</v>
      </c>
      <c r="E17844" s="2">
        <v>3</v>
      </c>
      <c r="F17844" s="2" t="s">
        <v>159</v>
      </c>
    </row>
    <row r="17845" spans="1:6" ht="25.5">
      <c r="A17845" s="2">
        <v>17842</v>
      </c>
      <c r="B17845" s="2" t="s">
        <v>17916</v>
      </c>
      <c r="C17845" s="2" t="str">
        <f>"02783193"</f>
        <v>02783193</v>
      </c>
      <c r="D17845" s="2">
        <v>0.29299999999999998</v>
      </c>
      <c r="E17845" s="2">
        <v>8</v>
      </c>
      <c r="F17845" s="2" t="s">
        <v>6</v>
      </c>
    </row>
    <row r="17846" spans="1:6" ht="25.5">
      <c r="A17846" s="2">
        <v>17843</v>
      </c>
      <c r="B17846" s="2" t="s">
        <v>17917</v>
      </c>
      <c r="C17846" s="2" t="str">
        <f>"14389029"</f>
        <v>14389029</v>
      </c>
      <c r="D17846" s="2">
        <v>0.312</v>
      </c>
      <c r="E17846" s="2">
        <v>36</v>
      </c>
      <c r="F17846" s="2" t="s">
        <v>12</v>
      </c>
    </row>
    <row r="17847" spans="1:6" ht="25.5">
      <c r="A17847" s="2">
        <v>17844</v>
      </c>
      <c r="B17847" s="2" t="s">
        <v>17918</v>
      </c>
      <c r="C17847" s="2" t="str">
        <f>"00358002"</f>
        <v>00358002</v>
      </c>
      <c r="D17847" s="2">
        <v>0.10100000000000001</v>
      </c>
      <c r="E17847" s="2">
        <v>2</v>
      </c>
      <c r="F17847" s="2" t="s">
        <v>161</v>
      </c>
    </row>
    <row r="17848" spans="1:6" ht="25.5">
      <c r="A17848" s="2">
        <v>17845</v>
      </c>
      <c r="B17848" s="2" t="s">
        <v>17919</v>
      </c>
      <c r="C17848" s="2" t="str">
        <f>"08831157"</f>
        <v>08831157</v>
      </c>
      <c r="D17848" s="2">
        <v>0.1</v>
      </c>
      <c r="E17848" s="2">
        <v>2</v>
      </c>
      <c r="F17848" s="2" t="s">
        <v>16</v>
      </c>
    </row>
    <row r="17849" spans="1:6" ht="25.5">
      <c r="A17849" s="2">
        <v>17846</v>
      </c>
      <c r="B17849" s="2" t="s">
        <v>17920</v>
      </c>
      <c r="C17849" s="2" t="str">
        <f>"17458153"</f>
        <v>17458153</v>
      </c>
      <c r="D17849" s="2">
        <v>0.1</v>
      </c>
      <c r="E17849" s="2">
        <v>1</v>
      </c>
      <c r="F17849" s="2" t="s">
        <v>16</v>
      </c>
    </row>
    <row r="17850" spans="1:6" ht="25.5">
      <c r="A17850" s="2">
        <v>17847</v>
      </c>
      <c r="B17850" s="2" t="s">
        <v>17921</v>
      </c>
      <c r="C17850" s="2" t="str">
        <f>"12224227"</f>
        <v>12224227</v>
      </c>
      <c r="D17850" s="2">
        <v>0.161</v>
      </c>
      <c r="E17850" s="2">
        <v>4</v>
      </c>
      <c r="F17850" s="2" t="s">
        <v>19</v>
      </c>
    </row>
    <row r="17851" spans="1:6" ht="25.5">
      <c r="A17851" s="2">
        <v>17848</v>
      </c>
      <c r="B17851" s="2" t="s">
        <v>17922</v>
      </c>
      <c r="C17851" s="2" t="str">
        <f>"12245984"</f>
        <v>12245984</v>
      </c>
      <c r="D17851" s="2">
        <v>0.23</v>
      </c>
      <c r="E17851" s="2">
        <v>6</v>
      </c>
      <c r="F17851" s="2" t="s">
        <v>19</v>
      </c>
    </row>
    <row r="17852" spans="1:6" ht="25.5">
      <c r="A17852" s="2">
        <v>17849</v>
      </c>
      <c r="B17852" s="2" t="s">
        <v>17923</v>
      </c>
      <c r="C17852" s="2" t="str">
        <f>"1221146X"</f>
        <v>1221146X</v>
      </c>
      <c r="D17852" s="2">
        <v>0.188</v>
      </c>
      <c r="E17852" s="2">
        <v>7</v>
      </c>
      <c r="F17852" s="2" t="s">
        <v>19</v>
      </c>
    </row>
    <row r="17853" spans="1:6" ht="25.5">
      <c r="A17853" s="2">
        <v>17850</v>
      </c>
      <c r="B17853" s="2" t="s">
        <v>17924</v>
      </c>
      <c r="C17853" s="2" t="str">
        <f>"15847284"</f>
        <v>15847284</v>
      </c>
      <c r="D17853" s="2">
        <v>0</v>
      </c>
      <c r="E17853" s="2">
        <v>0</v>
      </c>
      <c r="F17853" s="2" t="s">
        <v>19</v>
      </c>
    </row>
    <row r="17854" spans="1:6" ht="25.5">
      <c r="A17854" s="2">
        <v>17851</v>
      </c>
      <c r="B17854" s="2" t="s">
        <v>17925</v>
      </c>
      <c r="C17854" s="2" t="str">
        <f>"15838609"</f>
        <v>15838609</v>
      </c>
      <c r="D17854" s="2">
        <v>0.109</v>
      </c>
      <c r="E17854" s="2">
        <v>1</v>
      </c>
      <c r="F17854" s="2" t="s">
        <v>16</v>
      </c>
    </row>
    <row r="17855" spans="1:6" ht="25.5">
      <c r="A17855" s="2">
        <v>17852</v>
      </c>
      <c r="B17855" s="2" t="s">
        <v>17926</v>
      </c>
      <c r="C17855" s="2" t="str">
        <f>"15826163"</f>
        <v>15826163</v>
      </c>
      <c r="D17855" s="2">
        <v>0.28899999999999998</v>
      </c>
      <c r="E17855" s="2">
        <v>5</v>
      </c>
      <c r="F17855" s="2" t="s">
        <v>19</v>
      </c>
    </row>
    <row r="17856" spans="1:6" ht="25.5">
      <c r="A17856" s="2">
        <v>17853</v>
      </c>
      <c r="B17856" s="2" t="s">
        <v>17927</v>
      </c>
      <c r="C17856" s="2" t="str">
        <f>"18414273"</f>
        <v>18414273</v>
      </c>
      <c r="D17856" s="2">
        <v>0.112</v>
      </c>
      <c r="E17856" s="2">
        <v>2</v>
      </c>
      <c r="F17856" s="2" t="s">
        <v>19</v>
      </c>
    </row>
    <row r="17857" spans="1:6" ht="25.5">
      <c r="A17857" s="2">
        <v>17854</v>
      </c>
      <c r="B17857" s="2" t="s">
        <v>17928</v>
      </c>
      <c r="C17857" s="2" t="str">
        <f>"15823296"</f>
        <v>15823296</v>
      </c>
      <c r="D17857" s="2">
        <v>0.14699999999999999</v>
      </c>
      <c r="E17857" s="2">
        <v>11</v>
      </c>
      <c r="F17857" s="2" t="s">
        <v>19</v>
      </c>
    </row>
    <row r="17858" spans="1:6" ht="25.5">
      <c r="A17858" s="2">
        <v>17855</v>
      </c>
      <c r="B17858" s="2" t="s">
        <v>17929</v>
      </c>
      <c r="C17858" s="2" t="str">
        <f>"12218618"</f>
        <v>12218618</v>
      </c>
      <c r="D17858" s="2">
        <v>0.191</v>
      </c>
      <c r="E17858" s="2">
        <v>4</v>
      </c>
      <c r="F17858" s="2" t="s">
        <v>19</v>
      </c>
    </row>
    <row r="17859" spans="1:6" ht="25.5">
      <c r="A17859" s="2">
        <v>17856</v>
      </c>
      <c r="B17859" s="2" t="s">
        <v>17930</v>
      </c>
      <c r="C17859" s="2" t="str">
        <f>"12200522"</f>
        <v>12200522</v>
      </c>
      <c r="D17859" s="2">
        <v>0.219</v>
      </c>
      <c r="E17859" s="2">
        <v>10</v>
      </c>
      <c r="F17859" s="2" t="s">
        <v>19</v>
      </c>
    </row>
    <row r="17860" spans="1:6" ht="25.5">
      <c r="A17860" s="2">
        <v>17857</v>
      </c>
      <c r="B17860" s="2" t="s">
        <v>17931</v>
      </c>
      <c r="C17860" s="2" t="str">
        <f>"18430783"</f>
        <v>18430783</v>
      </c>
      <c r="D17860" s="2">
        <v>0.10100000000000001</v>
      </c>
      <c r="E17860" s="2">
        <v>1</v>
      </c>
      <c r="F17860" s="2" t="s">
        <v>19</v>
      </c>
    </row>
    <row r="17861" spans="1:6" ht="25.5">
      <c r="A17861" s="2">
        <v>17858</v>
      </c>
      <c r="B17861" s="2" t="s">
        <v>17932</v>
      </c>
      <c r="C17861" s="2" t="str">
        <f>"20687613"</f>
        <v>20687613</v>
      </c>
      <c r="D17861" s="2">
        <v>0.17699999999999999</v>
      </c>
      <c r="E17861" s="2">
        <v>2</v>
      </c>
      <c r="F17861" s="2" t="s">
        <v>19</v>
      </c>
    </row>
    <row r="17862" spans="1:6" ht="25.5">
      <c r="A17862" s="2">
        <v>17859</v>
      </c>
      <c r="B17862" s="2" t="s">
        <v>17933</v>
      </c>
      <c r="C17862" s="2" t="str">
        <f>"18418759"</f>
        <v>18418759</v>
      </c>
      <c r="D17862" s="2">
        <v>0.28000000000000003</v>
      </c>
      <c r="E17862" s="2">
        <v>8</v>
      </c>
      <c r="F17862" s="2" t="s">
        <v>19</v>
      </c>
    </row>
    <row r="17863" spans="1:6" ht="25.5">
      <c r="A17863" s="2">
        <v>17860</v>
      </c>
      <c r="B17863" s="2" t="s">
        <v>17934</v>
      </c>
      <c r="C17863" s="2" t="str">
        <f>"15845982"</f>
        <v>15845982</v>
      </c>
      <c r="D17863" s="2">
        <v>0.123</v>
      </c>
      <c r="E17863" s="2">
        <v>1</v>
      </c>
      <c r="F17863" s="2" t="s">
        <v>19</v>
      </c>
    </row>
    <row r="17864" spans="1:6" ht="25.5">
      <c r="A17864" s="2">
        <v>17861</v>
      </c>
      <c r="B17864" s="2" t="s">
        <v>17935</v>
      </c>
      <c r="C17864" s="2" t="str">
        <f>"00358118"</f>
        <v>00358118</v>
      </c>
      <c r="D17864" s="2">
        <v>0.1</v>
      </c>
      <c r="E17864" s="2">
        <v>2</v>
      </c>
      <c r="F17864" s="2" t="s">
        <v>6</v>
      </c>
    </row>
    <row r="17865" spans="1:6" ht="25.5">
      <c r="A17865" s="2">
        <v>17862</v>
      </c>
      <c r="B17865" s="2" t="s">
        <v>17936</v>
      </c>
      <c r="C17865" s="2" t="str">
        <f>"00358126"</f>
        <v>00358126</v>
      </c>
      <c r="D17865" s="2">
        <v>0.10100000000000001</v>
      </c>
      <c r="E17865" s="2">
        <v>1</v>
      </c>
      <c r="F17865" s="2" t="s">
        <v>12</v>
      </c>
    </row>
    <row r="17866" spans="1:6" ht="25.5">
      <c r="A17866" s="2">
        <v>17863</v>
      </c>
      <c r="B17866" s="2" t="s">
        <v>17937</v>
      </c>
      <c r="C17866" s="2" t="str">
        <f>"15280748"</f>
        <v>15280748</v>
      </c>
      <c r="D17866" s="2">
        <v>0</v>
      </c>
      <c r="E17866" s="2">
        <v>1</v>
      </c>
      <c r="F17866" s="2" t="s">
        <v>6</v>
      </c>
    </row>
    <row r="17867" spans="1:6" ht="25.5">
      <c r="A17867" s="2">
        <v>17864</v>
      </c>
      <c r="B17867" s="2" t="s">
        <v>17938</v>
      </c>
      <c r="C17867" s="2" t="str">
        <f>"1354991X"</f>
        <v>1354991X</v>
      </c>
      <c r="D17867" s="2">
        <v>0.108</v>
      </c>
      <c r="E17867" s="2">
        <v>3</v>
      </c>
      <c r="F17867" s="2" t="s">
        <v>16</v>
      </c>
    </row>
    <row r="17868" spans="1:6" ht="25.5">
      <c r="A17868" s="2">
        <v>17865</v>
      </c>
      <c r="B17868" s="2" t="s">
        <v>17939</v>
      </c>
      <c r="C17868" s="2" t="str">
        <f>"0343379X"</f>
        <v>0343379X</v>
      </c>
      <c r="D17868" s="2">
        <v>0.1</v>
      </c>
      <c r="E17868" s="2">
        <v>2</v>
      </c>
      <c r="F17868" s="2" t="s">
        <v>12</v>
      </c>
    </row>
    <row r="17869" spans="1:6" ht="25.5">
      <c r="A17869" s="2">
        <v>17866</v>
      </c>
      <c r="B17869" s="2" t="s">
        <v>17940</v>
      </c>
      <c r="C17869" s="2" t="str">
        <f>"00488593"</f>
        <v>00488593</v>
      </c>
      <c r="D17869" s="2">
        <v>0.121</v>
      </c>
      <c r="E17869" s="2">
        <v>2</v>
      </c>
      <c r="F17869" s="2" t="s">
        <v>66</v>
      </c>
    </row>
    <row r="17870" spans="1:6" ht="25.5">
      <c r="A17870" s="2">
        <v>17867</v>
      </c>
      <c r="B17870" s="2" t="s">
        <v>17941</v>
      </c>
      <c r="C17870" s="2" t="str">
        <f>"00357812"</f>
        <v>00357812</v>
      </c>
      <c r="D17870" s="2">
        <v>0.1</v>
      </c>
      <c r="E17870" s="2">
        <v>2</v>
      </c>
      <c r="F17870" s="2" t="s">
        <v>12</v>
      </c>
    </row>
    <row r="17871" spans="1:6" ht="25.5">
      <c r="A17871" s="2">
        <v>17868</v>
      </c>
      <c r="B17871" s="2" t="s">
        <v>17942</v>
      </c>
      <c r="C17871" s="2" t="str">
        <f>"11925604"</f>
        <v>11925604</v>
      </c>
      <c r="D17871" s="2">
        <v>0.14399999999999999</v>
      </c>
      <c r="E17871" s="2">
        <v>3</v>
      </c>
      <c r="F17871" s="2" t="s">
        <v>6</v>
      </c>
    </row>
    <row r="17872" spans="1:6" ht="25.5">
      <c r="A17872" s="2">
        <v>17869</v>
      </c>
      <c r="B17872" s="2" t="s">
        <v>17943</v>
      </c>
      <c r="C17872" s="2" t="str">
        <f>"08695687"</f>
        <v>08695687</v>
      </c>
      <c r="D17872" s="2">
        <v>0.1</v>
      </c>
      <c r="E17872" s="2">
        <v>1</v>
      </c>
      <c r="F17872" s="2" t="s">
        <v>129</v>
      </c>
    </row>
    <row r="17873" spans="1:6" ht="25.5">
      <c r="A17873" s="2">
        <v>17870</v>
      </c>
      <c r="B17873" s="2" t="s">
        <v>17944</v>
      </c>
      <c r="C17873" s="2" t="str">
        <f>"08698139"</f>
        <v>08698139</v>
      </c>
      <c r="D17873" s="2">
        <v>0.125</v>
      </c>
      <c r="E17873" s="2">
        <v>11</v>
      </c>
      <c r="F17873" s="2" t="s">
        <v>129</v>
      </c>
    </row>
    <row r="17874" spans="1:6" ht="25.5">
      <c r="A17874" s="2">
        <v>17871</v>
      </c>
      <c r="B17874" s="2" t="s">
        <v>17945</v>
      </c>
      <c r="C17874" s="2" t="str">
        <f>"12223891"</f>
        <v>12223891</v>
      </c>
      <c r="D17874" s="2">
        <v>0.189</v>
      </c>
      <c r="E17874" s="2">
        <v>8</v>
      </c>
      <c r="F17874" s="2" t="s">
        <v>19</v>
      </c>
    </row>
    <row r="17875" spans="1:6" ht="25.5">
      <c r="A17875" s="2">
        <v>17872</v>
      </c>
      <c r="B17875" s="2" t="s">
        <v>17946</v>
      </c>
      <c r="C17875" s="2" t="str">
        <f>"1474029X"</f>
        <v>1474029X</v>
      </c>
      <c r="D17875" s="2">
        <v>0.22900000000000001</v>
      </c>
      <c r="E17875" s="2">
        <v>10</v>
      </c>
      <c r="F17875" s="2" t="s">
        <v>16</v>
      </c>
    </row>
    <row r="17876" spans="1:6" ht="25.5">
      <c r="A17876" s="2">
        <v>17873</v>
      </c>
      <c r="B17876" s="2" t="s">
        <v>17947</v>
      </c>
      <c r="C17876" s="2" t="str">
        <f>"00359351"</f>
        <v>00359351</v>
      </c>
      <c r="D17876" s="2">
        <v>0.11700000000000001</v>
      </c>
      <c r="E17876" s="2">
        <v>8</v>
      </c>
      <c r="F17876" s="2" t="s">
        <v>208</v>
      </c>
    </row>
    <row r="17877" spans="1:6" ht="25.5">
      <c r="A17877" s="2">
        <v>17874</v>
      </c>
      <c r="B17877" s="2" t="s">
        <v>17948</v>
      </c>
      <c r="C17877" s="2" t="str">
        <f>"20462069"</f>
        <v>20462069</v>
      </c>
      <c r="D17877" s="2">
        <v>0.74399999999999999</v>
      </c>
      <c r="E17877" s="2">
        <v>11</v>
      </c>
      <c r="F17877" s="2" t="s">
        <v>16</v>
      </c>
    </row>
    <row r="17878" spans="1:6" ht="25.5">
      <c r="A17878" s="2">
        <v>17875</v>
      </c>
      <c r="B17878" s="2" t="s">
        <v>17949</v>
      </c>
      <c r="C17878" s="2" t="str">
        <f>"17577152"</f>
        <v>17577152</v>
      </c>
      <c r="D17878" s="2">
        <v>0.115</v>
      </c>
      <c r="E17878" s="2">
        <v>1</v>
      </c>
      <c r="F17878" s="2" t="s">
        <v>16</v>
      </c>
    </row>
    <row r="17879" spans="1:6" ht="25.5">
      <c r="A17879" s="2">
        <v>17876</v>
      </c>
      <c r="B17879" s="2" t="s">
        <v>17950</v>
      </c>
      <c r="C17879" s="2" t="str">
        <f>"17576725"</f>
        <v>17576725</v>
      </c>
      <c r="D17879" s="2">
        <v>0.109</v>
      </c>
      <c r="E17879" s="2">
        <v>1</v>
      </c>
      <c r="F17879" s="2" t="s">
        <v>16</v>
      </c>
    </row>
    <row r="17880" spans="1:6" ht="25.5">
      <c r="A17880" s="2">
        <v>17877</v>
      </c>
      <c r="B17880" s="2" t="s">
        <v>17951</v>
      </c>
      <c r="C17880" s="2" t="str">
        <f>"17577055"</f>
        <v>17577055</v>
      </c>
      <c r="D17880" s="2">
        <v>0.10199999999999999</v>
      </c>
      <c r="E17880" s="2">
        <v>0</v>
      </c>
      <c r="F17880" s="2" t="s">
        <v>16</v>
      </c>
    </row>
    <row r="17881" spans="1:6" ht="25.5">
      <c r="A17881" s="2">
        <v>17878</v>
      </c>
      <c r="B17881" s="2" t="s">
        <v>17952</v>
      </c>
      <c r="C17881" s="2" t="str">
        <f>"17577098"</f>
        <v>17577098</v>
      </c>
      <c r="D17881" s="2">
        <v>0.10199999999999999</v>
      </c>
      <c r="E17881" s="2">
        <v>0</v>
      </c>
      <c r="F17881" s="2" t="s">
        <v>16</v>
      </c>
    </row>
    <row r="17882" spans="1:6" ht="25.5">
      <c r="A17882" s="2">
        <v>17879</v>
      </c>
      <c r="B17882" s="2" t="s">
        <v>17953</v>
      </c>
      <c r="C17882" s="2" t="str">
        <f>"17577136"</f>
        <v>17577136</v>
      </c>
      <c r="D17882" s="2">
        <v>0.115</v>
      </c>
      <c r="E17882" s="2">
        <v>2</v>
      </c>
      <c r="F17882" s="2" t="s">
        <v>16</v>
      </c>
    </row>
    <row r="17883" spans="1:6">
      <c r="A17883" s="2">
        <v>17880</v>
      </c>
      <c r="B17883" s="2" t="s">
        <v>17954</v>
      </c>
      <c r="C17883" s="2" t="str">
        <f>"0"</f>
        <v>0</v>
      </c>
      <c r="D17883" s="2">
        <v>0.10199999999999999</v>
      </c>
      <c r="E17883" s="2">
        <v>0</v>
      </c>
      <c r="F17883" s="2" t="s">
        <v>16</v>
      </c>
    </row>
    <row r="17884" spans="1:6" ht="25.5">
      <c r="A17884" s="2">
        <v>17881</v>
      </c>
      <c r="B17884" s="2" t="s">
        <v>17955</v>
      </c>
      <c r="C17884" s="2" t="str">
        <f>"20413181"</f>
        <v>20413181</v>
      </c>
      <c r="D17884" s="2">
        <v>0.10199999999999999</v>
      </c>
      <c r="E17884" s="2">
        <v>0</v>
      </c>
      <c r="F17884" s="2" t="s">
        <v>16</v>
      </c>
    </row>
    <row r="17885" spans="1:6" ht="25.5">
      <c r="A17885" s="2">
        <v>17882</v>
      </c>
      <c r="B17885" s="2" t="s">
        <v>17956</v>
      </c>
      <c r="C17885" s="2" t="str">
        <f>"02773945"</f>
        <v>02773945</v>
      </c>
      <c r="D17885" s="2">
        <v>0.53500000000000003</v>
      </c>
      <c r="E17885" s="2">
        <v>3</v>
      </c>
      <c r="F17885" s="2" t="s">
        <v>16</v>
      </c>
    </row>
    <row r="17886" spans="1:6" ht="25.5">
      <c r="A17886" s="2">
        <v>17883</v>
      </c>
      <c r="B17886" s="2" t="s">
        <v>17957</v>
      </c>
      <c r="C17886" s="2" t="str">
        <f>"10009825"</f>
        <v>10009825</v>
      </c>
      <c r="D17886" s="2">
        <v>0.433</v>
      </c>
      <c r="E17886" s="2">
        <v>41</v>
      </c>
      <c r="F17886" s="2" t="s">
        <v>46</v>
      </c>
    </row>
    <row r="17887" spans="1:6" ht="25.5">
      <c r="A17887" s="2">
        <v>17884</v>
      </c>
      <c r="B17887" s="2" t="s">
        <v>17958</v>
      </c>
      <c r="C17887" s="2" t="str">
        <f>"00359475"</f>
        <v>00359475</v>
      </c>
      <c r="D17887" s="2">
        <v>0.31</v>
      </c>
      <c r="E17887" s="2">
        <v>39</v>
      </c>
      <c r="F17887" s="2" t="s">
        <v>6</v>
      </c>
    </row>
    <row r="17888" spans="1:6" ht="25.5">
      <c r="A17888" s="2">
        <v>17885</v>
      </c>
      <c r="B17888" s="2" t="s">
        <v>17959</v>
      </c>
      <c r="C17888" s="2" t="str">
        <f>"00359572"</f>
        <v>00359572</v>
      </c>
      <c r="D17888" s="2">
        <v>0.128</v>
      </c>
      <c r="E17888" s="2">
        <v>8</v>
      </c>
      <c r="F17888" s="2" t="s">
        <v>6</v>
      </c>
    </row>
    <row r="17889" spans="1:6" ht="25.5">
      <c r="A17889" s="2">
        <v>17886</v>
      </c>
      <c r="B17889" s="2" t="s">
        <v>17960</v>
      </c>
      <c r="C17889" s="2" t="str">
        <f>"03534529"</f>
        <v>03534529</v>
      </c>
      <c r="D17889" s="2">
        <v>0.10100000000000001</v>
      </c>
      <c r="E17889" s="2">
        <v>4</v>
      </c>
      <c r="F17889" s="2" t="s">
        <v>149</v>
      </c>
    </row>
    <row r="17890" spans="1:6" ht="25.5">
      <c r="A17890" s="2">
        <v>17887</v>
      </c>
      <c r="B17890" s="2" t="s">
        <v>17961</v>
      </c>
      <c r="C17890" s="2" t="str">
        <f>"09752935"</f>
        <v>09752935</v>
      </c>
      <c r="D17890" s="2">
        <v>0.1</v>
      </c>
      <c r="E17890" s="2">
        <v>1</v>
      </c>
      <c r="F17890" s="2" t="s">
        <v>488</v>
      </c>
    </row>
    <row r="17891" spans="1:6" ht="25.5">
      <c r="A17891" s="2">
        <v>17888</v>
      </c>
      <c r="B17891" s="2" t="s">
        <v>17962</v>
      </c>
      <c r="C17891" s="2" t="str">
        <f>"14456354"</f>
        <v>14456354</v>
      </c>
      <c r="D17891" s="2">
        <v>0.52900000000000003</v>
      </c>
      <c r="E17891" s="2">
        <v>16</v>
      </c>
      <c r="F17891" s="2" t="s">
        <v>127</v>
      </c>
    </row>
    <row r="17892" spans="1:6" ht="25.5">
      <c r="A17892" s="2">
        <v>17889</v>
      </c>
      <c r="B17892" s="2" t="s">
        <v>17963</v>
      </c>
      <c r="C17892" s="2" t="str">
        <f>"14740656"</f>
        <v>14740656</v>
      </c>
      <c r="D17892" s="2">
        <v>0.191</v>
      </c>
      <c r="E17892" s="2">
        <v>8</v>
      </c>
      <c r="F17892" s="2" t="s">
        <v>16</v>
      </c>
    </row>
    <row r="17893" spans="1:6" ht="25.5">
      <c r="A17893" s="2">
        <v>17890</v>
      </c>
      <c r="B17893" s="2" t="s">
        <v>17964</v>
      </c>
      <c r="C17893" s="2" t="str">
        <f>"10371656"</f>
        <v>10371656</v>
      </c>
      <c r="D17893" s="2">
        <v>0.32900000000000001</v>
      </c>
      <c r="E17893" s="2">
        <v>5</v>
      </c>
      <c r="F17893" s="2" t="s">
        <v>127</v>
      </c>
    </row>
    <row r="17894" spans="1:6" ht="25.5">
      <c r="A17894" s="2">
        <v>17891</v>
      </c>
      <c r="B17894" s="2" t="s">
        <v>17965</v>
      </c>
      <c r="C17894" s="2" t="str">
        <f>"15490831"</f>
        <v>15490831</v>
      </c>
      <c r="D17894" s="2">
        <v>0.83699999999999997</v>
      </c>
      <c r="E17894" s="2">
        <v>33</v>
      </c>
      <c r="F17894" s="2" t="s">
        <v>6</v>
      </c>
    </row>
    <row r="17895" spans="1:6" ht="25.5">
      <c r="A17895" s="2">
        <v>17892</v>
      </c>
      <c r="B17895" s="2" t="s">
        <v>17966</v>
      </c>
      <c r="C17895" s="2" t="str">
        <f>"17440378"</f>
        <v>17440378</v>
      </c>
      <c r="D17895" s="2">
        <v>0.29399999999999998</v>
      </c>
      <c r="E17895" s="2">
        <v>3</v>
      </c>
      <c r="F17895" s="2" t="s">
        <v>16</v>
      </c>
    </row>
    <row r="17896" spans="1:6" ht="25.5">
      <c r="A17896" s="2">
        <v>17893</v>
      </c>
      <c r="B17896" s="2" t="s">
        <v>17967</v>
      </c>
      <c r="C17896" s="2" t="str">
        <f>"18572685"</f>
        <v>18572685</v>
      </c>
      <c r="D17896" s="2">
        <v>0.10100000000000001</v>
      </c>
      <c r="E17896" s="2">
        <v>0</v>
      </c>
      <c r="F17896" s="2" t="s">
        <v>2911</v>
      </c>
    </row>
    <row r="17897" spans="1:6" ht="25.5">
      <c r="A17897" s="2">
        <v>17894</v>
      </c>
      <c r="B17897" s="2" t="s">
        <v>17968</v>
      </c>
      <c r="C17897" s="2" t="str">
        <f>"00360163"</f>
        <v>00360163</v>
      </c>
      <c r="D17897" s="2">
        <v>0.21299999999999999</v>
      </c>
      <c r="E17897" s="2">
        <v>2</v>
      </c>
      <c r="F17897" s="2" t="s">
        <v>64</v>
      </c>
    </row>
    <row r="17898" spans="1:6" ht="25.5">
      <c r="A17898" s="2">
        <v>17895</v>
      </c>
      <c r="B17898" s="2" t="s">
        <v>17969</v>
      </c>
      <c r="C17898" s="2" t="str">
        <f>"10687998"</f>
        <v>10687998</v>
      </c>
      <c r="D17898" s="2">
        <v>0.10100000000000001</v>
      </c>
      <c r="E17898" s="2">
        <v>2</v>
      </c>
      <c r="F17898" s="2" t="s">
        <v>6</v>
      </c>
    </row>
    <row r="17899" spans="1:6" ht="25.5">
      <c r="A17899" s="2">
        <v>17896</v>
      </c>
      <c r="B17899" s="2" t="s">
        <v>17970</v>
      </c>
      <c r="C17899" s="2" t="str">
        <f>"15739171"</f>
        <v>15739171</v>
      </c>
      <c r="D17899" s="2">
        <v>0.17</v>
      </c>
      <c r="E17899" s="2">
        <v>24</v>
      </c>
      <c r="F17899" s="2" t="s">
        <v>6</v>
      </c>
    </row>
    <row r="17900" spans="1:6" ht="25.5">
      <c r="A17900" s="2">
        <v>17897</v>
      </c>
      <c r="B17900" s="2" t="s">
        <v>17971</v>
      </c>
      <c r="C17900" s="2" t="str">
        <f>"14684837"</f>
        <v>14684837</v>
      </c>
      <c r="D17900" s="2">
        <v>0.59</v>
      </c>
      <c r="E17900" s="2">
        <v>37</v>
      </c>
      <c r="F17900" s="2" t="s">
        <v>16</v>
      </c>
    </row>
    <row r="17901" spans="1:6" ht="25.5">
      <c r="A17901" s="2">
        <v>17898</v>
      </c>
      <c r="B17901" s="2" t="s">
        <v>17972</v>
      </c>
      <c r="C17901" s="2" t="str">
        <f>"10609393"</f>
        <v>10609393</v>
      </c>
      <c r="D17901" s="2">
        <v>0.1</v>
      </c>
      <c r="E17901" s="2">
        <v>3</v>
      </c>
      <c r="F17901" s="2" t="s">
        <v>6</v>
      </c>
    </row>
    <row r="17902" spans="1:6" ht="25.5">
      <c r="A17902" s="2">
        <v>17899</v>
      </c>
      <c r="B17902" s="2" t="s">
        <v>17973</v>
      </c>
      <c r="C17902" s="2" t="str">
        <f>"10683712"</f>
        <v>10683712</v>
      </c>
      <c r="D17902" s="2">
        <v>0.189</v>
      </c>
      <c r="E17902" s="2">
        <v>3</v>
      </c>
      <c r="F17902" s="2" t="s">
        <v>6</v>
      </c>
    </row>
    <row r="17903" spans="1:6" ht="25.5">
      <c r="A17903" s="2">
        <v>17900</v>
      </c>
      <c r="B17903" s="2" t="s">
        <v>17974</v>
      </c>
      <c r="C17903" s="2" t="str">
        <f>"1068798X"</f>
        <v>1068798X</v>
      </c>
      <c r="D17903" s="2">
        <v>0.11899999999999999</v>
      </c>
      <c r="E17903" s="2">
        <v>3</v>
      </c>
      <c r="F17903" s="2" t="s">
        <v>6</v>
      </c>
    </row>
    <row r="17904" spans="1:6" ht="25.5">
      <c r="A17904" s="2">
        <v>17901</v>
      </c>
      <c r="B17904" s="2" t="s">
        <v>17975</v>
      </c>
      <c r="C17904" s="2" t="str">
        <f>"10687971"</f>
        <v>10687971</v>
      </c>
      <c r="D17904" s="2">
        <v>0.44600000000000001</v>
      </c>
      <c r="E17904" s="2">
        <v>14</v>
      </c>
      <c r="F17904" s="2" t="s">
        <v>75</v>
      </c>
    </row>
    <row r="17905" spans="1:6" ht="25.5">
      <c r="A17905" s="2">
        <v>17902</v>
      </c>
      <c r="B17905" s="2" t="s">
        <v>17976</v>
      </c>
      <c r="C17905" s="2" t="str">
        <f>"0094288X"</f>
        <v>0094288X</v>
      </c>
      <c r="D17905" s="2">
        <v>0.14499999999999999</v>
      </c>
      <c r="E17905" s="2">
        <v>4</v>
      </c>
      <c r="F17905" s="2" t="s">
        <v>75</v>
      </c>
    </row>
    <row r="17906" spans="1:6" ht="25.5">
      <c r="A17906" s="2">
        <v>17903</v>
      </c>
      <c r="B17906" s="2" t="s">
        <v>17977</v>
      </c>
      <c r="C17906" s="2" t="str">
        <f>"16083296"</f>
        <v>16083296</v>
      </c>
      <c r="D17906" s="2">
        <v>0.14499999999999999</v>
      </c>
      <c r="E17906" s="2">
        <v>13</v>
      </c>
      <c r="F17906" s="2" t="s">
        <v>129</v>
      </c>
    </row>
    <row r="17907" spans="1:6" ht="25.5">
      <c r="A17907" s="2">
        <v>17904</v>
      </c>
      <c r="B17907" s="2" t="s">
        <v>17978</v>
      </c>
      <c r="C17907" s="2" t="str">
        <f>"10681620"</f>
        <v>10681620</v>
      </c>
      <c r="D17907" s="2">
        <v>0.17599999999999999</v>
      </c>
      <c r="E17907" s="2">
        <v>12</v>
      </c>
      <c r="F17907" s="2" t="s">
        <v>129</v>
      </c>
    </row>
    <row r="17908" spans="1:6" ht="25.5">
      <c r="A17908" s="2">
        <v>17905</v>
      </c>
      <c r="B17908" s="2" t="s">
        <v>17979</v>
      </c>
      <c r="C17908" s="2" t="str">
        <f>"10703284"</f>
        <v>10703284</v>
      </c>
      <c r="D17908" s="2">
        <v>0.23100000000000001</v>
      </c>
      <c r="E17908" s="2">
        <v>16</v>
      </c>
      <c r="F17908" s="2" t="s">
        <v>129</v>
      </c>
    </row>
    <row r="17909" spans="1:6" ht="25.5">
      <c r="A17909" s="2">
        <v>17906</v>
      </c>
      <c r="B17909" s="2" t="s">
        <v>17980</v>
      </c>
      <c r="C17909" s="2" t="str">
        <f>"10623604"</f>
        <v>10623604</v>
      </c>
      <c r="D17909" s="2">
        <v>0.214</v>
      </c>
      <c r="E17909" s="2">
        <v>5</v>
      </c>
      <c r="F17909" s="2" t="s">
        <v>129</v>
      </c>
    </row>
    <row r="17910" spans="1:6" ht="25.5">
      <c r="A17910" s="2">
        <v>17907</v>
      </c>
      <c r="B17910" s="2" t="s">
        <v>17981</v>
      </c>
      <c r="C17910" s="2" t="str">
        <f>"16083334"</f>
        <v>16083334</v>
      </c>
      <c r="D17910" s="2">
        <v>0.20200000000000001</v>
      </c>
      <c r="E17910" s="2">
        <v>10</v>
      </c>
      <c r="F17910" s="2" t="s">
        <v>129</v>
      </c>
    </row>
    <row r="17911" spans="1:6" ht="25.5">
      <c r="A17911" s="2">
        <v>17908</v>
      </c>
      <c r="B17911" s="2" t="s">
        <v>17982</v>
      </c>
      <c r="C17911" s="2" t="str">
        <f>"16083342"</f>
        <v>16083342</v>
      </c>
      <c r="D17911" s="2">
        <v>0.28899999999999998</v>
      </c>
      <c r="E17911" s="2">
        <v>17</v>
      </c>
      <c r="F17911" s="2" t="s">
        <v>129</v>
      </c>
    </row>
    <row r="17912" spans="1:6" ht="25.5">
      <c r="A17912" s="2">
        <v>17909</v>
      </c>
      <c r="B17912" s="2" t="s">
        <v>17983</v>
      </c>
      <c r="C17912" s="2" t="str">
        <f>"16083350"</f>
        <v>16083350</v>
      </c>
      <c r="D17912" s="2">
        <v>0.187</v>
      </c>
      <c r="E17912" s="2">
        <v>14</v>
      </c>
      <c r="F17912" s="2" t="s">
        <v>129</v>
      </c>
    </row>
    <row r="17913" spans="1:6" ht="25.5">
      <c r="A17913" s="2">
        <v>17910</v>
      </c>
      <c r="B17913" s="2" t="s">
        <v>17984</v>
      </c>
      <c r="C17913" s="2" t="str">
        <f>"16083369"</f>
        <v>16083369</v>
      </c>
      <c r="D17913" s="2">
        <v>0.182</v>
      </c>
      <c r="E17913" s="2">
        <v>14</v>
      </c>
      <c r="F17913" s="2" t="s">
        <v>129</v>
      </c>
    </row>
    <row r="17914" spans="1:6" ht="25.5">
      <c r="A17914" s="2">
        <v>17911</v>
      </c>
      <c r="B17914" s="2" t="s">
        <v>17985</v>
      </c>
      <c r="C17914" s="2" t="str">
        <f>"20790600"</f>
        <v>20790600</v>
      </c>
      <c r="D17914" s="2">
        <v>0.10100000000000001</v>
      </c>
      <c r="E17914" s="2">
        <v>1</v>
      </c>
      <c r="F17914" s="2" t="s">
        <v>12</v>
      </c>
    </row>
    <row r="17915" spans="1:6" ht="25.5">
      <c r="A17915" s="2">
        <v>17912</v>
      </c>
      <c r="B17915" s="2" t="s">
        <v>17986</v>
      </c>
      <c r="C17915" s="2" t="str">
        <f>"00360236"</f>
        <v>00360236</v>
      </c>
      <c r="D17915" s="2">
        <v>0.255</v>
      </c>
      <c r="E17915" s="2">
        <v>16</v>
      </c>
      <c r="F17915" s="2" t="s">
        <v>129</v>
      </c>
    </row>
    <row r="17916" spans="1:6" ht="25.5">
      <c r="A17916" s="2">
        <v>17913</v>
      </c>
      <c r="B17916" s="2" t="s">
        <v>17987</v>
      </c>
      <c r="C17916" s="2" t="str">
        <f>"15739457"</f>
        <v>15739457</v>
      </c>
      <c r="D17916" s="2">
        <v>0.222</v>
      </c>
      <c r="E17916" s="2">
        <v>10</v>
      </c>
      <c r="F17916" s="2" t="s">
        <v>129</v>
      </c>
    </row>
    <row r="17917" spans="1:6" ht="25.5">
      <c r="A17917" s="2">
        <v>17914</v>
      </c>
      <c r="B17917" s="2" t="s">
        <v>17988</v>
      </c>
      <c r="C17917" s="2" t="str">
        <f>"10619208"</f>
        <v>10619208</v>
      </c>
      <c r="D17917" s="2">
        <v>0.92400000000000004</v>
      </c>
      <c r="E17917" s="2">
        <v>21</v>
      </c>
      <c r="F17917" s="2" t="s">
        <v>129</v>
      </c>
    </row>
    <row r="17918" spans="1:6" ht="25.5">
      <c r="A17918" s="2">
        <v>17915</v>
      </c>
      <c r="B17918" s="2" t="s">
        <v>17989</v>
      </c>
      <c r="C17918" s="2" t="str">
        <f>"08696918"</f>
        <v>08696918</v>
      </c>
      <c r="D17918" s="2">
        <v>0.23499999999999999</v>
      </c>
      <c r="E17918" s="2">
        <v>14</v>
      </c>
      <c r="F17918" s="2" t="s">
        <v>129</v>
      </c>
    </row>
    <row r="17919" spans="1:6" ht="25.5">
      <c r="A17919" s="2">
        <v>17916</v>
      </c>
      <c r="B17919" s="2" t="s">
        <v>17990</v>
      </c>
      <c r="C17919" s="2" t="str">
        <f>"16083385"</f>
        <v>16083385</v>
      </c>
      <c r="D17919" s="2">
        <v>0.19900000000000001</v>
      </c>
      <c r="E17919" s="2">
        <v>8</v>
      </c>
      <c r="F17919" s="2" t="s">
        <v>129</v>
      </c>
    </row>
    <row r="17920" spans="1:6" ht="25.5">
      <c r="A17920" s="2">
        <v>17917</v>
      </c>
      <c r="B17920" s="2" t="s">
        <v>17991</v>
      </c>
      <c r="C17920" s="2" t="str">
        <f>"09276467"</f>
        <v>09276467</v>
      </c>
      <c r="D17920" s="2">
        <v>0.35799999999999998</v>
      </c>
      <c r="E17920" s="2">
        <v>12</v>
      </c>
      <c r="F17920" s="2" t="s">
        <v>12</v>
      </c>
    </row>
    <row r="17921" spans="1:6" ht="25.5">
      <c r="A17921" s="2">
        <v>17918</v>
      </c>
      <c r="B17921" s="2" t="s">
        <v>17992</v>
      </c>
      <c r="C17921" s="2" t="str">
        <f>"16083393"</f>
        <v>16083393</v>
      </c>
      <c r="D17921" s="2">
        <v>0.255</v>
      </c>
      <c r="E17921" s="2">
        <v>17</v>
      </c>
      <c r="F17921" s="2" t="s">
        <v>129</v>
      </c>
    </row>
    <row r="17922" spans="1:6" ht="25.5">
      <c r="A17922" s="2">
        <v>17919</v>
      </c>
      <c r="B17922" s="2" t="s">
        <v>17993</v>
      </c>
      <c r="C17922" s="2" t="str">
        <f>"18197159"</f>
        <v>18197159</v>
      </c>
      <c r="D17922" s="2">
        <v>0.23799999999999999</v>
      </c>
      <c r="E17922" s="2">
        <v>3</v>
      </c>
      <c r="F17922" s="2" t="s">
        <v>129</v>
      </c>
    </row>
    <row r="17923" spans="1:6" ht="25.5">
      <c r="A17923" s="2">
        <v>17920</v>
      </c>
      <c r="B17923" s="2" t="s">
        <v>17994</v>
      </c>
      <c r="C17923" s="2" t="str">
        <f>"1531863X"</f>
        <v>1531863X</v>
      </c>
      <c r="D17923" s="2">
        <v>0.26200000000000001</v>
      </c>
      <c r="E17923" s="2">
        <v>14</v>
      </c>
      <c r="F17923" s="2" t="s">
        <v>129</v>
      </c>
    </row>
    <row r="17924" spans="1:6" ht="25.5">
      <c r="A17924" s="2">
        <v>17921</v>
      </c>
      <c r="B17924" s="2" t="s">
        <v>17995</v>
      </c>
      <c r="C17924" s="2" t="str">
        <f>"19907931"</f>
        <v>19907931</v>
      </c>
      <c r="D17924" s="2">
        <v>0.23499999999999999</v>
      </c>
      <c r="E17924" s="2">
        <v>4</v>
      </c>
      <c r="F17924" s="2" t="s">
        <v>129</v>
      </c>
    </row>
    <row r="17925" spans="1:6" ht="25.5">
      <c r="A17925" s="2">
        <v>17922</v>
      </c>
      <c r="B17925" s="2" t="s">
        <v>17996</v>
      </c>
      <c r="C17925" s="2" t="str">
        <f>"16083407"</f>
        <v>16083407</v>
      </c>
      <c r="D17925" s="2">
        <v>0.254</v>
      </c>
      <c r="E17925" s="2">
        <v>20</v>
      </c>
      <c r="F17925" s="2" t="s">
        <v>129</v>
      </c>
    </row>
    <row r="17926" spans="1:6" ht="25.5">
      <c r="A17926" s="2">
        <v>17923</v>
      </c>
      <c r="B17926" s="2" t="s">
        <v>17997</v>
      </c>
      <c r="C17926" s="2" t="str">
        <f>"16823559"</f>
        <v>16823559</v>
      </c>
      <c r="D17926" s="2">
        <v>0.106</v>
      </c>
      <c r="E17926" s="2">
        <v>1</v>
      </c>
      <c r="F17926" s="2" t="s">
        <v>129</v>
      </c>
    </row>
    <row r="17927" spans="1:6" ht="25.5">
      <c r="A17927" s="2">
        <v>17924</v>
      </c>
      <c r="B17927" s="2" t="s">
        <v>17998</v>
      </c>
      <c r="C17927" s="2" t="str">
        <f>"15728714"</f>
        <v>15728714</v>
      </c>
      <c r="D17927" s="2">
        <v>0.218</v>
      </c>
      <c r="E17927" s="2">
        <v>3</v>
      </c>
      <c r="F17927" s="2" t="s">
        <v>75</v>
      </c>
    </row>
    <row r="17928" spans="1:6" ht="25.5">
      <c r="A17928" s="2">
        <v>17925</v>
      </c>
      <c r="B17928" s="2" t="s">
        <v>17999</v>
      </c>
      <c r="C17928" s="2" t="str">
        <f>"03043479"</f>
        <v>03043479</v>
      </c>
      <c r="D17928" s="2">
        <v>0.11</v>
      </c>
      <c r="E17928" s="2">
        <v>3</v>
      </c>
      <c r="F17928" s="2" t="s">
        <v>75</v>
      </c>
    </row>
    <row r="17929" spans="1:6" ht="25.5">
      <c r="A17929" s="2">
        <v>17926</v>
      </c>
      <c r="B17929" s="2" t="s">
        <v>18000</v>
      </c>
      <c r="C17929" s="2" t="str">
        <f>"14684829"</f>
        <v>14684829</v>
      </c>
      <c r="D17929" s="2">
        <v>0.28899999999999998</v>
      </c>
      <c r="E17929" s="2">
        <v>22</v>
      </c>
      <c r="F17929" s="2" t="s">
        <v>16</v>
      </c>
    </row>
    <row r="17930" spans="1:6" ht="25.5">
      <c r="A17930" s="2">
        <v>17927</v>
      </c>
      <c r="B17930" s="2" t="s">
        <v>18001</v>
      </c>
      <c r="C17930" s="2" t="str">
        <f>"1066369X"</f>
        <v>1066369X</v>
      </c>
      <c r="D17930" s="2">
        <v>0.14000000000000001</v>
      </c>
      <c r="E17930" s="2">
        <v>2</v>
      </c>
      <c r="F17930" s="2" t="s">
        <v>6</v>
      </c>
    </row>
    <row r="17931" spans="1:6" ht="25.5">
      <c r="A17931" s="2">
        <v>17928</v>
      </c>
      <c r="B17931" s="2" t="s">
        <v>18002</v>
      </c>
      <c r="C17931" s="2" t="str">
        <f>"00360295"</f>
        <v>00360295</v>
      </c>
      <c r="D17931" s="2">
        <v>0.214</v>
      </c>
      <c r="E17931" s="2">
        <v>5</v>
      </c>
      <c r="F17931" s="2" t="s">
        <v>129</v>
      </c>
    </row>
    <row r="17932" spans="1:6" ht="25.5">
      <c r="A17932" s="2">
        <v>17929</v>
      </c>
      <c r="B17932" s="2" t="s">
        <v>18003</v>
      </c>
      <c r="C17932" s="2" t="str">
        <f>"10683739"</f>
        <v>10683739</v>
      </c>
      <c r="D17932" s="2">
        <v>0.16300000000000001</v>
      </c>
      <c r="E17932" s="2">
        <v>7</v>
      </c>
      <c r="F17932" s="2" t="s">
        <v>6</v>
      </c>
    </row>
    <row r="17933" spans="1:6" ht="25.5">
      <c r="A17933" s="2">
        <v>17930</v>
      </c>
      <c r="B17933" s="2" t="s">
        <v>18004</v>
      </c>
      <c r="C17933" s="2" t="str">
        <f>"16083415"</f>
        <v>16083415</v>
      </c>
      <c r="D17933" s="2">
        <v>0.17599999999999999</v>
      </c>
      <c r="E17933" s="2">
        <v>8</v>
      </c>
      <c r="F17933" s="2" t="s">
        <v>129</v>
      </c>
    </row>
    <row r="17934" spans="1:6" ht="25.5">
      <c r="A17934" s="2">
        <v>17931</v>
      </c>
      <c r="B17934" s="2" t="s">
        <v>18005</v>
      </c>
      <c r="C17934" s="2" t="str">
        <f>"10648887"</f>
        <v>10648887</v>
      </c>
      <c r="D17934" s="2">
        <v>0.23100000000000001</v>
      </c>
      <c r="E17934" s="2">
        <v>10</v>
      </c>
      <c r="F17934" s="2" t="s">
        <v>6</v>
      </c>
    </row>
    <row r="17935" spans="1:6" ht="25.5">
      <c r="A17935" s="2">
        <v>17932</v>
      </c>
      <c r="B17935" s="2" t="s">
        <v>18006</v>
      </c>
      <c r="C17935" s="2" t="str">
        <f>"10611940"</f>
        <v>10611940</v>
      </c>
      <c r="D17935" s="2">
        <v>0.127</v>
      </c>
      <c r="E17935" s="2">
        <v>3</v>
      </c>
      <c r="F17935" s="2" t="s">
        <v>6</v>
      </c>
    </row>
    <row r="17936" spans="1:6" ht="25.5">
      <c r="A17936" s="2">
        <v>17933</v>
      </c>
      <c r="B17936" s="2" t="s">
        <v>18007</v>
      </c>
      <c r="C17936" s="2" t="str">
        <f>"00360341"</f>
        <v>00360341</v>
      </c>
      <c r="D17936" s="2">
        <v>0.188</v>
      </c>
      <c r="E17936" s="2">
        <v>13</v>
      </c>
      <c r="F17936" s="2" t="s">
        <v>16</v>
      </c>
    </row>
    <row r="17937" spans="1:6" ht="25.5">
      <c r="A17937" s="2">
        <v>17934</v>
      </c>
      <c r="B17937" s="2" t="s">
        <v>18008</v>
      </c>
      <c r="C17937" s="2" t="str">
        <f>"19447167"</f>
        <v>19447167</v>
      </c>
      <c r="D17937" s="2">
        <v>0.1</v>
      </c>
      <c r="E17937" s="2">
        <v>1</v>
      </c>
      <c r="F17937" s="2" t="s">
        <v>6</v>
      </c>
    </row>
    <row r="17938" spans="1:6" ht="25.5">
      <c r="A17938" s="2">
        <v>17935</v>
      </c>
      <c r="B17938" s="2" t="s">
        <v>18009</v>
      </c>
      <c r="C17938" s="2" t="str">
        <f>"15580431"</f>
        <v>15580431</v>
      </c>
      <c r="D17938" s="2">
        <v>0.10199999999999999</v>
      </c>
      <c r="E17938" s="2">
        <v>1</v>
      </c>
      <c r="F17938" s="2" t="s">
        <v>6</v>
      </c>
    </row>
    <row r="17939" spans="1:6">
      <c r="A17939" s="2">
        <v>17936</v>
      </c>
      <c r="B17939" s="2" t="s">
        <v>18010</v>
      </c>
      <c r="C17939" s="2" t="str">
        <f>"0"</f>
        <v>0</v>
      </c>
      <c r="D17939" s="2">
        <v>0</v>
      </c>
      <c r="E17939" s="2">
        <v>0</v>
      </c>
      <c r="F17939" s="2" t="s">
        <v>6</v>
      </c>
    </row>
    <row r="17940" spans="1:6" ht="25.5">
      <c r="A17940" s="2">
        <v>17937</v>
      </c>
      <c r="B17940" s="2" t="s">
        <v>18011</v>
      </c>
      <c r="C17940" s="2" t="str">
        <f>"0"</f>
        <v>0</v>
      </c>
      <c r="D17940" s="2">
        <v>0</v>
      </c>
      <c r="E17940" s="2">
        <v>0</v>
      </c>
      <c r="F17940" s="2" t="s">
        <v>6</v>
      </c>
    </row>
    <row r="17941" spans="1:6" ht="25.5">
      <c r="A17941" s="2">
        <v>17938</v>
      </c>
      <c r="B17941" s="2" t="s">
        <v>18012</v>
      </c>
      <c r="C17941" s="2" t="str">
        <f>"14255960"</f>
        <v>14255960</v>
      </c>
      <c r="D17941" s="2">
        <v>0.19700000000000001</v>
      </c>
      <c r="E17941" s="2">
        <v>8</v>
      </c>
      <c r="F17941" s="2" t="s">
        <v>169</v>
      </c>
    </row>
    <row r="17942" spans="1:6" ht="25.5">
      <c r="A17942" s="2">
        <v>17939</v>
      </c>
      <c r="B17942" s="2" t="s">
        <v>18013</v>
      </c>
      <c r="C17942" s="2" t="str">
        <f>"00491160"</f>
        <v>00491160</v>
      </c>
      <c r="D17942" s="2">
        <v>0.13200000000000001</v>
      </c>
      <c r="E17942" s="2">
        <v>3</v>
      </c>
      <c r="F17942" s="2" t="s">
        <v>16</v>
      </c>
    </row>
    <row r="17943" spans="1:6" ht="25.5">
      <c r="A17943" s="2">
        <v>17940</v>
      </c>
      <c r="B17943" s="2" t="s">
        <v>18014</v>
      </c>
      <c r="C17943" s="2" t="str">
        <f>"10297073"</f>
        <v>10297073</v>
      </c>
      <c r="D17943" s="2">
        <v>0.155</v>
      </c>
      <c r="E17943" s="2">
        <v>2</v>
      </c>
      <c r="F17943" s="2" t="s">
        <v>131</v>
      </c>
    </row>
    <row r="17944" spans="1:6" ht="25.5">
      <c r="A17944" s="2">
        <v>17941</v>
      </c>
      <c r="B17944" s="2" t="s">
        <v>18015</v>
      </c>
      <c r="C17944" s="2" t="str">
        <f>"00362255"</f>
        <v>00362255</v>
      </c>
      <c r="D17944" s="2">
        <v>0.1</v>
      </c>
      <c r="E17944" s="2">
        <v>3</v>
      </c>
      <c r="F17944" s="2" t="s">
        <v>6</v>
      </c>
    </row>
    <row r="17945" spans="1:6" ht="25.5">
      <c r="A17945" s="2">
        <v>17942</v>
      </c>
      <c r="B17945" s="2" t="s">
        <v>18016</v>
      </c>
      <c r="C17945" s="2" t="str">
        <f>"07717776"</f>
        <v>07717776</v>
      </c>
      <c r="D17945" s="2">
        <v>0.10100000000000001</v>
      </c>
      <c r="E17945" s="2">
        <v>4</v>
      </c>
      <c r="F17945" s="2" t="s">
        <v>161</v>
      </c>
    </row>
    <row r="17946" spans="1:6" ht="25.5">
      <c r="A17946" s="2">
        <v>17943</v>
      </c>
      <c r="B17946" s="2" t="s">
        <v>18017</v>
      </c>
      <c r="C17946" s="2" t="str">
        <f>"02562499"</f>
        <v>02562499</v>
      </c>
      <c r="D17946" s="2">
        <v>0.192</v>
      </c>
      <c r="E17946" s="2">
        <v>23</v>
      </c>
      <c r="F17946" s="2" t="s">
        <v>488</v>
      </c>
    </row>
    <row r="17947" spans="1:6" ht="25.5">
      <c r="A17947" s="2">
        <v>17944</v>
      </c>
      <c r="B17947" s="2" t="s">
        <v>18018</v>
      </c>
      <c r="C17947" s="2" t="str">
        <f>"10294864"</f>
        <v>10294864</v>
      </c>
      <c r="D17947" s="2">
        <v>0.13100000000000001</v>
      </c>
      <c r="E17947" s="2">
        <v>12</v>
      </c>
      <c r="F17947" s="2" t="s">
        <v>410</v>
      </c>
    </row>
    <row r="17948" spans="1:6" ht="25.5">
      <c r="A17948" s="2">
        <v>17945</v>
      </c>
      <c r="B17948" s="2" t="s">
        <v>18019</v>
      </c>
      <c r="C17948" s="2" t="str">
        <f>"00805319"</f>
        <v>00805319</v>
      </c>
      <c r="D17948" s="2">
        <v>0.10100000000000001</v>
      </c>
      <c r="E17948" s="2">
        <v>2</v>
      </c>
      <c r="F17948" s="2" t="s">
        <v>12</v>
      </c>
    </row>
    <row r="17949" spans="1:6" ht="25.5">
      <c r="A17949" s="2">
        <v>17946</v>
      </c>
      <c r="B17949" s="2" t="s">
        <v>18020</v>
      </c>
      <c r="C17949" s="2" t="str">
        <f>"19463855"</f>
        <v>19463855</v>
      </c>
      <c r="D17949" s="2">
        <v>0.21299999999999999</v>
      </c>
      <c r="E17949" s="2">
        <v>5</v>
      </c>
      <c r="F17949" s="2" t="s">
        <v>6</v>
      </c>
    </row>
    <row r="17950" spans="1:6" ht="25.5">
      <c r="A17950" s="2">
        <v>17947</v>
      </c>
      <c r="B17950" s="2" t="s">
        <v>18021</v>
      </c>
      <c r="C17950" s="2" t="str">
        <f>"1946391X"</f>
        <v>1946391X</v>
      </c>
      <c r="D17950" s="2">
        <v>0.22</v>
      </c>
      <c r="E17950" s="2">
        <v>7</v>
      </c>
      <c r="F17950" s="2" t="s">
        <v>6</v>
      </c>
    </row>
    <row r="17951" spans="1:6" ht="25.5">
      <c r="A17951" s="2">
        <v>17948</v>
      </c>
      <c r="B17951" s="2" t="s">
        <v>18022</v>
      </c>
      <c r="C17951" s="2" t="str">
        <f>"19463936"</f>
        <v>19463936</v>
      </c>
      <c r="D17951" s="2">
        <v>0.36799999999999999</v>
      </c>
      <c r="E17951" s="2">
        <v>17</v>
      </c>
      <c r="F17951" s="2" t="s">
        <v>6</v>
      </c>
    </row>
    <row r="17952" spans="1:6" ht="25.5">
      <c r="A17952" s="2">
        <v>17949</v>
      </c>
      <c r="B17952" s="2" t="s">
        <v>18023</v>
      </c>
      <c r="C17952" s="2" t="str">
        <f>"19463952"</f>
        <v>19463952</v>
      </c>
      <c r="D17952" s="2">
        <v>0.35099999999999998</v>
      </c>
      <c r="E17952" s="2">
        <v>16</v>
      </c>
      <c r="F17952" s="2" t="s">
        <v>6</v>
      </c>
    </row>
    <row r="17953" spans="1:6" ht="25.5">
      <c r="A17953" s="2">
        <v>17950</v>
      </c>
      <c r="B17953" s="2" t="s">
        <v>18024</v>
      </c>
      <c r="C17953" s="2" t="str">
        <f>"19463979"</f>
        <v>19463979</v>
      </c>
      <c r="D17953" s="2">
        <v>0.253</v>
      </c>
      <c r="E17953" s="2">
        <v>6</v>
      </c>
      <c r="F17953" s="2" t="s">
        <v>6</v>
      </c>
    </row>
    <row r="17954" spans="1:6" ht="25.5">
      <c r="A17954" s="2">
        <v>17951</v>
      </c>
      <c r="B17954" s="2" t="s">
        <v>18025</v>
      </c>
      <c r="C17954" s="2" t="str">
        <f>"19464622"</f>
        <v>19464622</v>
      </c>
      <c r="D17954" s="2">
        <v>0.254</v>
      </c>
      <c r="E17954" s="2">
        <v>6</v>
      </c>
      <c r="F17954" s="2" t="s">
        <v>6</v>
      </c>
    </row>
    <row r="17955" spans="1:6" ht="25.5">
      <c r="A17955" s="2">
        <v>17952</v>
      </c>
      <c r="B17955" s="2" t="s">
        <v>18026</v>
      </c>
      <c r="C17955" s="2" t="str">
        <f>"19463995"</f>
        <v>19463995</v>
      </c>
      <c r="D17955" s="2">
        <v>0.36799999999999999</v>
      </c>
      <c r="E17955" s="2">
        <v>8</v>
      </c>
      <c r="F17955" s="2" t="s">
        <v>6</v>
      </c>
    </row>
    <row r="17956" spans="1:6" ht="25.5">
      <c r="A17956" s="2">
        <v>17953</v>
      </c>
      <c r="B17956" s="2" t="s">
        <v>18027</v>
      </c>
      <c r="C17956" s="2" t="str">
        <f>"17578043"</f>
        <v>17578043</v>
      </c>
      <c r="D17956" s="2">
        <v>0.2</v>
      </c>
      <c r="E17956" s="2">
        <v>2</v>
      </c>
      <c r="F17956" s="2" t="s">
        <v>16</v>
      </c>
    </row>
    <row r="17957" spans="1:6" ht="25.5">
      <c r="A17957" s="2">
        <v>17954</v>
      </c>
      <c r="B17957" s="2" t="s">
        <v>18028</v>
      </c>
      <c r="C17957" s="2" t="str">
        <f>"09257535"</f>
        <v>09257535</v>
      </c>
      <c r="D17957" s="2">
        <v>0.81399999999999995</v>
      </c>
      <c r="E17957" s="2">
        <v>45</v>
      </c>
      <c r="F17957" s="2" t="s">
        <v>75</v>
      </c>
    </row>
    <row r="17958" spans="1:6" ht="25.5">
      <c r="A17958" s="2">
        <v>17955</v>
      </c>
      <c r="B17958" s="2" t="s">
        <v>18029</v>
      </c>
      <c r="C17958" s="2" t="str">
        <f>"17533171"</f>
        <v>17533171</v>
      </c>
      <c r="D17958" s="2">
        <v>0.11899999999999999</v>
      </c>
      <c r="E17958" s="2">
        <v>2</v>
      </c>
      <c r="F17958" s="2" t="s">
        <v>16</v>
      </c>
    </row>
    <row r="17959" spans="1:6" ht="25.5">
      <c r="A17959" s="2">
        <v>17956</v>
      </c>
      <c r="B17959" s="2" t="s">
        <v>18030</v>
      </c>
      <c r="C17959" s="2" t="str">
        <f>"17290376"</f>
        <v>17290376</v>
      </c>
      <c r="D17959" s="2">
        <v>0.252</v>
      </c>
      <c r="E17959" s="2">
        <v>14</v>
      </c>
      <c r="F17959" s="2" t="s">
        <v>410</v>
      </c>
    </row>
    <row r="17960" spans="1:6" ht="25.5">
      <c r="A17960" s="2">
        <v>17957</v>
      </c>
      <c r="B17960" s="2" t="s">
        <v>18031</v>
      </c>
      <c r="C17960" s="2" t="str">
        <f>"01266039"</f>
        <v>01266039</v>
      </c>
      <c r="D17960" s="2">
        <v>0.20399999999999999</v>
      </c>
      <c r="E17960" s="2">
        <v>7</v>
      </c>
      <c r="F17960" s="2" t="s">
        <v>37</v>
      </c>
    </row>
    <row r="17961" spans="1:6" ht="25.5">
      <c r="A17961" s="2">
        <v>17958</v>
      </c>
      <c r="B17961" s="2" t="s">
        <v>18032</v>
      </c>
      <c r="C17961" s="2" t="str">
        <f>"19997671"</f>
        <v>19997671</v>
      </c>
      <c r="D17961" s="2">
        <v>0.11799999999999999</v>
      </c>
      <c r="E17961" s="2">
        <v>3</v>
      </c>
      <c r="F17961" s="2" t="s">
        <v>410</v>
      </c>
    </row>
    <row r="17962" spans="1:6" ht="25.5">
      <c r="A17962" s="2">
        <v>17959</v>
      </c>
      <c r="B17962" s="2" t="s">
        <v>18033</v>
      </c>
      <c r="C17962" s="2" t="str">
        <f>"20710768"</f>
        <v>20710768</v>
      </c>
      <c r="D17962" s="2">
        <v>0.22600000000000001</v>
      </c>
      <c r="E17962" s="2">
        <v>3</v>
      </c>
      <c r="F17962" s="2" t="s">
        <v>410</v>
      </c>
    </row>
    <row r="17963" spans="1:6" ht="25.5">
      <c r="A17963" s="2">
        <v>17960</v>
      </c>
      <c r="B17963" s="2" t="s">
        <v>18034</v>
      </c>
      <c r="C17963" s="2" t="str">
        <f>"00363375"</f>
        <v>00363375</v>
      </c>
      <c r="D17963" s="2">
        <v>0.31900000000000001</v>
      </c>
      <c r="E17963" s="2">
        <v>6</v>
      </c>
      <c r="F17963" s="2" t="s">
        <v>12</v>
      </c>
    </row>
    <row r="17964" spans="1:6" ht="25.5">
      <c r="A17964" s="2">
        <v>17961</v>
      </c>
      <c r="B17964" s="2" t="s">
        <v>18035</v>
      </c>
      <c r="C17964" s="2" t="str">
        <f>"01637517"</f>
        <v>01637517</v>
      </c>
      <c r="D17964" s="2">
        <v>0.124</v>
      </c>
      <c r="E17964" s="2">
        <v>7</v>
      </c>
      <c r="F17964" s="2" t="s">
        <v>6</v>
      </c>
    </row>
    <row r="17965" spans="1:6" ht="25.5">
      <c r="A17965" s="2">
        <v>17962</v>
      </c>
      <c r="B17965" s="2" t="s">
        <v>18036</v>
      </c>
      <c r="C17965" s="2" t="str">
        <f>"17461448"</f>
        <v>17461448</v>
      </c>
      <c r="D17965" s="2">
        <v>0.378</v>
      </c>
      <c r="E17965" s="2">
        <v>11</v>
      </c>
      <c r="F17965" s="2" t="s">
        <v>16</v>
      </c>
    </row>
    <row r="17966" spans="1:6" ht="25.5">
      <c r="A17966" s="2">
        <v>17963</v>
      </c>
      <c r="B17966" s="2" t="s">
        <v>18037</v>
      </c>
      <c r="C17966" s="2" t="str">
        <f>"00363529"</f>
        <v>00363529</v>
      </c>
      <c r="D17966" s="2">
        <v>0.1</v>
      </c>
      <c r="E17966" s="2">
        <v>2</v>
      </c>
      <c r="F17966" s="2" t="s">
        <v>6</v>
      </c>
    </row>
    <row r="17967" spans="1:6" ht="25.5">
      <c r="A17967" s="2">
        <v>17964</v>
      </c>
      <c r="B17967" s="2" t="s">
        <v>18038</v>
      </c>
      <c r="C17967" s="2" t="str">
        <f>"16692381"</f>
        <v>16692381</v>
      </c>
      <c r="D17967" s="2">
        <v>0.20100000000000001</v>
      </c>
      <c r="E17967" s="2">
        <v>4</v>
      </c>
      <c r="F17967" s="2" t="s">
        <v>192</v>
      </c>
    </row>
    <row r="17968" spans="1:6" ht="25.5">
      <c r="A17968" s="2">
        <v>17965</v>
      </c>
      <c r="B17968" s="2" t="s">
        <v>18039</v>
      </c>
      <c r="C17968" s="2" t="str">
        <f>"16678990"</f>
        <v>16678990</v>
      </c>
      <c r="D17968" s="2">
        <v>0.10100000000000001</v>
      </c>
      <c r="E17968" s="2">
        <v>2</v>
      </c>
      <c r="F17968" s="2" t="s">
        <v>192</v>
      </c>
    </row>
    <row r="17969" spans="1:6" ht="25.5">
      <c r="A17969" s="2">
        <v>17966</v>
      </c>
      <c r="B17969" s="2" t="s">
        <v>18040</v>
      </c>
      <c r="C17969" s="2" t="str">
        <f>"01853325"</f>
        <v>01853325</v>
      </c>
      <c r="D17969" s="2">
        <v>0.28399999999999997</v>
      </c>
      <c r="E17969" s="2">
        <v>17</v>
      </c>
      <c r="F17969" s="2" t="s">
        <v>200</v>
      </c>
    </row>
    <row r="17970" spans="1:6" ht="25.5">
      <c r="A17970" s="2">
        <v>17967</v>
      </c>
      <c r="B17970" s="2" t="s">
        <v>18041</v>
      </c>
      <c r="C17970" s="2" t="str">
        <f>"16067916"</f>
        <v>16067916</v>
      </c>
      <c r="D17970" s="2">
        <v>0.5</v>
      </c>
      <c r="E17970" s="2">
        <v>28</v>
      </c>
      <c r="F17970" s="2" t="s">
        <v>200</v>
      </c>
    </row>
    <row r="17971" spans="1:6" ht="25.5">
      <c r="A17971" s="2">
        <v>17968</v>
      </c>
      <c r="B17971" s="2" t="s">
        <v>18042</v>
      </c>
      <c r="C17971" s="2" t="str">
        <f>"01205552"</f>
        <v>01205552</v>
      </c>
      <c r="D17971" s="2">
        <v>0.106</v>
      </c>
      <c r="E17971" s="2">
        <v>3</v>
      </c>
      <c r="F17971" s="2" t="s">
        <v>184</v>
      </c>
    </row>
    <row r="17972" spans="1:6" ht="25.5">
      <c r="A17972" s="2">
        <v>17969</v>
      </c>
      <c r="B17972" s="2" t="s">
        <v>18043</v>
      </c>
      <c r="C17972" s="2" t="str">
        <f>"15785319"</f>
        <v>15785319</v>
      </c>
      <c r="D17972" s="2">
        <v>0.123</v>
      </c>
      <c r="E17972" s="2">
        <v>2</v>
      </c>
      <c r="F17972" s="2" t="s">
        <v>351</v>
      </c>
    </row>
    <row r="17973" spans="1:6" ht="25.5">
      <c r="A17973" s="2">
        <v>17970</v>
      </c>
      <c r="B17973" s="2" t="s">
        <v>18044</v>
      </c>
      <c r="C17973" s="2" t="str">
        <f>"13167138"</f>
        <v>13167138</v>
      </c>
      <c r="D17973" s="2">
        <v>0.10199999999999999</v>
      </c>
      <c r="E17973" s="2">
        <v>2</v>
      </c>
      <c r="F17973" s="2" t="s">
        <v>40</v>
      </c>
    </row>
    <row r="17974" spans="1:6" ht="25.5">
      <c r="A17974" s="2">
        <v>17971</v>
      </c>
      <c r="B17974" s="2" t="s">
        <v>18045</v>
      </c>
      <c r="C17974" s="2" t="str">
        <f>"00911062"</f>
        <v>00911062</v>
      </c>
      <c r="D17974" s="2">
        <v>0.22800000000000001</v>
      </c>
      <c r="E17974" s="2">
        <v>19</v>
      </c>
      <c r="F17974" s="2" t="s">
        <v>6</v>
      </c>
    </row>
    <row r="17975" spans="1:6" ht="25.5">
      <c r="A17975" s="2">
        <v>17972</v>
      </c>
      <c r="B17975" s="2" t="s">
        <v>18046</v>
      </c>
      <c r="C17975" s="2" t="str">
        <f>"15306429"</f>
        <v>15306429</v>
      </c>
      <c r="D17975" s="2">
        <v>0.215</v>
      </c>
      <c r="E17975" s="2">
        <v>8</v>
      </c>
      <c r="F17975" s="2" t="s">
        <v>6</v>
      </c>
    </row>
    <row r="17976" spans="1:6" ht="25.5">
      <c r="A17976" s="2">
        <v>17973</v>
      </c>
      <c r="B17976" s="2" t="s">
        <v>18047</v>
      </c>
      <c r="C17976" s="2" t="str">
        <f>"18757405"</f>
        <v>18757405</v>
      </c>
      <c r="D17976" s="2">
        <v>0.1</v>
      </c>
      <c r="E17976" s="2">
        <v>3</v>
      </c>
      <c r="F17976" s="2" t="s">
        <v>75</v>
      </c>
    </row>
    <row r="17977" spans="1:6" ht="25.5">
      <c r="A17977" s="2">
        <v>17974</v>
      </c>
      <c r="B17977" s="2" t="s">
        <v>18048</v>
      </c>
      <c r="C17977" s="2" t="str">
        <f>"09997385"</f>
        <v>09997385</v>
      </c>
      <c r="D17977" s="2">
        <v>0.109</v>
      </c>
      <c r="E17977" s="2">
        <v>8</v>
      </c>
      <c r="F17977" s="2" t="s">
        <v>66</v>
      </c>
    </row>
    <row r="17978" spans="1:6" ht="25.5">
      <c r="A17978" s="2">
        <v>17975</v>
      </c>
      <c r="B17978" s="2" t="s">
        <v>18049</v>
      </c>
      <c r="C17978" s="2" t="str">
        <f>"13410725"</f>
        <v>13410725</v>
      </c>
      <c r="D17978" s="2">
        <v>0.13200000000000001</v>
      </c>
      <c r="E17978" s="2">
        <v>8</v>
      </c>
      <c r="F17978" s="2" t="s">
        <v>131</v>
      </c>
    </row>
    <row r="17979" spans="1:6" ht="25.5">
      <c r="A17979" s="2">
        <v>17976</v>
      </c>
      <c r="B17979" s="2" t="s">
        <v>18050</v>
      </c>
      <c r="C17979" s="2" t="str">
        <f>"09727671"</f>
        <v>09727671</v>
      </c>
      <c r="D17979" s="2">
        <v>0.156</v>
      </c>
      <c r="E17979" s="2">
        <v>8</v>
      </c>
      <c r="F17979" s="2" t="s">
        <v>488</v>
      </c>
    </row>
    <row r="17980" spans="1:6" ht="25.5">
      <c r="A17980" s="2">
        <v>17977</v>
      </c>
      <c r="B17980" s="2" t="s">
        <v>18051</v>
      </c>
      <c r="C17980" s="2" t="str">
        <f>"03836320"</f>
        <v>03836320</v>
      </c>
      <c r="D17980" s="2">
        <v>0.123</v>
      </c>
      <c r="E17980" s="2">
        <v>6</v>
      </c>
      <c r="F17980" s="2" t="s">
        <v>64</v>
      </c>
    </row>
    <row r="17981" spans="1:6" ht="25.5">
      <c r="A17981" s="2">
        <v>17978</v>
      </c>
      <c r="B17981" s="2" t="s">
        <v>18052</v>
      </c>
      <c r="C17981" s="2" t="str">
        <f>"11575999"</f>
        <v>11575999</v>
      </c>
      <c r="D17981" s="2">
        <v>0.109</v>
      </c>
      <c r="E17981" s="2">
        <v>14</v>
      </c>
      <c r="F17981" s="2" t="s">
        <v>66</v>
      </c>
    </row>
    <row r="17982" spans="1:6" ht="25.5">
      <c r="A17982" s="2">
        <v>17979</v>
      </c>
      <c r="B17982" s="2" t="s">
        <v>18053</v>
      </c>
      <c r="C17982" s="2" t="str">
        <f>"09953914"</f>
        <v>09953914</v>
      </c>
      <c r="D17982" s="2">
        <v>0.153</v>
      </c>
      <c r="E17982" s="2">
        <v>11</v>
      </c>
      <c r="F17982" s="2" t="s">
        <v>66</v>
      </c>
    </row>
    <row r="17983" spans="1:6" ht="25.5">
      <c r="A17983" s="2">
        <v>17980</v>
      </c>
      <c r="B17983" s="2" t="s">
        <v>18054</v>
      </c>
      <c r="C17983" s="2" t="str">
        <f>"15163180"</f>
        <v>15163180</v>
      </c>
      <c r="D17983" s="2">
        <v>0.156</v>
      </c>
      <c r="E17983" s="2">
        <v>23</v>
      </c>
      <c r="F17983" s="2" t="s">
        <v>159</v>
      </c>
    </row>
    <row r="17984" spans="1:6" ht="25.5">
      <c r="A17984" s="2">
        <v>17981</v>
      </c>
      <c r="B17984" s="2" t="s">
        <v>18055</v>
      </c>
      <c r="C17984" s="2" t="str">
        <f>"00382558"</f>
        <v>00382558</v>
      </c>
      <c r="D17984" s="2">
        <v>0.108</v>
      </c>
      <c r="E17984" s="2">
        <v>2</v>
      </c>
      <c r="F17984" s="2" t="s">
        <v>410</v>
      </c>
    </row>
    <row r="17985" spans="1:6" ht="25.5">
      <c r="A17985" s="2">
        <v>17982</v>
      </c>
      <c r="B17985" s="2" t="s">
        <v>18056</v>
      </c>
      <c r="C17985" s="2" t="str">
        <f>"19933819"</f>
        <v>19933819</v>
      </c>
      <c r="D17985" s="2">
        <v>0.154</v>
      </c>
      <c r="E17985" s="2">
        <v>5</v>
      </c>
      <c r="F17985" s="2" t="s">
        <v>66</v>
      </c>
    </row>
    <row r="17986" spans="1:6" ht="25.5">
      <c r="A17986" s="2">
        <v>17983</v>
      </c>
      <c r="B17986" s="2" t="s">
        <v>18057</v>
      </c>
      <c r="C17986" s="2" t="str">
        <f>"1062936X"</f>
        <v>1062936X</v>
      </c>
      <c r="D17986" s="2">
        <v>0.40400000000000003</v>
      </c>
      <c r="E17986" s="2">
        <v>32</v>
      </c>
      <c r="F17986" s="2" t="s">
        <v>16</v>
      </c>
    </row>
    <row r="17987" spans="1:6" ht="25.5">
      <c r="A17987" s="2">
        <v>17984</v>
      </c>
      <c r="B17987" s="2" t="s">
        <v>18058</v>
      </c>
      <c r="C17987" s="2" t="str">
        <f>"11240490"</f>
        <v>11240490</v>
      </c>
      <c r="D17987" s="2">
        <v>1.014</v>
      </c>
      <c r="E17987" s="2">
        <v>36</v>
      </c>
      <c r="F17987" s="2" t="s">
        <v>190</v>
      </c>
    </row>
    <row r="17988" spans="1:6" ht="25.5">
      <c r="A17988" s="2">
        <v>17985</v>
      </c>
      <c r="B17988" s="2" t="s">
        <v>18059</v>
      </c>
      <c r="C17988" s="2" t="str">
        <f>"13691643"</f>
        <v>13691643</v>
      </c>
      <c r="D17988" s="2">
        <v>0.67700000000000005</v>
      </c>
      <c r="E17988" s="2">
        <v>14</v>
      </c>
      <c r="F17988" s="2" t="s">
        <v>6</v>
      </c>
    </row>
    <row r="17989" spans="1:6" ht="25.5">
      <c r="A17989" s="2">
        <v>17986</v>
      </c>
      <c r="B17989" s="2" t="s">
        <v>18060</v>
      </c>
      <c r="C17989" s="2" t="str">
        <f>"18697577"</f>
        <v>18697577</v>
      </c>
      <c r="D17989" s="2">
        <v>0.10199999999999999</v>
      </c>
      <c r="E17989" s="2">
        <v>1</v>
      </c>
      <c r="F17989" s="2" t="s">
        <v>12</v>
      </c>
    </row>
    <row r="17990" spans="1:6" ht="25.5">
      <c r="A17990" s="2">
        <v>17987</v>
      </c>
      <c r="B17990" s="2" t="s">
        <v>18061</v>
      </c>
      <c r="C17990" s="2" t="str">
        <f>"01041290"</f>
        <v>01041290</v>
      </c>
      <c r="D17990" s="2">
        <v>0.38800000000000001</v>
      </c>
      <c r="E17990" s="2">
        <v>6</v>
      </c>
      <c r="F17990" s="2" t="s">
        <v>159</v>
      </c>
    </row>
    <row r="17991" spans="1:6" ht="25.5">
      <c r="A17991" s="2">
        <v>17988</v>
      </c>
      <c r="B17991" s="2" t="s">
        <v>18062</v>
      </c>
      <c r="C17991" s="2" t="str">
        <f>"10139052"</f>
        <v>10139052</v>
      </c>
      <c r="D17991" s="2">
        <v>0.121</v>
      </c>
      <c r="E17991" s="2">
        <v>2</v>
      </c>
      <c r="F17991" s="2" t="s">
        <v>75</v>
      </c>
    </row>
    <row r="17992" spans="1:6" ht="25.5">
      <c r="A17992" s="2">
        <v>17989</v>
      </c>
      <c r="B17992" s="2" t="s">
        <v>18063</v>
      </c>
      <c r="C17992" s="2" t="str">
        <f>"1319562X"</f>
        <v>1319562X</v>
      </c>
      <c r="D17992" s="2">
        <v>0.22900000000000001</v>
      </c>
      <c r="E17992" s="2">
        <v>6</v>
      </c>
      <c r="F17992" s="2" t="s">
        <v>75</v>
      </c>
    </row>
    <row r="17993" spans="1:6" ht="25.5">
      <c r="A17993" s="2">
        <v>17990</v>
      </c>
      <c r="B17993" s="2" t="s">
        <v>18064</v>
      </c>
      <c r="C17993" s="2" t="str">
        <f>"19984049"</f>
        <v>19984049</v>
      </c>
      <c r="D17993" s="2">
        <v>0.27800000000000002</v>
      </c>
      <c r="E17993" s="2">
        <v>9</v>
      </c>
      <c r="F17993" s="2" t="s">
        <v>488</v>
      </c>
    </row>
    <row r="17994" spans="1:6" ht="38.25">
      <c r="A17994" s="2">
        <v>17991</v>
      </c>
      <c r="B17994" s="2" t="s">
        <v>18065</v>
      </c>
      <c r="C17994" s="2" t="str">
        <f>"13192442"</f>
        <v>13192442</v>
      </c>
      <c r="D17994" s="2">
        <v>0.23899999999999999</v>
      </c>
      <c r="E17994" s="2">
        <v>12</v>
      </c>
      <c r="F17994" s="2" t="s">
        <v>7417</v>
      </c>
    </row>
    <row r="17995" spans="1:6" ht="25.5">
      <c r="A17995" s="2">
        <v>17992</v>
      </c>
      <c r="B17995" s="2" t="s">
        <v>18066</v>
      </c>
      <c r="C17995" s="2" t="str">
        <f>"13194534"</f>
        <v>13194534</v>
      </c>
      <c r="D17995" s="2">
        <v>0.13500000000000001</v>
      </c>
      <c r="E17995" s="2">
        <v>3</v>
      </c>
      <c r="F17995" s="2" t="s">
        <v>75</v>
      </c>
    </row>
    <row r="17996" spans="1:6" ht="25.5">
      <c r="A17996" s="2">
        <v>17993</v>
      </c>
      <c r="B17996" s="2" t="s">
        <v>18067</v>
      </c>
      <c r="C17996" s="2" t="str">
        <f>"03795284"</f>
        <v>03795284</v>
      </c>
      <c r="D17996" s="2">
        <v>0.23100000000000001</v>
      </c>
      <c r="E17996" s="2">
        <v>27</v>
      </c>
      <c r="F17996" s="2" t="s">
        <v>7417</v>
      </c>
    </row>
    <row r="17997" spans="1:6" ht="25.5">
      <c r="A17997" s="2">
        <v>17994</v>
      </c>
      <c r="B17997" s="2" t="s">
        <v>18068</v>
      </c>
      <c r="C17997" s="2" t="str">
        <f>"13190164"</f>
        <v>13190164</v>
      </c>
      <c r="D17997" s="2">
        <v>0.252</v>
      </c>
      <c r="E17997" s="2">
        <v>12</v>
      </c>
      <c r="F17997" s="2" t="s">
        <v>75</v>
      </c>
    </row>
    <row r="17998" spans="1:6" ht="25.5">
      <c r="A17998" s="2">
        <v>17995</v>
      </c>
      <c r="B17998" s="2" t="s">
        <v>18069</v>
      </c>
      <c r="C17998" s="2" t="str">
        <f>"03934551"</f>
        <v>03934551</v>
      </c>
      <c r="D17998" s="2">
        <v>0.10100000000000001</v>
      </c>
      <c r="E17998" s="2">
        <v>7</v>
      </c>
      <c r="F17998" s="2" t="s">
        <v>190</v>
      </c>
    </row>
    <row r="17999" spans="1:6" ht="25.5">
      <c r="A17999" s="2">
        <v>17996</v>
      </c>
      <c r="B17999" s="2" t="s">
        <v>18070</v>
      </c>
      <c r="C17999" s="2" t="str">
        <f>"17762871"</f>
        <v>17762871</v>
      </c>
      <c r="D17999" s="2">
        <v>0.1</v>
      </c>
      <c r="E17999" s="2">
        <v>1</v>
      </c>
      <c r="F17999" s="2" t="s">
        <v>66</v>
      </c>
    </row>
    <row r="18000" spans="1:6" ht="25.5">
      <c r="A18000" s="2">
        <v>17997</v>
      </c>
      <c r="B18000" s="2" t="s">
        <v>18071</v>
      </c>
      <c r="C18000" s="2" t="str">
        <f>"0"</f>
        <v>0</v>
      </c>
      <c r="D18000" s="2">
        <v>0.126</v>
      </c>
      <c r="E18000" s="2">
        <v>10</v>
      </c>
      <c r="F18000" s="2" t="s">
        <v>6</v>
      </c>
    </row>
    <row r="18001" spans="1:6" ht="25.5">
      <c r="A18001" s="2">
        <v>17998</v>
      </c>
      <c r="B18001" s="2" t="s">
        <v>18072</v>
      </c>
      <c r="C18001" s="2" t="str">
        <f>"12120014"</f>
        <v>12120014</v>
      </c>
      <c r="D18001" s="2">
        <v>0.33500000000000002</v>
      </c>
      <c r="E18001" s="2">
        <v>11</v>
      </c>
      <c r="F18001" s="2" t="s">
        <v>208</v>
      </c>
    </row>
    <row r="18002" spans="1:6" ht="25.5">
      <c r="A18002" s="2">
        <v>17999</v>
      </c>
      <c r="B18002" s="2" t="s">
        <v>18073</v>
      </c>
      <c r="C18002" s="2" t="str">
        <f>"00365270"</f>
        <v>00365270</v>
      </c>
      <c r="D18002" s="2">
        <v>0.106</v>
      </c>
      <c r="E18002" s="2">
        <v>6</v>
      </c>
      <c r="F18002" s="2" t="s">
        <v>208</v>
      </c>
    </row>
    <row r="18003" spans="1:6" ht="25.5">
      <c r="A18003" s="2">
        <v>18000</v>
      </c>
      <c r="B18003" s="2" t="s">
        <v>18074</v>
      </c>
      <c r="C18003" s="2" t="str">
        <f>"10645616"</f>
        <v>10645616</v>
      </c>
      <c r="D18003" s="2">
        <v>0.372</v>
      </c>
      <c r="E18003" s="2">
        <v>15</v>
      </c>
      <c r="F18003" s="2" t="s">
        <v>16</v>
      </c>
    </row>
    <row r="18004" spans="1:6" ht="25.5">
      <c r="A18004" s="2">
        <v>18001</v>
      </c>
      <c r="B18004" s="2" t="s">
        <v>18075</v>
      </c>
      <c r="C18004" s="2" t="str">
        <f>"16512030"</f>
        <v>16512030</v>
      </c>
      <c r="D18004" s="2">
        <v>0.61899999999999999</v>
      </c>
      <c r="E18004" s="2">
        <v>5</v>
      </c>
      <c r="F18004" s="2" t="s">
        <v>16</v>
      </c>
    </row>
    <row r="18005" spans="1:6" ht="25.5">
      <c r="A18005" s="2">
        <v>18002</v>
      </c>
      <c r="B18005" s="2" t="s">
        <v>18076</v>
      </c>
      <c r="C18005" s="2" t="str">
        <f>"16512006"</f>
        <v>16512006</v>
      </c>
      <c r="D18005" s="2">
        <v>0.44800000000000001</v>
      </c>
      <c r="E18005" s="2">
        <v>27</v>
      </c>
      <c r="F18005" s="2" t="s">
        <v>16</v>
      </c>
    </row>
    <row r="18006" spans="1:6" ht="25.5">
      <c r="A18006" s="2">
        <v>18003</v>
      </c>
      <c r="B18006" s="2" t="s">
        <v>18077</v>
      </c>
      <c r="C18006" s="2" t="str">
        <f>"03585522"</f>
        <v>03585522</v>
      </c>
      <c r="D18006" s="2">
        <v>0.17299999999999999</v>
      </c>
      <c r="E18006" s="2">
        <v>6</v>
      </c>
      <c r="F18006" s="2" t="s">
        <v>16</v>
      </c>
    </row>
    <row r="18007" spans="1:6" ht="25.5">
      <c r="A18007" s="2">
        <v>18004</v>
      </c>
      <c r="B18007" s="2" t="s">
        <v>18078</v>
      </c>
      <c r="C18007" s="2" t="str">
        <f>"14716712"</f>
        <v>14716712</v>
      </c>
      <c r="D18007" s="2">
        <v>0.52400000000000002</v>
      </c>
      <c r="E18007" s="2">
        <v>38</v>
      </c>
      <c r="F18007" s="2" t="s">
        <v>16</v>
      </c>
    </row>
    <row r="18008" spans="1:6" ht="25.5">
      <c r="A18008" s="2">
        <v>18005</v>
      </c>
      <c r="B18008" s="2" t="s">
        <v>18079</v>
      </c>
      <c r="C18008" s="2" t="str">
        <f>"15027686"</f>
        <v>15027686</v>
      </c>
      <c r="D18008" s="2">
        <v>0.41799999999999998</v>
      </c>
      <c r="E18008" s="2">
        <v>42</v>
      </c>
      <c r="F18008" s="2" t="s">
        <v>16</v>
      </c>
    </row>
    <row r="18009" spans="1:6" ht="25.5">
      <c r="A18009" s="2">
        <v>18006</v>
      </c>
      <c r="B18009" s="2" t="s">
        <v>18080</v>
      </c>
      <c r="C18009" s="2" t="str">
        <f>"0085591X"</f>
        <v>0085591X</v>
      </c>
      <c r="D18009" s="2">
        <v>0.126</v>
      </c>
      <c r="E18009" s="2">
        <v>25</v>
      </c>
      <c r="F18009" s="2" t="s">
        <v>16</v>
      </c>
    </row>
    <row r="18010" spans="1:6" ht="25.5">
      <c r="A18010" s="2">
        <v>18007</v>
      </c>
      <c r="B18010" s="2" t="s">
        <v>18081</v>
      </c>
      <c r="C18010" s="2" t="str">
        <f>"14679442"</f>
        <v>14679442</v>
      </c>
      <c r="D18010" s="2">
        <v>0.80400000000000005</v>
      </c>
      <c r="E18010" s="2">
        <v>36</v>
      </c>
      <c r="F18010" s="2" t="s">
        <v>16</v>
      </c>
    </row>
    <row r="18011" spans="1:6" ht="25.5">
      <c r="A18011" s="2">
        <v>18008</v>
      </c>
      <c r="B18011" s="2" t="s">
        <v>18082</v>
      </c>
      <c r="C18011" s="2" t="str">
        <f>"14701170"</f>
        <v>14701170</v>
      </c>
      <c r="D18011" s="2">
        <v>0.32700000000000001</v>
      </c>
      <c r="E18011" s="2">
        <v>13</v>
      </c>
      <c r="F18011" s="2" t="s">
        <v>16</v>
      </c>
    </row>
    <row r="18012" spans="1:6" ht="25.5">
      <c r="A18012" s="2">
        <v>18009</v>
      </c>
      <c r="B18012" s="2" t="s">
        <v>18083</v>
      </c>
      <c r="C18012" s="2" t="str">
        <f>"02827581"</f>
        <v>02827581</v>
      </c>
      <c r="D18012" s="2">
        <v>0.69699999999999995</v>
      </c>
      <c r="E18012" s="2">
        <v>38</v>
      </c>
      <c r="F18012" s="2" t="s">
        <v>151</v>
      </c>
    </row>
    <row r="18013" spans="1:6" ht="25.5">
      <c r="A18013" s="2">
        <v>18010</v>
      </c>
      <c r="B18013" s="2" t="s">
        <v>18084</v>
      </c>
      <c r="C18013" s="2" t="str">
        <f>"15027708"</f>
        <v>15027708</v>
      </c>
      <c r="D18013" s="2">
        <v>0.90900000000000003</v>
      </c>
      <c r="E18013" s="2">
        <v>79</v>
      </c>
      <c r="F18013" s="2" t="s">
        <v>16</v>
      </c>
    </row>
    <row r="18014" spans="1:6" ht="25.5">
      <c r="A18014" s="2">
        <v>18011</v>
      </c>
      <c r="B18014" s="2" t="s">
        <v>18085</v>
      </c>
      <c r="C18014" s="2" t="str">
        <f>"15027716"</f>
        <v>15027716</v>
      </c>
      <c r="D18014" s="2">
        <v>0.109</v>
      </c>
      <c r="E18014" s="2">
        <v>7</v>
      </c>
      <c r="F18014" s="2" t="s">
        <v>151</v>
      </c>
    </row>
    <row r="18015" spans="1:6" ht="25.5">
      <c r="A18015" s="2">
        <v>18012</v>
      </c>
      <c r="B18015" s="2" t="s">
        <v>18086</v>
      </c>
      <c r="C18015" s="2" t="str">
        <f>"15022250"</f>
        <v>15022250</v>
      </c>
      <c r="D18015" s="2">
        <v>0.38400000000000001</v>
      </c>
      <c r="E18015" s="2">
        <v>8</v>
      </c>
      <c r="F18015" s="2" t="s">
        <v>16</v>
      </c>
    </row>
    <row r="18016" spans="1:6" ht="25.5">
      <c r="A18016" s="2">
        <v>18013</v>
      </c>
      <c r="B18016" s="2" t="s">
        <v>18087</v>
      </c>
      <c r="C18016" s="2" t="str">
        <f>"13653083"</f>
        <v>13653083</v>
      </c>
      <c r="D18016" s="2">
        <v>0.73399999999999999</v>
      </c>
      <c r="E18016" s="2">
        <v>61</v>
      </c>
      <c r="F18016" s="2" t="s">
        <v>16</v>
      </c>
    </row>
    <row r="18017" spans="1:6" ht="25.5">
      <c r="A18017" s="2">
        <v>18014</v>
      </c>
      <c r="B18017" s="2" t="s">
        <v>18088</v>
      </c>
      <c r="C18017" s="2" t="str">
        <f>"16511980"</f>
        <v>16511980</v>
      </c>
      <c r="D18017" s="2">
        <v>0.64700000000000002</v>
      </c>
      <c r="E18017" s="2">
        <v>51</v>
      </c>
      <c r="F18017" s="2" t="s">
        <v>16</v>
      </c>
    </row>
    <row r="18018" spans="1:6" ht="25.5">
      <c r="A18018" s="2">
        <v>18015</v>
      </c>
      <c r="B18018" s="2" t="s">
        <v>18089</v>
      </c>
      <c r="C18018" s="2" t="str">
        <f>"09050167"</f>
        <v>09050167</v>
      </c>
      <c r="D18018" s="2">
        <v>0.33300000000000002</v>
      </c>
      <c r="E18018" s="2">
        <v>2</v>
      </c>
      <c r="F18018" s="2" t="s">
        <v>163</v>
      </c>
    </row>
    <row r="18019" spans="1:6" ht="25.5">
      <c r="A18019" s="2">
        <v>18016</v>
      </c>
      <c r="B18019" s="2" t="s">
        <v>18090</v>
      </c>
      <c r="C18019" s="2" t="str">
        <f>"09013393"</f>
        <v>09013393</v>
      </c>
      <c r="D18019" s="2">
        <v>0.16200000000000001</v>
      </c>
      <c r="E18019" s="2">
        <v>11</v>
      </c>
      <c r="F18019" s="2" t="s">
        <v>163</v>
      </c>
    </row>
    <row r="18020" spans="1:6" ht="25.5">
      <c r="A18020" s="2">
        <v>18017</v>
      </c>
      <c r="B18020" s="2" t="s">
        <v>18091</v>
      </c>
      <c r="C18020" s="2" t="str">
        <f>"18733387"</f>
        <v>18733387</v>
      </c>
      <c r="D18020" s="2">
        <v>0.69</v>
      </c>
      <c r="E18020" s="2">
        <v>23</v>
      </c>
      <c r="F18020" s="2" t="s">
        <v>16</v>
      </c>
    </row>
    <row r="18021" spans="1:6" ht="25.5">
      <c r="A18021" s="2">
        <v>18018</v>
      </c>
      <c r="B18021" s="2" t="s">
        <v>18092</v>
      </c>
      <c r="C18021" s="2" t="str">
        <f>"16000838"</f>
        <v>16000838</v>
      </c>
      <c r="D18021" s="2">
        <v>1.2350000000000001</v>
      </c>
      <c r="E18021" s="2">
        <v>58</v>
      </c>
      <c r="F18021" s="2" t="s">
        <v>163</v>
      </c>
    </row>
    <row r="18022" spans="1:6" ht="25.5">
      <c r="A18022" s="2">
        <v>18019</v>
      </c>
      <c r="B18022" s="2" t="s">
        <v>18093</v>
      </c>
      <c r="C18022" s="2" t="str">
        <f>"11038128"</f>
        <v>11038128</v>
      </c>
      <c r="D18022" s="2">
        <v>0.47899999999999998</v>
      </c>
      <c r="E18022" s="2">
        <v>23</v>
      </c>
      <c r="F18022" s="2" t="s">
        <v>16</v>
      </c>
    </row>
    <row r="18023" spans="1:6" ht="25.5">
      <c r="A18023" s="2">
        <v>18020</v>
      </c>
      <c r="B18023" s="2" t="s">
        <v>18094</v>
      </c>
      <c r="C18023" s="2" t="str">
        <f>"18778860"</f>
        <v>18778860</v>
      </c>
      <c r="D18023" s="2">
        <v>0.19700000000000001</v>
      </c>
      <c r="E18023" s="2">
        <v>6</v>
      </c>
      <c r="F18023" s="2" t="s">
        <v>75</v>
      </c>
    </row>
    <row r="18024" spans="1:6" ht="25.5">
      <c r="A18024" s="2">
        <v>18021</v>
      </c>
      <c r="B18024" s="2" t="s">
        <v>18095</v>
      </c>
      <c r="C18024" s="2" t="str">
        <f>"15027724"</f>
        <v>15027724</v>
      </c>
      <c r="D18024" s="2">
        <v>0.81499999999999995</v>
      </c>
      <c r="E18024" s="2">
        <v>35</v>
      </c>
      <c r="F18024" s="2" t="s">
        <v>16</v>
      </c>
    </row>
    <row r="18025" spans="1:6" ht="25.5">
      <c r="A18025" s="2">
        <v>18022</v>
      </c>
      <c r="B18025" s="2" t="s">
        <v>18096</v>
      </c>
      <c r="C18025" s="2" t="str">
        <f>"14679450"</f>
        <v>14679450</v>
      </c>
      <c r="D18025" s="2">
        <v>0.72799999999999998</v>
      </c>
      <c r="E18025" s="2">
        <v>40</v>
      </c>
      <c r="F18025" s="2" t="s">
        <v>16</v>
      </c>
    </row>
    <row r="18026" spans="1:6" ht="25.5">
      <c r="A18026" s="2">
        <v>18023</v>
      </c>
      <c r="B18026" s="2" t="s">
        <v>18097</v>
      </c>
      <c r="C18026" s="2" t="str">
        <f>"16511905"</f>
        <v>16511905</v>
      </c>
      <c r="D18026" s="2">
        <v>0.86699999999999999</v>
      </c>
      <c r="E18026" s="2">
        <v>45</v>
      </c>
      <c r="F18026" s="2" t="s">
        <v>16</v>
      </c>
    </row>
    <row r="18027" spans="1:6" ht="25.5">
      <c r="A18027" s="2">
        <v>18024</v>
      </c>
      <c r="B18027" s="2" t="s">
        <v>18098</v>
      </c>
      <c r="C18027" s="2" t="str">
        <f>"15027732"</f>
        <v>15027732</v>
      </c>
      <c r="D18027" s="2">
        <v>0.98599999999999999</v>
      </c>
      <c r="E18027" s="2">
        <v>52</v>
      </c>
      <c r="F18027" s="2" t="s">
        <v>16</v>
      </c>
    </row>
    <row r="18028" spans="1:6" ht="25.5">
      <c r="A18028" s="2">
        <v>18025</v>
      </c>
      <c r="B18028" s="2" t="s">
        <v>18099</v>
      </c>
      <c r="C18028" s="2" t="str">
        <f>"15027740"</f>
        <v>15027740</v>
      </c>
      <c r="D18028" s="2">
        <v>0.126</v>
      </c>
      <c r="E18028" s="2">
        <v>26</v>
      </c>
      <c r="F18028" s="2" t="s">
        <v>16</v>
      </c>
    </row>
    <row r="18029" spans="1:6" ht="25.5">
      <c r="A18029" s="2">
        <v>18026</v>
      </c>
      <c r="B18029" s="2" t="s">
        <v>18100</v>
      </c>
      <c r="C18029" s="2" t="str">
        <f>"14679469"</f>
        <v>14679469</v>
      </c>
      <c r="D18029" s="2">
        <v>2.1539999999999999</v>
      </c>
      <c r="E18029" s="2">
        <v>36</v>
      </c>
      <c r="F18029" s="2" t="s">
        <v>16</v>
      </c>
    </row>
    <row r="18030" spans="1:6" ht="25.5">
      <c r="A18030" s="2">
        <v>18027</v>
      </c>
      <c r="B18030" s="2" t="s">
        <v>18101</v>
      </c>
      <c r="C18030" s="2" t="str">
        <f>"14574969"</f>
        <v>14574969</v>
      </c>
      <c r="D18030" s="2">
        <v>0.51200000000000001</v>
      </c>
      <c r="E18030" s="2">
        <v>27</v>
      </c>
      <c r="F18030" s="2" t="s">
        <v>751</v>
      </c>
    </row>
    <row r="18031" spans="1:6" ht="25.5">
      <c r="A18031" s="2">
        <v>18028</v>
      </c>
      <c r="B18031" s="2" t="s">
        <v>18102</v>
      </c>
      <c r="C18031" s="2" t="str">
        <f>"15027244"</f>
        <v>15027244</v>
      </c>
      <c r="D18031" s="2">
        <v>0.20100000000000001</v>
      </c>
      <c r="E18031" s="2">
        <v>1</v>
      </c>
      <c r="F18031" s="2" t="s">
        <v>16</v>
      </c>
    </row>
    <row r="18032" spans="1:6" ht="25.5">
      <c r="A18032" s="2">
        <v>18029</v>
      </c>
      <c r="B18032" s="2" t="s">
        <v>18103</v>
      </c>
      <c r="C18032" s="2" t="str">
        <f>"17577241"</f>
        <v>17577241</v>
      </c>
      <c r="D18032" s="2">
        <v>0.61099999999999999</v>
      </c>
      <c r="E18032" s="2">
        <v>12</v>
      </c>
      <c r="F18032" s="2" t="s">
        <v>16</v>
      </c>
    </row>
    <row r="18033" spans="1:6" ht="25.5">
      <c r="A18033" s="2">
        <v>18030</v>
      </c>
      <c r="B18033" s="2" t="s">
        <v>18104</v>
      </c>
      <c r="C18033" s="2" t="str">
        <f>"16512065"</f>
        <v>16512065</v>
      </c>
      <c r="D18033" s="2">
        <v>0.55700000000000005</v>
      </c>
      <c r="E18033" s="2">
        <v>36</v>
      </c>
      <c r="F18033" s="2" t="s">
        <v>16</v>
      </c>
    </row>
    <row r="18034" spans="1:6" ht="25.5">
      <c r="A18034" s="2">
        <v>18031</v>
      </c>
      <c r="B18034" s="2" t="s">
        <v>18105</v>
      </c>
      <c r="C18034" s="2" t="str">
        <f>"03553140"</f>
        <v>03553140</v>
      </c>
      <c r="D18034" s="2">
        <v>1.1080000000000001</v>
      </c>
      <c r="E18034" s="2">
        <v>66</v>
      </c>
      <c r="F18034" s="2" t="s">
        <v>751</v>
      </c>
    </row>
    <row r="18035" spans="1:6" ht="25.5">
      <c r="A18035" s="2">
        <v>18032</v>
      </c>
      <c r="B18035" s="2" t="s">
        <v>18106</v>
      </c>
      <c r="C18035" s="2" t="str">
        <f>"14679477"</f>
        <v>14679477</v>
      </c>
      <c r="D18035" s="2">
        <v>0.72499999999999998</v>
      </c>
      <c r="E18035" s="2">
        <v>17</v>
      </c>
      <c r="F18035" s="2" t="s">
        <v>16</v>
      </c>
    </row>
    <row r="18036" spans="1:6" ht="25.5">
      <c r="A18036" s="2">
        <v>18033</v>
      </c>
      <c r="B18036" s="2" t="s">
        <v>18107</v>
      </c>
      <c r="C18036" s="2" t="str">
        <f>"01062301"</f>
        <v>01062301</v>
      </c>
      <c r="D18036" s="2">
        <v>0.25800000000000001</v>
      </c>
      <c r="E18036" s="2">
        <v>4</v>
      </c>
      <c r="F18036" s="2" t="s">
        <v>163</v>
      </c>
    </row>
    <row r="18037" spans="1:6" ht="25.5">
      <c r="A18037" s="2">
        <v>18034</v>
      </c>
      <c r="B18037" s="2" t="s">
        <v>18108</v>
      </c>
      <c r="C18037" s="2" t="str">
        <f>"00365637"</f>
        <v>00365637</v>
      </c>
      <c r="D18037" s="2">
        <v>0.1</v>
      </c>
      <c r="E18037" s="2">
        <v>4</v>
      </c>
      <c r="F18037" s="2" t="s">
        <v>6</v>
      </c>
    </row>
    <row r="18038" spans="1:6" ht="25.5">
      <c r="A18038" s="2">
        <v>18035</v>
      </c>
      <c r="B18038" s="2" t="s">
        <v>18109</v>
      </c>
      <c r="C18038" s="2" t="str">
        <f>"00365653"</f>
        <v>00365653</v>
      </c>
      <c r="D18038" s="2">
        <v>0.10100000000000001</v>
      </c>
      <c r="E18038" s="2">
        <v>1</v>
      </c>
      <c r="F18038" s="2" t="s">
        <v>16</v>
      </c>
    </row>
    <row r="18039" spans="1:6" ht="25.5">
      <c r="A18039" s="2">
        <v>18036</v>
      </c>
      <c r="B18039" s="2" t="s">
        <v>18110</v>
      </c>
      <c r="C18039" s="2" t="str">
        <f>"00806765"</f>
        <v>00806765</v>
      </c>
      <c r="D18039" s="2">
        <v>0.16300000000000001</v>
      </c>
      <c r="E18039" s="2">
        <v>1</v>
      </c>
      <c r="F18039" s="2" t="s">
        <v>16</v>
      </c>
    </row>
    <row r="18040" spans="1:6" ht="25.5">
      <c r="A18040" s="2">
        <v>18037</v>
      </c>
      <c r="B18040" s="2" t="s">
        <v>18111</v>
      </c>
      <c r="C18040" s="2" t="str">
        <f>"01610457"</f>
        <v>01610457</v>
      </c>
      <c r="D18040" s="2">
        <v>0.373</v>
      </c>
      <c r="E18040" s="2">
        <v>30</v>
      </c>
      <c r="F18040" s="2" t="s">
        <v>6</v>
      </c>
    </row>
    <row r="18041" spans="1:6" ht="25.5">
      <c r="A18041" s="2">
        <v>18038</v>
      </c>
      <c r="B18041" s="2" t="s">
        <v>18112</v>
      </c>
      <c r="C18041" s="2" t="str">
        <f>"17451701"</f>
        <v>17451701</v>
      </c>
      <c r="D18041" s="2">
        <v>3.6909999999999998</v>
      </c>
      <c r="E18041" s="2">
        <v>113</v>
      </c>
      <c r="F18041" s="2" t="s">
        <v>16</v>
      </c>
    </row>
    <row r="18042" spans="1:6" ht="25.5">
      <c r="A18042" s="2">
        <v>18039</v>
      </c>
      <c r="B18042" s="2" t="s">
        <v>18113</v>
      </c>
      <c r="C18042" s="2" t="str">
        <f>"09209964"</f>
        <v>09209964</v>
      </c>
      <c r="D18042" s="2">
        <v>2.1389999999999998</v>
      </c>
      <c r="E18042" s="2">
        <v>113</v>
      </c>
      <c r="F18042" s="2" t="s">
        <v>75</v>
      </c>
    </row>
    <row r="18043" spans="1:6" ht="25.5">
      <c r="A18043" s="2">
        <v>18040</v>
      </c>
      <c r="B18043" s="2" t="s">
        <v>18114</v>
      </c>
      <c r="C18043" s="2" t="str">
        <f>"14322129"</f>
        <v>14322129</v>
      </c>
      <c r="D18043" s="2">
        <v>0.33200000000000002</v>
      </c>
      <c r="E18043" s="2">
        <v>26</v>
      </c>
      <c r="F18043" s="2" t="s">
        <v>12</v>
      </c>
    </row>
    <row r="18044" spans="1:6" ht="25.5">
      <c r="A18044" s="2">
        <v>18041</v>
      </c>
      <c r="B18044" s="2" t="s">
        <v>18115</v>
      </c>
      <c r="C18044" s="2" t="str">
        <f>"19954336"</f>
        <v>19954336</v>
      </c>
      <c r="D18044" s="2">
        <v>0.10299999999999999</v>
      </c>
      <c r="E18044" s="2">
        <v>1</v>
      </c>
      <c r="F18044" s="2" t="s">
        <v>129</v>
      </c>
    </row>
    <row r="18045" spans="1:6" ht="25.5">
      <c r="A18045" s="2">
        <v>18042</v>
      </c>
      <c r="B18045" s="2" t="s">
        <v>18116</v>
      </c>
      <c r="C18045" s="2" t="str">
        <f>"09243453"</f>
        <v>09243453</v>
      </c>
      <c r="D18045" s="2">
        <v>0.93</v>
      </c>
      <c r="E18045" s="2">
        <v>27</v>
      </c>
      <c r="F18045" s="2" t="s">
        <v>16</v>
      </c>
    </row>
    <row r="18046" spans="1:6" ht="25.5">
      <c r="A18046" s="2">
        <v>18043</v>
      </c>
      <c r="B18046" s="2" t="s">
        <v>18117</v>
      </c>
      <c r="C18046" s="2" t="str">
        <f>"13642626"</f>
        <v>13642626</v>
      </c>
      <c r="D18046" s="2">
        <v>0.94499999999999995</v>
      </c>
      <c r="E18046" s="2">
        <v>20</v>
      </c>
      <c r="F18046" s="2" t="s">
        <v>6</v>
      </c>
    </row>
    <row r="18047" spans="1:6" ht="25.5">
      <c r="A18047" s="2">
        <v>18044</v>
      </c>
      <c r="B18047" s="2" t="s">
        <v>18118</v>
      </c>
      <c r="C18047" s="2" t="str">
        <f>"15234320"</f>
        <v>15234320</v>
      </c>
      <c r="D18047" s="2">
        <v>0.186</v>
      </c>
      <c r="E18047" s="2">
        <v>6</v>
      </c>
      <c r="F18047" s="2" t="s">
        <v>6</v>
      </c>
    </row>
    <row r="18048" spans="1:6" ht="25.5">
      <c r="A18048" s="2">
        <v>18045</v>
      </c>
      <c r="B18048" s="2" t="s">
        <v>18119</v>
      </c>
      <c r="C18048" s="2" t="str">
        <f>"18662633"</f>
        <v>18662633</v>
      </c>
      <c r="D18048" s="2">
        <v>0.42399999999999999</v>
      </c>
      <c r="E18048" s="2">
        <v>4</v>
      </c>
      <c r="F18048" s="2" t="s">
        <v>6</v>
      </c>
    </row>
    <row r="18049" spans="1:6" ht="25.5">
      <c r="A18049" s="2">
        <v>18046</v>
      </c>
      <c r="B18049" s="2" t="s">
        <v>18120</v>
      </c>
      <c r="C18049" s="2" t="str">
        <f>"01430343"</f>
        <v>01430343</v>
      </c>
      <c r="D18049" s="2">
        <v>0.56100000000000005</v>
      </c>
      <c r="E18049" s="2">
        <v>25</v>
      </c>
      <c r="F18049" s="2" t="s">
        <v>16</v>
      </c>
    </row>
    <row r="18050" spans="1:6" ht="25.5">
      <c r="A18050" s="2">
        <v>18047</v>
      </c>
      <c r="B18050" s="2" t="s">
        <v>18121</v>
      </c>
      <c r="C18050" s="2" t="str">
        <f>"10453830"</f>
        <v>10453830</v>
      </c>
      <c r="D18050" s="2">
        <v>1.026</v>
      </c>
      <c r="E18050" s="2">
        <v>36</v>
      </c>
      <c r="F18050" s="2" t="s">
        <v>6</v>
      </c>
    </row>
    <row r="18051" spans="1:6" ht="25.5">
      <c r="A18051" s="2">
        <v>18048</v>
      </c>
      <c r="B18051" s="2" t="s">
        <v>18122</v>
      </c>
      <c r="C18051" s="2" t="str">
        <f>"02796015"</f>
        <v>02796015</v>
      </c>
      <c r="D18051" s="2">
        <v>1.2390000000000001</v>
      </c>
      <c r="E18051" s="2">
        <v>48</v>
      </c>
      <c r="F18051" s="2" t="s">
        <v>6</v>
      </c>
    </row>
    <row r="18052" spans="1:6" ht="25.5">
      <c r="A18052" s="2">
        <v>18049</v>
      </c>
      <c r="B18052" s="2" t="s">
        <v>18123</v>
      </c>
      <c r="C18052" s="2" t="str">
        <f>"02587661"</f>
        <v>02587661</v>
      </c>
      <c r="D18052" s="2">
        <v>0.11</v>
      </c>
      <c r="E18052" s="2">
        <v>7</v>
      </c>
      <c r="F18052" s="2" t="s">
        <v>31</v>
      </c>
    </row>
    <row r="18053" spans="1:6" ht="25.5">
      <c r="A18053" s="2">
        <v>18050</v>
      </c>
      <c r="B18053" s="2" t="s">
        <v>18124</v>
      </c>
      <c r="C18053" s="2" t="str">
        <f>"00367281"</f>
        <v>00367281</v>
      </c>
      <c r="D18053" s="2">
        <v>0.20200000000000001</v>
      </c>
      <c r="E18053" s="2">
        <v>19</v>
      </c>
      <c r="F18053" s="2" t="s">
        <v>31</v>
      </c>
    </row>
    <row r="18054" spans="1:6" ht="25.5">
      <c r="A18054" s="2">
        <v>18051</v>
      </c>
      <c r="B18054" s="2" t="s">
        <v>18125</v>
      </c>
      <c r="C18054" s="2" t="str">
        <f>"10132058"</f>
        <v>10132058</v>
      </c>
      <c r="D18054" s="2">
        <v>0</v>
      </c>
      <c r="E18054" s="2">
        <v>7</v>
      </c>
      <c r="F18054" s="2" t="s">
        <v>31</v>
      </c>
    </row>
    <row r="18055" spans="1:6" ht="25.5">
      <c r="A18055" s="2">
        <v>18052</v>
      </c>
      <c r="B18055" s="2" t="s">
        <v>18126</v>
      </c>
      <c r="C18055" s="2" t="str">
        <f>"0036794X"</f>
        <v>0036794X</v>
      </c>
      <c r="D18055" s="2">
        <v>0.12</v>
      </c>
      <c r="E18055" s="2">
        <v>1</v>
      </c>
      <c r="F18055" s="2" t="s">
        <v>31</v>
      </c>
    </row>
    <row r="18056" spans="1:6" ht="25.5">
      <c r="A18056" s="2">
        <v>18053</v>
      </c>
      <c r="B18056" s="2" t="s">
        <v>18127</v>
      </c>
      <c r="C18056" s="2" t="str">
        <f>"22351469"</f>
        <v>22351469</v>
      </c>
      <c r="D18056" s="2">
        <v>0.13500000000000001</v>
      </c>
      <c r="E18056" s="2">
        <v>3</v>
      </c>
      <c r="F18056" s="2" t="s">
        <v>31</v>
      </c>
    </row>
    <row r="18057" spans="1:6" ht="25.5">
      <c r="A18057" s="2">
        <v>18054</v>
      </c>
      <c r="B18057" s="2" t="s">
        <v>18128</v>
      </c>
      <c r="C18057" s="2" t="str">
        <f>"10150684"</f>
        <v>10150684</v>
      </c>
      <c r="D18057" s="2">
        <v>0.155</v>
      </c>
      <c r="E18057" s="2">
        <v>5</v>
      </c>
      <c r="F18057" s="2" t="s">
        <v>31</v>
      </c>
    </row>
    <row r="18058" spans="1:6" ht="25.5">
      <c r="A18058" s="2">
        <v>18055</v>
      </c>
      <c r="B18058" s="2" t="s">
        <v>18129</v>
      </c>
      <c r="C18058" s="2" t="str">
        <f>"14220644"</f>
        <v>14220644</v>
      </c>
      <c r="D18058" s="2">
        <v>0.13900000000000001</v>
      </c>
      <c r="E18058" s="2">
        <v>7</v>
      </c>
      <c r="F18058" s="2" t="s">
        <v>31</v>
      </c>
    </row>
    <row r="18059" spans="1:6" ht="38.25">
      <c r="A18059" s="2">
        <v>18056</v>
      </c>
      <c r="B18059" s="2" t="s">
        <v>18130</v>
      </c>
      <c r="C18059" s="2" t="str">
        <f>"02562855"</f>
        <v>02562855</v>
      </c>
      <c r="D18059" s="2">
        <v>0.187</v>
      </c>
      <c r="E18059" s="2">
        <v>11</v>
      </c>
      <c r="F18059" s="2" t="s">
        <v>31</v>
      </c>
    </row>
    <row r="18060" spans="1:6" ht="25.5">
      <c r="A18060" s="2">
        <v>18057</v>
      </c>
      <c r="B18060" s="2" t="s">
        <v>18131</v>
      </c>
      <c r="C18060" s="2" t="str">
        <f>"00368075"</f>
        <v>00368075</v>
      </c>
      <c r="D18060" s="2">
        <v>10.618</v>
      </c>
      <c r="E18060" s="2">
        <v>739</v>
      </c>
      <c r="F18060" s="2" t="s">
        <v>6</v>
      </c>
    </row>
    <row r="18061" spans="1:6" ht="25.5">
      <c r="A18061" s="2">
        <v>18058</v>
      </c>
      <c r="B18061" s="2" t="s">
        <v>18132</v>
      </c>
      <c r="C18061" s="2" t="str">
        <f>"09267220"</f>
        <v>09267220</v>
      </c>
      <c r="D18061" s="2">
        <v>0.747</v>
      </c>
      <c r="E18061" s="2">
        <v>21</v>
      </c>
      <c r="F18061" s="2" t="s">
        <v>75</v>
      </c>
    </row>
    <row r="18062" spans="1:6" ht="25.5">
      <c r="A18062" s="2">
        <v>18059</v>
      </c>
      <c r="B18062" s="2" t="s">
        <v>18133</v>
      </c>
      <c r="C18062" s="2" t="str">
        <f>"14715546"</f>
        <v>14715546</v>
      </c>
      <c r="D18062" s="2">
        <v>0.26900000000000002</v>
      </c>
      <c r="E18062" s="2">
        <v>22</v>
      </c>
      <c r="F18062" s="2" t="s">
        <v>75</v>
      </c>
    </row>
    <row r="18063" spans="1:6" ht="25.5">
      <c r="A18063" s="2">
        <v>18060</v>
      </c>
      <c r="B18063" s="2" t="s">
        <v>18134</v>
      </c>
      <c r="C18063" s="2" t="str">
        <f>"0334181X"</f>
        <v>0334181X</v>
      </c>
      <c r="D18063" s="2">
        <v>0.22900000000000001</v>
      </c>
      <c r="E18063" s="2">
        <v>11</v>
      </c>
      <c r="F18063" s="2" t="s">
        <v>12</v>
      </c>
    </row>
    <row r="18064" spans="1:6" ht="25.5">
      <c r="A18064" s="2">
        <v>18061</v>
      </c>
      <c r="B18064" s="2" t="s">
        <v>18135</v>
      </c>
      <c r="C18064" s="2" t="str">
        <f>"15477800"</f>
        <v>15477800</v>
      </c>
      <c r="D18064" s="2">
        <v>0.14199999999999999</v>
      </c>
      <c r="E18064" s="2">
        <v>5</v>
      </c>
      <c r="F18064" s="2" t="s">
        <v>16</v>
      </c>
    </row>
    <row r="18065" spans="1:6" ht="25.5">
      <c r="A18065" s="2">
        <v>18062</v>
      </c>
      <c r="B18065" s="2" t="s">
        <v>18136</v>
      </c>
      <c r="C18065" s="2" t="str">
        <f>"13550306"</f>
        <v>13550306</v>
      </c>
      <c r="D18065" s="2">
        <v>0.77800000000000002</v>
      </c>
      <c r="E18065" s="2">
        <v>21</v>
      </c>
      <c r="F18065" s="2" t="s">
        <v>16</v>
      </c>
    </row>
    <row r="18066" spans="1:6" ht="25.5">
      <c r="A18066" s="2">
        <v>18063</v>
      </c>
      <c r="B18066" s="2" t="s">
        <v>18137</v>
      </c>
      <c r="C18066" s="2" t="str">
        <f>"14715430"</f>
        <v>14715430</v>
      </c>
      <c r="D18066" s="2">
        <v>0.62</v>
      </c>
      <c r="E18066" s="2">
        <v>28</v>
      </c>
      <c r="F18066" s="2" t="s">
        <v>16</v>
      </c>
    </row>
    <row r="18067" spans="1:6" ht="25.5">
      <c r="A18067" s="2">
        <v>18064</v>
      </c>
      <c r="B18067" s="2" t="s">
        <v>18138</v>
      </c>
      <c r="C18067" s="2" t="str">
        <f>"00368237"</f>
        <v>00368237</v>
      </c>
      <c r="D18067" s="2">
        <v>0.16600000000000001</v>
      </c>
      <c r="E18067" s="2">
        <v>9</v>
      </c>
      <c r="F18067" s="2" t="s">
        <v>6</v>
      </c>
    </row>
    <row r="18068" spans="1:6" ht="25.5">
      <c r="A18068" s="2">
        <v>18065</v>
      </c>
      <c r="B18068" s="2" t="s">
        <v>18139</v>
      </c>
      <c r="C18068" s="2" t="str">
        <f>"07651597"</f>
        <v>07651597</v>
      </c>
      <c r="D18068" s="2">
        <v>0.20599999999999999</v>
      </c>
      <c r="E18068" s="2">
        <v>12</v>
      </c>
      <c r="F18068" s="2" t="s">
        <v>66</v>
      </c>
    </row>
    <row r="18069" spans="1:6" ht="25.5">
      <c r="A18069" s="2">
        <v>18066</v>
      </c>
      <c r="B18069" s="2" t="s">
        <v>18140</v>
      </c>
      <c r="C18069" s="2" t="str">
        <f>"15411109"</f>
        <v>15411109</v>
      </c>
      <c r="D18069" s="2">
        <v>0.92900000000000005</v>
      </c>
      <c r="E18069" s="2">
        <v>10</v>
      </c>
      <c r="F18069" s="2" t="s">
        <v>16</v>
      </c>
    </row>
    <row r="18070" spans="1:6" ht="25.5">
      <c r="A18070" s="2">
        <v>18067</v>
      </c>
      <c r="B18070" s="2" t="s">
        <v>18141</v>
      </c>
      <c r="C18070" s="2" t="str">
        <f>"14686996"</f>
        <v>14686996</v>
      </c>
      <c r="D18070" s="2">
        <v>1.276</v>
      </c>
      <c r="E18070" s="2">
        <v>41</v>
      </c>
      <c r="F18070" s="2" t="s">
        <v>16</v>
      </c>
    </row>
    <row r="18071" spans="1:6" ht="25.5">
      <c r="A18071" s="2">
        <v>18068</v>
      </c>
      <c r="B18071" s="2" t="s">
        <v>18142</v>
      </c>
      <c r="C18071" s="2" t="str">
        <f>"18754023"</f>
        <v>18754023</v>
      </c>
      <c r="D18071" s="2">
        <v>0.10199999999999999</v>
      </c>
      <c r="E18071" s="2">
        <v>0</v>
      </c>
      <c r="F18071" s="2" t="s">
        <v>75</v>
      </c>
    </row>
    <row r="18072" spans="1:6" ht="25.5">
      <c r="A18072" s="2">
        <v>18069</v>
      </c>
      <c r="B18072" s="2" t="s">
        <v>18143</v>
      </c>
      <c r="C18072" s="2" t="str">
        <f>"13479466"</f>
        <v>13479466</v>
      </c>
      <c r="D18072" s="2">
        <v>0.189</v>
      </c>
      <c r="E18072" s="2">
        <v>9</v>
      </c>
      <c r="F18072" s="2" t="s">
        <v>131</v>
      </c>
    </row>
    <row r="18073" spans="1:6" ht="25.5">
      <c r="A18073" s="2">
        <v>18070</v>
      </c>
      <c r="B18073" s="2" t="s">
        <v>18144</v>
      </c>
      <c r="C18073" s="2" t="str">
        <f>"13621718"</f>
        <v>13621718</v>
      </c>
      <c r="D18073" s="2">
        <v>1.2230000000000001</v>
      </c>
      <c r="E18073" s="2">
        <v>35</v>
      </c>
      <c r="F18073" s="2" t="s">
        <v>16</v>
      </c>
    </row>
    <row r="18074" spans="1:6" ht="25.5">
      <c r="A18074" s="2">
        <v>18071</v>
      </c>
      <c r="B18074" s="2" t="s">
        <v>18145</v>
      </c>
      <c r="C18074" s="2" t="str">
        <f>"09505431"</f>
        <v>09505431</v>
      </c>
      <c r="D18074" s="2">
        <v>0.26</v>
      </c>
      <c r="E18074" s="2">
        <v>5</v>
      </c>
      <c r="F18074" s="2" t="s">
        <v>16</v>
      </c>
    </row>
    <row r="18075" spans="1:6" ht="25.5">
      <c r="A18075" s="2">
        <v>18072</v>
      </c>
      <c r="B18075" s="2" t="s">
        <v>18146</v>
      </c>
      <c r="C18075" s="2" t="str">
        <f>"15131874"</f>
        <v>15131874</v>
      </c>
      <c r="D18075" s="2">
        <v>0.19400000000000001</v>
      </c>
      <c r="E18075" s="2">
        <v>10</v>
      </c>
      <c r="F18075" s="2" t="s">
        <v>1966</v>
      </c>
    </row>
    <row r="18076" spans="1:6" ht="25.5">
      <c r="A18076" s="2">
        <v>18073</v>
      </c>
      <c r="B18076" s="2" t="s">
        <v>18147</v>
      </c>
      <c r="C18076" s="2" t="str">
        <f>"18622771"</f>
        <v>18622771</v>
      </c>
      <c r="D18076" s="2">
        <v>0.38900000000000001</v>
      </c>
      <c r="E18076" s="2">
        <v>20</v>
      </c>
      <c r="F18076" s="2" t="s">
        <v>46</v>
      </c>
    </row>
    <row r="18077" spans="1:6" ht="25.5">
      <c r="A18077" s="2">
        <v>18074</v>
      </c>
      <c r="B18077" s="2" t="s">
        <v>18148</v>
      </c>
      <c r="C18077" s="2" t="str">
        <f>"18691897"</f>
        <v>18691897</v>
      </c>
      <c r="D18077" s="2">
        <v>0.58799999999999997</v>
      </c>
      <c r="E18077" s="2">
        <v>39</v>
      </c>
      <c r="F18077" s="2" t="s">
        <v>46</v>
      </c>
    </row>
    <row r="18078" spans="1:6" ht="25.5">
      <c r="A18078" s="2">
        <v>18075</v>
      </c>
      <c r="B18078" s="2" t="s">
        <v>18149</v>
      </c>
      <c r="C18078" s="2" t="str">
        <f>"18622836"</f>
        <v>18622836</v>
      </c>
      <c r="D18078" s="2">
        <v>0.39200000000000002</v>
      </c>
      <c r="E18078" s="2">
        <v>22</v>
      </c>
      <c r="F18078" s="2" t="s">
        <v>46</v>
      </c>
    </row>
    <row r="18079" spans="1:6" ht="25.5">
      <c r="A18079" s="2">
        <v>18076</v>
      </c>
      <c r="B18079" s="2" t="s">
        <v>18150</v>
      </c>
      <c r="C18079" s="2" t="str">
        <f>"18691889"</f>
        <v>18691889</v>
      </c>
      <c r="D18079" s="2">
        <v>0.45100000000000001</v>
      </c>
      <c r="E18079" s="2">
        <v>21</v>
      </c>
      <c r="F18079" s="2" t="s">
        <v>46</v>
      </c>
    </row>
    <row r="18080" spans="1:6" ht="25.5">
      <c r="A18080" s="2">
        <v>18077</v>
      </c>
      <c r="B18080" s="2" t="s">
        <v>18151</v>
      </c>
      <c r="C18080" s="2" t="str">
        <f>"16747283"</f>
        <v>16747283</v>
      </c>
      <c r="D18080" s="2">
        <v>0.51700000000000002</v>
      </c>
      <c r="E18080" s="2">
        <v>6</v>
      </c>
      <c r="F18080" s="2" t="s">
        <v>46</v>
      </c>
    </row>
    <row r="18081" spans="1:6" ht="25.5">
      <c r="A18081" s="2">
        <v>18078</v>
      </c>
      <c r="B18081" s="2" t="s">
        <v>18152</v>
      </c>
      <c r="C18081" s="2" t="str">
        <f>"16747348"</f>
        <v>16747348</v>
      </c>
      <c r="D18081" s="2">
        <v>0.34899999999999998</v>
      </c>
      <c r="E18081" s="2">
        <v>20</v>
      </c>
      <c r="F18081" s="2" t="s">
        <v>46</v>
      </c>
    </row>
    <row r="18082" spans="1:6" ht="25.5">
      <c r="A18082" s="2">
        <v>18079</v>
      </c>
      <c r="B18082" s="2" t="s">
        <v>18153</v>
      </c>
      <c r="C18082" s="2" t="str">
        <f>"16747321"</f>
        <v>16747321</v>
      </c>
      <c r="D18082" s="2">
        <v>0.39400000000000002</v>
      </c>
      <c r="E18082" s="2">
        <v>13</v>
      </c>
      <c r="F18082" s="2" t="s">
        <v>12</v>
      </c>
    </row>
    <row r="18083" spans="1:6" ht="25.5">
      <c r="A18083" s="2">
        <v>18080</v>
      </c>
      <c r="B18083" s="2" t="s">
        <v>18154</v>
      </c>
      <c r="C18083" s="2" t="str">
        <f>"10755470"</f>
        <v>10755470</v>
      </c>
      <c r="D18083" s="2">
        <v>1.3009999999999999</v>
      </c>
      <c r="E18083" s="2">
        <v>27</v>
      </c>
      <c r="F18083" s="2" t="s">
        <v>6</v>
      </c>
    </row>
    <row r="18084" spans="1:6" ht="25.5">
      <c r="A18084" s="2">
        <v>18081</v>
      </c>
      <c r="B18084" s="2" t="s">
        <v>18155</v>
      </c>
      <c r="C18084" s="2" t="str">
        <f>"1098237X"</f>
        <v>1098237X</v>
      </c>
      <c r="D18084" s="2">
        <v>2.5950000000000002</v>
      </c>
      <c r="E18084" s="2">
        <v>56</v>
      </c>
      <c r="F18084" s="2" t="s">
        <v>6</v>
      </c>
    </row>
    <row r="18085" spans="1:6" ht="25.5">
      <c r="A18085" s="2">
        <v>18082</v>
      </c>
      <c r="B18085" s="2" t="s">
        <v>18156</v>
      </c>
      <c r="C18085" s="2" t="str">
        <f>"17775922"</f>
        <v>17775922</v>
      </c>
      <c r="D18085" s="2">
        <v>0</v>
      </c>
      <c r="E18085" s="2">
        <v>0</v>
      </c>
      <c r="F18085" s="2" t="s">
        <v>66</v>
      </c>
    </row>
    <row r="18086" spans="1:6" ht="25.5">
      <c r="A18086" s="2">
        <v>18083</v>
      </c>
      <c r="B18086" s="2" t="s">
        <v>18157</v>
      </c>
      <c r="C18086" s="2" t="str">
        <f>"17821541"</f>
        <v>17821541</v>
      </c>
      <c r="D18086" s="2">
        <v>0.124</v>
      </c>
      <c r="E18086" s="2">
        <v>3</v>
      </c>
      <c r="F18086" s="2" t="s">
        <v>161</v>
      </c>
    </row>
    <row r="18087" spans="1:6" ht="25.5">
      <c r="A18087" s="2">
        <v>18084</v>
      </c>
      <c r="B18087" s="2" t="s">
        <v>18158</v>
      </c>
      <c r="C18087" s="2" t="str">
        <f>"00917729"</f>
        <v>00917729</v>
      </c>
      <c r="D18087" s="2">
        <v>0.104</v>
      </c>
      <c r="E18087" s="2">
        <v>5</v>
      </c>
      <c r="F18087" s="2" t="s">
        <v>6</v>
      </c>
    </row>
    <row r="18088" spans="1:6" ht="25.5">
      <c r="A18088" s="2">
        <v>18085</v>
      </c>
      <c r="B18088" s="2" t="s">
        <v>18159</v>
      </c>
      <c r="C18088" s="2" t="str">
        <f>"11732946"</f>
        <v>11732946</v>
      </c>
      <c r="D18088" s="2">
        <v>0.121</v>
      </c>
      <c r="E18088" s="2">
        <v>8</v>
      </c>
      <c r="F18088" s="2" t="s">
        <v>503</v>
      </c>
    </row>
    <row r="18089" spans="1:6" ht="25.5">
      <c r="A18089" s="2">
        <v>18086</v>
      </c>
      <c r="B18089" s="2" t="s">
        <v>18160</v>
      </c>
      <c r="C18089" s="2" t="str">
        <f>"10069283"</f>
        <v>10069283</v>
      </c>
      <c r="D18089" s="2">
        <v>0.497</v>
      </c>
      <c r="E18089" s="2">
        <v>15</v>
      </c>
      <c r="F18089" s="2" t="s">
        <v>46</v>
      </c>
    </row>
    <row r="18090" spans="1:6" ht="25.5">
      <c r="A18090" s="2">
        <v>18087</v>
      </c>
      <c r="B18090" s="2" t="s">
        <v>18161</v>
      </c>
      <c r="C18090" s="2" t="str">
        <f>"14740664"</f>
        <v>14740664</v>
      </c>
      <c r="D18090" s="2">
        <v>0.3</v>
      </c>
      <c r="E18090" s="2">
        <v>11</v>
      </c>
      <c r="F18090" s="2" t="s">
        <v>16</v>
      </c>
    </row>
    <row r="18091" spans="1:6" ht="25.5">
      <c r="A18091" s="2">
        <v>18088</v>
      </c>
      <c r="B18091" s="2" t="s">
        <v>18162</v>
      </c>
      <c r="C18091" s="2" t="str">
        <f>"19472943"</f>
        <v>19472943</v>
      </c>
      <c r="D18091" s="2">
        <v>0.75</v>
      </c>
      <c r="E18091" s="2">
        <v>13</v>
      </c>
      <c r="F18091" s="2" t="s">
        <v>6</v>
      </c>
    </row>
    <row r="18092" spans="1:6" ht="25.5">
      <c r="A18092" s="2">
        <v>18089</v>
      </c>
      <c r="B18092" s="2" t="s">
        <v>18163</v>
      </c>
      <c r="C18092" s="2" t="str">
        <f>"01676423"</f>
        <v>01676423</v>
      </c>
      <c r="D18092" s="2">
        <v>1.2150000000000001</v>
      </c>
      <c r="E18092" s="2">
        <v>41</v>
      </c>
      <c r="F18092" s="2" t="s">
        <v>75</v>
      </c>
    </row>
    <row r="18093" spans="1:6" ht="25.5">
      <c r="A18093" s="2">
        <v>18090</v>
      </c>
      <c r="B18093" s="2" t="s">
        <v>18164</v>
      </c>
      <c r="C18093" s="2" t="str">
        <f>"18557171"</f>
        <v>18557171</v>
      </c>
      <c r="D18093" s="2">
        <v>0</v>
      </c>
      <c r="E18093" s="2">
        <v>1</v>
      </c>
      <c r="F18093" s="2" t="s">
        <v>154</v>
      </c>
    </row>
    <row r="18094" spans="1:6" ht="25.5">
      <c r="A18094" s="2">
        <v>18091</v>
      </c>
      <c r="B18094" s="2" t="s">
        <v>18165</v>
      </c>
      <c r="C18094" s="2" t="str">
        <f>"0350820X"</f>
        <v>0350820X</v>
      </c>
      <c r="D18094" s="2">
        <v>0.26</v>
      </c>
      <c r="E18094" s="2">
        <v>9</v>
      </c>
      <c r="F18094" s="2" t="s">
        <v>212</v>
      </c>
    </row>
    <row r="18095" spans="1:6" ht="25.5">
      <c r="A18095" s="2">
        <v>18092</v>
      </c>
      <c r="B18095" s="2" t="s">
        <v>18166</v>
      </c>
      <c r="C18095" s="2" t="str">
        <f>"00489697"</f>
        <v>00489697</v>
      </c>
      <c r="D18095" s="2">
        <v>1.5049999999999999</v>
      </c>
      <c r="E18095" s="2">
        <v>115</v>
      </c>
      <c r="F18095" s="2" t="s">
        <v>75</v>
      </c>
    </row>
    <row r="18096" spans="1:6" ht="25.5">
      <c r="A18096" s="2">
        <v>18093</v>
      </c>
      <c r="B18096" s="2" t="s">
        <v>18167</v>
      </c>
      <c r="C18096" s="2" t="str">
        <f>"87556839"</f>
        <v>87556839</v>
      </c>
      <c r="D18096" s="2">
        <v>0.25800000000000001</v>
      </c>
      <c r="E18096" s="2">
        <v>5</v>
      </c>
      <c r="F18096" s="2" t="s">
        <v>6</v>
      </c>
    </row>
    <row r="18097" spans="1:6" ht="25.5">
      <c r="A18097" s="2">
        <v>18094</v>
      </c>
      <c r="B18097" s="2" t="s">
        <v>18168</v>
      </c>
      <c r="C18097" s="2" t="str">
        <f>"00368504"</f>
        <v>00368504</v>
      </c>
      <c r="D18097" s="2">
        <v>0.29899999999999999</v>
      </c>
      <c r="E18097" s="2">
        <v>22</v>
      </c>
      <c r="F18097" s="2" t="s">
        <v>16</v>
      </c>
    </row>
    <row r="18098" spans="1:6" ht="25.5">
      <c r="A18098" s="2">
        <v>18095</v>
      </c>
      <c r="B18098" s="2" t="s">
        <v>18169</v>
      </c>
      <c r="C18098" s="2" t="str">
        <f>"02408813"</f>
        <v>02408813</v>
      </c>
      <c r="D18098" s="2">
        <v>0.10199999999999999</v>
      </c>
      <c r="E18098" s="2">
        <v>19</v>
      </c>
      <c r="F18098" s="2" t="s">
        <v>66</v>
      </c>
    </row>
    <row r="18099" spans="1:6" ht="25.5">
      <c r="A18099" s="2">
        <v>18096</v>
      </c>
      <c r="B18099" s="2" t="s">
        <v>18170</v>
      </c>
      <c r="C18099" s="2" t="str">
        <f>"19379145"</f>
        <v>19379145</v>
      </c>
      <c r="D18099" s="2">
        <v>4.5510000000000002</v>
      </c>
      <c r="E18099" s="2">
        <v>78</v>
      </c>
      <c r="F18099" s="2" t="s">
        <v>6</v>
      </c>
    </row>
    <row r="18100" spans="1:6" ht="25.5">
      <c r="A18100" s="2">
        <v>18097</v>
      </c>
      <c r="B18100" s="2" t="s">
        <v>18171</v>
      </c>
      <c r="C18100" s="2" t="str">
        <f>"02940337"</f>
        <v>02940337</v>
      </c>
      <c r="D18100" s="2">
        <v>0.13900000000000001</v>
      </c>
      <c r="E18100" s="2">
        <v>9</v>
      </c>
      <c r="F18100" s="2" t="s">
        <v>66</v>
      </c>
    </row>
    <row r="18101" spans="1:6" ht="25.5">
      <c r="A18101" s="2">
        <v>18098</v>
      </c>
      <c r="B18101" s="2" t="s">
        <v>18172</v>
      </c>
      <c r="C18101" s="2" t="str">
        <f>"07863012"</f>
        <v>07863012</v>
      </c>
      <c r="D18101" s="2">
        <v>0.10299999999999999</v>
      </c>
      <c r="E18101" s="2">
        <v>1</v>
      </c>
      <c r="F18101" s="2" t="s">
        <v>751</v>
      </c>
    </row>
    <row r="18102" spans="1:6" ht="25.5">
      <c r="A18102" s="2">
        <v>18099</v>
      </c>
      <c r="B18102" s="2" t="s">
        <v>18173</v>
      </c>
      <c r="C18102" s="2" t="str">
        <f>"01622439"</f>
        <v>01622439</v>
      </c>
      <c r="D18102" s="2">
        <v>0.94399999999999995</v>
      </c>
      <c r="E18102" s="2">
        <v>35</v>
      </c>
      <c r="F18102" s="2" t="s">
        <v>6</v>
      </c>
    </row>
    <row r="18103" spans="1:6" ht="25.5">
      <c r="A18103" s="2">
        <v>18100</v>
      </c>
      <c r="B18103" s="2" t="s">
        <v>18174</v>
      </c>
      <c r="C18103" s="2" t="str">
        <f>"09717218"</f>
        <v>09717218</v>
      </c>
      <c r="D18103" s="2">
        <v>0.13800000000000001</v>
      </c>
      <c r="E18103" s="2">
        <v>9</v>
      </c>
      <c r="F18103" s="2" t="s">
        <v>488</v>
      </c>
    </row>
    <row r="18104" spans="1:6" ht="25.5">
      <c r="A18104" s="2">
        <v>18101</v>
      </c>
      <c r="B18104" s="2" t="s">
        <v>18175</v>
      </c>
      <c r="C18104" s="2" t="str">
        <f>"19466242"</f>
        <v>19466242</v>
      </c>
      <c r="D18104" s="2">
        <v>5.6829999999999998</v>
      </c>
      <c r="E18104" s="2">
        <v>43</v>
      </c>
      <c r="F18104" s="2" t="s">
        <v>6</v>
      </c>
    </row>
    <row r="18105" spans="1:6" ht="25.5">
      <c r="A18105" s="2">
        <v>18102</v>
      </c>
      <c r="B18105" s="2" t="s">
        <v>18176</v>
      </c>
      <c r="C18105" s="2" t="str">
        <f>"15191125"</f>
        <v>15191125</v>
      </c>
      <c r="D18105" s="2">
        <v>0.10199999999999999</v>
      </c>
      <c r="E18105" s="2">
        <v>1</v>
      </c>
      <c r="F18105" s="2" t="s">
        <v>159</v>
      </c>
    </row>
    <row r="18106" spans="1:6" ht="25.5">
      <c r="A18106" s="2">
        <v>18103</v>
      </c>
      <c r="B18106" s="2" t="s">
        <v>18177</v>
      </c>
      <c r="C18106" s="2" t="str">
        <f>"01039016"</f>
        <v>01039016</v>
      </c>
      <c r="D18106" s="2">
        <v>0.56699999999999995</v>
      </c>
      <c r="E18106" s="2">
        <v>17</v>
      </c>
      <c r="F18106" s="2" t="s">
        <v>159</v>
      </c>
    </row>
    <row r="18107" spans="1:6" ht="25.5">
      <c r="A18107" s="2">
        <v>18104</v>
      </c>
      <c r="B18107" s="2" t="s">
        <v>18178</v>
      </c>
      <c r="C18107" s="2" t="str">
        <f>"12113174"</f>
        <v>12113174</v>
      </c>
      <c r="D18107" s="2">
        <v>0</v>
      </c>
      <c r="E18107" s="2">
        <v>0</v>
      </c>
      <c r="F18107" s="2" t="s">
        <v>208</v>
      </c>
    </row>
    <row r="18108" spans="1:6" ht="25.5">
      <c r="A18108" s="2">
        <v>18105</v>
      </c>
      <c r="B18108" s="2" t="s">
        <v>18179</v>
      </c>
      <c r="C18108" s="2" t="str">
        <f>"14139324"</f>
        <v>14139324</v>
      </c>
      <c r="D18108" s="2">
        <v>0.23699999999999999</v>
      </c>
      <c r="E18108" s="2">
        <v>13</v>
      </c>
      <c r="F18108" s="2" t="s">
        <v>159</v>
      </c>
    </row>
    <row r="18109" spans="1:6" ht="25.5">
      <c r="A18109" s="2">
        <v>18106</v>
      </c>
      <c r="B18109" s="2" t="s">
        <v>18180</v>
      </c>
      <c r="C18109" s="2" t="str">
        <f>"05635020"</f>
        <v>05635020</v>
      </c>
      <c r="D18109" s="2">
        <v>0.28499999999999998</v>
      </c>
      <c r="E18109" s="2">
        <v>23</v>
      </c>
      <c r="F18109" s="2" t="s">
        <v>46</v>
      </c>
    </row>
    <row r="18110" spans="1:6" ht="25.5">
      <c r="A18110" s="2">
        <v>18107</v>
      </c>
      <c r="B18110" s="2" t="s">
        <v>18181</v>
      </c>
      <c r="C18110" s="2" t="str">
        <f>"03044238"</f>
        <v>03044238</v>
      </c>
      <c r="D18110" s="2">
        <v>0.82</v>
      </c>
      <c r="E18110" s="2">
        <v>48</v>
      </c>
      <c r="F18110" s="2" t="s">
        <v>75</v>
      </c>
    </row>
    <row r="18111" spans="1:6" ht="25.5">
      <c r="A18111" s="2">
        <v>18108</v>
      </c>
      <c r="B18111" s="2" t="s">
        <v>18182</v>
      </c>
      <c r="C18111" s="2" t="str">
        <f>"10263098"</f>
        <v>10263098</v>
      </c>
      <c r="D18111" s="2">
        <v>0.2</v>
      </c>
      <c r="E18111" s="2">
        <v>10</v>
      </c>
      <c r="F18111" s="2" t="s">
        <v>299</v>
      </c>
    </row>
    <row r="18112" spans="1:6" ht="25.5">
      <c r="A18112" s="2">
        <v>18109</v>
      </c>
      <c r="B18112" s="2" t="s">
        <v>18183</v>
      </c>
      <c r="C18112" s="2" t="str">
        <f>"02148358"</f>
        <v>02148358</v>
      </c>
      <c r="D18112" s="2">
        <v>0.52700000000000002</v>
      </c>
      <c r="E18112" s="2">
        <v>41</v>
      </c>
      <c r="F18112" s="2" t="s">
        <v>351</v>
      </c>
    </row>
    <row r="18113" spans="1:6" ht="25.5">
      <c r="A18113" s="2">
        <v>18110</v>
      </c>
      <c r="B18113" s="2" t="s">
        <v>18184</v>
      </c>
      <c r="C18113" s="2" t="str">
        <f>"00368709"</f>
        <v>00368709</v>
      </c>
      <c r="D18113" s="2">
        <v>0.437</v>
      </c>
      <c r="E18113" s="2">
        <v>15</v>
      </c>
      <c r="F18113" s="2" t="s">
        <v>288</v>
      </c>
    </row>
    <row r="18114" spans="1:6" ht="25.5">
      <c r="A18114" s="2">
        <v>18111</v>
      </c>
      <c r="B18114" s="2" t="s">
        <v>18185</v>
      </c>
      <c r="C18114" s="2" t="str">
        <f>"00368733"</f>
        <v>00368733</v>
      </c>
      <c r="D18114" s="2">
        <v>0.30499999999999999</v>
      </c>
      <c r="E18114" s="2">
        <v>59</v>
      </c>
      <c r="F18114" s="2" t="s">
        <v>6</v>
      </c>
    </row>
    <row r="18115" spans="1:6" ht="25.5">
      <c r="A18115" s="2">
        <v>18112</v>
      </c>
      <c r="B18115" s="2" t="s">
        <v>18186</v>
      </c>
      <c r="C18115" s="2" t="str">
        <f>"01476882"</f>
        <v>01476882</v>
      </c>
      <c r="D18115" s="2">
        <v>0.161</v>
      </c>
      <c r="E18115" s="2">
        <v>2</v>
      </c>
      <c r="F18115" s="2" t="s">
        <v>6</v>
      </c>
    </row>
    <row r="18116" spans="1:6" ht="25.5">
      <c r="A18116" s="2">
        <v>18113</v>
      </c>
      <c r="B18116" s="2" t="s">
        <v>18187</v>
      </c>
      <c r="C18116" s="2" t="str">
        <f>"18438121"</f>
        <v>18438121</v>
      </c>
      <c r="D18116" s="2">
        <v>1.153</v>
      </c>
      <c r="E18116" s="2">
        <v>3</v>
      </c>
      <c r="F18116" s="2" t="s">
        <v>19</v>
      </c>
    </row>
    <row r="18117" spans="1:6" ht="25.5">
      <c r="A18117" s="2">
        <v>18114</v>
      </c>
      <c r="B18117" s="2" t="s">
        <v>18188</v>
      </c>
      <c r="C18117" s="2" t="str">
        <f>"1560652X"</f>
        <v>1560652X</v>
      </c>
      <c r="D18117" s="2">
        <v>0.106</v>
      </c>
      <c r="E18117" s="2">
        <v>1</v>
      </c>
      <c r="F18117" s="2" t="s">
        <v>299</v>
      </c>
    </row>
    <row r="18118" spans="1:6" ht="25.5">
      <c r="A18118" s="2">
        <v>18115</v>
      </c>
      <c r="B18118" s="2" t="s">
        <v>18189</v>
      </c>
      <c r="C18118" s="2" t="str">
        <f>"13496476"</f>
        <v>13496476</v>
      </c>
      <c r="D18118" s="2">
        <v>0.85</v>
      </c>
      <c r="E18118" s="2">
        <v>8</v>
      </c>
      <c r="F18118" s="2" t="s">
        <v>131</v>
      </c>
    </row>
    <row r="18119" spans="1:6" ht="25.5">
      <c r="A18119" s="2">
        <v>18116</v>
      </c>
      <c r="B18119" s="2" t="s">
        <v>18190</v>
      </c>
      <c r="C18119" s="2" t="str">
        <f>"15842231"</f>
        <v>15842231</v>
      </c>
      <c r="D18119" s="2">
        <v>0.10100000000000001</v>
      </c>
      <c r="E18119" s="2">
        <v>0</v>
      </c>
      <c r="F18119" s="2" t="s">
        <v>19</v>
      </c>
    </row>
    <row r="18120" spans="1:6" ht="25.5">
      <c r="A18120" s="2">
        <v>18117</v>
      </c>
      <c r="B18120" s="2" t="s">
        <v>18191</v>
      </c>
      <c r="C18120" s="2" t="str">
        <f>"10589244"</f>
        <v>10589244</v>
      </c>
      <c r="D18120" s="2">
        <v>0.78500000000000003</v>
      </c>
      <c r="E18120" s="2">
        <v>19</v>
      </c>
      <c r="F18120" s="2" t="s">
        <v>75</v>
      </c>
    </row>
    <row r="18121" spans="1:6" ht="25.5">
      <c r="A18121" s="2">
        <v>18118</v>
      </c>
      <c r="B18121" s="2" t="s">
        <v>18192</v>
      </c>
      <c r="C18121" s="2" t="str">
        <f>"20452322"</f>
        <v>20452322</v>
      </c>
      <c r="D18121" s="2">
        <v>1.179</v>
      </c>
      <c r="E18121" s="2">
        <v>9</v>
      </c>
      <c r="F18121" s="2" t="s">
        <v>16</v>
      </c>
    </row>
    <row r="18122" spans="1:6" ht="25.5">
      <c r="A18122" s="2">
        <v>18119</v>
      </c>
      <c r="B18122" s="2" t="s">
        <v>18193</v>
      </c>
      <c r="C18122" s="2" t="str">
        <f>"19922248"</f>
        <v>19922248</v>
      </c>
      <c r="D18122" s="2">
        <v>0.14099999999999999</v>
      </c>
      <c r="E18122" s="2">
        <v>11</v>
      </c>
      <c r="F18122" s="2" t="s">
        <v>6</v>
      </c>
    </row>
    <row r="18123" spans="1:6" ht="25.5">
      <c r="A18123" s="2">
        <v>18120</v>
      </c>
      <c r="B18123" s="2" t="s">
        <v>18194</v>
      </c>
      <c r="C18123" s="2" t="str">
        <f>"10888438"</f>
        <v>10888438</v>
      </c>
      <c r="D18123" s="2">
        <v>1.0580000000000001</v>
      </c>
      <c r="E18123" s="2">
        <v>27</v>
      </c>
      <c r="F18123" s="2" t="s">
        <v>16</v>
      </c>
    </row>
    <row r="18124" spans="1:6" ht="25.5">
      <c r="A18124" s="2">
        <v>18121</v>
      </c>
      <c r="B18124" s="2" t="s">
        <v>18195</v>
      </c>
      <c r="C18124" s="2" t="str">
        <f>"1582540X"</f>
        <v>1582540X</v>
      </c>
      <c r="D18124" s="2">
        <v>0.13200000000000001</v>
      </c>
      <c r="E18124" s="2">
        <v>1</v>
      </c>
      <c r="F18124" s="2" t="s">
        <v>19</v>
      </c>
    </row>
    <row r="18125" spans="1:6" ht="25.5">
      <c r="A18125" s="2">
        <v>18122</v>
      </c>
      <c r="B18125" s="2" t="s">
        <v>18196</v>
      </c>
      <c r="C18125" s="2" t="str">
        <f>"08903670"</f>
        <v>08903670</v>
      </c>
      <c r="D18125" s="2">
        <v>0.107</v>
      </c>
      <c r="E18125" s="2">
        <v>15</v>
      </c>
      <c r="F18125" s="2" t="s">
        <v>6</v>
      </c>
    </row>
    <row r="18126" spans="1:6" ht="25.5">
      <c r="A18126" s="2">
        <v>18123</v>
      </c>
      <c r="B18126" s="2" t="s">
        <v>18197</v>
      </c>
      <c r="C18126" s="2" t="str">
        <f>"15882861"</f>
        <v>15882861</v>
      </c>
      <c r="D18126" s="2">
        <v>1.4530000000000001</v>
      </c>
      <c r="E18126" s="2">
        <v>57</v>
      </c>
      <c r="F18126" s="2" t="s">
        <v>75</v>
      </c>
    </row>
    <row r="18127" spans="1:6" ht="25.5">
      <c r="A18127" s="2">
        <v>18124</v>
      </c>
      <c r="B18127" s="2" t="s">
        <v>18198</v>
      </c>
      <c r="C18127" s="2" t="str">
        <f>"11353716"</f>
        <v>11353716</v>
      </c>
      <c r="D18127" s="2">
        <v>0.10100000000000001</v>
      </c>
      <c r="E18127" s="2">
        <v>1</v>
      </c>
      <c r="F18127" s="2" t="s">
        <v>351</v>
      </c>
    </row>
    <row r="18128" spans="1:6" ht="25.5">
      <c r="A18128" s="2">
        <v>18125</v>
      </c>
      <c r="B18128" s="2" t="s">
        <v>18199</v>
      </c>
      <c r="C18128" s="2" t="str">
        <f>"17487161"</f>
        <v>17487161</v>
      </c>
      <c r="D18128" s="2">
        <v>0.68500000000000005</v>
      </c>
      <c r="E18128" s="2">
        <v>18</v>
      </c>
      <c r="F18128" s="2" t="s">
        <v>16</v>
      </c>
    </row>
    <row r="18129" spans="1:6" ht="25.5">
      <c r="A18129" s="2">
        <v>18126</v>
      </c>
      <c r="B18129" s="2" t="s">
        <v>18200</v>
      </c>
      <c r="C18129" s="2" t="str">
        <f>"02504162"</f>
        <v>02504162</v>
      </c>
      <c r="D18129" s="2">
        <v>0.108</v>
      </c>
      <c r="E18129" s="2">
        <v>2</v>
      </c>
      <c r="F18129" s="2" t="s">
        <v>698</v>
      </c>
    </row>
    <row r="18130" spans="1:6" ht="25.5">
      <c r="A18130" s="2">
        <v>18127</v>
      </c>
      <c r="B18130" s="2" t="s">
        <v>18201</v>
      </c>
      <c r="C18130" s="2" t="str">
        <f>"00808024"</f>
        <v>00808024</v>
      </c>
      <c r="D18130" s="2">
        <v>0.10100000000000001</v>
      </c>
      <c r="E18130" s="2">
        <v>2</v>
      </c>
      <c r="F18130" s="2" t="s">
        <v>16</v>
      </c>
    </row>
    <row r="18131" spans="1:6" ht="25.5">
      <c r="A18131" s="2">
        <v>18128</v>
      </c>
      <c r="B18131" s="2" t="s">
        <v>18202</v>
      </c>
      <c r="C18131" s="2" t="str">
        <f>"1751665X"</f>
        <v>1751665X</v>
      </c>
      <c r="D18131" s="2">
        <v>0.39700000000000002</v>
      </c>
      <c r="E18131" s="2">
        <v>13</v>
      </c>
      <c r="F18131" s="2" t="s">
        <v>16</v>
      </c>
    </row>
    <row r="18132" spans="1:6" ht="25.5">
      <c r="A18132" s="2">
        <v>18129</v>
      </c>
      <c r="B18132" s="2" t="s">
        <v>18203</v>
      </c>
      <c r="C18132" s="2" t="str">
        <f>"00369241"</f>
        <v>00369241</v>
      </c>
      <c r="D18132" s="2">
        <v>0.127</v>
      </c>
      <c r="E18132" s="2">
        <v>4</v>
      </c>
      <c r="F18132" s="2" t="s">
        <v>16</v>
      </c>
    </row>
    <row r="18133" spans="1:6" ht="25.5">
      <c r="A18133" s="2">
        <v>18130</v>
      </c>
      <c r="B18133" s="2" t="s">
        <v>18204</v>
      </c>
      <c r="C18133" s="2" t="str">
        <f>"00369276"</f>
        <v>00369276</v>
      </c>
      <c r="D18133" s="2">
        <v>0.25</v>
      </c>
      <c r="E18133" s="2">
        <v>14</v>
      </c>
      <c r="F18133" s="2" t="s">
        <v>16</v>
      </c>
    </row>
    <row r="18134" spans="1:6" ht="25.5">
      <c r="A18134" s="2">
        <v>18131</v>
      </c>
      <c r="B18134" s="2" t="s">
        <v>18205</v>
      </c>
      <c r="C18134" s="2" t="str">
        <f>"14679485"</f>
        <v>14679485</v>
      </c>
      <c r="D18134" s="2">
        <v>0.27400000000000002</v>
      </c>
      <c r="E18134" s="2">
        <v>26</v>
      </c>
      <c r="F18134" s="2" t="s">
        <v>16</v>
      </c>
    </row>
    <row r="18135" spans="1:6" ht="25.5">
      <c r="A18135" s="2">
        <v>18132</v>
      </c>
      <c r="B18135" s="2" t="s">
        <v>18206</v>
      </c>
      <c r="C18135" s="2" t="str">
        <f>"17565634"</f>
        <v>17565634</v>
      </c>
      <c r="D18135" s="2">
        <v>0.1</v>
      </c>
      <c r="E18135" s="2">
        <v>2</v>
      </c>
      <c r="F18135" s="2" t="s">
        <v>16</v>
      </c>
    </row>
    <row r="18136" spans="1:6" ht="25.5">
      <c r="A18136" s="2">
        <v>18133</v>
      </c>
      <c r="B18136" s="2" t="s">
        <v>18207</v>
      </c>
      <c r="C18136" s="2" t="str">
        <f>"20456441"</f>
        <v>20456441</v>
      </c>
      <c r="D18136" s="2">
        <v>0.13900000000000001</v>
      </c>
      <c r="E18136" s="2">
        <v>17</v>
      </c>
      <c r="F18136" s="2" t="s">
        <v>16</v>
      </c>
    </row>
    <row r="18137" spans="1:6" ht="25.5">
      <c r="A18137" s="2">
        <v>18134</v>
      </c>
      <c r="B18137" s="2" t="s">
        <v>18208</v>
      </c>
      <c r="C18137" s="2" t="str">
        <f>"14602474"</f>
        <v>14602474</v>
      </c>
      <c r="D18137" s="2">
        <v>0.20399999999999999</v>
      </c>
      <c r="E18137" s="2">
        <v>9</v>
      </c>
      <c r="F18137" s="2" t="s">
        <v>16</v>
      </c>
    </row>
    <row r="18138" spans="1:6" ht="25.5">
      <c r="A18138" s="2">
        <v>18135</v>
      </c>
      <c r="B18138" s="2" t="s">
        <v>18209</v>
      </c>
      <c r="C18138" s="2" t="str">
        <f>"07792387"</f>
        <v>07792387</v>
      </c>
      <c r="D18138" s="2">
        <v>0.10100000000000001</v>
      </c>
      <c r="E18138" s="2">
        <v>5</v>
      </c>
      <c r="F18138" s="2" t="s">
        <v>161</v>
      </c>
    </row>
    <row r="18139" spans="1:6" ht="25.5">
      <c r="A18139" s="2">
        <v>18136</v>
      </c>
      <c r="B18139" s="2" t="s">
        <v>18210</v>
      </c>
      <c r="C18139" s="2" t="str">
        <f>"03757587"</f>
        <v>03757587</v>
      </c>
      <c r="D18139" s="2">
        <v>0.23400000000000001</v>
      </c>
      <c r="E18139" s="2">
        <v>12</v>
      </c>
      <c r="F18139" s="2" t="s">
        <v>75</v>
      </c>
    </row>
    <row r="18140" spans="1:6" ht="25.5">
      <c r="A18140" s="2">
        <v>18137</v>
      </c>
      <c r="B18140" s="2" t="s">
        <v>18211</v>
      </c>
      <c r="C18140" s="2" t="str">
        <f>"13596462"</f>
        <v>13596462</v>
      </c>
      <c r="D18140" s="2">
        <v>2.1259999999999999</v>
      </c>
      <c r="E18140" s="2">
        <v>106</v>
      </c>
      <c r="F18140" s="2" t="s">
        <v>16</v>
      </c>
    </row>
    <row r="18141" spans="1:6" ht="25.5">
      <c r="A18141" s="2">
        <v>18138</v>
      </c>
      <c r="B18141" s="2" t="s">
        <v>18212</v>
      </c>
      <c r="C18141" s="2" t="str">
        <f>"18349013"</f>
        <v>18349013</v>
      </c>
      <c r="D18141" s="2">
        <v>0.10100000000000001</v>
      </c>
      <c r="E18141" s="2">
        <v>1</v>
      </c>
      <c r="F18141" s="2" t="s">
        <v>127</v>
      </c>
    </row>
    <row r="18142" spans="1:6" ht="25.5">
      <c r="A18142" s="2">
        <v>18139</v>
      </c>
      <c r="B18142" s="2" t="s">
        <v>18213</v>
      </c>
      <c r="C18142" s="2" t="str">
        <f>"11389788"</f>
        <v>11389788</v>
      </c>
      <c r="D18142" s="2">
        <v>0.1</v>
      </c>
      <c r="E18142" s="2">
        <v>2</v>
      </c>
      <c r="F18142" s="2" t="s">
        <v>351</v>
      </c>
    </row>
    <row r="18143" spans="1:6" ht="25.5">
      <c r="A18143" s="2">
        <v>18140</v>
      </c>
      <c r="B18143" s="2" t="s">
        <v>18214</v>
      </c>
      <c r="C18143" s="2" t="str">
        <f>"00369764"</f>
        <v>00369764</v>
      </c>
      <c r="D18143" s="2">
        <v>0.111</v>
      </c>
      <c r="E18143" s="2">
        <v>1</v>
      </c>
      <c r="F18143" s="2" t="s">
        <v>351</v>
      </c>
    </row>
    <row r="18144" spans="1:6" ht="25.5">
      <c r="A18144" s="2">
        <v>18141</v>
      </c>
      <c r="B18144" s="2" t="s">
        <v>18215</v>
      </c>
      <c r="C18144" s="2" t="str">
        <f>"00369772"</f>
        <v>00369772</v>
      </c>
      <c r="D18144" s="2">
        <v>0.1</v>
      </c>
      <c r="E18144" s="2">
        <v>3</v>
      </c>
      <c r="F18144" s="2" t="s">
        <v>161</v>
      </c>
    </row>
    <row r="18145" spans="1:6" ht="25.5">
      <c r="A18145" s="2">
        <v>18142</v>
      </c>
      <c r="B18145" s="2" t="s">
        <v>18216</v>
      </c>
      <c r="C18145" s="2" t="str">
        <f>"13662724"</f>
        <v>13662724</v>
      </c>
      <c r="D18145" s="2">
        <v>0.1</v>
      </c>
      <c r="E18145" s="2">
        <v>2</v>
      </c>
      <c r="F18145" s="2" t="s">
        <v>16</v>
      </c>
    </row>
    <row r="18146" spans="1:6" ht="25.5">
      <c r="A18146" s="2">
        <v>18143</v>
      </c>
      <c r="B18146" s="2" t="s">
        <v>18217</v>
      </c>
      <c r="C18146" s="2" t="str">
        <f>"07475284"</f>
        <v>07475284</v>
      </c>
      <c r="D18146" s="2">
        <v>0.1</v>
      </c>
      <c r="E18146" s="2">
        <v>1</v>
      </c>
      <c r="F18146" s="2" t="s">
        <v>6</v>
      </c>
    </row>
    <row r="18147" spans="1:6" ht="25.5">
      <c r="A18147" s="2">
        <v>18144</v>
      </c>
      <c r="B18147" s="2" t="s">
        <v>18218</v>
      </c>
      <c r="C18147" s="2" t="str">
        <f>"19302991"</f>
        <v>19302991</v>
      </c>
      <c r="D18147" s="2">
        <v>0.193</v>
      </c>
      <c r="E18147" s="2">
        <v>5</v>
      </c>
      <c r="F18147" s="2" t="s">
        <v>6</v>
      </c>
    </row>
    <row r="18148" spans="1:6" ht="25.5">
      <c r="A18148" s="2">
        <v>18145</v>
      </c>
      <c r="B18148" s="2" t="s">
        <v>18219</v>
      </c>
      <c r="C18148" s="2" t="str">
        <f>"11382074"</f>
        <v>11382074</v>
      </c>
      <c r="D18148" s="2">
        <v>0.112</v>
      </c>
      <c r="E18148" s="2">
        <v>3</v>
      </c>
      <c r="F18148" s="2" t="s">
        <v>351</v>
      </c>
    </row>
    <row r="18149" spans="1:6" ht="25.5">
      <c r="A18149" s="2">
        <v>18146</v>
      </c>
      <c r="B18149" s="2" t="s">
        <v>18220</v>
      </c>
      <c r="C18149" s="2" t="str">
        <f>"2229872X"</f>
        <v>2229872X</v>
      </c>
      <c r="D18149" s="2">
        <v>0</v>
      </c>
      <c r="E18149" s="2">
        <v>0</v>
      </c>
      <c r="F18149" s="2" t="s">
        <v>37</v>
      </c>
    </row>
    <row r="18150" spans="1:6" ht="25.5">
      <c r="A18150" s="2">
        <v>18147</v>
      </c>
      <c r="B18150" s="2" t="s">
        <v>18221</v>
      </c>
      <c r="C18150" s="2" t="str">
        <f>"14770326"</f>
        <v>14770326</v>
      </c>
      <c r="D18150" s="2">
        <v>0.48599999999999999</v>
      </c>
      <c r="E18150" s="2">
        <v>24</v>
      </c>
      <c r="F18150" s="2" t="s">
        <v>16</v>
      </c>
    </row>
    <row r="18151" spans="1:6" ht="25.5">
      <c r="A18151" s="2">
        <v>18148</v>
      </c>
      <c r="B18151" s="2" t="s">
        <v>18222</v>
      </c>
      <c r="C18151" s="2" t="str">
        <f>"19390122"</f>
        <v>19390122</v>
      </c>
      <c r="D18151" s="2">
        <v>0.23899999999999999</v>
      </c>
      <c r="E18151" s="2">
        <v>7</v>
      </c>
      <c r="F18151" s="2" t="s">
        <v>6</v>
      </c>
    </row>
    <row r="18152" spans="1:6" ht="25.5">
      <c r="A18152" s="2">
        <v>18149</v>
      </c>
      <c r="B18152" s="2" t="s">
        <v>18223</v>
      </c>
      <c r="C18152" s="2" t="str">
        <f>"18747337"</f>
        <v>18747337</v>
      </c>
      <c r="D18152" s="2">
        <v>0.13700000000000001</v>
      </c>
      <c r="E18152" s="2">
        <v>4</v>
      </c>
      <c r="F18152" s="2" t="s">
        <v>75</v>
      </c>
    </row>
    <row r="18153" spans="1:6" ht="25.5">
      <c r="A18153" s="2">
        <v>18150</v>
      </c>
      <c r="B18153" s="2" t="s">
        <v>18224</v>
      </c>
      <c r="C18153" s="2" t="str">
        <f>"09670106"</f>
        <v>09670106</v>
      </c>
      <c r="D18153" s="2">
        <v>0.98599999999999999</v>
      </c>
      <c r="E18153" s="2">
        <v>20</v>
      </c>
      <c r="F18153" s="2" t="s">
        <v>16</v>
      </c>
    </row>
    <row r="18154" spans="1:6" ht="25.5">
      <c r="A18154" s="2">
        <v>18151</v>
      </c>
      <c r="B18154" s="2" t="s">
        <v>18225</v>
      </c>
      <c r="C18154" s="2" t="str">
        <f>"09551662"</f>
        <v>09551662</v>
      </c>
      <c r="D18154" s="2">
        <v>0.29299999999999998</v>
      </c>
      <c r="E18154" s="2">
        <v>4</v>
      </c>
      <c r="F18154" s="2" t="s">
        <v>16</v>
      </c>
    </row>
    <row r="18155" spans="1:6" ht="25.5">
      <c r="A18155" s="2">
        <v>18152</v>
      </c>
      <c r="B18155" s="2" t="s">
        <v>18226</v>
      </c>
      <c r="C18155" s="2" t="str">
        <f>"09636412"</f>
        <v>09636412</v>
      </c>
      <c r="D18155" s="2">
        <v>1.337</v>
      </c>
      <c r="E18155" s="2">
        <v>18</v>
      </c>
      <c r="F18155" s="2" t="s">
        <v>16</v>
      </c>
    </row>
    <row r="18156" spans="1:6" ht="25.5">
      <c r="A18156" s="2">
        <v>18153</v>
      </c>
      <c r="B18156" s="2" t="s">
        <v>18227</v>
      </c>
      <c r="C18156" s="2" t="str">
        <f>"00370738"</f>
        <v>00370738</v>
      </c>
      <c r="D18156" s="2">
        <v>0.96499999999999997</v>
      </c>
      <c r="E18156" s="2">
        <v>61</v>
      </c>
      <c r="F18156" s="2" t="s">
        <v>75</v>
      </c>
    </row>
    <row r="18157" spans="1:6" ht="25.5">
      <c r="A18157" s="2">
        <v>18154</v>
      </c>
      <c r="B18157" s="2" t="s">
        <v>18228</v>
      </c>
      <c r="C18157" s="2" t="str">
        <f>"00370746"</f>
        <v>00370746</v>
      </c>
      <c r="D18157" s="2">
        <v>1.4370000000000001</v>
      </c>
      <c r="E18157" s="2">
        <v>60</v>
      </c>
      <c r="F18157" s="2" t="s">
        <v>16</v>
      </c>
    </row>
    <row r="18158" spans="1:6" ht="25.5">
      <c r="A18158" s="2">
        <v>18155</v>
      </c>
      <c r="B18158" s="2" t="s">
        <v>18229</v>
      </c>
      <c r="C18158" s="2" t="str">
        <f>"02510952"</f>
        <v>02510952</v>
      </c>
      <c r="D18158" s="2">
        <v>0.40600000000000003</v>
      </c>
      <c r="E18158" s="2">
        <v>26</v>
      </c>
      <c r="F18158" s="2" t="s">
        <v>31</v>
      </c>
    </row>
    <row r="18159" spans="1:6" ht="25.5">
      <c r="A18159" s="2">
        <v>18156</v>
      </c>
      <c r="B18159" s="2" t="s">
        <v>18230</v>
      </c>
      <c r="C18159" s="2" t="str">
        <f>"09602585"</f>
        <v>09602585</v>
      </c>
      <c r="D18159" s="2">
        <v>0.70099999999999996</v>
      </c>
      <c r="E18159" s="2">
        <v>42</v>
      </c>
      <c r="F18159" s="2" t="s">
        <v>16</v>
      </c>
    </row>
    <row r="18160" spans="1:6" ht="25.5">
      <c r="A18160" s="2">
        <v>18157</v>
      </c>
      <c r="B18160" s="2" t="s">
        <v>18231</v>
      </c>
      <c r="C18160" s="2" t="str">
        <f>"18784763"</f>
        <v>18784763</v>
      </c>
      <c r="D18160" s="2">
        <v>0.69</v>
      </c>
      <c r="E18160" s="2">
        <v>33</v>
      </c>
      <c r="F18160" s="2" t="s">
        <v>75</v>
      </c>
    </row>
    <row r="18161" spans="1:6" ht="25.5">
      <c r="A18161" s="2">
        <v>18158</v>
      </c>
      <c r="B18161" s="2" t="s">
        <v>18232</v>
      </c>
      <c r="C18161" s="2" t="str">
        <f>"00370894"</f>
        <v>00370894</v>
      </c>
      <c r="D18161" s="2">
        <v>0.1</v>
      </c>
      <c r="E18161" s="2">
        <v>3</v>
      </c>
      <c r="F18161" s="2" t="s">
        <v>351</v>
      </c>
    </row>
    <row r="18162" spans="1:6" ht="25.5">
      <c r="A18162" s="2">
        <v>18159</v>
      </c>
      <c r="B18162" s="2" t="s">
        <v>18233</v>
      </c>
      <c r="C18162" s="2" t="str">
        <f>"10523812"</f>
        <v>10523812</v>
      </c>
      <c r="D18162" s="2">
        <v>0.14199999999999999</v>
      </c>
      <c r="E18162" s="2">
        <v>10</v>
      </c>
      <c r="F18162" s="2" t="s">
        <v>6</v>
      </c>
    </row>
    <row r="18163" spans="1:6" ht="25.5">
      <c r="A18163" s="2">
        <v>18160</v>
      </c>
      <c r="B18163" s="2" t="s">
        <v>18234</v>
      </c>
      <c r="C18163" s="2" t="str">
        <f>"09193758"</f>
        <v>09193758</v>
      </c>
      <c r="D18163" s="2">
        <v>0.109</v>
      </c>
      <c r="E18163" s="2">
        <v>8</v>
      </c>
      <c r="F18163" s="2" t="s">
        <v>131</v>
      </c>
    </row>
    <row r="18164" spans="1:6" ht="25.5">
      <c r="A18164" s="2">
        <v>18161</v>
      </c>
      <c r="B18164" s="2" t="s">
        <v>18235</v>
      </c>
      <c r="C18164" s="2" t="str">
        <f>"00371017"</f>
        <v>00371017</v>
      </c>
      <c r="D18164" s="2">
        <v>0.11</v>
      </c>
      <c r="E18164" s="2">
        <v>5</v>
      </c>
      <c r="F18164" s="2" t="s">
        <v>131</v>
      </c>
    </row>
    <row r="18165" spans="1:6" ht="25.5">
      <c r="A18165" s="2">
        <v>18162</v>
      </c>
      <c r="B18165" s="2" t="s">
        <v>18236</v>
      </c>
      <c r="C18165" s="2" t="str">
        <f>"09120289"</f>
        <v>09120289</v>
      </c>
      <c r="D18165" s="2">
        <v>0.222</v>
      </c>
      <c r="E18165" s="2">
        <v>12</v>
      </c>
      <c r="F18165" s="2" t="s">
        <v>131</v>
      </c>
    </row>
    <row r="18166" spans="1:6" ht="25.5">
      <c r="A18166" s="2">
        <v>18163</v>
      </c>
      <c r="B18166" s="2" t="s">
        <v>18237</v>
      </c>
      <c r="C18166" s="2" t="str">
        <f>"21507902"</f>
        <v>21507902</v>
      </c>
      <c r="D18166" s="2">
        <v>0.20100000000000001</v>
      </c>
      <c r="E18166" s="2">
        <v>1</v>
      </c>
      <c r="F18166" s="2" t="s">
        <v>6</v>
      </c>
    </row>
    <row r="18167" spans="1:6" ht="25.5">
      <c r="A18167" s="2">
        <v>18164</v>
      </c>
      <c r="B18167" s="2" t="s">
        <v>18238</v>
      </c>
      <c r="C18167" s="2" t="str">
        <f>"08950695"</f>
        <v>08950695</v>
      </c>
      <c r="D18167" s="2">
        <v>1.6970000000000001</v>
      </c>
      <c r="E18167" s="2">
        <v>38</v>
      </c>
      <c r="F18167" s="2" t="s">
        <v>6</v>
      </c>
    </row>
    <row r="18168" spans="1:6" ht="25.5">
      <c r="A18168" s="2">
        <v>18165</v>
      </c>
      <c r="B18168" s="2" t="s">
        <v>18239</v>
      </c>
      <c r="C18168" s="2" t="str">
        <f>"13434349"</f>
        <v>13434349</v>
      </c>
      <c r="D18168" s="2">
        <v>0.19500000000000001</v>
      </c>
      <c r="E18168" s="2">
        <v>8</v>
      </c>
      <c r="F18168" s="2" t="s">
        <v>131</v>
      </c>
    </row>
    <row r="18169" spans="1:6" ht="25.5">
      <c r="A18169" s="2">
        <v>18166</v>
      </c>
      <c r="B18169" s="2" t="s">
        <v>18240</v>
      </c>
      <c r="C18169" s="2" t="str">
        <f>"10591311"</f>
        <v>10591311</v>
      </c>
      <c r="D18169" s="2">
        <v>0.78800000000000003</v>
      </c>
      <c r="E18169" s="2">
        <v>53</v>
      </c>
      <c r="F18169" s="2" t="s">
        <v>16</v>
      </c>
    </row>
    <row r="18170" spans="1:6" ht="25.5">
      <c r="A18170" s="2">
        <v>18167</v>
      </c>
      <c r="B18170" s="2" t="s">
        <v>18241</v>
      </c>
      <c r="C18170" s="2" t="str">
        <f>"17319544"</f>
        <v>17319544</v>
      </c>
      <c r="D18170" s="2">
        <v>0.16</v>
      </c>
      <c r="E18170" s="2">
        <v>3</v>
      </c>
      <c r="F18170" s="2" t="s">
        <v>169</v>
      </c>
    </row>
    <row r="18171" spans="1:6" ht="25.5">
      <c r="A18171" s="2">
        <v>18168</v>
      </c>
      <c r="B18171" s="2" t="s">
        <v>18242</v>
      </c>
      <c r="C18171" s="2" t="str">
        <f>"10221824"</f>
        <v>10221824</v>
      </c>
      <c r="D18171" s="2">
        <v>2.1840000000000002</v>
      </c>
      <c r="E18171" s="2">
        <v>25</v>
      </c>
      <c r="F18171" s="2" t="s">
        <v>31</v>
      </c>
    </row>
    <row r="18172" spans="1:6" ht="25.5">
      <c r="A18172" s="2">
        <v>18169</v>
      </c>
      <c r="B18172" s="2" t="s">
        <v>18243</v>
      </c>
      <c r="C18172" s="2" t="str">
        <f>"15298868"</f>
        <v>15298868</v>
      </c>
      <c r="D18172" s="2">
        <v>1.0760000000000001</v>
      </c>
      <c r="E18172" s="2">
        <v>14</v>
      </c>
      <c r="F18172" s="2" t="s">
        <v>16</v>
      </c>
    </row>
    <row r="18173" spans="1:6" ht="25.5">
      <c r="A18173" s="2">
        <v>18170</v>
      </c>
      <c r="B18173" s="2" t="s">
        <v>18244</v>
      </c>
      <c r="C18173" s="2" t="str">
        <f>"19382049"</f>
        <v>19382049</v>
      </c>
      <c r="D18173" s="2">
        <v>0.53400000000000003</v>
      </c>
      <c r="E18173" s="2">
        <v>8</v>
      </c>
      <c r="F18173" s="2" t="s">
        <v>6</v>
      </c>
    </row>
    <row r="18174" spans="1:6" ht="25.5">
      <c r="A18174" s="2">
        <v>18171</v>
      </c>
      <c r="B18174" s="2" t="s">
        <v>18245</v>
      </c>
      <c r="C18174" s="2" t="str">
        <f>"15229270"</f>
        <v>15229270</v>
      </c>
      <c r="D18174" s="2">
        <v>0.12</v>
      </c>
      <c r="E18174" s="2">
        <v>6</v>
      </c>
      <c r="F18174" s="2" t="s">
        <v>6</v>
      </c>
    </row>
    <row r="18175" spans="1:6" ht="25.5">
      <c r="A18175" s="2">
        <v>18172</v>
      </c>
      <c r="B18175" s="2" t="s">
        <v>18246</v>
      </c>
      <c r="C18175" s="2" t="str">
        <f>"1742254X"</f>
        <v>1742254X</v>
      </c>
      <c r="D18175" s="2">
        <v>0.1</v>
      </c>
      <c r="E18175" s="2">
        <v>1</v>
      </c>
      <c r="F18175" s="2" t="s">
        <v>16</v>
      </c>
    </row>
    <row r="18176" spans="1:6" ht="25.5">
      <c r="A18176" s="2">
        <v>18173</v>
      </c>
      <c r="B18176" s="2" t="s">
        <v>18247</v>
      </c>
      <c r="C18176" s="2" t="str">
        <f>"15526291"</f>
        <v>15526291</v>
      </c>
      <c r="D18176" s="2">
        <v>4.43</v>
      </c>
      <c r="E18176" s="2">
        <v>15</v>
      </c>
      <c r="F18176" s="2" t="s">
        <v>6</v>
      </c>
    </row>
    <row r="18177" spans="1:6" ht="25.5">
      <c r="A18177" s="2">
        <v>18174</v>
      </c>
      <c r="B18177" s="2" t="s">
        <v>18248</v>
      </c>
      <c r="C18177" s="2" t="str">
        <f>"1567200X"</f>
        <v>1567200X</v>
      </c>
      <c r="D18177" s="2">
        <v>0.10100000000000001</v>
      </c>
      <c r="E18177" s="2">
        <v>0</v>
      </c>
      <c r="F18177" s="2" t="s">
        <v>75</v>
      </c>
    </row>
    <row r="18178" spans="1:6" ht="25.5">
      <c r="A18178" s="2">
        <v>18175</v>
      </c>
      <c r="B18178" s="2" t="s">
        <v>18249</v>
      </c>
      <c r="C18178" s="2" t="str">
        <f>"15788865"</f>
        <v>15788865</v>
      </c>
      <c r="D18178" s="2">
        <v>0.13</v>
      </c>
      <c r="E18178" s="2">
        <v>5</v>
      </c>
      <c r="F18178" s="2" t="s">
        <v>351</v>
      </c>
    </row>
    <row r="18179" spans="1:6" ht="25.5">
      <c r="A18179" s="2">
        <v>18176</v>
      </c>
      <c r="B18179" s="2" t="s">
        <v>18250</v>
      </c>
      <c r="C18179" s="2" t="str">
        <f>"10906479"</f>
        <v>10906479</v>
      </c>
      <c r="D18179" s="2">
        <v>0.439</v>
      </c>
      <c r="E18179" s="2">
        <v>25</v>
      </c>
      <c r="F18179" s="2" t="s">
        <v>129</v>
      </c>
    </row>
    <row r="18180" spans="1:6" ht="25.5">
      <c r="A18180" s="2">
        <v>18177</v>
      </c>
      <c r="B18180" s="2" t="s">
        <v>18251</v>
      </c>
      <c r="C18180" s="2" t="str">
        <f>"00808784"</f>
        <v>00808784</v>
      </c>
      <c r="D18180" s="2">
        <v>0.14699999999999999</v>
      </c>
      <c r="E18180" s="2">
        <v>19</v>
      </c>
      <c r="F18180" s="2" t="s">
        <v>6</v>
      </c>
    </row>
    <row r="18181" spans="1:6" ht="25.5">
      <c r="A18181" s="2">
        <v>18178</v>
      </c>
      <c r="B18181" s="2" t="s">
        <v>18252</v>
      </c>
      <c r="C18181" s="2" t="str">
        <f>"13616641"</f>
        <v>13616641</v>
      </c>
      <c r="D18181" s="2">
        <v>0.81200000000000006</v>
      </c>
      <c r="E18181" s="2">
        <v>65</v>
      </c>
      <c r="F18181" s="2" t="s">
        <v>16</v>
      </c>
    </row>
    <row r="18182" spans="1:6" ht="25.5">
      <c r="A18182" s="2">
        <v>18179</v>
      </c>
      <c r="B18182" s="2" t="s">
        <v>18253</v>
      </c>
      <c r="C18182" s="2" t="str">
        <f>"14322137"</f>
        <v>14322137</v>
      </c>
      <c r="D18182" s="2">
        <v>0.67600000000000005</v>
      </c>
      <c r="E18182" s="2">
        <v>21</v>
      </c>
      <c r="F18182" s="2" t="s">
        <v>6</v>
      </c>
    </row>
    <row r="18183" spans="1:6" ht="25.5">
      <c r="A18183" s="2">
        <v>18180</v>
      </c>
      <c r="B18183" s="2" t="s">
        <v>18254</v>
      </c>
      <c r="C18183" s="2" t="str">
        <f>"16790359"</f>
        <v>16790359</v>
      </c>
      <c r="D18183" s="2">
        <v>0.27400000000000002</v>
      </c>
      <c r="E18183" s="2">
        <v>6</v>
      </c>
      <c r="F18183" s="2" t="s">
        <v>159</v>
      </c>
    </row>
    <row r="18184" spans="1:6" ht="25.5">
      <c r="A18184" s="2">
        <v>18181</v>
      </c>
      <c r="B18184" s="2" t="s">
        <v>18255</v>
      </c>
      <c r="C18184" s="2" t="str">
        <f>"00371939"</f>
        <v>00371939</v>
      </c>
      <c r="D18184" s="2">
        <v>0.114</v>
      </c>
      <c r="E18184" s="2">
        <v>3</v>
      </c>
      <c r="F18184" s="2" t="s">
        <v>64</v>
      </c>
    </row>
    <row r="18185" spans="1:6" ht="25.5">
      <c r="A18185" s="2">
        <v>18182</v>
      </c>
      <c r="B18185" s="2" t="s">
        <v>18256</v>
      </c>
      <c r="C18185" s="2" t="str">
        <f>"15773566"</f>
        <v>15773566</v>
      </c>
      <c r="D18185" s="2">
        <v>0.104</v>
      </c>
      <c r="E18185" s="2">
        <v>2</v>
      </c>
      <c r="F18185" s="2" t="s">
        <v>351</v>
      </c>
    </row>
    <row r="18186" spans="1:6" ht="25.5">
      <c r="A18186" s="2">
        <v>18183</v>
      </c>
      <c r="B18186" s="2" t="s">
        <v>18257</v>
      </c>
      <c r="C18186" s="2" t="str">
        <f>"00490172"</f>
        <v>00490172</v>
      </c>
      <c r="D18186" s="2">
        <v>1.371</v>
      </c>
      <c r="E18186" s="2">
        <v>73</v>
      </c>
      <c r="F18186" s="2" t="s">
        <v>16</v>
      </c>
    </row>
    <row r="18187" spans="1:6" ht="25.5">
      <c r="A18187" s="2">
        <v>18184</v>
      </c>
      <c r="B18187" s="2" t="s">
        <v>18258</v>
      </c>
      <c r="C18187" s="2" t="str">
        <f>"10454527"</f>
        <v>10454527</v>
      </c>
      <c r="D18187" s="2">
        <v>0.13300000000000001</v>
      </c>
      <c r="E18187" s="2">
        <v>7</v>
      </c>
      <c r="F18187" s="2" t="s">
        <v>16</v>
      </c>
    </row>
    <row r="18188" spans="1:6" ht="25.5">
      <c r="A18188" s="2">
        <v>18185</v>
      </c>
      <c r="B18188" s="2" t="s">
        <v>18259</v>
      </c>
      <c r="C18188" s="2" t="str">
        <f>"10963650"</f>
        <v>10963650</v>
      </c>
      <c r="D18188" s="2">
        <v>3.3889999999999998</v>
      </c>
      <c r="E18188" s="2">
        <v>94</v>
      </c>
      <c r="F18188" s="2" t="s">
        <v>6</v>
      </c>
    </row>
    <row r="18189" spans="1:6" ht="25.5">
      <c r="A18189" s="2">
        <v>18186</v>
      </c>
      <c r="B18189" s="2" t="s">
        <v>18260</v>
      </c>
      <c r="C18189" s="2" t="str">
        <f>"10892532"</f>
        <v>10892532</v>
      </c>
      <c r="D18189" s="2">
        <v>0.38900000000000001</v>
      </c>
      <c r="E18189" s="2">
        <v>19</v>
      </c>
      <c r="F18189" s="2" t="s">
        <v>6</v>
      </c>
    </row>
    <row r="18190" spans="1:6" ht="25.5">
      <c r="A18190" s="2">
        <v>18187</v>
      </c>
      <c r="B18190" s="2" t="s">
        <v>18261</v>
      </c>
      <c r="C18190" s="2" t="str">
        <f>"10963634"</f>
        <v>10963634</v>
      </c>
      <c r="D18190" s="2">
        <v>3.5539999999999998</v>
      </c>
      <c r="E18190" s="2">
        <v>88</v>
      </c>
      <c r="F18190" s="2" t="s">
        <v>6</v>
      </c>
    </row>
    <row r="18191" spans="1:6" ht="25.5">
      <c r="A18191" s="2">
        <v>18188</v>
      </c>
      <c r="B18191" s="2" t="s">
        <v>18262</v>
      </c>
      <c r="C18191" s="2" t="str">
        <f>"10431489"</f>
        <v>10431489</v>
      </c>
      <c r="D18191" s="2">
        <v>0.105</v>
      </c>
      <c r="E18191" s="2">
        <v>9</v>
      </c>
      <c r="F18191" s="2" t="s">
        <v>16</v>
      </c>
    </row>
    <row r="18192" spans="1:6" ht="25.5">
      <c r="A18192" s="2">
        <v>18189</v>
      </c>
      <c r="B18192" s="2" t="s">
        <v>18263</v>
      </c>
      <c r="C18192" s="2" t="str">
        <f>"15580768"</f>
        <v>15580768</v>
      </c>
      <c r="D18192" s="2">
        <v>1.3169999999999999</v>
      </c>
      <c r="E18192" s="2">
        <v>38</v>
      </c>
      <c r="F18192" s="2" t="s">
        <v>16</v>
      </c>
    </row>
    <row r="18193" spans="1:6" ht="25.5">
      <c r="A18193" s="2">
        <v>18190</v>
      </c>
      <c r="B18193" s="2" t="s">
        <v>18264</v>
      </c>
      <c r="C18193" s="2" t="str">
        <f>"07402570"</f>
        <v>07402570</v>
      </c>
      <c r="D18193" s="2">
        <v>0.55200000000000005</v>
      </c>
      <c r="E18193" s="2">
        <v>50</v>
      </c>
      <c r="F18193" s="2" t="s">
        <v>16</v>
      </c>
    </row>
    <row r="18194" spans="1:6" ht="25.5">
      <c r="A18194" s="2">
        <v>18191</v>
      </c>
      <c r="B18194" s="2" t="s">
        <v>18265</v>
      </c>
      <c r="C18194" s="2" t="str">
        <f>"1525139X"</f>
        <v>1525139X</v>
      </c>
      <c r="D18194" s="2">
        <v>0.76100000000000001</v>
      </c>
      <c r="E18194" s="2">
        <v>48</v>
      </c>
      <c r="F18194" s="2" t="s">
        <v>16</v>
      </c>
    </row>
    <row r="18195" spans="1:6" ht="25.5">
      <c r="A18195" s="2">
        <v>18192</v>
      </c>
      <c r="B18195" s="2" t="s">
        <v>18266</v>
      </c>
      <c r="C18195" s="2" t="str">
        <f>"1744165X"</f>
        <v>1744165X</v>
      </c>
      <c r="D18195" s="2">
        <v>1.429</v>
      </c>
      <c r="E18195" s="2">
        <v>52</v>
      </c>
      <c r="F18195" s="2" t="s">
        <v>16</v>
      </c>
    </row>
    <row r="18196" spans="1:6" ht="25.5">
      <c r="A18196" s="2">
        <v>18193</v>
      </c>
      <c r="B18196" s="2" t="s">
        <v>18267</v>
      </c>
      <c r="C18196" s="2" t="str">
        <f>"10988955"</f>
        <v>10988955</v>
      </c>
      <c r="D18196" s="2">
        <v>0.26800000000000002</v>
      </c>
      <c r="E18196" s="2">
        <v>16</v>
      </c>
      <c r="F18196" s="2" t="s">
        <v>6</v>
      </c>
    </row>
    <row r="18197" spans="1:6" ht="25.5">
      <c r="A18197" s="2">
        <v>18194</v>
      </c>
      <c r="B18197" s="2" t="s">
        <v>18268</v>
      </c>
      <c r="C18197" s="2" t="str">
        <f>"00371963"</f>
        <v>00371963</v>
      </c>
      <c r="D18197" s="2">
        <v>1.5549999999999999</v>
      </c>
      <c r="E18197" s="2">
        <v>70</v>
      </c>
      <c r="F18197" s="2" t="s">
        <v>16</v>
      </c>
    </row>
    <row r="18198" spans="1:6" ht="25.5">
      <c r="A18198" s="2">
        <v>18195</v>
      </c>
      <c r="B18198" s="2" t="s">
        <v>18269</v>
      </c>
      <c r="C18198" s="2" t="str">
        <f>"10963618"</f>
        <v>10963618</v>
      </c>
      <c r="D18198" s="2">
        <v>3.6930000000000001</v>
      </c>
      <c r="E18198" s="2">
        <v>89</v>
      </c>
      <c r="F18198" s="2" t="s">
        <v>6</v>
      </c>
    </row>
    <row r="18199" spans="1:6" ht="25.5">
      <c r="A18199" s="2">
        <v>18196</v>
      </c>
      <c r="B18199" s="2" t="s">
        <v>18270</v>
      </c>
      <c r="C18199" s="2" t="str">
        <f>"18632300"</f>
        <v>18632300</v>
      </c>
      <c r="D18199" s="2">
        <v>1.982</v>
      </c>
      <c r="E18199" s="2">
        <v>49</v>
      </c>
      <c r="F18199" s="2" t="s">
        <v>12</v>
      </c>
    </row>
    <row r="18200" spans="1:6" ht="25.5">
      <c r="A18200" s="2">
        <v>18197</v>
      </c>
      <c r="B18200" s="2" t="s">
        <v>18271</v>
      </c>
      <c r="C18200" s="2" t="str">
        <f>"10988963"</f>
        <v>10988963</v>
      </c>
      <c r="D18200" s="2">
        <v>0.21</v>
      </c>
      <c r="E18200" s="2">
        <v>10</v>
      </c>
      <c r="F18200" s="2" t="s">
        <v>6</v>
      </c>
    </row>
    <row r="18201" spans="1:6" ht="25.5">
      <c r="A18201" s="2">
        <v>18198</v>
      </c>
      <c r="B18201" s="2" t="s">
        <v>18272</v>
      </c>
      <c r="C18201" s="2" t="str">
        <f>"10988971"</f>
        <v>10988971</v>
      </c>
      <c r="D18201" s="2">
        <v>2.2599999999999998</v>
      </c>
      <c r="E18201" s="2">
        <v>90</v>
      </c>
      <c r="F18201" s="2" t="s">
        <v>6</v>
      </c>
    </row>
    <row r="18202" spans="1:6" ht="25.5">
      <c r="A18202" s="2">
        <v>18199</v>
      </c>
      <c r="B18202" s="2" t="s">
        <v>18273</v>
      </c>
      <c r="C18202" s="2" t="str">
        <f>"1098898X"</f>
        <v>1098898X</v>
      </c>
      <c r="D18202" s="2">
        <v>0.51700000000000002</v>
      </c>
      <c r="E18202" s="2">
        <v>24</v>
      </c>
      <c r="F18202" s="2" t="s">
        <v>6</v>
      </c>
    </row>
    <row r="18203" spans="1:6" ht="25.5">
      <c r="A18203" s="2">
        <v>18200</v>
      </c>
      <c r="B18203" s="2" t="s">
        <v>18274</v>
      </c>
      <c r="C18203" s="2" t="str">
        <f>"02709295"</f>
        <v>02709295</v>
      </c>
      <c r="D18203" s="2">
        <v>1.2</v>
      </c>
      <c r="E18203" s="2">
        <v>58</v>
      </c>
      <c r="F18203" s="2" t="s">
        <v>16</v>
      </c>
    </row>
    <row r="18204" spans="1:6" ht="25.5">
      <c r="A18204" s="2">
        <v>18201</v>
      </c>
      <c r="B18204" s="2" t="s">
        <v>18275</v>
      </c>
      <c r="C18204" s="2" t="str">
        <f>"10989021"</f>
        <v>10989021</v>
      </c>
      <c r="D18204" s="2">
        <v>0.56699999999999995</v>
      </c>
      <c r="E18204" s="2">
        <v>44</v>
      </c>
      <c r="F18204" s="2" t="s">
        <v>6</v>
      </c>
    </row>
    <row r="18205" spans="1:6" ht="25.5">
      <c r="A18205" s="2">
        <v>18202</v>
      </c>
      <c r="B18205" s="2" t="s">
        <v>18276</v>
      </c>
      <c r="C18205" s="2" t="str">
        <f>"00012998"</f>
        <v>00012998</v>
      </c>
      <c r="D18205" s="2">
        <v>1.4039999999999999</v>
      </c>
      <c r="E18205" s="2">
        <v>61</v>
      </c>
      <c r="F18205" s="2" t="s">
        <v>16</v>
      </c>
    </row>
    <row r="18206" spans="1:6" ht="25.5">
      <c r="A18206" s="2">
        <v>18203</v>
      </c>
      <c r="B18206" s="2" t="s">
        <v>18277</v>
      </c>
      <c r="C18206" s="2" t="str">
        <f>"00937754"</f>
        <v>00937754</v>
      </c>
      <c r="D18206" s="2">
        <v>1.8779999999999999</v>
      </c>
      <c r="E18206" s="2">
        <v>102</v>
      </c>
      <c r="F18206" s="2" t="s">
        <v>16</v>
      </c>
    </row>
    <row r="18207" spans="1:6" ht="25.5">
      <c r="A18207" s="2">
        <v>18204</v>
      </c>
      <c r="B18207" s="2" t="s">
        <v>18278</v>
      </c>
      <c r="C18207" s="2" t="str">
        <f>"07492081"</f>
        <v>07492081</v>
      </c>
      <c r="D18207" s="2">
        <v>0.51300000000000001</v>
      </c>
      <c r="E18207" s="2">
        <v>26</v>
      </c>
      <c r="F18207" s="2" t="s">
        <v>16</v>
      </c>
    </row>
    <row r="18208" spans="1:6" ht="25.5">
      <c r="A18208" s="2">
        <v>18205</v>
      </c>
      <c r="B18208" s="2" t="s">
        <v>18279</v>
      </c>
      <c r="C18208" s="2" t="str">
        <f>"08820538"</f>
        <v>08820538</v>
      </c>
      <c r="D18208" s="2">
        <v>0.68400000000000005</v>
      </c>
      <c r="E18208" s="2">
        <v>29</v>
      </c>
      <c r="F18208" s="2" t="s">
        <v>16</v>
      </c>
    </row>
    <row r="18209" spans="1:6" ht="25.5">
      <c r="A18209" s="2">
        <v>18206</v>
      </c>
      <c r="B18209" s="2" t="s">
        <v>18280</v>
      </c>
      <c r="C18209" s="2" t="str">
        <f>"10738746"</f>
        <v>10738746</v>
      </c>
      <c r="D18209" s="2">
        <v>0.377</v>
      </c>
      <c r="E18209" s="2">
        <v>28</v>
      </c>
      <c r="F18209" s="2" t="s">
        <v>16</v>
      </c>
    </row>
    <row r="18210" spans="1:6" ht="25.5">
      <c r="A18210" s="2">
        <v>18207</v>
      </c>
      <c r="B18210" s="2" t="s">
        <v>18281</v>
      </c>
      <c r="C18210" s="2" t="str">
        <f>"10719091"</f>
        <v>10719091</v>
      </c>
      <c r="D18210" s="2">
        <v>0.47099999999999997</v>
      </c>
      <c r="E18210" s="2">
        <v>35</v>
      </c>
      <c r="F18210" s="2" t="s">
        <v>16</v>
      </c>
    </row>
    <row r="18211" spans="1:6" ht="25.5">
      <c r="A18211" s="2">
        <v>18208</v>
      </c>
      <c r="B18211" s="2" t="s">
        <v>18282</v>
      </c>
      <c r="C18211" s="2" t="str">
        <f>"10558586"</f>
        <v>10558586</v>
      </c>
      <c r="D18211" s="2">
        <v>0.88100000000000001</v>
      </c>
      <c r="E18211" s="2">
        <v>34</v>
      </c>
      <c r="F18211" s="2" t="s">
        <v>16</v>
      </c>
    </row>
    <row r="18212" spans="1:6" ht="25.5">
      <c r="A18212" s="2">
        <v>18209</v>
      </c>
      <c r="B18212" s="2" t="s">
        <v>18283</v>
      </c>
      <c r="C18212" s="2" t="str">
        <f>"1558075X"</f>
        <v>1558075X</v>
      </c>
      <c r="D18212" s="2">
        <v>1.149</v>
      </c>
      <c r="E18212" s="2">
        <v>56</v>
      </c>
      <c r="F18212" s="2" t="s">
        <v>16</v>
      </c>
    </row>
    <row r="18213" spans="1:6" ht="25.5">
      <c r="A18213" s="2">
        <v>18210</v>
      </c>
      <c r="B18213" s="2" t="s">
        <v>18284</v>
      </c>
      <c r="C18213" s="2" t="str">
        <f>"15360067"</f>
        <v>15360067</v>
      </c>
      <c r="D18213" s="2">
        <v>0.23599999999999999</v>
      </c>
      <c r="E18213" s="2">
        <v>3</v>
      </c>
      <c r="F18213" s="2" t="s">
        <v>6</v>
      </c>
    </row>
    <row r="18214" spans="1:6" ht="25.5">
      <c r="A18214" s="2">
        <v>18211</v>
      </c>
      <c r="B18214" s="2" t="s">
        <v>18285</v>
      </c>
      <c r="C18214" s="2" t="str">
        <f>"10534296"</f>
        <v>10534296</v>
      </c>
      <c r="D18214" s="2">
        <v>1.772</v>
      </c>
      <c r="E18214" s="2">
        <v>59</v>
      </c>
      <c r="F18214" s="2" t="s">
        <v>16</v>
      </c>
    </row>
    <row r="18215" spans="1:6" ht="25.5">
      <c r="A18215" s="2">
        <v>18212</v>
      </c>
      <c r="B18215" s="2" t="s">
        <v>18286</v>
      </c>
      <c r="C18215" s="2" t="str">
        <f>"15268004"</f>
        <v>15268004</v>
      </c>
      <c r="D18215" s="2">
        <v>1.554</v>
      </c>
      <c r="E18215" s="2">
        <v>47</v>
      </c>
      <c r="F18215" s="2" t="s">
        <v>6</v>
      </c>
    </row>
    <row r="18216" spans="1:6" ht="25.5">
      <c r="A18216" s="2">
        <v>18213</v>
      </c>
      <c r="B18216" s="2" t="s">
        <v>18287</v>
      </c>
      <c r="C18216" s="2" t="str">
        <f>"10989048"</f>
        <v>10989048</v>
      </c>
      <c r="D18216" s="2">
        <v>0.95299999999999996</v>
      </c>
      <c r="E18216" s="2">
        <v>34</v>
      </c>
      <c r="F18216" s="2" t="s">
        <v>6</v>
      </c>
    </row>
    <row r="18217" spans="1:6" ht="25.5">
      <c r="A18217" s="2">
        <v>18214</v>
      </c>
      <c r="B18217" s="2" t="s">
        <v>18288</v>
      </c>
      <c r="C18217" s="2" t="str">
        <f>"0037198X"</f>
        <v>0037198X</v>
      </c>
      <c r="D18217" s="2">
        <v>0.317</v>
      </c>
      <c r="E18217" s="2">
        <v>18</v>
      </c>
      <c r="F18217" s="2" t="s">
        <v>16</v>
      </c>
    </row>
    <row r="18218" spans="1:6" ht="25.5">
      <c r="A18218" s="2">
        <v>18215</v>
      </c>
      <c r="B18218" s="2" t="s">
        <v>18289</v>
      </c>
      <c r="C18218" s="2" t="str">
        <f>"10989056"</f>
        <v>10989056</v>
      </c>
      <c r="D18218" s="2">
        <v>0.255</v>
      </c>
      <c r="E18218" s="2">
        <v>21</v>
      </c>
      <c r="F18218" s="2" t="s">
        <v>6</v>
      </c>
    </row>
    <row r="18219" spans="1:6" ht="25.5">
      <c r="A18219" s="2">
        <v>18216</v>
      </c>
      <c r="B18219" s="2" t="s">
        <v>18290</v>
      </c>
      <c r="C18219" s="2" t="str">
        <f>"10407383"</f>
        <v>10407383</v>
      </c>
      <c r="D18219" s="2">
        <v>0.15</v>
      </c>
      <c r="E18219" s="2">
        <v>9</v>
      </c>
      <c r="F18219" s="2" t="s">
        <v>16</v>
      </c>
    </row>
    <row r="18220" spans="1:6" ht="25.5">
      <c r="A18220" s="2">
        <v>18217</v>
      </c>
      <c r="B18220" s="2" t="s">
        <v>18291</v>
      </c>
      <c r="C18220" s="2" t="str">
        <f>"10430679"</f>
        <v>10430679</v>
      </c>
      <c r="D18220" s="2">
        <v>0.64900000000000002</v>
      </c>
      <c r="E18220" s="2">
        <v>42</v>
      </c>
      <c r="F18220" s="2" t="s">
        <v>16</v>
      </c>
    </row>
    <row r="18221" spans="1:6" ht="25.5">
      <c r="A18221" s="2">
        <v>18218</v>
      </c>
      <c r="B18221" s="2" t="s">
        <v>18292</v>
      </c>
      <c r="C18221" s="2" t="str">
        <f>"10989064"</f>
        <v>10989064</v>
      </c>
      <c r="D18221" s="2">
        <v>1.1459999999999999</v>
      </c>
      <c r="E18221" s="2">
        <v>68</v>
      </c>
      <c r="F18221" s="2" t="s">
        <v>6</v>
      </c>
    </row>
    <row r="18222" spans="1:6" ht="25.5">
      <c r="A18222" s="2">
        <v>18219</v>
      </c>
      <c r="B18222" s="2" t="s">
        <v>18293</v>
      </c>
      <c r="C18222" s="2" t="str">
        <f>"08872171"</f>
        <v>08872171</v>
      </c>
      <c r="D18222" s="2">
        <v>0.57899999999999996</v>
      </c>
      <c r="E18222" s="2">
        <v>32</v>
      </c>
      <c r="F18222" s="2" t="s">
        <v>16</v>
      </c>
    </row>
    <row r="18223" spans="1:6" ht="25.5">
      <c r="A18223" s="2">
        <v>18220</v>
      </c>
      <c r="B18223" s="2" t="s">
        <v>18294</v>
      </c>
      <c r="C18223" s="2" t="str">
        <f>"08957967"</f>
        <v>08957967</v>
      </c>
      <c r="D18223" s="2">
        <v>0.754</v>
      </c>
      <c r="E18223" s="2">
        <v>33</v>
      </c>
      <c r="F18223" s="2" t="s">
        <v>16</v>
      </c>
    </row>
    <row r="18224" spans="1:6" ht="25.5">
      <c r="A18224" s="2">
        <v>18221</v>
      </c>
      <c r="B18224" s="2" t="s">
        <v>18295</v>
      </c>
      <c r="C18224" s="2" t="str">
        <f>"16133692"</f>
        <v>16133692</v>
      </c>
      <c r="D18224" s="2">
        <v>0.20499999999999999</v>
      </c>
      <c r="E18224" s="2">
        <v>17</v>
      </c>
      <c r="F18224" s="2" t="s">
        <v>12</v>
      </c>
    </row>
    <row r="18225" spans="1:6" ht="25.5">
      <c r="A18225" s="2">
        <v>18222</v>
      </c>
      <c r="B18225" s="2" t="s">
        <v>18296</v>
      </c>
      <c r="C18225" s="2" t="str">
        <f>"10165134"</f>
        <v>10165134</v>
      </c>
      <c r="D18225" s="2">
        <v>0.1</v>
      </c>
      <c r="E18225" s="2">
        <v>3</v>
      </c>
      <c r="F18225" s="2" t="s">
        <v>345</v>
      </c>
    </row>
    <row r="18226" spans="1:6" ht="25.5">
      <c r="A18226" s="2">
        <v>18223</v>
      </c>
      <c r="B18226" s="2" t="s">
        <v>18297</v>
      </c>
      <c r="C18226" s="2" t="str">
        <f>"00379875"</f>
        <v>00379875</v>
      </c>
      <c r="D18226" s="2">
        <v>0.187</v>
      </c>
      <c r="E18226" s="2">
        <v>12</v>
      </c>
      <c r="F18226" s="2" t="s">
        <v>131</v>
      </c>
    </row>
    <row r="18227" spans="1:6" ht="25.5">
      <c r="A18227" s="2">
        <v>18224</v>
      </c>
      <c r="B18227" s="2" t="s">
        <v>18298</v>
      </c>
      <c r="C18227" s="2" t="str">
        <f>"17458935"</f>
        <v>17458935</v>
      </c>
      <c r="D18227" s="2">
        <v>0.192</v>
      </c>
      <c r="E18227" s="2">
        <v>3</v>
      </c>
      <c r="F18227" s="2" t="s">
        <v>6</v>
      </c>
    </row>
    <row r="18228" spans="1:6" ht="25.5">
      <c r="A18228" s="2">
        <v>18225</v>
      </c>
      <c r="B18228" s="2" t="s">
        <v>18299</v>
      </c>
      <c r="C18228" s="2" t="str">
        <f>"15572064"</f>
        <v>15572064</v>
      </c>
      <c r="D18228" s="2">
        <v>0.158</v>
      </c>
      <c r="E18228" s="2">
        <v>8</v>
      </c>
      <c r="F18228" s="2" t="s">
        <v>12</v>
      </c>
    </row>
    <row r="18229" spans="1:6" ht="25.5">
      <c r="A18229" s="2">
        <v>18226</v>
      </c>
      <c r="B18229" s="2" t="s">
        <v>18300</v>
      </c>
      <c r="C18229" s="2" t="str">
        <f>"19329954"</f>
        <v>19329954</v>
      </c>
      <c r="D18229" s="2">
        <v>0.56499999999999995</v>
      </c>
      <c r="E18229" s="2">
        <v>11</v>
      </c>
      <c r="F18229" s="2" t="s">
        <v>6</v>
      </c>
    </row>
    <row r="18230" spans="1:6" ht="25.5">
      <c r="A18230" s="2">
        <v>18227</v>
      </c>
      <c r="B18230" s="2" t="s">
        <v>18301</v>
      </c>
      <c r="C18230" s="2" t="str">
        <f>"1546198X"</f>
        <v>1546198X</v>
      </c>
      <c r="D18230" s="2">
        <v>0.23200000000000001</v>
      </c>
      <c r="E18230" s="2">
        <v>20</v>
      </c>
      <c r="F18230" s="2" t="s">
        <v>6</v>
      </c>
    </row>
    <row r="18231" spans="1:6" ht="25.5">
      <c r="A18231" s="2">
        <v>18228</v>
      </c>
      <c r="B18231" s="2" t="s">
        <v>18302</v>
      </c>
      <c r="C18231" s="2" t="str">
        <f>"02602288"</f>
        <v>02602288</v>
      </c>
      <c r="D18231" s="2">
        <v>0.314</v>
      </c>
      <c r="E18231" s="2">
        <v>20</v>
      </c>
      <c r="F18231" s="2" t="s">
        <v>16</v>
      </c>
    </row>
    <row r="18232" spans="1:6" ht="25.5">
      <c r="A18232" s="2">
        <v>18229</v>
      </c>
      <c r="B18232" s="2" t="s">
        <v>18303</v>
      </c>
      <c r="C18232" s="2" t="str">
        <f>"14248220"</f>
        <v>14248220</v>
      </c>
      <c r="D18232" s="2">
        <v>0.623</v>
      </c>
      <c r="E18232" s="2">
        <v>49</v>
      </c>
      <c r="F18232" s="2" t="s">
        <v>31</v>
      </c>
    </row>
    <row r="18233" spans="1:6" ht="25.5">
      <c r="A18233" s="2">
        <v>18230</v>
      </c>
      <c r="B18233" s="2" t="s">
        <v>18304</v>
      </c>
      <c r="C18233" s="2" t="str">
        <f>"09244247"</f>
        <v>09244247</v>
      </c>
      <c r="D18233" s="2">
        <v>0.86499999999999999</v>
      </c>
      <c r="E18233" s="2">
        <v>90</v>
      </c>
      <c r="F18233" s="2" t="s">
        <v>75</v>
      </c>
    </row>
    <row r="18234" spans="1:6" ht="25.5">
      <c r="A18234" s="2">
        <v>18231</v>
      </c>
      <c r="B18234" s="2" t="s">
        <v>18305</v>
      </c>
      <c r="C18234" s="2" t="str">
        <f>"09254005"</f>
        <v>09254005</v>
      </c>
      <c r="D18234" s="2">
        <v>1.2529999999999999</v>
      </c>
      <c r="E18234" s="2">
        <v>105</v>
      </c>
      <c r="F18234" s="2" t="s">
        <v>75</v>
      </c>
    </row>
    <row r="18235" spans="1:6" ht="25.5">
      <c r="A18235" s="2">
        <v>18232</v>
      </c>
      <c r="B18235" s="2" t="s">
        <v>18306</v>
      </c>
      <c r="C18235" s="2" t="str">
        <f>"09144935"</f>
        <v>09144935</v>
      </c>
      <c r="D18235" s="2">
        <v>0.16800000000000001</v>
      </c>
      <c r="E18235" s="2">
        <v>19</v>
      </c>
      <c r="F18235" s="2" t="s">
        <v>131</v>
      </c>
    </row>
    <row r="18236" spans="1:6" ht="25.5">
      <c r="A18236" s="2">
        <v>18233</v>
      </c>
      <c r="B18236" s="2" t="s">
        <v>18307</v>
      </c>
      <c r="C18236" s="2" t="str">
        <f>"0"</f>
        <v>0</v>
      </c>
      <c r="D18236" s="2">
        <v>0.104</v>
      </c>
      <c r="E18236" s="2">
        <v>0</v>
      </c>
      <c r="F18236" s="2" t="s">
        <v>6</v>
      </c>
    </row>
    <row r="18237" spans="1:6" ht="25.5">
      <c r="A18237" s="2">
        <v>18234</v>
      </c>
      <c r="B18237" s="2" t="s">
        <v>18308</v>
      </c>
      <c r="C18237" s="2" t="str">
        <f>"15422119"</f>
        <v>15422119</v>
      </c>
      <c r="D18237" s="2">
        <v>0.89700000000000002</v>
      </c>
      <c r="E18237" s="2">
        <v>24</v>
      </c>
      <c r="F18237" s="2" t="s">
        <v>16</v>
      </c>
    </row>
    <row r="18238" spans="1:6" ht="25.5">
      <c r="A18238" s="2">
        <v>18235</v>
      </c>
      <c r="B18238" s="2" t="s">
        <v>18309</v>
      </c>
      <c r="C18238" s="2" t="str">
        <f>"13835866"</f>
        <v>13835866</v>
      </c>
      <c r="D18238" s="2">
        <v>1.2190000000000001</v>
      </c>
      <c r="E18238" s="2">
        <v>79</v>
      </c>
      <c r="F18238" s="2" t="s">
        <v>75</v>
      </c>
    </row>
    <row r="18239" spans="1:6" ht="25.5">
      <c r="A18239" s="2">
        <v>18236</v>
      </c>
      <c r="B18239" s="2" t="s">
        <v>18310</v>
      </c>
      <c r="C18239" s="2" t="str">
        <f>"15205754"</f>
        <v>15205754</v>
      </c>
      <c r="D18239" s="2">
        <v>0.48499999999999999</v>
      </c>
      <c r="E18239" s="2">
        <v>45</v>
      </c>
      <c r="F18239" s="2" t="s">
        <v>16</v>
      </c>
    </row>
    <row r="18240" spans="1:6" ht="25.5">
      <c r="A18240" s="2">
        <v>18237</v>
      </c>
      <c r="B18240" s="2" t="s">
        <v>18311</v>
      </c>
      <c r="C18240" s="2" t="str">
        <f>"07474946"</f>
        <v>07474946</v>
      </c>
      <c r="D18240" s="2">
        <v>0.374</v>
      </c>
      <c r="E18240" s="2">
        <v>8</v>
      </c>
      <c r="F18240" s="2" t="s">
        <v>16</v>
      </c>
    </row>
    <row r="18241" spans="1:6" ht="25.5">
      <c r="A18241" s="2">
        <v>18238</v>
      </c>
      <c r="B18241" s="2" t="s">
        <v>18312</v>
      </c>
      <c r="C18241" s="2" t="str">
        <f>"1450698X"</f>
        <v>1450698X</v>
      </c>
      <c r="D18241" s="2">
        <v>0.17899999999999999</v>
      </c>
      <c r="E18241" s="2">
        <v>3</v>
      </c>
      <c r="F18241" s="2" t="s">
        <v>212</v>
      </c>
    </row>
    <row r="18242" spans="1:6" ht="25.5">
      <c r="A18242" s="2">
        <v>18239</v>
      </c>
      <c r="B18242" s="2" t="s">
        <v>18313</v>
      </c>
      <c r="C18242" s="2" t="str">
        <f>"18208665"</f>
        <v>18208665</v>
      </c>
      <c r="D18242" s="2">
        <v>0.14899999999999999</v>
      </c>
      <c r="E18242" s="2">
        <v>3</v>
      </c>
      <c r="F18242" s="2" t="s">
        <v>212</v>
      </c>
    </row>
    <row r="18243" spans="1:6" ht="25.5">
      <c r="A18243" s="2">
        <v>18240</v>
      </c>
      <c r="B18243" s="2" t="s">
        <v>18314</v>
      </c>
      <c r="C18243" s="2" t="str">
        <f>"09530460"</f>
        <v>09530460</v>
      </c>
      <c r="D18243" s="2">
        <v>0.45800000000000002</v>
      </c>
      <c r="E18243" s="2">
        <v>7</v>
      </c>
      <c r="F18243" s="2" t="s">
        <v>16</v>
      </c>
    </row>
    <row r="18244" spans="1:6" ht="25.5">
      <c r="A18244" s="2">
        <v>18241</v>
      </c>
      <c r="B18244" s="2" t="s">
        <v>18315</v>
      </c>
      <c r="C18244" s="2" t="str">
        <f>"15411095"</f>
        <v>15411095</v>
      </c>
      <c r="D18244" s="2">
        <v>0.76300000000000001</v>
      </c>
      <c r="E18244" s="2">
        <v>9</v>
      </c>
      <c r="F18244" s="2" t="s">
        <v>16</v>
      </c>
    </row>
    <row r="18245" spans="1:6" ht="25.5">
      <c r="A18245" s="2">
        <v>18242</v>
      </c>
      <c r="B18245" s="2" t="s">
        <v>18316</v>
      </c>
      <c r="C18245" s="2" t="str">
        <f>"00987913"</f>
        <v>00987913</v>
      </c>
      <c r="D18245" s="2">
        <v>0.629</v>
      </c>
      <c r="E18245" s="2">
        <v>13</v>
      </c>
      <c r="F18245" s="2" t="s">
        <v>16</v>
      </c>
    </row>
    <row r="18246" spans="1:6" ht="25.5">
      <c r="A18246" s="2">
        <v>18243</v>
      </c>
      <c r="B18246" s="2" t="s">
        <v>18317</v>
      </c>
      <c r="C18246" s="2" t="str">
        <f>"18694195"</f>
        <v>18694195</v>
      </c>
      <c r="D18246" s="2">
        <v>0.25900000000000001</v>
      </c>
      <c r="E18246" s="2">
        <v>3</v>
      </c>
      <c r="F18246" s="2" t="s">
        <v>12</v>
      </c>
    </row>
    <row r="18247" spans="1:6" ht="25.5">
      <c r="A18247" s="2">
        <v>18244</v>
      </c>
      <c r="B18247" s="2" t="s">
        <v>18318</v>
      </c>
      <c r="C18247" s="2" t="str">
        <f>"18628516"</f>
        <v>18628516</v>
      </c>
      <c r="D18247" s="2">
        <v>0.371</v>
      </c>
      <c r="E18247" s="2">
        <v>9</v>
      </c>
      <c r="F18247" s="2" t="s">
        <v>12</v>
      </c>
    </row>
    <row r="18248" spans="1:6" ht="25.5">
      <c r="A18248" s="2">
        <v>18245</v>
      </c>
      <c r="B18248" s="2" t="s">
        <v>18319</v>
      </c>
      <c r="C18248" s="2" t="str">
        <f>"02642069"</f>
        <v>02642069</v>
      </c>
      <c r="D18248" s="2">
        <v>0.32700000000000001</v>
      </c>
      <c r="E18248" s="2">
        <v>28</v>
      </c>
      <c r="F18248" s="2" t="s">
        <v>16</v>
      </c>
    </row>
    <row r="18249" spans="1:6" ht="25.5">
      <c r="A18249" s="2">
        <v>18246</v>
      </c>
      <c r="B18249" s="2" t="s">
        <v>18320</v>
      </c>
      <c r="C18249" s="2" t="str">
        <f>"18632394"</f>
        <v>18632394</v>
      </c>
      <c r="D18249" s="2">
        <v>0.54100000000000004</v>
      </c>
      <c r="E18249" s="2">
        <v>12</v>
      </c>
      <c r="F18249" s="2" t="s">
        <v>16</v>
      </c>
    </row>
    <row r="18250" spans="1:6" ht="25.5">
      <c r="A18250" s="2">
        <v>18247</v>
      </c>
      <c r="B18250" s="2" t="s">
        <v>18321</v>
      </c>
      <c r="C18250" s="2" t="str">
        <f>"15332977"</f>
        <v>15332977</v>
      </c>
      <c r="D18250" s="2">
        <v>0.36299999999999999</v>
      </c>
      <c r="E18250" s="2">
        <v>8</v>
      </c>
      <c r="F18250" s="2" t="s">
        <v>16</v>
      </c>
    </row>
    <row r="18251" spans="1:6" ht="25.5">
      <c r="A18251" s="2">
        <v>18248</v>
      </c>
      <c r="B18251" s="2" t="s">
        <v>18322</v>
      </c>
      <c r="C18251" s="2" t="str">
        <f>"05865964"</f>
        <v>05865964</v>
      </c>
      <c r="D18251" s="2">
        <v>0.113</v>
      </c>
      <c r="E18251" s="2">
        <v>5</v>
      </c>
      <c r="F18251" s="2" t="s">
        <v>6</v>
      </c>
    </row>
    <row r="18252" spans="1:6" ht="25.5">
      <c r="A18252" s="2">
        <v>18249</v>
      </c>
      <c r="B18252" s="2" t="s">
        <v>18323</v>
      </c>
      <c r="C18252" s="2" t="str">
        <f>"18770541"</f>
        <v>18770541</v>
      </c>
      <c r="D18252" s="2">
        <v>1.1020000000000001</v>
      </c>
      <c r="E18252" s="2">
        <v>22</v>
      </c>
      <c r="F18252" s="2" t="s">
        <v>12</v>
      </c>
    </row>
    <row r="18253" spans="1:6" ht="25.5">
      <c r="A18253" s="2">
        <v>18250</v>
      </c>
      <c r="B18253" s="2" t="s">
        <v>18324</v>
      </c>
      <c r="C18253" s="2" t="str">
        <f>"0268117X"</f>
        <v>0268117X</v>
      </c>
      <c r="D18253" s="2">
        <v>0.121</v>
      </c>
      <c r="E18253" s="2">
        <v>5</v>
      </c>
      <c r="F18253" s="2" t="s">
        <v>16</v>
      </c>
    </row>
    <row r="18254" spans="1:6" ht="25.5">
      <c r="A18254" s="2">
        <v>18251</v>
      </c>
      <c r="B18254" s="2" t="s">
        <v>18325</v>
      </c>
      <c r="C18254" s="2" t="str">
        <f>"1934421X"</f>
        <v>1934421X</v>
      </c>
      <c r="D18254" s="2">
        <v>0.1</v>
      </c>
      <c r="E18254" s="2">
        <v>1</v>
      </c>
      <c r="F18254" s="2" t="s">
        <v>6</v>
      </c>
    </row>
    <row r="18255" spans="1:6" ht="25.5">
      <c r="A18255" s="2">
        <v>18252</v>
      </c>
      <c r="B18255" s="2" t="s">
        <v>18326</v>
      </c>
      <c r="C18255" s="2" t="str">
        <f>"14720825"</f>
        <v>14720825</v>
      </c>
      <c r="D18255" s="2">
        <v>0.36399999999999999</v>
      </c>
      <c r="E18255" s="2">
        <v>11</v>
      </c>
      <c r="F18255" s="2" t="s">
        <v>16</v>
      </c>
    </row>
    <row r="18256" spans="1:6" ht="25.5">
      <c r="A18256" s="2">
        <v>18253</v>
      </c>
      <c r="B18256" s="2" t="s">
        <v>18327</v>
      </c>
      <c r="C18256" s="2" t="str">
        <f>"11581360"</f>
        <v>11581360</v>
      </c>
      <c r="D18256" s="2">
        <v>0.19800000000000001</v>
      </c>
      <c r="E18256" s="2">
        <v>8</v>
      </c>
      <c r="F18256" s="2" t="s">
        <v>66</v>
      </c>
    </row>
    <row r="18257" spans="1:6" ht="25.5">
      <c r="A18257" s="2">
        <v>18254</v>
      </c>
      <c r="B18257" s="2" t="s">
        <v>18328</v>
      </c>
      <c r="C18257" s="2" t="str">
        <f>"15732762"</f>
        <v>15732762</v>
      </c>
      <c r="D18257" s="2">
        <v>0.83599999999999997</v>
      </c>
      <c r="E18257" s="2">
        <v>53</v>
      </c>
      <c r="F18257" s="2" t="s">
        <v>6</v>
      </c>
    </row>
    <row r="18258" spans="1:6" ht="25.5">
      <c r="A18258" s="2">
        <v>18255</v>
      </c>
      <c r="B18258" s="2" t="s">
        <v>18329</v>
      </c>
      <c r="C18258" s="2" t="str">
        <f>"1573286X"</f>
        <v>1573286X</v>
      </c>
      <c r="D18258" s="2">
        <v>1.1160000000000001</v>
      </c>
      <c r="E18258" s="2">
        <v>38</v>
      </c>
      <c r="F18258" s="2" t="s">
        <v>6</v>
      </c>
    </row>
    <row r="18259" spans="1:6" ht="25.5">
      <c r="A18259" s="2">
        <v>18256</v>
      </c>
      <c r="B18259" s="2" t="s">
        <v>18330</v>
      </c>
      <c r="C18259" s="2" t="str">
        <f>"15325318"</f>
        <v>15325318</v>
      </c>
      <c r="D18259" s="2">
        <v>0.26</v>
      </c>
      <c r="E18259" s="2">
        <v>16</v>
      </c>
      <c r="F18259" s="2" t="s">
        <v>16</v>
      </c>
    </row>
    <row r="18260" spans="1:6" ht="25.5">
      <c r="A18260" s="2">
        <v>18257</v>
      </c>
      <c r="B18260" s="2" t="s">
        <v>18331</v>
      </c>
      <c r="C18260" s="2" t="str">
        <f>"14681994"</f>
        <v>14681994</v>
      </c>
      <c r="D18260" s="2">
        <v>0.224</v>
      </c>
      <c r="E18260" s="2">
        <v>21</v>
      </c>
      <c r="F18260" s="2" t="s">
        <v>16</v>
      </c>
    </row>
    <row r="18261" spans="1:6" ht="25.5">
      <c r="A18261" s="2">
        <v>18258</v>
      </c>
      <c r="B18261" s="2" t="s">
        <v>18332</v>
      </c>
      <c r="C18261" s="2" t="str">
        <f>"18775764"</f>
        <v>18775764</v>
      </c>
      <c r="D18261" s="2">
        <v>0.317</v>
      </c>
      <c r="E18261" s="2">
        <v>5</v>
      </c>
      <c r="F18261" s="2" t="s">
        <v>75</v>
      </c>
    </row>
    <row r="18262" spans="1:6" ht="25.5">
      <c r="A18262" s="2">
        <v>18259</v>
      </c>
      <c r="B18262" s="2" t="s">
        <v>18333</v>
      </c>
      <c r="C18262" s="2" t="str">
        <f>"16615433"</f>
        <v>16615433</v>
      </c>
      <c r="D18262" s="2">
        <v>0.77100000000000002</v>
      </c>
      <c r="E18262" s="2">
        <v>18</v>
      </c>
      <c r="F18262" s="2" t="s">
        <v>31</v>
      </c>
    </row>
    <row r="18263" spans="1:6" ht="25.5">
      <c r="A18263" s="2">
        <v>18260</v>
      </c>
      <c r="B18263" s="2" t="s">
        <v>18334</v>
      </c>
      <c r="C18263" s="2" t="str">
        <f>"14498987"</f>
        <v>14498987</v>
      </c>
      <c r="D18263" s="2">
        <v>0.66500000000000004</v>
      </c>
      <c r="E18263" s="2">
        <v>20</v>
      </c>
      <c r="F18263" s="2" t="s">
        <v>127</v>
      </c>
    </row>
    <row r="18264" spans="1:6" ht="25.5">
      <c r="A18264" s="2">
        <v>18261</v>
      </c>
      <c r="B18264" s="2" t="s">
        <v>18335</v>
      </c>
      <c r="C18264" s="2" t="str">
        <f>"14617382"</f>
        <v>14617382</v>
      </c>
      <c r="D18264" s="2">
        <v>0.502</v>
      </c>
      <c r="E18264" s="2">
        <v>18</v>
      </c>
      <c r="F18264" s="2" t="s">
        <v>16</v>
      </c>
    </row>
    <row r="18265" spans="1:6" ht="25.5">
      <c r="A18265" s="2">
        <v>18262</v>
      </c>
      <c r="B18265" s="2" t="s">
        <v>18336</v>
      </c>
      <c r="C18265" s="2" t="str">
        <f>"10955143"</f>
        <v>10955143</v>
      </c>
      <c r="D18265" s="2">
        <v>0.214</v>
      </c>
      <c r="E18265" s="2">
        <v>7</v>
      </c>
      <c r="F18265" s="2" t="s">
        <v>6</v>
      </c>
    </row>
    <row r="18266" spans="1:6" ht="25.5">
      <c r="A18266" s="2">
        <v>18263</v>
      </c>
      <c r="B18266" s="2" t="s">
        <v>18337</v>
      </c>
      <c r="C18266" s="2" t="str">
        <f>"15736717"</f>
        <v>15736717</v>
      </c>
      <c r="D18266" s="2">
        <v>0.34100000000000003</v>
      </c>
      <c r="E18266" s="2">
        <v>20</v>
      </c>
      <c r="F18266" s="2" t="s">
        <v>6</v>
      </c>
    </row>
    <row r="18267" spans="1:6" ht="25.5">
      <c r="A18267" s="2">
        <v>18264</v>
      </c>
      <c r="B18267" s="2" t="s">
        <v>18338</v>
      </c>
      <c r="C18267" s="2" t="str">
        <f>"15462501"</f>
        <v>15462501</v>
      </c>
      <c r="D18267" s="2">
        <v>0.113</v>
      </c>
      <c r="E18267" s="2">
        <v>7</v>
      </c>
      <c r="F18267" s="2" t="s">
        <v>6</v>
      </c>
    </row>
    <row r="18268" spans="1:6" ht="25.5">
      <c r="A18268" s="2">
        <v>18265</v>
      </c>
      <c r="B18268" s="2" t="s">
        <v>18339</v>
      </c>
      <c r="C18268" s="2" t="str">
        <f>"18689884"</f>
        <v>18689884</v>
      </c>
      <c r="D18268" s="2">
        <v>0.379</v>
      </c>
      <c r="E18268" s="2">
        <v>6</v>
      </c>
      <c r="F18268" s="2" t="s">
        <v>6</v>
      </c>
    </row>
    <row r="18269" spans="1:6" ht="25.5">
      <c r="A18269" s="2">
        <v>18266</v>
      </c>
      <c r="B18269" s="2" t="s">
        <v>18340</v>
      </c>
      <c r="C18269" s="2" t="str">
        <f>"15374521"</f>
        <v>15374521</v>
      </c>
      <c r="D18269" s="2">
        <v>1.129</v>
      </c>
      <c r="E18269" s="2">
        <v>71</v>
      </c>
      <c r="F18269" s="2" t="s">
        <v>6</v>
      </c>
    </row>
    <row r="18270" spans="1:6" ht="25.5">
      <c r="A18270" s="2">
        <v>18267</v>
      </c>
      <c r="B18270" s="2" t="s">
        <v>18341</v>
      </c>
      <c r="C18270" s="2" t="str">
        <f>"14723263"</f>
        <v>14723263</v>
      </c>
      <c r="D18270" s="2">
        <v>1.2030000000000001</v>
      </c>
      <c r="E18270" s="2">
        <v>64</v>
      </c>
      <c r="F18270" s="2" t="s">
        <v>16</v>
      </c>
    </row>
    <row r="18271" spans="1:6" ht="25.5">
      <c r="A18271" s="2">
        <v>18268</v>
      </c>
      <c r="B18271" s="2" t="s">
        <v>18342</v>
      </c>
      <c r="C18271" s="2" t="str">
        <f>"09447105"</f>
        <v>09447105</v>
      </c>
      <c r="D18271" s="2">
        <v>0.106</v>
      </c>
      <c r="E18271" s="2">
        <v>7</v>
      </c>
      <c r="F18271" s="2" t="s">
        <v>12</v>
      </c>
    </row>
    <row r="18272" spans="1:6" ht="25.5">
      <c r="A18272" s="2">
        <v>18269</v>
      </c>
      <c r="B18272" s="2" t="s">
        <v>18343</v>
      </c>
      <c r="C18272" s="2" t="str">
        <f>"17450926"</f>
        <v>17450926</v>
      </c>
      <c r="D18272" s="2">
        <v>0.13200000000000001</v>
      </c>
      <c r="E18272" s="2">
        <v>3</v>
      </c>
      <c r="F18272" s="2" t="s">
        <v>16</v>
      </c>
    </row>
    <row r="18273" spans="1:6" ht="25.5">
      <c r="A18273" s="2">
        <v>18270</v>
      </c>
      <c r="B18273" s="2" t="s">
        <v>18344</v>
      </c>
      <c r="C18273" s="2" t="str">
        <f>"00373222"</f>
        <v>00373222</v>
      </c>
      <c r="D18273" s="2">
        <v>0.36599999999999999</v>
      </c>
      <c r="E18273" s="2">
        <v>7</v>
      </c>
      <c r="F18273" s="2" t="s">
        <v>6</v>
      </c>
    </row>
    <row r="18274" spans="1:6" ht="25.5">
      <c r="A18274" s="2">
        <v>18271</v>
      </c>
      <c r="B18274" s="2" t="s">
        <v>18345</v>
      </c>
      <c r="C18274" s="2" t="str">
        <f>"05829399"</f>
        <v>05829399</v>
      </c>
      <c r="D18274" s="2">
        <v>0.182</v>
      </c>
      <c r="E18274" s="2">
        <v>3</v>
      </c>
      <c r="F18274" s="2" t="s">
        <v>6</v>
      </c>
    </row>
    <row r="18275" spans="1:6" ht="25.5">
      <c r="A18275" s="2">
        <v>18272</v>
      </c>
      <c r="B18275" s="2" t="s">
        <v>18346</v>
      </c>
      <c r="C18275" s="2" t="str">
        <f>"10062467"</f>
        <v>10062467</v>
      </c>
      <c r="D18275" s="2">
        <v>0.192</v>
      </c>
      <c r="E18275" s="2">
        <v>13</v>
      </c>
      <c r="F18275" s="2" t="s">
        <v>46</v>
      </c>
    </row>
    <row r="18276" spans="1:6" ht="25.5">
      <c r="A18276" s="2">
        <v>18273</v>
      </c>
      <c r="B18276" s="2" t="s">
        <v>18347</v>
      </c>
      <c r="C18276" s="2" t="str">
        <f>"10076735"</f>
        <v>10076735</v>
      </c>
      <c r="D18276" s="2">
        <v>0.10199999999999999</v>
      </c>
      <c r="E18276" s="2">
        <v>5</v>
      </c>
      <c r="F18276" s="2" t="s">
        <v>46</v>
      </c>
    </row>
    <row r="18277" spans="1:6" ht="25.5">
      <c r="A18277" s="2">
        <v>18274</v>
      </c>
      <c r="B18277" s="2" t="s">
        <v>18348</v>
      </c>
      <c r="C18277" s="2" t="str">
        <f>"02850362"</f>
        <v>02850362</v>
      </c>
      <c r="D18277" s="2">
        <v>0.113</v>
      </c>
      <c r="E18277" s="2">
        <v>4</v>
      </c>
      <c r="F18277" s="2" t="s">
        <v>131</v>
      </c>
    </row>
    <row r="18278" spans="1:6" ht="25.5">
      <c r="A18278" s="2">
        <v>18275</v>
      </c>
      <c r="B18278" s="2" t="s">
        <v>18349</v>
      </c>
      <c r="C18278" s="2" t="str">
        <f>"07415842"</f>
        <v>07415842</v>
      </c>
      <c r="D18278" s="2">
        <v>0.10100000000000001</v>
      </c>
      <c r="E18278" s="2">
        <v>0</v>
      </c>
      <c r="F18278" s="2" t="s">
        <v>6</v>
      </c>
    </row>
    <row r="18279" spans="1:6" ht="25.5">
      <c r="A18279" s="2">
        <v>18276</v>
      </c>
      <c r="B18279" s="2" t="s">
        <v>18350</v>
      </c>
      <c r="C18279" s="2" t="str">
        <f>"00373583"</f>
        <v>00373583</v>
      </c>
      <c r="D18279" s="2">
        <v>0.10100000000000001</v>
      </c>
      <c r="E18279" s="2">
        <v>1</v>
      </c>
      <c r="F18279" s="2" t="s">
        <v>6</v>
      </c>
    </row>
    <row r="18280" spans="1:6" ht="25.5">
      <c r="A18280" s="2">
        <v>18277</v>
      </c>
      <c r="B18280" s="2" t="s">
        <v>18351</v>
      </c>
      <c r="C18280" s="2" t="str">
        <f>"05597765"</f>
        <v>05597765</v>
      </c>
      <c r="D18280" s="2">
        <v>0.105</v>
      </c>
      <c r="E18280" s="2">
        <v>5</v>
      </c>
      <c r="F18280" s="2" t="s">
        <v>46</v>
      </c>
    </row>
    <row r="18281" spans="1:6" ht="25.5">
      <c r="A18281" s="2">
        <v>18278</v>
      </c>
      <c r="B18281" s="2" t="s">
        <v>18352</v>
      </c>
      <c r="C18281" s="2" t="str">
        <f>"18722075"</f>
        <v>18722075</v>
      </c>
      <c r="D18281" s="2">
        <v>0.15</v>
      </c>
      <c r="E18281" s="2">
        <v>11</v>
      </c>
      <c r="F18281" s="2" t="s">
        <v>46</v>
      </c>
    </row>
    <row r="18282" spans="1:6" ht="25.5">
      <c r="A18282" s="2">
        <v>18279</v>
      </c>
      <c r="B18282" s="2" t="s">
        <v>18353</v>
      </c>
      <c r="C18282" s="2" t="str">
        <f>"10015515"</f>
        <v>10015515</v>
      </c>
      <c r="D18282" s="2">
        <v>0.105</v>
      </c>
      <c r="E18282" s="2">
        <v>9</v>
      </c>
      <c r="F18282" s="2" t="s">
        <v>46</v>
      </c>
    </row>
    <row r="18283" spans="1:6" ht="25.5">
      <c r="A18283" s="2">
        <v>18280</v>
      </c>
      <c r="B18283" s="2" t="s">
        <v>18354</v>
      </c>
      <c r="C18283" s="2" t="str">
        <f>"03710025"</f>
        <v>03710025</v>
      </c>
      <c r="D18283" s="2">
        <v>0.14599999999999999</v>
      </c>
      <c r="E18283" s="2">
        <v>10</v>
      </c>
      <c r="F18283" s="2" t="s">
        <v>46</v>
      </c>
    </row>
    <row r="18284" spans="1:6" ht="25.5">
      <c r="A18284" s="2">
        <v>18281</v>
      </c>
      <c r="B18284" s="2" t="s">
        <v>18355</v>
      </c>
      <c r="C18284" s="2" t="str">
        <f>"10001646"</f>
        <v>10001646</v>
      </c>
      <c r="D18284" s="2">
        <v>0.217</v>
      </c>
      <c r="E18284" s="2">
        <v>5</v>
      </c>
      <c r="F18284" s="2" t="s">
        <v>46</v>
      </c>
    </row>
    <row r="18285" spans="1:6" ht="25.5">
      <c r="A18285" s="2">
        <v>18282</v>
      </c>
      <c r="B18285" s="2" t="s">
        <v>18356</v>
      </c>
      <c r="C18285" s="2" t="str">
        <f>"16712021"</f>
        <v>16712021</v>
      </c>
      <c r="D18285" s="2">
        <v>0.246</v>
      </c>
      <c r="E18285" s="2">
        <v>6</v>
      </c>
      <c r="F18285" s="2" t="s">
        <v>46</v>
      </c>
    </row>
    <row r="18286" spans="1:6" ht="25.5">
      <c r="A18286" s="2">
        <v>18283</v>
      </c>
      <c r="B18286" s="2" t="s">
        <v>18357</v>
      </c>
      <c r="C18286" s="2" t="str">
        <f>"10002618"</f>
        <v>10002618</v>
      </c>
      <c r="D18286" s="2">
        <v>0.25800000000000001</v>
      </c>
      <c r="E18286" s="2">
        <v>6</v>
      </c>
      <c r="F18286" s="2" t="s">
        <v>46</v>
      </c>
    </row>
    <row r="18287" spans="1:6" ht="25.5">
      <c r="A18287" s="2">
        <v>18284</v>
      </c>
      <c r="B18287" s="2" t="s">
        <v>18358</v>
      </c>
      <c r="C18287" s="2" t="str">
        <f>"03005267"</f>
        <v>03005267</v>
      </c>
      <c r="D18287" s="2">
        <v>0.25700000000000001</v>
      </c>
      <c r="E18287" s="2">
        <v>4</v>
      </c>
      <c r="F18287" s="2" t="s">
        <v>351</v>
      </c>
    </row>
    <row r="18288" spans="1:6" ht="25.5">
      <c r="A18288" s="2">
        <v>18285</v>
      </c>
      <c r="B18288" s="2" t="s">
        <v>18359</v>
      </c>
      <c r="C18288" s="2" t="str">
        <f>"00215236"</f>
        <v>00215236</v>
      </c>
      <c r="D18288" s="2">
        <v>0.152</v>
      </c>
      <c r="E18288" s="2">
        <v>10</v>
      </c>
      <c r="F18288" s="2" t="s">
        <v>131</v>
      </c>
    </row>
    <row r="18289" spans="1:6" ht="25.5">
      <c r="A18289" s="2">
        <v>18286</v>
      </c>
      <c r="B18289" s="2" t="s">
        <v>18360</v>
      </c>
      <c r="C18289" s="2" t="str">
        <f>"1754212X"</f>
        <v>1754212X</v>
      </c>
      <c r="D18289" s="2">
        <v>0.255</v>
      </c>
      <c r="E18289" s="2">
        <v>8</v>
      </c>
      <c r="F18289" s="2" t="s">
        <v>16</v>
      </c>
    </row>
    <row r="18290" spans="1:6" ht="25.5">
      <c r="A18290" s="2">
        <v>18287</v>
      </c>
      <c r="B18290" s="2" t="s">
        <v>18361</v>
      </c>
      <c r="C18290" s="2" t="str">
        <f>"09377255"</f>
        <v>09377255</v>
      </c>
      <c r="D18290" s="2">
        <v>0.17399999999999999</v>
      </c>
      <c r="E18290" s="2">
        <v>8</v>
      </c>
      <c r="F18290" s="2" t="s">
        <v>12</v>
      </c>
    </row>
    <row r="18291" spans="1:6" ht="25.5">
      <c r="A18291" s="2">
        <v>18288</v>
      </c>
      <c r="B18291" s="2" t="s">
        <v>18362</v>
      </c>
      <c r="C18291" s="2" t="str">
        <f>"17351391"</f>
        <v>17351391</v>
      </c>
      <c r="D18291" s="2">
        <v>0.115</v>
      </c>
      <c r="E18291" s="2">
        <v>2</v>
      </c>
      <c r="F18291" s="2" t="s">
        <v>299</v>
      </c>
    </row>
    <row r="18292" spans="1:6" ht="25.5">
      <c r="A18292" s="2">
        <v>18289</v>
      </c>
      <c r="B18292" s="2" t="s">
        <v>18363</v>
      </c>
      <c r="C18292" s="2" t="str">
        <f>"16729897"</f>
        <v>16729897</v>
      </c>
      <c r="D18292" s="2">
        <v>0.127</v>
      </c>
      <c r="E18292" s="2">
        <v>7</v>
      </c>
      <c r="F18292" s="2" t="s">
        <v>46</v>
      </c>
    </row>
    <row r="18293" spans="1:6" ht="25.5">
      <c r="A18293" s="2">
        <v>18290</v>
      </c>
      <c r="B18293" s="2" t="s">
        <v>18364</v>
      </c>
      <c r="C18293" s="2" t="str">
        <f>"10007210"</f>
        <v>10007210</v>
      </c>
      <c r="D18293" s="2">
        <v>0.25</v>
      </c>
      <c r="E18293" s="2">
        <v>7</v>
      </c>
      <c r="F18293" s="2" t="s">
        <v>46</v>
      </c>
    </row>
    <row r="18294" spans="1:6" ht="25.5">
      <c r="A18294" s="2">
        <v>18291</v>
      </c>
      <c r="B18294" s="2" t="s">
        <v>18365</v>
      </c>
      <c r="C18294" s="2" t="str">
        <f>"1006396X"</f>
        <v>1006396X</v>
      </c>
      <c r="D18294" s="2">
        <v>0.106</v>
      </c>
      <c r="E18294" s="2">
        <v>5</v>
      </c>
      <c r="F18294" s="2" t="s">
        <v>46</v>
      </c>
    </row>
    <row r="18295" spans="1:6" ht="25.5">
      <c r="A18295" s="2">
        <v>18292</v>
      </c>
      <c r="B18295" s="2" t="s">
        <v>18366</v>
      </c>
      <c r="C18295" s="2" t="str">
        <f>"10008144"</f>
        <v>10008144</v>
      </c>
      <c r="D18295" s="2">
        <v>0.127</v>
      </c>
      <c r="E18295" s="2">
        <v>8</v>
      </c>
      <c r="F18295" s="2" t="s">
        <v>46</v>
      </c>
    </row>
    <row r="18296" spans="1:6" ht="25.5">
      <c r="A18296" s="2">
        <v>18293</v>
      </c>
      <c r="B18296" s="2" t="s">
        <v>18367</v>
      </c>
      <c r="C18296" s="2" t="str">
        <f>"10007466"</f>
        <v>10007466</v>
      </c>
      <c r="D18296" s="2">
        <v>0.188</v>
      </c>
      <c r="E18296" s="2">
        <v>4</v>
      </c>
      <c r="F18296" s="2" t="s">
        <v>46</v>
      </c>
    </row>
    <row r="18297" spans="1:6" ht="25.5">
      <c r="A18297" s="2">
        <v>18294</v>
      </c>
      <c r="B18297" s="2" t="s">
        <v>18368</v>
      </c>
      <c r="C18297" s="2" t="str">
        <f>"10000747"</f>
        <v>10000747</v>
      </c>
      <c r="D18297" s="2">
        <v>1.399</v>
      </c>
      <c r="E18297" s="2">
        <v>17</v>
      </c>
      <c r="F18297" s="2" t="s">
        <v>46</v>
      </c>
    </row>
    <row r="18298" spans="1:6" ht="25.5">
      <c r="A18298" s="2">
        <v>18295</v>
      </c>
      <c r="B18298" s="2" t="s">
        <v>18369</v>
      </c>
      <c r="C18298" s="2" t="str">
        <f>"10052399"</f>
        <v>10052399</v>
      </c>
      <c r="D18298" s="2">
        <v>0.11700000000000001</v>
      </c>
      <c r="E18298" s="2">
        <v>9</v>
      </c>
      <c r="F18298" s="2" t="s">
        <v>46</v>
      </c>
    </row>
    <row r="18299" spans="1:6" ht="25.5">
      <c r="A18299" s="2">
        <v>18296</v>
      </c>
      <c r="B18299" s="2" t="s">
        <v>18370</v>
      </c>
      <c r="C18299" s="2" t="str">
        <f>"02532697"</f>
        <v>02532697</v>
      </c>
      <c r="D18299" s="2">
        <v>0.61699999999999999</v>
      </c>
      <c r="E18299" s="2">
        <v>20</v>
      </c>
      <c r="F18299" s="2" t="s">
        <v>46</v>
      </c>
    </row>
    <row r="18300" spans="1:6" ht="25.5">
      <c r="A18300" s="2">
        <v>18297</v>
      </c>
      <c r="B18300" s="2" t="s">
        <v>18371</v>
      </c>
      <c r="C18300" s="2" t="str">
        <f>"10018719"</f>
        <v>10018719</v>
      </c>
      <c r="D18300" s="2">
        <v>0.16300000000000001</v>
      </c>
      <c r="E18300" s="2">
        <v>9</v>
      </c>
      <c r="F18300" s="2" t="s">
        <v>46</v>
      </c>
    </row>
    <row r="18301" spans="1:6" ht="25.5">
      <c r="A18301" s="2">
        <v>18298</v>
      </c>
      <c r="B18301" s="2" t="s">
        <v>18372</v>
      </c>
      <c r="C18301" s="2" t="str">
        <f>"10732322"</f>
        <v>10732322</v>
      </c>
      <c r="D18301" s="2">
        <v>1.0860000000000001</v>
      </c>
      <c r="E18301" s="2">
        <v>75</v>
      </c>
      <c r="F18301" s="2" t="s">
        <v>6</v>
      </c>
    </row>
    <row r="18302" spans="1:6" ht="25.5">
      <c r="A18302" s="2">
        <v>18299</v>
      </c>
      <c r="B18302" s="2" t="s">
        <v>18373</v>
      </c>
      <c r="C18302" s="2" t="str">
        <f>"10709622"</f>
        <v>10709622</v>
      </c>
      <c r="D18302" s="2">
        <v>0.32600000000000001</v>
      </c>
      <c r="E18302" s="2">
        <v>19</v>
      </c>
      <c r="F18302" s="2" t="s">
        <v>75</v>
      </c>
    </row>
    <row r="18303" spans="1:6" ht="25.5">
      <c r="A18303" s="2">
        <v>18300</v>
      </c>
      <c r="B18303" s="2" t="s">
        <v>18374</v>
      </c>
      <c r="C18303" s="2" t="str">
        <f>"14322153"</f>
        <v>14322153</v>
      </c>
      <c r="D18303" s="2">
        <v>0.73</v>
      </c>
      <c r="E18303" s="2">
        <v>25</v>
      </c>
      <c r="F18303" s="2" t="s">
        <v>6</v>
      </c>
    </row>
    <row r="18304" spans="1:6" ht="25.5">
      <c r="A18304" s="2">
        <v>18301</v>
      </c>
      <c r="B18304" s="2" t="s">
        <v>18375</v>
      </c>
      <c r="C18304" s="2" t="str">
        <f>"00156426"</f>
        <v>00156426</v>
      </c>
      <c r="D18304" s="2">
        <v>0.223</v>
      </c>
      <c r="E18304" s="2">
        <v>20</v>
      </c>
      <c r="F18304" s="2" t="s">
        <v>131</v>
      </c>
    </row>
    <row r="18305" spans="1:6" ht="25.5">
      <c r="A18305" s="2">
        <v>18302</v>
      </c>
      <c r="B18305" s="2" t="s">
        <v>18376</v>
      </c>
      <c r="C18305" s="2" t="str">
        <f>"1349838X"</f>
        <v>1349838X</v>
      </c>
      <c r="D18305" s="2">
        <v>0.11</v>
      </c>
      <c r="E18305" s="2">
        <v>2</v>
      </c>
      <c r="F18305" s="2" t="s">
        <v>131</v>
      </c>
    </row>
    <row r="18306" spans="1:6" ht="25.5">
      <c r="A18306" s="2">
        <v>18303</v>
      </c>
      <c r="B18306" s="2" t="s">
        <v>18377</v>
      </c>
      <c r="C18306" s="2" t="str">
        <f>"00374342"</f>
        <v>00374342</v>
      </c>
      <c r="D18306" s="2">
        <v>0.1</v>
      </c>
      <c r="E18306" s="2">
        <v>3</v>
      </c>
      <c r="F18306" s="2" t="s">
        <v>131</v>
      </c>
    </row>
    <row r="18307" spans="1:6" ht="25.5">
      <c r="A18307" s="2">
        <v>18304</v>
      </c>
      <c r="B18307" s="2" t="s">
        <v>18378</v>
      </c>
      <c r="C18307" s="2" t="str">
        <f>"10004874"</f>
        <v>10004874</v>
      </c>
      <c r="D18307" s="2">
        <v>0.33300000000000002</v>
      </c>
      <c r="E18307" s="2">
        <v>7</v>
      </c>
      <c r="F18307" s="2" t="s">
        <v>46</v>
      </c>
    </row>
    <row r="18308" spans="1:6" ht="25.5">
      <c r="A18308" s="2">
        <v>18305</v>
      </c>
      <c r="B18308" s="2" t="s">
        <v>18379</v>
      </c>
      <c r="C18308" s="2" t="str">
        <f>"10016791"</f>
        <v>10016791</v>
      </c>
      <c r="D18308" s="2">
        <v>0.33200000000000002</v>
      </c>
      <c r="E18308" s="2">
        <v>15</v>
      </c>
      <c r="F18308" s="2" t="s">
        <v>46</v>
      </c>
    </row>
    <row r="18309" spans="1:6" ht="25.5">
      <c r="A18309" s="2">
        <v>18306</v>
      </c>
      <c r="B18309" s="2" t="s">
        <v>18380</v>
      </c>
      <c r="C18309" s="2" t="str">
        <f>"10031243"</f>
        <v>10031243</v>
      </c>
      <c r="D18309" s="2">
        <v>0.33700000000000002</v>
      </c>
      <c r="E18309" s="2">
        <v>10</v>
      </c>
      <c r="F18309" s="2" t="s">
        <v>46</v>
      </c>
    </row>
    <row r="18310" spans="1:6" ht="25.5">
      <c r="A18310" s="2">
        <v>18307</v>
      </c>
      <c r="B18310" s="2" t="s">
        <v>18381</v>
      </c>
      <c r="C18310" s="2" t="str">
        <f>"05599350"</f>
        <v>05599350</v>
      </c>
      <c r="D18310" s="2">
        <v>0.221</v>
      </c>
      <c r="E18310" s="2">
        <v>16</v>
      </c>
      <c r="F18310" s="2" t="s">
        <v>46</v>
      </c>
    </row>
    <row r="18311" spans="1:6" ht="25.5">
      <c r="A18311" s="2">
        <v>18308</v>
      </c>
      <c r="B18311" s="2" t="s">
        <v>18382</v>
      </c>
      <c r="C18311" s="2" t="str">
        <f>"10049037"</f>
        <v>10049037</v>
      </c>
      <c r="D18311" s="2">
        <v>0.16400000000000001</v>
      </c>
      <c r="E18311" s="2">
        <v>8</v>
      </c>
      <c r="F18311" s="2" t="s">
        <v>46</v>
      </c>
    </row>
    <row r="18312" spans="1:6" ht="25.5">
      <c r="A18312" s="2">
        <v>18309</v>
      </c>
      <c r="B18312" s="2" t="s">
        <v>18383</v>
      </c>
      <c r="C18312" s="2" t="str">
        <f>"10957197"</f>
        <v>10957197</v>
      </c>
      <c r="D18312" s="2">
        <v>1.6080000000000001</v>
      </c>
      <c r="E18312" s="2">
        <v>75</v>
      </c>
      <c r="F18312" s="2" t="s">
        <v>6</v>
      </c>
    </row>
    <row r="18313" spans="1:6" ht="25.5">
      <c r="A18313" s="2">
        <v>18310</v>
      </c>
      <c r="B18313" s="2" t="s">
        <v>18384</v>
      </c>
      <c r="C18313" s="2" t="str">
        <f>"15360040"</f>
        <v>15360040</v>
      </c>
      <c r="D18313" s="2">
        <v>1.119</v>
      </c>
      <c r="E18313" s="2">
        <v>28</v>
      </c>
      <c r="F18313" s="2" t="s">
        <v>6</v>
      </c>
    </row>
    <row r="18314" spans="1:6" ht="25.5">
      <c r="A18314" s="2">
        <v>18311</v>
      </c>
      <c r="B18314" s="2" t="s">
        <v>18385</v>
      </c>
      <c r="C18314" s="2" t="str">
        <f>"1095712X"</f>
        <v>1095712X</v>
      </c>
      <c r="D18314" s="2">
        <v>0.97699999999999998</v>
      </c>
      <c r="E18314" s="2">
        <v>56</v>
      </c>
      <c r="F18314" s="2" t="s">
        <v>6</v>
      </c>
    </row>
    <row r="18315" spans="1:6" ht="25.5">
      <c r="A18315" s="2">
        <v>18312</v>
      </c>
      <c r="B18315" s="2" t="s">
        <v>18386</v>
      </c>
      <c r="C18315" s="2" t="str">
        <f>"10957111"</f>
        <v>10957111</v>
      </c>
      <c r="D18315" s="2">
        <v>3.121</v>
      </c>
      <c r="E18315" s="2">
        <v>61</v>
      </c>
      <c r="F18315" s="2" t="s">
        <v>6</v>
      </c>
    </row>
    <row r="18316" spans="1:6" ht="25.5">
      <c r="A18316" s="2">
        <v>18313</v>
      </c>
      <c r="B18316" s="2" t="s">
        <v>18387</v>
      </c>
      <c r="C18316" s="2" t="str">
        <f>"10957138"</f>
        <v>10957138</v>
      </c>
      <c r="D18316" s="2">
        <v>2.661</v>
      </c>
      <c r="E18316" s="2">
        <v>65</v>
      </c>
      <c r="F18316" s="2" t="s">
        <v>6</v>
      </c>
    </row>
    <row r="18317" spans="1:6" ht="25.5">
      <c r="A18317" s="2">
        <v>18314</v>
      </c>
      <c r="B18317" s="2" t="s">
        <v>18388</v>
      </c>
      <c r="C18317" s="2" t="str">
        <f>"10957146"</f>
        <v>10957146</v>
      </c>
      <c r="D18317" s="2">
        <v>1.27</v>
      </c>
      <c r="E18317" s="2">
        <v>36</v>
      </c>
      <c r="F18317" s="2" t="s">
        <v>6</v>
      </c>
    </row>
    <row r="18318" spans="1:6" ht="25.5">
      <c r="A18318" s="2">
        <v>18315</v>
      </c>
      <c r="B18318" s="2" t="s">
        <v>18389</v>
      </c>
      <c r="C18318" s="2" t="str">
        <f>"1945497X"</f>
        <v>1945497X</v>
      </c>
      <c r="D18318" s="2">
        <v>0.872</v>
      </c>
      <c r="E18318" s="2">
        <v>6</v>
      </c>
      <c r="F18318" s="2" t="s">
        <v>6</v>
      </c>
    </row>
    <row r="18319" spans="1:6" ht="25.5">
      <c r="A18319" s="2">
        <v>18316</v>
      </c>
      <c r="B18319" s="2" t="s">
        <v>18390</v>
      </c>
      <c r="C18319" s="2" t="str">
        <f>"19364954"</f>
        <v>19364954</v>
      </c>
      <c r="D18319" s="2">
        <v>2.7010000000000001</v>
      </c>
      <c r="E18319" s="2">
        <v>9</v>
      </c>
      <c r="F18319" s="2" t="s">
        <v>6</v>
      </c>
    </row>
    <row r="18320" spans="1:6" ht="25.5">
      <c r="A18320" s="2">
        <v>18317</v>
      </c>
      <c r="B18320" s="2" t="s">
        <v>18391</v>
      </c>
      <c r="C18320" s="2" t="str">
        <f>"10957154"</f>
        <v>10957154</v>
      </c>
      <c r="D18320" s="2">
        <v>1.7669999999999999</v>
      </c>
      <c r="E18320" s="2">
        <v>47</v>
      </c>
      <c r="F18320" s="2" t="s">
        <v>6</v>
      </c>
    </row>
    <row r="18321" spans="1:6" ht="25.5">
      <c r="A18321" s="2">
        <v>18318</v>
      </c>
      <c r="B18321" s="2" t="s">
        <v>18392</v>
      </c>
      <c r="C18321" s="2" t="str">
        <f>"10957162"</f>
        <v>10957162</v>
      </c>
      <c r="D18321" s="2">
        <v>1.5089999999999999</v>
      </c>
      <c r="E18321" s="2">
        <v>53</v>
      </c>
      <c r="F18321" s="2" t="s">
        <v>6</v>
      </c>
    </row>
    <row r="18322" spans="1:6" ht="25.5">
      <c r="A18322" s="2">
        <v>18319</v>
      </c>
      <c r="B18322" s="2" t="s">
        <v>18393</v>
      </c>
      <c r="C18322" s="2" t="str">
        <f>"10957170"</f>
        <v>10957170</v>
      </c>
      <c r="D18322" s="2">
        <v>2.0099999999999998</v>
      </c>
      <c r="E18322" s="2">
        <v>72</v>
      </c>
      <c r="F18322" s="2" t="s">
        <v>6</v>
      </c>
    </row>
    <row r="18323" spans="1:6" ht="25.5">
      <c r="A18323" s="2">
        <v>18320</v>
      </c>
      <c r="B18323" s="2" t="s">
        <v>18394</v>
      </c>
      <c r="C18323" s="2" t="str">
        <f>"10957189"</f>
        <v>10957189</v>
      </c>
      <c r="D18323" s="2">
        <v>2.88</v>
      </c>
      <c r="E18323" s="2">
        <v>67</v>
      </c>
      <c r="F18323" s="2" t="s">
        <v>6</v>
      </c>
    </row>
    <row r="18324" spans="1:6" ht="25.5">
      <c r="A18324" s="2">
        <v>18321</v>
      </c>
      <c r="B18324" s="2" t="s">
        <v>18395</v>
      </c>
      <c r="C18324" s="2" t="str">
        <f>"10957200"</f>
        <v>10957200</v>
      </c>
      <c r="D18324" s="2">
        <v>5.9740000000000002</v>
      </c>
      <c r="E18324" s="2">
        <v>71</v>
      </c>
      <c r="F18324" s="2" t="s">
        <v>6</v>
      </c>
    </row>
    <row r="18325" spans="1:6" ht="25.5">
      <c r="A18325" s="2">
        <v>18322</v>
      </c>
      <c r="B18325" s="2" t="s">
        <v>18396</v>
      </c>
      <c r="C18325" s="2" t="str">
        <f>"19348126"</f>
        <v>19348126</v>
      </c>
      <c r="D18325" s="2">
        <v>0.13800000000000001</v>
      </c>
      <c r="E18325" s="2">
        <v>3</v>
      </c>
      <c r="F18325" s="2" t="s">
        <v>6</v>
      </c>
    </row>
    <row r="18326" spans="1:6" ht="25.5">
      <c r="A18326" s="2">
        <v>18323</v>
      </c>
      <c r="B18326" s="2" t="s">
        <v>18397</v>
      </c>
      <c r="C18326" s="2" t="str">
        <f>"18133304"</f>
        <v>18133304</v>
      </c>
      <c r="D18326" s="2">
        <v>0.151</v>
      </c>
      <c r="E18326" s="2">
        <v>1</v>
      </c>
      <c r="F18326" s="2" t="s">
        <v>129</v>
      </c>
    </row>
    <row r="18327" spans="1:6" ht="25.5">
      <c r="A18327" s="2">
        <v>18324</v>
      </c>
      <c r="B18327" s="2" t="s">
        <v>18398</v>
      </c>
      <c r="C18327" s="2" t="str">
        <f>"15739260"</f>
        <v>15739260</v>
      </c>
      <c r="D18327" s="2">
        <v>0.41899999999999998</v>
      </c>
      <c r="E18327" s="2">
        <v>17</v>
      </c>
      <c r="F18327" s="2" t="s">
        <v>6</v>
      </c>
    </row>
    <row r="18328" spans="1:6" ht="25.5">
      <c r="A18328" s="2">
        <v>18325</v>
      </c>
      <c r="B18328" s="2" t="s">
        <v>18399</v>
      </c>
      <c r="C18328" s="2" t="str">
        <f>"10093087"</f>
        <v>10093087</v>
      </c>
      <c r="D18328" s="2">
        <v>0.23400000000000001</v>
      </c>
      <c r="E18328" s="2">
        <v>11</v>
      </c>
      <c r="F18328" s="2" t="s">
        <v>46</v>
      </c>
    </row>
    <row r="18329" spans="1:6" ht="25.5">
      <c r="A18329" s="2">
        <v>18326</v>
      </c>
      <c r="B18329" s="2" t="s">
        <v>18400</v>
      </c>
      <c r="C18329" s="2" t="str">
        <f>"10831312"</f>
        <v>10831312</v>
      </c>
      <c r="D18329" s="2">
        <v>0.10100000000000001</v>
      </c>
      <c r="E18329" s="2">
        <v>10</v>
      </c>
      <c r="F18329" s="2" t="s">
        <v>6</v>
      </c>
    </row>
    <row r="18330" spans="1:6" ht="25.5">
      <c r="A18330" s="2">
        <v>18327</v>
      </c>
      <c r="B18330" s="2" t="s">
        <v>18401</v>
      </c>
      <c r="C18330" s="2" t="str">
        <f>"03786080"</f>
        <v>03786080</v>
      </c>
      <c r="D18330" s="2">
        <v>0.10100000000000001</v>
      </c>
      <c r="E18330" s="2">
        <v>4</v>
      </c>
      <c r="F18330" s="2" t="s">
        <v>75</v>
      </c>
    </row>
    <row r="18331" spans="1:6" ht="25.5">
      <c r="A18331" s="2">
        <v>18328</v>
      </c>
      <c r="B18331" s="2" t="s">
        <v>18402</v>
      </c>
      <c r="C18331" s="2" t="str">
        <f>"00374806"</f>
        <v>00374806</v>
      </c>
      <c r="D18331" s="2">
        <v>0.1</v>
      </c>
      <c r="E18331" s="2">
        <v>3</v>
      </c>
      <c r="F18331" s="2" t="s">
        <v>16</v>
      </c>
    </row>
    <row r="18332" spans="1:6" ht="25.5">
      <c r="A18332" s="2">
        <v>18329</v>
      </c>
      <c r="B18332" s="2" t="s">
        <v>18403</v>
      </c>
      <c r="C18332" s="2" t="str">
        <f>"02101696"</f>
        <v>02101696</v>
      </c>
      <c r="D18332" s="2">
        <v>0</v>
      </c>
      <c r="E18332" s="2">
        <v>0</v>
      </c>
      <c r="F18332" s="2" t="s">
        <v>351</v>
      </c>
    </row>
    <row r="18333" spans="1:6" ht="25.5">
      <c r="A18333" s="2">
        <v>18330</v>
      </c>
      <c r="B18333" s="2" t="s">
        <v>18404</v>
      </c>
      <c r="C18333" s="2" t="str">
        <f>"01635808"</f>
        <v>01635808</v>
      </c>
      <c r="D18333" s="2">
        <v>1.46</v>
      </c>
      <c r="E18333" s="2">
        <v>86</v>
      </c>
      <c r="F18333" s="2" t="s">
        <v>6</v>
      </c>
    </row>
    <row r="18334" spans="1:6" ht="25.5">
      <c r="A18334" s="2">
        <v>18331</v>
      </c>
      <c r="B18334" s="2" t="s">
        <v>18405</v>
      </c>
      <c r="C18334" s="2" t="str">
        <f>"11333634"</f>
        <v>11333634</v>
      </c>
      <c r="D18334" s="2">
        <v>0.10100000000000001</v>
      </c>
      <c r="E18334" s="2">
        <v>0</v>
      </c>
      <c r="F18334" s="2" t="s">
        <v>351</v>
      </c>
    </row>
    <row r="18335" spans="1:6" ht="25.5">
      <c r="A18335" s="2">
        <v>18332</v>
      </c>
      <c r="B18335" s="2" t="s">
        <v>18406</v>
      </c>
      <c r="C18335" s="2" t="str">
        <f>"18631711"</f>
        <v>18631711</v>
      </c>
      <c r="D18335" s="2">
        <v>0.33900000000000002</v>
      </c>
      <c r="E18335" s="2">
        <v>8</v>
      </c>
      <c r="F18335" s="2" t="s">
        <v>16</v>
      </c>
    </row>
    <row r="18336" spans="1:6" ht="25.5">
      <c r="A18336" s="2">
        <v>18333</v>
      </c>
      <c r="B18336" s="2" t="s">
        <v>18407</v>
      </c>
      <c r="C18336" s="2" t="str">
        <f>"01651684"</f>
        <v>01651684</v>
      </c>
      <c r="D18336" s="2">
        <v>1.4530000000000001</v>
      </c>
      <c r="E18336" s="2">
        <v>68</v>
      </c>
      <c r="F18336" s="2" t="s">
        <v>75</v>
      </c>
    </row>
    <row r="18337" spans="1:6" ht="25.5">
      <c r="A18337" s="2">
        <v>18334</v>
      </c>
      <c r="B18337" s="2" t="s">
        <v>18408</v>
      </c>
      <c r="C18337" s="2" t="str">
        <f>"09235965"</f>
        <v>09235965</v>
      </c>
      <c r="D18337" s="2">
        <v>1.2929999999999999</v>
      </c>
      <c r="E18337" s="2">
        <v>48</v>
      </c>
      <c r="F18337" s="2" t="s">
        <v>75</v>
      </c>
    </row>
    <row r="18338" spans="1:6" ht="25.5">
      <c r="A18338" s="2">
        <v>18335</v>
      </c>
      <c r="B18338" s="2" t="s">
        <v>18409</v>
      </c>
      <c r="C18338" s="2" t="str">
        <f>"17409713"</f>
        <v>17409713</v>
      </c>
      <c r="D18338" s="2">
        <v>0.14899999999999999</v>
      </c>
      <c r="E18338" s="2">
        <v>5</v>
      </c>
      <c r="F18338" s="2" t="s">
        <v>16</v>
      </c>
    </row>
    <row r="18339" spans="1:6" ht="25.5">
      <c r="A18339" s="2">
        <v>18336</v>
      </c>
      <c r="B18339" s="2" t="s">
        <v>18410</v>
      </c>
      <c r="C18339" s="2" t="str">
        <f>"13879316"</f>
        <v>13879316</v>
      </c>
      <c r="D18339" s="2">
        <v>0.13300000000000001</v>
      </c>
      <c r="E18339" s="2">
        <v>5</v>
      </c>
      <c r="F18339" s="2" t="s">
        <v>75</v>
      </c>
    </row>
    <row r="18340" spans="1:6" ht="25.5">
      <c r="A18340" s="2">
        <v>18337</v>
      </c>
      <c r="B18340" s="2" t="s">
        <v>18411</v>
      </c>
      <c r="C18340" s="2" t="str">
        <f>"15336263"</f>
        <v>15336263</v>
      </c>
      <c r="D18340" s="2">
        <v>0.26</v>
      </c>
      <c r="E18340" s="2">
        <v>10</v>
      </c>
      <c r="F18340" s="2" t="s">
        <v>6</v>
      </c>
    </row>
    <row r="18341" spans="1:6" ht="25.5">
      <c r="A18341" s="2">
        <v>18338</v>
      </c>
      <c r="B18341" s="2" t="s">
        <v>18412</v>
      </c>
      <c r="C18341" s="2" t="str">
        <f>"16651324"</f>
        <v>16651324</v>
      </c>
      <c r="D18341" s="2">
        <v>0</v>
      </c>
      <c r="E18341" s="2">
        <v>0</v>
      </c>
      <c r="F18341" s="2" t="s">
        <v>200</v>
      </c>
    </row>
    <row r="18342" spans="1:6" ht="25.5">
      <c r="A18342" s="2">
        <v>18339</v>
      </c>
      <c r="B18342" s="2" t="s">
        <v>18413</v>
      </c>
      <c r="C18342" s="2" t="str">
        <f>"15456943"</f>
        <v>15456943</v>
      </c>
      <c r="D18342" s="2">
        <v>0.34100000000000003</v>
      </c>
      <c r="E18342" s="2">
        <v>26</v>
      </c>
      <c r="F18342" s="2" t="s">
        <v>6</v>
      </c>
    </row>
    <row r="18343" spans="1:6" ht="25.5">
      <c r="A18343" s="2">
        <v>18340</v>
      </c>
      <c r="B18343" s="2" t="s">
        <v>18414</v>
      </c>
      <c r="C18343" s="2" t="str">
        <f>"14064243"</f>
        <v>14064243</v>
      </c>
      <c r="D18343" s="2">
        <v>0</v>
      </c>
      <c r="E18343" s="2">
        <v>0</v>
      </c>
      <c r="F18343" s="2" t="s">
        <v>265</v>
      </c>
    </row>
    <row r="18344" spans="1:6" ht="25.5">
      <c r="A18344" s="2">
        <v>18341</v>
      </c>
      <c r="B18344" s="2" t="s">
        <v>18415</v>
      </c>
      <c r="C18344" s="2" t="str">
        <f>"03506886"</f>
        <v>03506886</v>
      </c>
      <c r="D18344" s="2">
        <v>0.123</v>
      </c>
      <c r="E18344" s="2">
        <v>1</v>
      </c>
      <c r="F18344" s="2" t="s">
        <v>149</v>
      </c>
    </row>
    <row r="18345" spans="1:6" ht="25.5">
      <c r="A18345" s="2">
        <v>18342</v>
      </c>
      <c r="B18345" s="2" t="s">
        <v>18416</v>
      </c>
      <c r="C18345" s="2" t="str">
        <f>"17448735"</f>
        <v>17448735</v>
      </c>
      <c r="D18345" s="2">
        <v>0.191</v>
      </c>
      <c r="E18345" s="2">
        <v>3</v>
      </c>
      <c r="F18345" s="2" t="s">
        <v>16</v>
      </c>
    </row>
    <row r="18346" spans="1:6" ht="25.5">
      <c r="A18346" s="2">
        <v>18343</v>
      </c>
      <c r="B18346" s="2" t="s">
        <v>18417</v>
      </c>
      <c r="C18346" s="2" t="str">
        <f>"18769918"</f>
        <v>18769918</v>
      </c>
      <c r="D18346" s="2">
        <v>0.44900000000000001</v>
      </c>
      <c r="E18346" s="2">
        <v>8</v>
      </c>
      <c r="F18346" s="2" t="s">
        <v>75</v>
      </c>
    </row>
    <row r="18347" spans="1:6" ht="25.5">
      <c r="A18347" s="2">
        <v>18344</v>
      </c>
      <c r="B18347" s="2" t="s">
        <v>18418</v>
      </c>
      <c r="C18347" s="2" t="str">
        <f>"13118706"</f>
        <v>13118706</v>
      </c>
      <c r="D18347" s="2">
        <v>0.16200000000000001</v>
      </c>
      <c r="E18347" s="2">
        <v>3</v>
      </c>
      <c r="F18347" s="2" t="s">
        <v>293</v>
      </c>
    </row>
    <row r="18348" spans="1:6" ht="25.5">
      <c r="A18348" s="2">
        <v>18345</v>
      </c>
      <c r="B18348" s="2" t="s">
        <v>18419</v>
      </c>
      <c r="C18348" s="2" t="str">
        <f>"00375349"</f>
        <v>00375349</v>
      </c>
      <c r="D18348" s="2">
        <v>0.221</v>
      </c>
      <c r="E18348" s="2">
        <v>26</v>
      </c>
      <c r="F18348" s="2" t="s">
        <v>12</v>
      </c>
    </row>
    <row r="18349" spans="1:6" ht="25.5">
      <c r="A18349" s="2">
        <v>18346</v>
      </c>
      <c r="B18349" s="2" t="s">
        <v>18420</v>
      </c>
      <c r="C18349" s="2" t="str">
        <f>"00375330"</f>
        <v>00375330</v>
      </c>
      <c r="D18349" s="2">
        <v>0.76800000000000002</v>
      </c>
      <c r="E18349" s="2">
        <v>36</v>
      </c>
      <c r="F18349" s="2" t="s">
        <v>751</v>
      </c>
    </row>
    <row r="18350" spans="1:6" ht="25.5">
      <c r="A18350" s="2">
        <v>18347</v>
      </c>
      <c r="B18350" s="2" t="s">
        <v>18421</v>
      </c>
      <c r="C18350" s="2" t="str">
        <f>"00375411"</f>
        <v>00375411</v>
      </c>
      <c r="D18350" s="2">
        <v>0.111</v>
      </c>
      <c r="E18350" s="2">
        <v>4</v>
      </c>
      <c r="F18350" s="2" t="s">
        <v>75</v>
      </c>
    </row>
    <row r="18351" spans="1:6" ht="25.5">
      <c r="A18351" s="2">
        <v>18348</v>
      </c>
      <c r="B18351" s="2" t="s">
        <v>18422</v>
      </c>
      <c r="C18351" s="2" t="str">
        <f>"17413133"</f>
        <v>17413133</v>
      </c>
      <c r="D18351" s="2">
        <v>0.56399999999999995</v>
      </c>
      <c r="E18351" s="2">
        <v>28</v>
      </c>
      <c r="F18351" s="2" t="s">
        <v>16</v>
      </c>
    </row>
    <row r="18352" spans="1:6" ht="25.5">
      <c r="A18352" s="2">
        <v>18349</v>
      </c>
      <c r="B18352" s="2" t="s">
        <v>18423</v>
      </c>
      <c r="C18352" s="2" t="str">
        <f>"10468781"</f>
        <v>10468781</v>
      </c>
      <c r="D18352" s="2">
        <v>1.006</v>
      </c>
      <c r="E18352" s="2">
        <v>26</v>
      </c>
      <c r="F18352" s="2" t="s">
        <v>6</v>
      </c>
    </row>
    <row r="18353" spans="1:6" ht="25.5">
      <c r="A18353" s="2">
        <v>18350</v>
      </c>
      <c r="B18353" s="2" t="s">
        <v>18424</v>
      </c>
      <c r="C18353" s="2" t="str">
        <f>"1559713X"</f>
        <v>1559713X</v>
      </c>
      <c r="D18353" s="2">
        <v>0.64</v>
      </c>
      <c r="E18353" s="2">
        <v>19</v>
      </c>
      <c r="F18353" s="2" t="s">
        <v>6</v>
      </c>
    </row>
    <row r="18354" spans="1:6" ht="25.5">
      <c r="A18354" s="2">
        <v>18351</v>
      </c>
      <c r="B18354" s="2" t="s">
        <v>18425</v>
      </c>
      <c r="C18354" s="2" t="str">
        <f>"1569190X"</f>
        <v>1569190X</v>
      </c>
      <c r="D18354" s="2">
        <v>0.73499999999999999</v>
      </c>
      <c r="E18354" s="2">
        <v>28</v>
      </c>
      <c r="F18354" s="2" t="s">
        <v>75</v>
      </c>
    </row>
    <row r="18355" spans="1:6" ht="25.5">
      <c r="A18355" s="2">
        <v>18352</v>
      </c>
      <c r="B18355" s="2" t="s">
        <v>18426</v>
      </c>
      <c r="C18355" s="2" t="str">
        <f>"1645281X"</f>
        <v>1645281X</v>
      </c>
      <c r="D18355" s="2">
        <v>0.129</v>
      </c>
      <c r="E18355" s="2">
        <v>3</v>
      </c>
      <c r="F18355" s="2" t="s">
        <v>306</v>
      </c>
    </row>
    <row r="18356" spans="1:6" ht="25.5">
      <c r="A18356" s="2">
        <v>18353</v>
      </c>
      <c r="B18356" s="2" t="s">
        <v>18427</v>
      </c>
      <c r="C18356" s="2" t="str">
        <f>"02175908"</f>
        <v>02175908</v>
      </c>
      <c r="D18356" s="2">
        <v>0.13900000000000001</v>
      </c>
      <c r="E18356" s="2">
        <v>6</v>
      </c>
      <c r="F18356" s="2" t="s">
        <v>543</v>
      </c>
    </row>
    <row r="18357" spans="1:6" ht="25.5">
      <c r="A18357" s="2">
        <v>18354</v>
      </c>
      <c r="B18357" s="2" t="s">
        <v>18428</v>
      </c>
      <c r="C18357" s="2" t="str">
        <f>"14679493"</f>
        <v>14679493</v>
      </c>
      <c r="D18357" s="2">
        <v>0.55000000000000004</v>
      </c>
      <c r="E18357" s="2">
        <v>20</v>
      </c>
      <c r="F18357" s="2" t="s">
        <v>16</v>
      </c>
    </row>
    <row r="18358" spans="1:6" ht="25.5">
      <c r="A18358" s="2">
        <v>18355</v>
      </c>
      <c r="B18358" s="2" t="s">
        <v>18429</v>
      </c>
      <c r="C18358" s="2" t="str">
        <f>"01295977"</f>
        <v>01295977</v>
      </c>
      <c r="D18358" s="2">
        <v>0.13200000000000001</v>
      </c>
      <c r="E18358" s="2">
        <v>7</v>
      </c>
      <c r="F18358" s="2" t="s">
        <v>543</v>
      </c>
    </row>
    <row r="18359" spans="1:6" ht="25.5">
      <c r="A18359" s="2">
        <v>18356</v>
      </c>
      <c r="B18359" s="2" t="s">
        <v>18430</v>
      </c>
      <c r="C18359" s="2" t="str">
        <f>"00375675"</f>
        <v>00375675</v>
      </c>
      <c r="D18359" s="2">
        <v>0.34599999999999997</v>
      </c>
      <c r="E18359" s="2">
        <v>31</v>
      </c>
      <c r="F18359" s="2" t="s">
        <v>543</v>
      </c>
    </row>
    <row r="18360" spans="1:6" ht="25.5">
      <c r="A18360" s="2">
        <v>18357</v>
      </c>
      <c r="B18360" s="2" t="s">
        <v>18431</v>
      </c>
      <c r="C18360" s="2" t="str">
        <f>"00375756"</f>
        <v>00375756</v>
      </c>
      <c r="D18360" s="2">
        <v>0.1</v>
      </c>
      <c r="E18360" s="2">
        <v>1</v>
      </c>
      <c r="F18360" s="2" t="s">
        <v>12</v>
      </c>
    </row>
    <row r="18361" spans="1:6" ht="25.5">
      <c r="A18361" s="2">
        <v>18358</v>
      </c>
      <c r="B18361" s="2" t="s">
        <v>18432</v>
      </c>
      <c r="C18361" s="2" t="str">
        <f>"02149141"</f>
        <v>02149141</v>
      </c>
      <c r="D18361" s="2">
        <v>0.104</v>
      </c>
      <c r="E18361" s="2">
        <v>0</v>
      </c>
      <c r="F18361" s="2" t="s">
        <v>351</v>
      </c>
    </row>
    <row r="18362" spans="1:6" ht="25.5">
      <c r="A18362" s="2">
        <v>18359</v>
      </c>
      <c r="B18362" s="2" t="s">
        <v>18433</v>
      </c>
      <c r="C18362" s="2" t="str">
        <f>"11209550"</f>
        <v>11209550</v>
      </c>
      <c r="D18362" s="2">
        <v>0.155</v>
      </c>
      <c r="E18362" s="2">
        <v>1</v>
      </c>
      <c r="F18362" s="2" t="s">
        <v>190</v>
      </c>
    </row>
    <row r="18363" spans="1:6" ht="25.5">
      <c r="A18363" s="2">
        <v>18360</v>
      </c>
      <c r="B18363" s="2" t="s">
        <v>18434</v>
      </c>
      <c r="C18363" s="2" t="str">
        <f>"03610160"</f>
        <v>03610160</v>
      </c>
      <c r="D18363" s="2">
        <v>0.105</v>
      </c>
      <c r="E18363" s="2">
        <v>5</v>
      </c>
      <c r="F18363" s="2" t="s">
        <v>6</v>
      </c>
    </row>
    <row r="18364" spans="1:6" ht="25.5">
      <c r="A18364" s="2">
        <v>18361</v>
      </c>
      <c r="B18364" s="2" t="s">
        <v>18435</v>
      </c>
      <c r="C18364" s="2" t="str">
        <f>"17541336"</f>
        <v>17541336</v>
      </c>
      <c r="D18364" s="2">
        <v>0.10100000000000001</v>
      </c>
      <c r="E18364" s="2">
        <v>0</v>
      </c>
      <c r="F18364" s="2" t="s">
        <v>16</v>
      </c>
    </row>
    <row r="18365" spans="1:6" ht="25.5">
      <c r="A18365" s="2">
        <v>18362</v>
      </c>
      <c r="B18365" s="2" t="s">
        <v>18436</v>
      </c>
      <c r="C18365" s="2" t="str">
        <f>"13367811"</f>
        <v>13367811</v>
      </c>
      <c r="D18365" s="2">
        <v>0.10299999999999999</v>
      </c>
      <c r="E18365" s="2">
        <v>1</v>
      </c>
      <c r="F18365" s="2" t="s">
        <v>241</v>
      </c>
    </row>
    <row r="18366" spans="1:6" ht="25.5">
      <c r="A18366" s="2">
        <v>18363</v>
      </c>
      <c r="B18366" s="2" t="s">
        <v>18437</v>
      </c>
      <c r="C18366" s="2" t="str">
        <f>"20445040"</f>
        <v>20445040</v>
      </c>
      <c r="D18366" s="2">
        <v>1.53</v>
      </c>
      <c r="E18366" s="2">
        <v>7</v>
      </c>
      <c r="F18366" s="2" t="s">
        <v>16</v>
      </c>
    </row>
    <row r="18367" spans="1:6" ht="25.5">
      <c r="A18367" s="2">
        <v>18364</v>
      </c>
      <c r="B18367" s="2" t="s">
        <v>18438</v>
      </c>
      <c r="C18367" s="2" t="str">
        <f>"14322161"</f>
        <v>14322161</v>
      </c>
      <c r="D18367" s="2">
        <v>0.71</v>
      </c>
      <c r="E18367" s="2">
        <v>55</v>
      </c>
      <c r="F18367" s="2" t="s">
        <v>12</v>
      </c>
    </row>
    <row r="18368" spans="1:6" ht="25.5">
      <c r="A18368" s="2">
        <v>18365</v>
      </c>
      <c r="B18368" s="2" t="s">
        <v>18439</v>
      </c>
      <c r="C18368" s="2" t="str">
        <f>"15409740"</f>
        <v>15409740</v>
      </c>
      <c r="D18368" s="2">
        <v>0.151</v>
      </c>
      <c r="E18368" s="2">
        <v>16</v>
      </c>
      <c r="F18368" s="2" t="s">
        <v>6</v>
      </c>
    </row>
    <row r="18369" spans="1:6" ht="25.5">
      <c r="A18369" s="2">
        <v>18366</v>
      </c>
      <c r="B18369" s="2" t="s">
        <v>18440</v>
      </c>
      <c r="C18369" s="2" t="str">
        <f>"16605535"</f>
        <v>16605535</v>
      </c>
      <c r="D18369" s="2">
        <v>0.96099999999999997</v>
      </c>
      <c r="E18369" s="2">
        <v>48</v>
      </c>
      <c r="F18369" s="2" t="s">
        <v>31</v>
      </c>
    </row>
    <row r="18370" spans="1:6" ht="25.5">
      <c r="A18370" s="2">
        <v>18367</v>
      </c>
      <c r="B18370" s="2" t="s">
        <v>18441</v>
      </c>
      <c r="C18370" s="2" t="str">
        <f>"00181390"</f>
        <v>00181390</v>
      </c>
      <c r="D18370" s="2">
        <v>0.1</v>
      </c>
      <c r="E18370" s="2">
        <v>3</v>
      </c>
      <c r="F18370" s="2" t="s">
        <v>131</v>
      </c>
    </row>
    <row r="18371" spans="1:6" ht="25.5">
      <c r="A18371" s="2">
        <v>18368</v>
      </c>
      <c r="B18371" s="2" t="s">
        <v>18442</v>
      </c>
      <c r="C18371" s="2" t="str">
        <f>"16000846"</f>
        <v>16000846</v>
      </c>
      <c r="D18371" s="2">
        <v>0.438</v>
      </c>
      <c r="E18371" s="2">
        <v>37</v>
      </c>
      <c r="F18371" s="2" t="s">
        <v>16</v>
      </c>
    </row>
    <row r="18372" spans="1:6" ht="25.5">
      <c r="A18372" s="2">
        <v>18369</v>
      </c>
      <c r="B18372" s="2" t="s">
        <v>18443</v>
      </c>
      <c r="C18372" s="2" t="str">
        <f>"12015989"</f>
        <v>12015989</v>
      </c>
      <c r="D18372" s="2">
        <v>0.45700000000000002</v>
      </c>
      <c r="E18372" s="2">
        <v>18</v>
      </c>
      <c r="F18372" s="2" t="s">
        <v>64</v>
      </c>
    </row>
    <row r="18373" spans="1:6" ht="25.5">
      <c r="A18373" s="2">
        <v>18370</v>
      </c>
      <c r="B18373" s="2" t="s">
        <v>18444</v>
      </c>
      <c r="C18373" s="2" t="str">
        <f>"15320065"</f>
        <v>15320065</v>
      </c>
      <c r="D18373" s="2">
        <v>0.34399999999999997</v>
      </c>
      <c r="E18373" s="2">
        <v>20</v>
      </c>
      <c r="F18373" s="2" t="s">
        <v>6</v>
      </c>
    </row>
    <row r="18374" spans="1:6" ht="25.5">
      <c r="A18374" s="2">
        <v>18371</v>
      </c>
      <c r="B18374" s="2" t="s">
        <v>18445</v>
      </c>
      <c r="C18374" s="2" t="str">
        <f>"14568438"</f>
        <v>14568438</v>
      </c>
      <c r="D18374" s="2">
        <v>0.115</v>
      </c>
      <c r="E18374" s="2">
        <v>1</v>
      </c>
      <c r="F18374" s="2" t="s">
        <v>751</v>
      </c>
    </row>
    <row r="18375" spans="1:6" ht="25.5">
      <c r="A18375" s="2">
        <v>18372</v>
      </c>
      <c r="B18375" s="2" t="s">
        <v>18446</v>
      </c>
      <c r="C18375" s="2" t="str">
        <f>"17439523"</f>
        <v>17439523</v>
      </c>
      <c r="D18375" s="2">
        <v>0.313</v>
      </c>
      <c r="E18375" s="2">
        <v>5</v>
      </c>
      <c r="F18375" s="2" t="s">
        <v>16</v>
      </c>
    </row>
    <row r="18376" spans="1:6" ht="25.5">
      <c r="A18376" s="2">
        <v>18373</v>
      </c>
      <c r="B18376" s="2" t="s">
        <v>18447</v>
      </c>
      <c r="C18376" s="2" t="str">
        <f>"00376736"</f>
        <v>00376736</v>
      </c>
      <c r="D18376" s="2">
        <v>0.1</v>
      </c>
      <c r="E18376" s="2">
        <v>1</v>
      </c>
      <c r="F18376" s="2" t="s">
        <v>208</v>
      </c>
    </row>
    <row r="18377" spans="1:6" ht="25.5">
      <c r="A18377" s="2">
        <v>18374</v>
      </c>
      <c r="B18377" s="2" t="s">
        <v>18448</v>
      </c>
      <c r="C18377" s="2" t="str">
        <f>"15229041"</f>
        <v>15229041</v>
      </c>
      <c r="D18377" s="2">
        <v>0.107</v>
      </c>
      <c r="E18377" s="2">
        <v>2</v>
      </c>
      <c r="F18377" s="2" t="s">
        <v>16</v>
      </c>
    </row>
    <row r="18378" spans="1:6" ht="25.5">
      <c r="A18378" s="2">
        <v>18375</v>
      </c>
      <c r="B18378" s="2" t="s">
        <v>18449</v>
      </c>
      <c r="C18378" s="2" t="str">
        <f>"00376752"</f>
        <v>00376752</v>
      </c>
      <c r="D18378" s="2">
        <v>0.152</v>
      </c>
      <c r="E18378" s="2">
        <v>3</v>
      </c>
      <c r="F18378" s="2" t="s">
        <v>6</v>
      </c>
    </row>
    <row r="18379" spans="1:6" ht="25.5">
      <c r="A18379" s="2">
        <v>18376</v>
      </c>
      <c r="B18379" s="2" t="s">
        <v>18450</v>
      </c>
      <c r="C18379" s="2" t="str">
        <f>"13362364"</f>
        <v>13362364</v>
      </c>
      <c r="D18379" s="2">
        <v>0.126</v>
      </c>
      <c r="E18379" s="2">
        <v>0</v>
      </c>
      <c r="F18379" s="2" t="s">
        <v>241</v>
      </c>
    </row>
    <row r="18380" spans="1:6" ht="25.5">
      <c r="A18380" s="2">
        <v>18377</v>
      </c>
      <c r="B18380" s="2" t="s">
        <v>18451</v>
      </c>
      <c r="C18380" s="2" t="str">
        <f>"00376779"</f>
        <v>00376779</v>
      </c>
      <c r="D18380" s="2">
        <v>0.44400000000000001</v>
      </c>
      <c r="E18380" s="2">
        <v>14</v>
      </c>
      <c r="F18380" s="2" t="s">
        <v>6</v>
      </c>
    </row>
    <row r="18381" spans="1:6" ht="25.5">
      <c r="A18381" s="2">
        <v>18378</v>
      </c>
      <c r="B18381" s="2" t="s">
        <v>18452</v>
      </c>
      <c r="C18381" s="2" t="str">
        <f>"03506894"</f>
        <v>03506894</v>
      </c>
      <c r="D18381" s="2">
        <v>0.22800000000000001</v>
      </c>
      <c r="E18381" s="2">
        <v>2</v>
      </c>
      <c r="F18381" s="2" t="s">
        <v>154</v>
      </c>
    </row>
    <row r="18382" spans="1:6" ht="25.5">
      <c r="A18382" s="2">
        <v>18379</v>
      </c>
      <c r="B18382" s="2" t="s">
        <v>18453</v>
      </c>
      <c r="C18382" s="2" t="str">
        <f>"13617427"</f>
        <v>13617427</v>
      </c>
      <c r="D18382" s="2">
        <v>0</v>
      </c>
      <c r="E18382" s="2">
        <v>0</v>
      </c>
      <c r="F18382" s="2" t="s">
        <v>16</v>
      </c>
    </row>
    <row r="18383" spans="1:6" ht="25.5">
      <c r="A18383" s="2">
        <v>18380</v>
      </c>
      <c r="B18383" s="2" t="s">
        <v>18454</v>
      </c>
      <c r="C18383" s="2" t="str">
        <f>"00376795"</f>
        <v>00376795</v>
      </c>
      <c r="D18383" s="2">
        <v>0.121</v>
      </c>
      <c r="E18383" s="2">
        <v>4</v>
      </c>
      <c r="F18383" s="2" t="s">
        <v>16</v>
      </c>
    </row>
    <row r="18384" spans="1:6" ht="25.5">
      <c r="A18384" s="2">
        <v>18381</v>
      </c>
      <c r="B18384" s="2" t="s">
        <v>18455</v>
      </c>
      <c r="C18384" s="2" t="str">
        <f>"01618105"</f>
        <v>01618105</v>
      </c>
      <c r="D18384" s="2">
        <v>2.0659999999999998</v>
      </c>
      <c r="E18384" s="2">
        <v>121</v>
      </c>
      <c r="F18384" s="2" t="s">
        <v>6</v>
      </c>
    </row>
    <row r="18385" spans="1:6" ht="25.5">
      <c r="A18385" s="2">
        <v>18382</v>
      </c>
      <c r="B18385" s="2" t="s">
        <v>18456</v>
      </c>
      <c r="C18385" s="2" t="str">
        <f>"14798425"</f>
        <v>14798425</v>
      </c>
      <c r="D18385" s="2">
        <v>0.28299999999999997</v>
      </c>
      <c r="E18385" s="2">
        <v>12</v>
      </c>
      <c r="F18385" s="2" t="s">
        <v>16</v>
      </c>
    </row>
    <row r="18386" spans="1:6" ht="25.5">
      <c r="A18386" s="2">
        <v>18383</v>
      </c>
      <c r="B18386" s="2" t="s">
        <v>18457</v>
      </c>
      <c r="C18386" s="2" t="str">
        <f>"15221709"</f>
        <v>15221709</v>
      </c>
      <c r="D18386" s="2">
        <v>0.55700000000000005</v>
      </c>
      <c r="E18386" s="2">
        <v>29</v>
      </c>
      <c r="F18386" s="2" t="s">
        <v>12</v>
      </c>
    </row>
    <row r="18387" spans="1:6" ht="25.5">
      <c r="A18387" s="2">
        <v>18384</v>
      </c>
      <c r="B18387" s="2" t="s">
        <v>18458</v>
      </c>
      <c r="C18387" s="2" t="str">
        <f>"13899457"</f>
        <v>13899457</v>
      </c>
      <c r="D18387" s="2">
        <v>1.1970000000000001</v>
      </c>
      <c r="E18387" s="2">
        <v>61</v>
      </c>
      <c r="F18387" s="2" t="s">
        <v>75</v>
      </c>
    </row>
    <row r="18388" spans="1:6" ht="25.5">
      <c r="A18388" s="2">
        <v>18385</v>
      </c>
      <c r="B18388" s="2" t="s">
        <v>18459</v>
      </c>
      <c r="C18388" s="2" t="str">
        <f>"1556407X"</f>
        <v>1556407X</v>
      </c>
      <c r="D18388" s="2">
        <v>0.249</v>
      </c>
      <c r="E18388" s="2">
        <v>13</v>
      </c>
      <c r="F18388" s="2" t="s">
        <v>16</v>
      </c>
    </row>
    <row r="18389" spans="1:6" ht="25.5">
      <c r="A18389" s="2">
        <v>18386</v>
      </c>
      <c r="B18389" s="2" t="s">
        <v>18460</v>
      </c>
      <c r="C18389" s="2" t="str">
        <f>"10870792"</f>
        <v>10870792</v>
      </c>
      <c r="D18389" s="2">
        <v>2.673</v>
      </c>
      <c r="E18389" s="2">
        <v>69</v>
      </c>
      <c r="F18389" s="2" t="s">
        <v>16</v>
      </c>
    </row>
    <row r="18390" spans="1:6" ht="25.5">
      <c r="A18390" s="2">
        <v>18387</v>
      </c>
      <c r="B18390" s="2" t="s">
        <v>18461</v>
      </c>
      <c r="C18390" s="2" t="str">
        <f>"15804003"</f>
        <v>15804003</v>
      </c>
      <c r="D18390" s="2">
        <v>0.17599999999999999</v>
      </c>
      <c r="E18390" s="2">
        <v>5</v>
      </c>
      <c r="F18390" s="2" t="s">
        <v>154</v>
      </c>
    </row>
    <row r="18391" spans="1:6" ht="25.5">
      <c r="A18391" s="2">
        <v>18388</v>
      </c>
      <c r="B18391" s="2" t="s">
        <v>18462</v>
      </c>
      <c r="C18391" s="2" t="str">
        <f>"00376981"</f>
        <v>00376981</v>
      </c>
      <c r="D18391" s="2">
        <v>0</v>
      </c>
      <c r="E18391" s="2">
        <v>0</v>
      </c>
      <c r="F18391" s="2" t="s">
        <v>169</v>
      </c>
    </row>
    <row r="18392" spans="1:6" ht="25.5">
      <c r="A18392" s="2">
        <v>18389</v>
      </c>
      <c r="B18392" s="2" t="s">
        <v>18463</v>
      </c>
      <c r="C18392" s="2" t="str">
        <f>"05836255"</f>
        <v>05836255</v>
      </c>
      <c r="D18392" s="2">
        <v>0.10299999999999999</v>
      </c>
      <c r="E18392" s="2">
        <v>0</v>
      </c>
      <c r="F18392" s="2" t="s">
        <v>149</v>
      </c>
    </row>
    <row r="18393" spans="1:6" ht="25.5">
      <c r="A18393" s="2">
        <v>18390</v>
      </c>
      <c r="B18393" s="2" t="s">
        <v>18464</v>
      </c>
      <c r="C18393" s="2" t="str">
        <f>"00377031"</f>
        <v>00377031</v>
      </c>
      <c r="D18393" s="2">
        <v>0.186</v>
      </c>
      <c r="E18393" s="2">
        <v>4</v>
      </c>
      <c r="F18393" s="2" t="s">
        <v>208</v>
      </c>
    </row>
    <row r="18394" spans="1:6" ht="25.5">
      <c r="A18394" s="2">
        <v>18391</v>
      </c>
      <c r="B18394" s="2" t="s">
        <v>18465</v>
      </c>
      <c r="C18394" s="2" t="str">
        <f>"09546839"</f>
        <v>09546839</v>
      </c>
      <c r="D18394" s="2">
        <v>0</v>
      </c>
      <c r="E18394" s="2">
        <v>0</v>
      </c>
      <c r="F18394" s="2" t="s">
        <v>16</v>
      </c>
    </row>
    <row r="18395" spans="1:6" ht="25.5">
      <c r="A18395" s="2">
        <v>18392</v>
      </c>
      <c r="B18395" s="2" t="s">
        <v>18466</v>
      </c>
      <c r="C18395" s="2" t="str">
        <f>"16136829"</f>
        <v>16136829</v>
      </c>
      <c r="D18395" s="2">
        <v>3.7989999999999999</v>
      </c>
      <c r="E18395" s="2">
        <v>97</v>
      </c>
      <c r="F18395" s="2" t="s">
        <v>12</v>
      </c>
    </row>
    <row r="18396" spans="1:6" ht="25.5">
      <c r="A18396" s="2">
        <v>18393</v>
      </c>
      <c r="B18396" s="2" t="s">
        <v>18467</v>
      </c>
      <c r="C18396" s="2" t="str">
        <f>"15730913"</f>
        <v>15730913</v>
      </c>
      <c r="D18396" s="2">
        <v>1.323</v>
      </c>
      <c r="E18396" s="2">
        <v>52</v>
      </c>
      <c r="F18396" s="2" t="s">
        <v>75</v>
      </c>
    </row>
    <row r="18397" spans="1:6" ht="25.5">
      <c r="A18397" s="2">
        <v>18394</v>
      </c>
      <c r="B18397" s="2" t="s">
        <v>18468</v>
      </c>
      <c r="C18397" s="2" t="str">
        <f>"10464964"</f>
        <v>10464964</v>
      </c>
      <c r="D18397" s="2">
        <v>0.75700000000000001</v>
      </c>
      <c r="E18397" s="2">
        <v>36</v>
      </c>
      <c r="F18397" s="2" t="s">
        <v>6</v>
      </c>
    </row>
    <row r="18398" spans="1:6" ht="25.5">
      <c r="A18398" s="2">
        <v>18395</v>
      </c>
      <c r="B18398" s="2" t="s">
        <v>18469</v>
      </c>
      <c r="C18398" s="2" t="str">
        <f>"21541256"</f>
        <v>21541256</v>
      </c>
      <c r="D18398" s="2">
        <v>0.64200000000000002</v>
      </c>
      <c r="E18398" s="2">
        <v>5</v>
      </c>
      <c r="F18398" s="2" t="s">
        <v>6</v>
      </c>
    </row>
    <row r="18399" spans="1:6" ht="25.5">
      <c r="A18399" s="2">
        <v>18396</v>
      </c>
      <c r="B18399" s="2" t="s">
        <v>18470</v>
      </c>
      <c r="C18399" s="2" t="str">
        <f>"09214488"</f>
        <v>09214488</v>
      </c>
      <c r="D18399" s="2">
        <v>0.54800000000000004</v>
      </c>
      <c r="E18399" s="2">
        <v>44</v>
      </c>
      <c r="F18399" s="2" t="s">
        <v>75</v>
      </c>
    </row>
    <row r="18400" spans="1:6" ht="25.5">
      <c r="A18400" s="2">
        <v>18397</v>
      </c>
      <c r="B18400" s="2" t="s">
        <v>18471</v>
      </c>
      <c r="C18400" s="2" t="str">
        <f>"18737854"</f>
        <v>18737854</v>
      </c>
      <c r="D18400" s="2">
        <v>0.46200000000000002</v>
      </c>
      <c r="E18400" s="2">
        <v>6</v>
      </c>
      <c r="F18400" s="2" t="s">
        <v>75</v>
      </c>
    </row>
    <row r="18401" spans="1:6" ht="25.5">
      <c r="A18401" s="2">
        <v>18398</v>
      </c>
      <c r="B18401" s="2" t="s">
        <v>18472</v>
      </c>
      <c r="C18401" s="2" t="str">
        <f>"17439558"</f>
        <v>17439558</v>
      </c>
      <c r="D18401" s="2">
        <v>0.44500000000000001</v>
      </c>
      <c r="E18401" s="2">
        <v>4</v>
      </c>
      <c r="F18401" s="2" t="s">
        <v>16</v>
      </c>
    </row>
    <row r="18402" spans="1:6" ht="25.5">
      <c r="A18402" s="2">
        <v>18399</v>
      </c>
      <c r="B18402" s="2" t="s">
        <v>18473</v>
      </c>
      <c r="C18402" s="2" t="str">
        <f>"21903018"</f>
        <v>21903018</v>
      </c>
      <c r="D18402" s="2">
        <v>0.10299999999999999</v>
      </c>
      <c r="E18402" s="2">
        <v>2</v>
      </c>
      <c r="F18402" s="2" t="s">
        <v>12</v>
      </c>
    </row>
    <row r="18403" spans="1:6" ht="25.5">
      <c r="A18403" s="2">
        <v>18400</v>
      </c>
      <c r="B18403" s="2" t="s">
        <v>18474</v>
      </c>
      <c r="C18403" s="2" t="str">
        <f>"1361665X"</f>
        <v>1361665X</v>
      </c>
      <c r="D18403" s="2">
        <v>0.89300000000000002</v>
      </c>
      <c r="E18403" s="2">
        <v>82</v>
      </c>
      <c r="F18403" s="2" t="s">
        <v>16</v>
      </c>
    </row>
    <row r="18404" spans="1:6" ht="25.5">
      <c r="A18404" s="2">
        <v>18401</v>
      </c>
      <c r="B18404" s="2" t="s">
        <v>18475</v>
      </c>
      <c r="C18404" s="2" t="str">
        <f>"17381991"</f>
        <v>17381991</v>
      </c>
      <c r="D18404" s="2">
        <v>0.63</v>
      </c>
      <c r="E18404" s="2">
        <v>16</v>
      </c>
      <c r="F18404" s="2" t="s">
        <v>274</v>
      </c>
    </row>
    <row r="18405" spans="1:6" ht="25.5">
      <c r="A18405" s="2">
        <v>18402</v>
      </c>
      <c r="B18405" s="2" t="s">
        <v>18476</v>
      </c>
      <c r="C18405" s="2" t="str">
        <f>"00377317"</f>
        <v>00377317</v>
      </c>
      <c r="D18405" s="2">
        <v>0.34100000000000003</v>
      </c>
      <c r="E18405" s="2">
        <v>12</v>
      </c>
      <c r="F18405" s="2" t="s">
        <v>16</v>
      </c>
    </row>
    <row r="18406" spans="1:6" ht="25.5">
      <c r="A18406" s="2">
        <v>18403</v>
      </c>
      <c r="B18406" s="2" t="s">
        <v>18477</v>
      </c>
      <c r="C18406" s="2" t="str">
        <f>"00377333"</f>
        <v>00377333</v>
      </c>
      <c r="D18406" s="2">
        <v>0.1</v>
      </c>
      <c r="E18406" s="2">
        <v>4</v>
      </c>
      <c r="F18406" s="2" t="s">
        <v>6</v>
      </c>
    </row>
    <row r="18407" spans="1:6" ht="25.5">
      <c r="A18407" s="2">
        <v>18404</v>
      </c>
      <c r="B18407" s="2" t="s">
        <v>18478</v>
      </c>
      <c r="C18407" s="2" t="str">
        <f>"15298930"</f>
        <v>15298930</v>
      </c>
      <c r="D18407" s="2">
        <v>0.1</v>
      </c>
      <c r="E18407" s="2">
        <v>6</v>
      </c>
      <c r="F18407" s="2" t="s">
        <v>6</v>
      </c>
    </row>
    <row r="18408" spans="1:6" ht="25.5">
      <c r="A18408" s="2">
        <v>18405</v>
      </c>
      <c r="B18408" s="2" t="s">
        <v>18479</v>
      </c>
      <c r="C18408" s="2" t="str">
        <f>"01448722"</f>
        <v>01448722</v>
      </c>
      <c r="D18408" s="2">
        <v>0.10199999999999999</v>
      </c>
      <c r="E18408" s="2">
        <v>2</v>
      </c>
      <c r="F18408" s="2" t="s">
        <v>16</v>
      </c>
    </row>
    <row r="18409" spans="1:6" ht="25.5">
      <c r="A18409" s="2">
        <v>18406</v>
      </c>
      <c r="B18409" s="2" t="s">
        <v>18480</v>
      </c>
      <c r="C18409" s="2" t="str">
        <f>"14660970"</f>
        <v>14660970</v>
      </c>
      <c r="D18409" s="2">
        <v>0.36599999999999999</v>
      </c>
      <c r="E18409" s="2">
        <v>5</v>
      </c>
      <c r="F18409" s="2" t="s">
        <v>16</v>
      </c>
    </row>
    <row r="18410" spans="1:6" ht="25.5">
      <c r="A18410" s="2">
        <v>18407</v>
      </c>
      <c r="B18410" s="2" t="s">
        <v>18481</v>
      </c>
      <c r="C18410" s="2" t="str">
        <f>"0155977X"</f>
        <v>0155977X</v>
      </c>
      <c r="D18410" s="2">
        <v>0.434</v>
      </c>
      <c r="E18410" s="2">
        <v>7</v>
      </c>
      <c r="F18410" s="2" t="s">
        <v>6</v>
      </c>
    </row>
    <row r="18411" spans="1:6" ht="25.5">
      <c r="A18411" s="2">
        <v>18408</v>
      </c>
      <c r="B18411" s="2" t="s">
        <v>18482</v>
      </c>
      <c r="C18411" s="2" t="str">
        <f>"14701197"</f>
        <v>14701197</v>
      </c>
      <c r="D18411" s="2">
        <v>1.542</v>
      </c>
      <c r="E18411" s="2">
        <v>29</v>
      </c>
      <c r="F18411" s="2" t="s">
        <v>16</v>
      </c>
    </row>
    <row r="18412" spans="1:6" ht="25.5">
      <c r="A18412" s="2">
        <v>18409</v>
      </c>
      <c r="B18412" s="2" t="s">
        <v>18483</v>
      </c>
      <c r="C18412" s="2" t="str">
        <f>"00377651"</f>
        <v>00377651</v>
      </c>
      <c r="D18412" s="2">
        <v>0.14099999999999999</v>
      </c>
      <c r="E18412" s="2">
        <v>2</v>
      </c>
      <c r="F18412" s="2" t="s">
        <v>3283</v>
      </c>
    </row>
    <row r="18413" spans="1:6" ht="25.5">
      <c r="A18413" s="2">
        <v>18410</v>
      </c>
      <c r="B18413" s="2" t="s">
        <v>18484</v>
      </c>
      <c r="C18413" s="2" t="str">
        <f>"09646639"</f>
        <v>09646639</v>
      </c>
      <c r="D18413" s="2">
        <v>0.50900000000000001</v>
      </c>
      <c r="E18413" s="2">
        <v>16</v>
      </c>
      <c r="F18413" s="2" t="s">
        <v>16</v>
      </c>
    </row>
    <row r="18414" spans="1:6" ht="25.5">
      <c r="A18414" s="2">
        <v>18411</v>
      </c>
      <c r="B18414" s="2" t="s">
        <v>18485</v>
      </c>
      <c r="C18414" s="2" t="str">
        <f>"17519004"</f>
        <v>17519004</v>
      </c>
      <c r="D18414" s="2">
        <v>0.53600000000000003</v>
      </c>
      <c r="E18414" s="2">
        <v>4</v>
      </c>
      <c r="F18414" s="2" t="s">
        <v>16</v>
      </c>
    </row>
    <row r="18415" spans="1:6" ht="25.5">
      <c r="A18415" s="2">
        <v>18412</v>
      </c>
      <c r="B18415" s="2" t="s">
        <v>18486</v>
      </c>
      <c r="C18415" s="2" t="str">
        <f>"14698676"</f>
        <v>14698676</v>
      </c>
      <c r="D18415" s="2">
        <v>0.27300000000000002</v>
      </c>
      <c r="E18415" s="2">
        <v>9</v>
      </c>
      <c r="F18415" s="2" t="s">
        <v>16</v>
      </c>
    </row>
    <row r="18416" spans="1:6" ht="25.5">
      <c r="A18416" s="2">
        <v>18413</v>
      </c>
      <c r="B18416" s="2" t="s">
        <v>18487</v>
      </c>
      <c r="C18416" s="2" t="str">
        <f>"03012212"</f>
        <v>03012212</v>
      </c>
      <c r="D18416" s="2">
        <v>0.29499999999999998</v>
      </c>
      <c r="E18416" s="2">
        <v>27</v>
      </c>
      <c r="F18416" s="2" t="s">
        <v>503</v>
      </c>
    </row>
    <row r="18417" spans="1:6" ht="25.5">
      <c r="A18417" s="2">
        <v>18414</v>
      </c>
      <c r="B18417" s="2" t="s">
        <v>18488</v>
      </c>
      <c r="C18417" s="2" t="str">
        <f>"1432217X"</f>
        <v>1432217X</v>
      </c>
      <c r="D18417" s="2">
        <v>0.71599999999999997</v>
      </c>
      <c r="E18417" s="2">
        <v>29</v>
      </c>
      <c r="F18417" s="2" t="s">
        <v>6</v>
      </c>
    </row>
    <row r="18418" spans="1:6" ht="25.5">
      <c r="A18418" s="2">
        <v>18415</v>
      </c>
      <c r="B18418" s="2" t="s">
        <v>18489</v>
      </c>
      <c r="C18418" s="2" t="str">
        <f>"0278016X"</f>
        <v>0278016X</v>
      </c>
      <c r="D18418" s="2">
        <v>1.1220000000000001</v>
      </c>
      <c r="E18418" s="2">
        <v>39</v>
      </c>
      <c r="F18418" s="2" t="s">
        <v>6</v>
      </c>
    </row>
    <row r="18419" spans="1:6" ht="25.5">
      <c r="A18419" s="2">
        <v>18416</v>
      </c>
      <c r="B18419" s="2" t="s">
        <v>18490</v>
      </c>
      <c r="C18419" s="2" t="str">
        <f>"17495024"</f>
        <v>17495024</v>
      </c>
      <c r="D18419" s="2">
        <v>2.2429999999999999</v>
      </c>
      <c r="E18419" s="2">
        <v>38</v>
      </c>
      <c r="F18419" s="2" t="s">
        <v>16</v>
      </c>
    </row>
    <row r="18420" spans="1:6" ht="25.5">
      <c r="A18420" s="2">
        <v>18417</v>
      </c>
      <c r="B18420" s="2" t="s">
        <v>18491</v>
      </c>
      <c r="C18420" s="2" t="str">
        <f>"00377686"</f>
        <v>00377686</v>
      </c>
      <c r="D18420" s="2">
        <v>0.252</v>
      </c>
      <c r="E18420" s="2">
        <v>11</v>
      </c>
      <c r="F18420" s="2" t="s">
        <v>16</v>
      </c>
    </row>
    <row r="18421" spans="1:6" ht="25.5">
      <c r="A18421" s="2">
        <v>18418</v>
      </c>
      <c r="B18421" s="2" t="s">
        <v>18492</v>
      </c>
      <c r="C18421" s="2" t="str">
        <f>"14679507"</f>
        <v>14679507</v>
      </c>
      <c r="D18421" s="2">
        <v>1.518</v>
      </c>
      <c r="E18421" s="2">
        <v>48</v>
      </c>
      <c r="F18421" s="2" t="s">
        <v>16</v>
      </c>
    </row>
    <row r="18422" spans="1:6" ht="25.5">
      <c r="A18422" s="2">
        <v>18419</v>
      </c>
      <c r="B18422" s="2" t="s">
        <v>18493</v>
      </c>
      <c r="C18422" s="2" t="str">
        <f>"02533952"</f>
        <v>02533952</v>
      </c>
      <c r="D18422" s="2">
        <v>0.3</v>
      </c>
      <c r="E18422" s="2">
        <v>11</v>
      </c>
      <c r="F18422" s="2" t="s">
        <v>410</v>
      </c>
    </row>
    <row r="18423" spans="1:6" ht="25.5">
      <c r="A18423" s="2">
        <v>18420</v>
      </c>
      <c r="B18423" s="2" t="s">
        <v>18494</v>
      </c>
      <c r="C18423" s="2" t="str">
        <f>"14645297"</f>
        <v>14645297</v>
      </c>
      <c r="D18423" s="2">
        <v>0.44500000000000001</v>
      </c>
      <c r="E18423" s="2">
        <v>8</v>
      </c>
      <c r="F18423" s="2" t="s">
        <v>16</v>
      </c>
    </row>
    <row r="18424" spans="1:6" ht="25.5">
      <c r="A18424" s="2">
        <v>18421</v>
      </c>
      <c r="B18424" s="2" t="s">
        <v>18495</v>
      </c>
      <c r="C18424" s="2" t="str">
        <f>"16814363"</f>
        <v>16814363</v>
      </c>
      <c r="D18424" s="2">
        <v>0.14000000000000001</v>
      </c>
      <c r="E18424" s="2">
        <v>2</v>
      </c>
      <c r="F18424" s="2" t="s">
        <v>129</v>
      </c>
    </row>
    <row r="18425" spans="1:6" ht="25.5">
      <c r="A18425" s="2">
        <v>18422</v>
      </c>
      <c r="B18425" s="2" t="s">
        <v>18496</v>
      </c>
      <c r="C18425" s="2" t="str">
        <f>"15347605"</f>
        <v>15347605</v>
      </c>
      <c r="D18425" s="2">
        <v>1.8660000000000001</v>
      </c>
      <c r="E18425" s="2">
        <v>68</v>
      </c>
      <c r="F18425" s="2" t="s">
        <v>6</v>
      </c>
    </row>
    <row r="18426" spans="1:6" ht="25.5">
      <c r="A18426" s="2">
        <v>18423</v>
      </c>
      <c r="B18426" s="2" t="s">
        <v>18497</v>
      </c>
      <c r="C18426" s="2" t="str">
        <f>"17294274"</f>
        <v>17294274</v>
      </c>
      <c r="D18426" s="2">
        <v>0.23400000000000001</v>
      </c>
      <c r="E18426" s="2">
        <v>4</v>
      </c>
      <c r="F18426" s="2" t="s">
        <v>12</v>
      </c>
    </row>
    <row r="18427" spans="1:6" ht="25.5">
      <c r="A18427" s="2">
        <v>18424</v>
      </c>
      <c r="B18427" s="2" t="s">
        <v>18498</v>
      </c>
      <c r="C18427" s="2" t="str">
        <f>"14701200"</f>
        <v>14701200</v>
      </c>
      <c r="D18427" s="2">
        <v>0.29399999999999998</v>
      </c>
      <c r="E18427" s="2">
        <v>11</v>
      </c>
      <c r="F18427" s="2" t="s">
        <v>16</v>
      </c>
    </row>
    <row r="18428" spans="1:6" ht="25.5">
      <c r="A18428" s="2">
        <v>18425</v>
      </c>
      <c r="B18428" s="2" t="s">
        <v>18499</v>
      </c>
      <c r="C18428" s="2" t="str">
        <f>"14774666"</f>
        <v>14774666</v>
      </c>
      <c r="D18428" s="2">
        <v>0.17100000000000001</v>
      </c>
      <c r="E18428" s="2">
        <v>15</v>
      </c>
      <c r="F18428" s="2" t="s">
        <v>16</v>
      </c>
    </row>
    <row r="18429" spans="1:6" ht="25.5">
      <c r="A18429" s="2">
        <v>18426</v>
      </c>
      <c r="B18429" s="2" t="s">
        <v>18500</v>
      </c>
      <c r="C18429" s="2" t="str">
        <f>"13630296"</f>
        <v>13630296</v>
      </c>
      <c r="D18429" s="2">
        <v>0.28599999999999998</v>
      </c>
      <c r="E18429" s="2">
        <v>13</v>
      </c>
      <c r="F18429" s="2" t="s">
        <v>16</v>
      </c>
    </row>
    <row r="18430" spans="1:6" ht="25.5">
      <c r="A18430" s="2">
        <v>18427</v>
      </c>
      <c r="B18430" s="2" t="s">
        <v>18501</v>
      </c>
      <c r="C18430" s="2" t="str">
        <f>"15730921"</f>
        <v>15730921</v>
      </c>
      <c r="D18430" s="2">
        <v>0.61399999999999999</v>
      </c>
      <c r="E18430" s="2">
        <v>43</v>
      </c>
      <c r="F18430" s="2" t="s">
        <v>75</v>
      </c>
    </row>
    <row r="18431" spans="1:6" ht="25.5">
      <c r="A18431" s="2">
        <v>18428</v>
      </c>
      <c r="B18431" s="2" t="s">
        <v>18502</v>
      </c>
      <c r="C18431" s="2" t="str">
        <f>"15534529"</f>
        <v>15534529</v>
      </c>
      <c r="D18431" s="2">
        <v>0.50600000000000001</v>
      </c>
      <c r="E18431" s="2">
        <v>6</v>
      </c>
      <c r="F18431" s="2" t="s">
        <v>16</v>
      </c>
    </row>
    <row r="18432" spans="1:6" ht="25.5">
      <c r="A18432" s="2">
        <v>18429</v>
      </c>
      <c r="B18432" s="2" t="s">
        <v>18503</v>
      </c>
      <c r="C18432" s="2" t="str">
        <f>"08854300"</f>
        <v>08854300</v>
      </c>
      <c r="D18432" s="2">
        <v>0.122</v>
      </c>
      <c r="E18432" s="2">
        <v>4</v>
      </c>
      <c r="F18432" s="2" t="s">
        <v>16</v>
      </c>
    </row>
    <row r="18433" spans="1:6" ht="25.5">
      <c r="A18433" s="2">
        <v>18430</v>
      </c>
      <c r="B18433" s="2" t="s">
        <v>18504</v>
      </c>
      <c r="C18433" s="2" t="str">
        <f>"17512409"</f>
        <v>17512409</v>
      </c>
      <c r="D18433" s="2">
        <v>0.61599999999999999</v>
      </c>
      <c r="E18433" s="2">
        <v>6</v>
      </c>
      <c r="F18433" s="2" t="s">
        <v>16</v>
      </c>
    </row>
    <row r="18434" spans="1:6" ht="25.5">
      <c r="A18434" s="2">
        <v>18431</v>
      </c>
      <c r="B18434" s="2" t="s">
        <v>18505</v>
      </c>
      <c r="C18434" s="2" t="str">
        <f>"15736725"</f>
        <v>15736725</v>
      </c>
      <c r="D18434" s="2">
        <v>0.68799999999999994</v>
      </c>
      <c r="E18434" s="2">
        <v>26</v>
      </c>
      <c r="F18434" s="2" t="s">
        <v>6</v>
      </c>
    </row>
    <row r="18435" spans="1:6" ht="25.5">
      <c r="A18435" s="2">
        <v>18432</v>
      </c>
      <c r="B18435" s="2" t="s">
        <v>18506</v>
      </c>
      <c r="C18435" s="2" t="str">
        <f>"15245004"</f>
        <v>15245004</v>
      </c>
      <c r="D18435" s="2">
        <v>0.17</v>
      </c>
      <c r="E18435" s="2">
        <v>10</v>
      </c>
      <c r="F18435" s="2" t="s">
        <v>16</v>
      </c>
    </row>
    <row r="18436" spans="1:6" ht="25.5">
      <c r="A18436" s="2">
        <v>18433</v>
      </c>
      <c r="B18436" s="2" t="s">
        <v>18507</v>
      </c>
      <c r="C18436" s="2" t="str">
        <f>"15577112"</f>
        <v>15577112</v>
      </c>
      <c r="D18436" s="2">
        <v>0</v>
      </c>
      <c r="E18436" s="2">
        <v>1</v>
      </c>
      <c r="F18436" s="2" t="s">
        <v>6</v>
      </c>
    </row>
    <row r="18437" spans="1:6" ht="25.5">
      <c r="A18437" s="2">
        <v>18434</v>
      </c>
      <c r="B18437" s="2" t="s">
        <v>18508</v>
      </c>
      <c r="C18437" s="2" t="str">
        <f>"14742837"</f>
        <v>14742837</v>
      </c>
      <c r="D18437" s="2">
        <v>0.191</v>
      </c>
      <c r="E18437" s="2">
        <v>3</v>
      </c>
      <c r="F18437" s="2" t="s">
        <v>16</v>
      </c>
    </row>
    <row r="18438" spans="1:6" ht="25.5">
      <c r="A18438" s="2">
        <v>18435</v>
      </c>
      <c r="B18438" s="2" t="s">
        <v>18509</v>
      </c>
      <c r="C18438" s="2" t="str">
        <f>"03788733"</f>
        <v>03788733</v>
      </c>
      <c r="D18438" s="2">
        <v>2.3479999999999999</v>
      </c>
      <c r="E18438" s="2">
        <v>48</v>
      </c>
      <c r="F18438" s="2" t="s">
        <v>75</v>
      </c>
    </row>
    <row r="18439" spans="1:6" ht="25.5">
      <c r="A18439" s="2">
        <v>18436</v>
      </c>
      <c r="B18439" s="2" t="s">
        <v>18510</v>
      </c>
      <c r="C18439" s="2" t="str">
        <f>"17470927"</f>
        <v>17470927</v>
      </c>
      <c r="D18439" s="2">
        <v>1.573</v>
      </c>
      <c r="E18439" s="2">
        <v>30</v>
      </c>
      <c r="F18439" s="2" t="s">
        <v>16</v>
      </c>
    </row>
    <row r="18440" spans="1:6" ht="25.5">
      <c r="A18440" s="2">
        <v>18437</v>
      </c>
      <c r="B18440" s="2" t="s">
        <v>18511</v>
      </c>
      <c r="C18440" s="2" t="str">
        <f>"1214813X"</f>
        <v>1214813X</v>
      </c>
      <c r="D18440" s="2">
        <v>0.129</v>
      </c>
      <c r="E18440" s="2">
        <v>2</v>
      </c>
      <c r="F18440" s="2" t="s">
        <v>208</v>
      </c>
    </row>
    <row r="18441" spans="1:6" ht="25.5">
      <c r="A18441" s="2">
        <v>18438</v>
      </c>
      <c r="B18441" s="2" t="s">
        <v>18512</v>
      </c>
      <c r="C18441" s="2" t="str">
        <f>"14716437"</f>
        <v>14716437</v>
      </c>
      <c r="D18441" s="2">
        <v>0.34699999999999998</v>
      </c>
      <c r="E18441" s="2">
        <v>13</v>
      </c>
      <c r="F18441" s="2" t="s">
        <v>16</v>
      </c>
    </row>
    <row r="18442" spans="1:6" ht="25.5">
      <c r="A18442" s="2">
        <v>18439</v>
      </c>
      <c r="B18442" s="2" t="s">
        <v>18513</v>
      </c>
      <c r="C18442" s="2" t="str">
        <f>"14679515"</f>
        <v>14679515</v>
      </c>
      <c r="D18442" s="2">
        <v>0.67</v>
      </c>
      <c r="E18442" s="2">
        <v>28</v>
      </c>
      <c r="F18442" s="2" t="s">
        <v>16</v>
      </c>
    </row>
    <row r="18443" spans="1:6" ht="25.5">
      <c r="A18443" s="2">
        <v>18440</v>
      </c>
      <c r="B18443" s="2" t="s">
        <v>18514</v>
      </c>
      <c r="C18443" s="2" t="str">
        <f>"11724382"</f>
        <v>11724382</v>
      </c>
      <c r="D18443" s="2">
        <v>0.20300000000000001</v>
      </c>
      <c r="E18443" s="2">
        <v>4</v>
      </c>
      <c r="F18443" s="2" t="s">
        <v>503</v>
      </c>
    </row>
    <row r="18444" spans="1:6" ht="25.5">
      <c r="A18444" s="2">
        <v>18441</v>
      </c>
      <c r="B18444" s="2" t="s">
        <v>18515</v>
      </c>
      <c r="C18444" s="2" t="str">
        <f>"14682893"</f>
        <v>14682893</v>
      </c>
      <c r="D18444" s="2">
        <v>0.55000000000000004</v>
      </c>
      <c r="E18444" s="2">
        <v>23</v>
      </c>
      <c r="F18444" s="2" t="s">
        <v>16</v>
      </c>
    </row>
    <row r="18445" spans="1:6" ht="25.5">
      <c r="A18445" s="2">
        <v>18442</v>
      </c>
      <c r="B18445" s="2" t="s">
        <v>18516</v>
      </c>
      <c r="C18445" s="2" t="str">
        <f>"00377791"</f>
        <v>00377791</v>
      </c>
      <c r="D18445" s="2">
        <v>1.6919999999999999</v>
      </c>
      <c r="E18445" s="2">
        <v>48</v>
      </c>
      <c r="F18445" s="2" t="s">
        <v>6</v>
      </c>
    </row>
    <row r="18446" spans="1:6" ht="25.5">
      <c r="A18446" s="2">
        <v>18443</v>
      </c>
      <c r="B18446" s="2" t="s">
        <v>18517</v>
      </c>
      <c r="C18446" s="2" t="str">
        <f>"14339285"</f>
        <v>14339285</v>
      </c>
      <c r="D18446" s="2">
        <v>1.2869999999999999</v>
      </c>
      <c r="E18446" s="2">
        <v>68</v>
      </c>
      <c r="F18446" s="2" t="s">
        <v>12</v>
      </c>
    </row>
    <row r="18447" spans="1:6" ht="25.5">
      <c r="A18447" s="2">
        <v>18444</v>
      </c>
      <c r="B18447" s="2" t="s">
        <v>18518</v>
      </c>
      <c r="C18447" s="2" t="str">
        <f>"18649335"</f>
        <v>18649335</v>
      </c>
      <c r="D18447" s="2">
        <v>0.86799999999999999</v>
      </c>
      <c r="E18447" s="2">
        <v>14</v>
      </c>
      <c r="F18447" s="2" t="s">
        <v>31</v>
      </c>
    </row>
    <row r="18448" spans="1:6" ht="25.5">
      <c r="A18448" s="2">
        <v>18445</v>
      </c>
      <c r="B18448" s="2" t="s">
        <v>18519</v>
      </c>
      <c r="C18448" s="2" t="str">
        <f>"15731928"</f>
        <v>15731928</v>
      </c>
      <c r="D18448" s="2">
        <v>0.47899999999999998</v>
      </c>
      <c r="E18448" s="2">
        <v>20</v>
      </c>
      <c r="F18448" s="2" t="s">
        <v>75</v>
      </c>
    </row>
    <row r="18449" spans="1:6" ht="25.5">
      <c r="A18449" s="2">
        <v>18446</v>
      </c>
      <c r="B18449" s="2" t="s">
        <v>18520</v>
      </c>
      <c r="C18449" s="2" t="str">
        <f>"01902725"</f>
        <v>01902725</v>
      </c>
      <c r="D18449" s="2">
        <v>1.2889999999999999</v>
      </c>
      <c r="E18449" s="2">
        <v>45</v>
      </c>
      <c r="F18449" s="2" t="s">
        <v>6</v>
      </c>
    </row>
    <row r="18450" spans="1:6" ht="25.5">
      <c r="A18450" s="2">
        <v>18447</v>
      </c>
      <c r="B18450" s="2" t="s">
        <v>18521</v>
      </c>
      <c r="C18450" s="2" t="str">
        <f>"0037783X"</f>
        <v>0037783X</v>
      </c>
      <c r="D18450" s="2">
        <v>0.13900000000000001</v>
      </c>
      <c r="E18450" s="2">
        <v>19</v>
      </c>
      <c r="F18450" s="2" t="s">
        <v>6</v>
      </c>
    </row>
    <row r="18451" spans="1:6" ht="25.5">
      <c r="A18451" s="2">
        <v>18448</v>
      </c>
      <c r="B18451" s="2" t="s">
        <v>18522</v>
      </c>
      <c r="C18451" s="2" t="str">
        <f>"1758857X"</f>
        <v>1758857X</v>
      </c>
      <c r="D18451" s="2">
        <v>0.13600000000000001</v>
      </c>
      <c r="E18451" s="2">
        <v>2</v>
      </c>
      <c r="F18451" s="2" t="s">
        <v>16</v>
      </c>
    </row>
    <row r="18452" spans="1:6" ht="25.5">
      <c r="A18452" s="2">
        <v>18449</v>
      </c>
      <c r="B18452" s="2" t="s">
        <v>18523</v>
      </c>
      <c r="C18452" s="2" t="str">
        <f>"02779536"</f>
        <v>02779536</v>
      </c>
      <c r="D18452" s="2">
        <v>1.5129999999999999</v>
      </c>
      <c r="E18452" s="2">
        <v>136</v>
      </c>
      <c r="F18452" s="2" t="s">
        <v>16</v>
      </c>
    </row>
    <row r="18453" spans="1:6" ht="25.5">
      <c r="A18453" s="2">
        <v>18450</v>
      </c>
      <c r="B18453" s="2" t="s">
        <v>18524</v>
      </c>
      <c r="C18453" s="2" t="str">
        <f>"15528286"</f>
        <v>15528286</v>
      </c>
      <c r="D18453" s="2">
        <v>0.93100000000000005</v>
      </c>
      <c r="E18453" s="2">
        <v>33</v>
      </c>
      <c r="F18453" s="2" t="s">
        <v>6</v>
      </c>
    </row>
    <row r="18454" spans="1:6" ht="25.5">
      <c r="A18454" s="2">
        <v>18451</v>
      </c>
      <c r="B18454" s="2" t="s">
        <v>18525</v>
      </c>
      <c r="C18454" s="2" t="str">
        <f>"15278034"</f>
        <v>15278034</v>
      </c>
      <c r="D18454" s="2">
        <v>0.27900000000000003</v>
      </c>
      <c r="E18454" s="2">
        <v>13</v>
      </c>
      <c r="F18454" s="2" t="s">
        <v>6</v>
      </c>
    </row>
    <row r="18455" spans="1:6" ht="25.5">
      <c r="A18455" s="2">
        <v>18452</v>
      </c>
      <c r="B18455" s="2" t="s">
        <v>18526</v>
      </c>
      <c r="C18455" s="2" t="str">
        <f>"14617412"</f>
        <v>14617412</v>
      </c>
      <c r="D18455" s="2">
        <v>0.16200000000000001</v>
      </c>
      <c r="E18455" s="2">
        <v>18</v>
      </c>
      <c r="F18455" s="2" t="s">
        <v>16</v>
      </c>
    </row>
    <row r="18456" spans="1:6" ht="25.5">
      <c r="A18456" s="2">
        <v>18453</v>
      </c>
      <c r="B18456" s="2" t="s">
        <v>18527</v>
      </c>
      <c r="C18456" s="2" t="str">
        <f>"13691465"</f>
        <v>13691465</v>
      </c>
      <c r="D18456" s="2">
        <v>0.13900000000000001</v>
      </c>
      <c r="E18456" s="2">
        <v>8</v>
      </c>
      <c r="F18456" s="2" t="s">
        <v>16</v>
      </c>
    </row>
    <row r="18457" spans="1:6" ht="25.5">
      <c r="A18457" s="2">
        <v>18454</v>
      </c>
      <c r="B18457" s="2" t="s">
        <v>18528</v>
      </c>
      <c r="C18457" s="2" t="str">
        <f>"03623319"</f>
        <v>03623319</v>
      </c>
      <c r="D18457" s="2">
        <v>0.26300000000000001</v>
      </c>
      <c r="E18457" s="2">
        <v>16</v>
      </c>
      <c r="F18457" s="2" t="s">
        <v>6</v>
      </c>
    </row>
    <row r="18458" spans="1:6" ht="25.5">
      <c r="A18458" s="2">
        <v>18455</v>
      </c>
      <c r="B18458" s="2" t="s">
        <v>18529</v>
      </c>
      <c r="C18458" s="2" t="str">
        <f>"15406237"</f>
        <v>15406237</v>
      </c>
      <c r="D18458" s="2">
        <v>1.014</v>
      </c>
      <c r="E18458" s="2">
        <v>44</v>
      </c>
      <c r="F18458" s="2" t="s">
        <v>16</v>
      </c>
    </row>
    <row r="18459" spans="1:6" ht="25.5">
      <c r="A18459" s="2">
        <v>18456</v>
      </c>
      <c r="B18459" s="2" t="s">
        <v>18530</v>
      </c>
      <c r="C18459" s="2" t="str">
        <f>"10960317"</f>
        <v>10960317</v>
      </c>
      <c r="D18459" s="2">
        <v>1.2430000000000001</v>
      </c>
      <c r="E18459" s="2">
        <v>38</v>
      </c>
      <c r="F18459" s="2" t="s">
        <v>6</v>
      </c>
    </row>
    <row r="18460" spans="1:6" ht="25.5">
      <c r="A18460" s="2">
        <v>18457</v>
      </c>
      <c r="B18460" s="2" t="s">
        <v>18531</v>
      </c>
      <c r="C18460" s="2" t="str">
        <f>"19936125"</f>
        <v>19936125</v>
      </c>
      <c r="D18460" s="2">
        <v>0.28499999999999998</v>
      </c>
      <c r="E18460" s="2">
        <v>3</v>
      </c>
      <c r="F18460" s="2" t="s">
        <v>43</v>
      </c>
    </row>
    <row r="18461" spans="1:6" ht="25.5">
      <c r="A18461" s="2">
        <v>18458</v>
      </c>
      <c r="B18461" s="2" t="s">
        <v>18531</v>
      </c>
      <c r="C18461" s="2" t="str">
        <f>"01345486"</f>
        <v>01345486</v>
      </c>
      <c r="D18461" s="2">
        <v>0.28299999999999997</v>
      </c>
      <c r="E18461" s="2">
        <v>5</v>
      </c>
      <c r="F18461" s="2" t="s">
        <v>6</v>
      </c>
    </row>
    <row r="18462" spans="1:6" ht="25.5">
      <c r="A18462" s="2">
        <v>18459</v>
      </c>
      <c r="B18462" s="2" t="s">
        <v>18532</v>
      </c>
      <c r="C18462" s="2" t="str">
        <f>"18748945"</f>
        <v>18748945</v>
      </c>
      <c r="D18462" s="2">
        <v>0</v>
      </c>
      <c r="E18462" s="2">
        <v>0</v>
      </c>
      <c r="F18462" s="2" t="s">
        <v>75</v>
      </c>
    </row>
    <row r="18463" spans="1:6" ht="25.5">
      <c r="A18463" s="2">
        <v>18460</v>
      </c>
      <c r="B18463" s="2" t="s">
        <v>18533</v>
      </c>
      <c r="C18463" s="2" t="str">
        <f>"02529203"</f>
        <v>02529203</v>
      </c>
      <c r="D18463" s="2">
        <v>0.112</v>
      </c>
      <c r="E18463" s="2">
        <v>2</v>
      </c>
      <c r="F18463" s="2" t="s">
        <v>16</v>
      </c>
    </row>
    <row r="18464" spans="1:6" ht="25.5">
      <c r="A18464" s="2">
        <v>18461</v>
      </c>
      <c r="B18464" s="2" t="s">
        <v>18534</v>
      </c>
      <c r="C18464" s="2" t="str">
        <f>"00377910"</f>
        <v>00377910</v>
      </c>
      <c r="D18464" s="2">
        <v>0.432</v>
      </c>
      <c r="E18464" s="2">
        <v>13</v>
      </c>
      <c r="F18464" s="2" t="s">
        <v>6</v>
      </c>
    </row>
    <row r="18465" spans="1:6" ht="25.5">
      <c r="A18465" s="2">
        <v>18462</v>
      </c>
      <c r="B18465" s="2" t="s">
        <v>18535</v>
      </c>
      <c r="C18465" s="2" t="str">
        <f>"14701219"</f>
        <v>14701219</v>
      </c>
      <c r="D18465" s="2">
        <v>0.19600000000000001</v>
      </c>
      <c r="E18465" s="2">
        <v>9</v>
      </c>
      <c r="F18465" s="2" t="s">
        <v>16</v>
      </c>
    </row>
    <row r="18466" spans="1:6" ht="25.5">
      <c r="A18466" s="2">
        <v>18463</v>
      </c>
      <c r="B18466" s="2" t="s">
        <v>18536</v>
      </c>
      <c r="C18466" s="2" t="str">
        <f>"15375404"</f>
        <v>15375404</v>
      </c>
      <c r="D18466" s="2">
        <v>0.71799999999999997</v>
      </c>
      <c r="E18466" s="2">
        <v>30</v>
      </c>
      <c r="F18466" s="2" t="s">
        <v>6</v>
      </c>
    </row>
    <row r="18467" spans="1:6" ht="25.5">
      <c r="A18467" s="2">
        <v>18464</v>
      </c>
      <c r="B18467" s="2" t="s">
        <v>18537</v>
      </c>
      <c r="C18467" s="2" t="str">
        <f>"14603659"</f>
        <v>14603659</v>
      </c>
      <c r="D18467" s="2">
        <v>1.2270000000000001</v>
      </c>
      <c r="E18467" s="2">
        <v>41</v>
      </c>
      <c r="F18467" s="2" t="s">
        <v>16</v>
      </c>
    </row>
    <row r="18468" spans="1:6" ht="25.5">
      <c r="A18468" s="2">
        <v>18465</v>
      </c>
      <c r="B18468" s="2" t="s">
        <v>18538</v>
      </c>
      <c r="C18468" s="2" t="str">
        <f>"1477822X"</f>
        <v>1477822X</v>
      </c>
      <c r="D18468" s="2">
        <v>0.34899999999999998</v>
      </c>
      <c r="E18468" s="2">
        <v>5</v>
      </c>
      <c r="F18468" s="2" t="s">
        <v>16</v>
      </c>
    </row>
    <row r="18469" spans="1:6" ht="25.5">
      <c r="A18469" s="2">
        <v>18466</v>
      </c>
      <c r="B18469" s="2" t="s">
        <v>18539</v>
      </c>
      <c r="C18469" s="2" t="str">
        <f>"15456846"</f>
        <v>15456846</v>
      </c>
      <c r="D18469" s="2">
        <v>0.44400000000000001</v>
      </c>
      <c r="E18469" s="2">
        <v>40</v>
      </c>
      <c r="F18469" s="2" t="s">
        <v>6</v>
      </c>
    </row>
    <row r="18470" spans="1:6" ht="25.5">
      <c r="A18470" s="2">
        <v>18467</v>
      </c>
      <c r="B18470" s="2" t="s">
        <v>18540</v>
      </c>
      <c r="C18470" s="2" t="str">
        <f>"17466105"</f>
        <v>17466105</v>
      </c>
      <c r="D18470" s="2">
        <v>0.128</v>
      </c>
      <c r="E18470" s="2">
        <v>5</v>
      </c>
      <c r="F18470" s="2" t="s">
        <v>16</v>
      </c>
    </row>
    <row r="18471" spans="1:6" ht="25.5">
      <c r="A18471" s="2">
        <v>18468</v>
      </c>
      <c r="B18471" s="2" t="s">
        <v>18541</v>
      </c>
      <c r="C18471" s="2" t="str">
        <f>"14701227"</f>
        <v>14701227</v>
      </c>
      <c r="D18471" s="2">
        <v>0.52400000000000002</v>
      </c>
      <c r="E18471" s="2">
        <v>7</v>
      </c>
      <c r="F18471" s="2" t="s">
        <v>16</v>
      </c>
    </row>
    <row r="18472" spans="1:6" ht="25.5">
      <c r="A18472" s="2">
        <v>18469</v>
      </c>
      <c r="B18472" s="2" t="s">
        <v>18542</v>
      </c>
      <c r="C18472" s="2" t="str">
        <f>"1541034X"</f>
        <v>1541034X</v>
      </c>
      <c r="D18472" s="2">
        <v>0.38</v>
      </c>
      <c r="E18472" s="2">
        <v>25</v>
      </c>
      <c r="F18472" s="2" t="s">
        <v>16</v>
      </c>
    </row>
    <row r="18473" spans="1:6" ht="25.5">
      <c r="A18473" s="2">
        <v>18470</v>
      </c>
      <c r="B18473" s="2" t="s">
        <v>18543</v>
      </c>
      <c r="C18473" s="2" t="str">
        <f>"15332993"</f>
        <v>15332993</v>
      </c>
      <c r="D18473" s="2">
        <v>0.19400000000000001</v>
      </c>
      <c r="E18473" s="2">
        <v>7</v>
      </c>
      <c r="F18473" s="2" t="s">
        <v>16</v>
      </c>
    </row>
    <row r="18474" spans="1:6" ht="25.5">
      <c r="A18474" s="2">
        <v>18471</v>
      </c>
      <c r="B18474" s="2" t="s">
        <v>18544</v>
      </c>
      <c r="C18474" s="2" t="str">
        <f>"19371918"</f>
        <v>19371918</v>
      </c>
      <c r="D18474" s="2">
        <v>0.222</v>
      </c>
      <c r="E18474" s="2">
        <v>15</v>
      </c>
      <c r="F18474" s="2" t="s">
        <v>16</v>
      </c>
    </row>
    <row r="18475" spans="1:6" ht="25.5">
      <c r="A18475" s="2">
        <v>18472</v>
      </c>
      <c r="B18475" s="2" t="s">
        <v>18545</v>
      </c>
      <c r="C18475" s="2" t="str">
        <f>"00378054"</f>
        <v>00378054</v>
      </c>
      <c r="D18475" s="2">
        <v>0.189</v>
      </c>
      <c r="E18475" s="2">
        <v>10</v>
      </c>
      <c r="F18475" s="2" t="s">
        <v>410</v>
      </c>
    </row>
    <row r="18476" spans="1:6" ht="25.5">
      <c r="A18476" s="2">
        <v>18473</v>
      </c>
      <c r="B18476" s="2" t="s">
        <v>18546</v>
      </c>
      <c r="C18476" s="2" t="str">
        <f>"15456838"</f>
        <v>15456838</v>
      </c>
      <c r="D18476" s="2">
        <v>0.44</v>
      </c>
      <c r="E18476" s="2">
        <v>29</v>
      </c>
      <c r="F18476" s="2" t="s">
        <v>6</v>
      </c>
    </row>
    <row r="18477" spans="1:6" ht="25.5">
      <c r="A18477" s="2">
        <v>18474</v>
      </c>
      <c r="B18477" s="2" t="s">
        <v>18547</v>
      </c>
      <c r="C18477" s="2" t="str">
        <f>"16138953"</f>
        <v>16138953</v>
      </c>
      <c r="D18477" s="2">
        <v>0</v>
      </c>
      <c r="E18477" s="2">
        <v>1</v>
      </c>
      <c r="F18477" s="2" t="s">
        <v>12</v>
      </c>
    </row>
    <row r="18478" spans="1:6" ht="25.5">
      <c r="A18478" s="2">
        <v>18475</v>
      </c>
      <c r="B18478" s="2" t="s">
        <v>18548</v>
      </c>
      <c r="C18478" s="2" t="str">
        <f>"15409481"</f>
        <v>15409481</v>
      </c>
      <c r="D18478" s="2">
        <v>0.35199999999999998</v>
      </c>
      <c r="E18478" s="2">
        <v>8</v>
      </c>
      <c r="F18478" s="2" t="s">
        <v>16</v>
      </c>
    </row>
    <row r="18479" spans="1:6" ht="25.5">
      <c r="A18479" s="2">
        <v>18476</v>
      </c>
      <c r="B18479" s="2" t="s">
        <v>18549</v>
      </c>
      <c r="C18479" s="2" t="str">
        <f>"19808194"</f>
        <v>19808194</v>
      </c>
      <c r="D18479" s="2">
        <v>0.1</v>
      </c>
      <c r="E18479" s="2">
        <v>1</v>
      </c>
      <c r="F18479" s="2" t="s">
        <v>159</v>
      </c>
    </row>
    <row r="18480" spans="1:6" ht="25.5">
      <c r="A18480" s="2">
        <v>18477</v>
      </c>
      <c r="B18480" s="2" t="s">
        <v>18550</v>
      </c>
      <c r="C18480" s="2" t="str">
        <f>"19805462"</f>
        <v>19805462</v>
      </c>
      <c r="D18480" s="2">
        <v>0.128</v>
      </c>
      <c r="E18480" s="2">
        <v>3</v>
      </c>
      <c r="F18480" s="2" t="s">
        <v>159</v>
      </c>
    </row>
    <row r="18481" spans="1:6" ht="25.5">
      <c r="A18481" s="2">
        <v>18478</v>
      </c>
      <c r="B18481" s="2" t="s">
        <v>18551</v>
      </c>
      <c r="C18481" s="2" t="str">
        <f>"07653697"</f>
        <v>07653697</v>
      </c>
      <c r="D18481" s="2">
        <v>0.104</v>
      </c>
      <c r="E18481" s="2">
        <v>2</v>
      </c>
      <c r="F18481" s="2" t="s">
        <v>161</v>
      </c>
    </row>
    <row r="18482" spans="1:6" ht="25.5">
      <c r="A18482" s="2">
        <v>18479</v>
      </c>
      <c r="B18482" s="2" t="s">
        <v>18552</v>
      </c>
      <c r="C18482" s="2" t="str">
        <f>"19506899"</f>
        <v>19506899</v>
      </c>
      <c r="D18482" s="2">
        <v>0.72299999999999998</v>
      </c>
      <c r="E18482" s="2">
        <v>8</v>
      </c>
      <c r="F18482" s="2" t="s">
        <v>66</v>
      </c>
    </row>
    <row r="18483" spans="1:6" ht="25.5">
      <c r="A18483" s="2">
        <v>18480</v>
      </c>
      <c r="B18483" s="2" t="s">
        <v>18553</v>
      </c>
      <c r="C18483" s="2" t="str">
        <f>"01472011"</f>
        <v>01472011</v>
      </c>
      <c r="D18483" s="2">
        <v>0.13300000000000001</v>
      </c>
      <c r="E18483" s="2">
        <v>9</v>
      </c>
      <c r="F18483" s="2" t="s">
        <v>6</v>
      </c>
    </row>
    <row r="18484" spans="1:6" ht="25.5">
      <c r="A18484" s="2">
        <v>18481</v>
      </c>
      <c r="B18484" s="2" t="s">
        <v>18554</v>
      </c>
      <c r="C18484" s="2" t="str">
        <f>"15685306"</f>
        <v>15685306</v>
      </c>
      <c r="D18484" s="2">
        <v>0.25</v>
      </c>
      <c r="E18484" s="2">
        <v>17</v>
      </c>
      <c r="F18484" s="2" t="s">
        <v>75</v>
      </c>
    </row>
    <row r="18485" spans="1:6" ht="25.5">
      <c r="A18485" s="2">
        <v>18482</v>
      </c>
      <c r="B18485" s="2" t="s">
        <v>18555</v>
      </c>
      <c r="C18485" s="2" t="str">
        <f>"15889726"</f>
        <v>15889726</v>
      </c>
      <c r="D18485" s="2">
        <v>0.185</v>
      </c>
      <c r="E18485" s="2">
        <v>2</v>
      </c>
      <c r="F18485" s="2" t="s">
        <v>135</v>
      </c>
    </row>
    <row r="18486" spans="1:6" ht="25.5">
      <c r="A18486" s="2">
        <v>18483</v>
      </c>
      <c r="B18486" s="2" t="s">
        <v>18556</v>
      </c>
      <c r="C18486" s="2" t="str">
        <f>"15210723"</f>
        <v>15210723</v>
      </c>
      <c r="D18486" s="2">
        <v>0.66900000000000004</v>
      </c>
      <c r="E18486" s="2">
        <v>46</v>
      </c>
      <c r="F18486" s="2" t="s">
        <v>16</v>
      </c>
    </row>
    <row r="18487" spans="1:6" ht="25.5">
      <c r="A18487" s="2">
        <v>18484</v>
      </c>
      <c r="B18487" s="2" t="s">
        <v>18557</v>
      </c>
      <c r="C18487" s="2" t="str">
        <f>"10289852"</f>
        <v>10289852</v>
      </c>
      <c r="D18487" s="2">
        <v>0.19</v>
      </c>
      <c r="E18487" s="2">
        <v>2</v>
      </c>
      <c r="F18487" s="2" t="s">
        <v>410</v>
      </c>
    </row>
    <row r="18488" spans="1:6" ht="25.5">
      <c r="A18488" s="2">
        <v>18485</v>
      </c>
      <c r="B18488" s="2" t="s">
        <v>18558</v>
      </c>
      <c r="C18488" s="2" t="str">
        <f>"13300113"</f>
        <v>13300113</v>
      </c>
      <c r="D18488" s="2">
        <v>0.17699999999999999</v>
      </c>
      <c r="E18488" s="2">
        <v>6</v>
      </c>
      <c r="F18488" s="2" t="s">
        <v>149</v>
      </c>
    </row>
    <row r="18489" spans="1:6" ht="25.5">
      <c r="A18489" s="2">
        <v>18486</v>
      </c>
      <c r="B18489" s="2" t="s">
        <v>18559</v>
      </c>
      <c r="C18489" s="2" t="str">
        <f>"03037908"</f>
        <v>03037908</v>
      </c>
      <c r="D18489" s="2">
        <v>0.186</v>
      </c>
      <c r="E18489" s="2">
        <v>5</v>
      </c>
      <c r="F18489" s="2" t="s">
        <v>149</v>
      </c>
    </row>
    <row r="18490" spans="1:6" ht="25.5">
      <c r="A18490" s="2">
        <v>18487</v>
      </c>
      <c r="B18490" s="2" t="s">
        <v>18560</v>
      </c>
      <c r="C18490" s="2" t="str">
        <f>"03616525"</f>
        <v>03616525</v>
      </c>
      <c r="D18490" s="2">
        <v>0.38200000000000001</v>
      </c>
      <c r="E18490" s="2">
        <v>27</v>
      </c>
      <c r="F18490" s="2" t="s">
        <v>6</v>
      </c>
    </row>
    <row r="18491" spans="1:6" ht="25.5">
      <c r="A18491" s="2">
        <v>18488</v>
      </c>
      <c r="B18491" s="2" t="s">
        <v>18561</v>
      </c>
      <c r="C18491" s="2" t="str">
        <f>"00380121"</f>
        <v>00380121</v>
      </c>
      <c r="D18491" s="2">
        <v>0.72299999999999998</v>
      </c>
      <c r="E18491" s="2">
        <v>23</v>
      </c>
      <c r="F18491" s="2" t="s">
        <v>16</v>
      </c>
    </row>
    <row r="18492" spans="1:6" ht="25.5">
      <c r="A18492" s="2">
        <v>18489</v>
      </c>
      <c r="B18492" s="2" t="s">
        <v>18562</v>
      </c>
      <c r="C18492" s="2" t="str">
        <f>"14751461"</f>
        <v>14751461</v>
      </c>
      <c r="D18492" s="2">
        <v>1.5109999999999999</v>
      </c>
      <c r="E18492" s="2">
        <v>18</v>
      </c>
      <c r="F18492" s="2" t="s">
        <v>16</v>
      </c>
    </row>
    <row r="18493" spans="1:6" ht="25.5">
      <c r="A18493" s="2">
        <v>18490</v>
      </c>
      <c r="B18493" s="2" t="s">
        <v>18563</v>
      </c>
      <c r="C18493" s="2" t="str">
        <f>"17508657"</f>
        <v>17508657</v>
      </c>
      <c r="D18493" s="2">
        <v>0.18099999999999999</v>
      </c>
      <c r="E18493" s="2">
        <v>4</v>
      </c>
      <c r="F18493" s="2" t="s">
        <v>16</v>
      </c>
    </row>
    <row r="18494" spans="1:6" ht="25.5">
      <c r="A18494" s="2">
        <v>18491</v>
      </c>
      <c r="B18494" s="2" t="s">
        <v>18564</v>
      </c>
      <c r="C18494" s="2" t="str">
        <f>"00491225"</f>
        <v>00491225</v>
      </c>
      <c r="D18494" s="2">
        <v>0.20200000000000001</v>
      </c>
      <c r="E18494" s="2">
        <v>5</v>
      </c>
      <c r="F18494" s="2" t="s">
        <v>241</v>
      </c>
    </row>
    <row r="18495" spans="1:6" ht="25.5">
      <c r="A18495" s="2">
        <v>18492</v>
      </c>
      <c r="B18495" s="2" t="s">
        <v>18564</v>
      </c>
      <c r="C18495" s="2" t="str">
        <f>"00380156"</f>
        <v>00380156</v>
      </c>
      <c r="D18495" s="2">
        <v>0.1</v>
      </c>
      <c r="E18495" s="2">
        <v>2</v>
      </c>
      <c r="F18495" s="2" t="s">
        <v>190</v>
      </c>
    </row>
    <row r="18496" spans="1:6" ht="25.5">
      <c r="A18496" s="2">
        <v>18493</v>
      </c>
      <c r="B18496" s="2" t="s">
        <v>18565</v>
      </c>
      <c r="C18496" s="2" t="str">
        <f>"08736529"</f>
        <v>08736529</v>
      </c>
      <c r="D18496" s="2">
        <v>0</v>
      </c>
      <c r="E18496" s="2">
        <v>2</v>
      </c>
      <c r="F18496" s="2" t="s">
        <v>306</v>
      </c>
    </row>
    <row r="18497" spans="1:6" ht="25.5">
      <c r="A18497" s="2">
        <v>18494</v>
      </c>
      <c r="B18497" s="2" t="s">
        <v>18566</v>
      </c>
      <c r="C18497" s="2" t="str">
        <f>"14679523"</f>
        <v>14679523</v>
      </c>
      <c r="D18497" s="2">
        <v>0.57799999999999996</v>
      </c>
      <c r="E18497" s="2">
        <v>44</v>
      </c>
      <c r="F18497" s="2" t="s">
        <v>16</v>
      </c>
    </row>
    <row r="18498" spans="1:6" ht="25.5">
      <c r="A18498" s="2">
        <v>18495</v>
      </c>
      <c r="B18498" s="2" t="s">
        <v>18567</v>
      </c>
      <c r="C18498" s="2" t="str">
        <f>"15174522"</f>
        <v>15174522</v>
      </c>
      <c r="D18498" s="2">
        <v>0.106</v>
      </c>
      <c r="E18498" s="2">
        <v>6</v>
      </c>
      <c r="F18498" s="2" t="s">
        <v>159</v>
      </c>
    </row>
    <row r="18499" spans="1:6" ht="25.5">
      <c r="A18499" s="2">
        <v>18496</v>
      </c>
      <c r="B18499" s="2" t="s">
        <v>18568</v>
      </c>
      <c r="C18499" s="2" t="str">
        <f>"15737861"</f>
        <v>15737861</v>
      </c>
      <c r="D18499" s="2">
        <v>0.83799999999999997</v>
      </c>
      <c r="E18499" s="2">
        <v>28</v>
      </c>
      <c r="F18499" s="2" t="s">
        <v>16</v>
      </c>
    </row>
    <row r="18500" spans="1:6" ht="25.5">
      <c r="A18500" s="2">
        <v>18497</v>
      </c>
      <c r="B18500" s="2" t="s">
        <v>18569</v>
      </c>
      <c r="C18500" s="2" t="str">
        <f>"1475682X"</f>
        <v>1475682X</v>
      </c>
      <c r="D18500" s="2">
        <v>0.66500000000000004</v>
      </c>
      <c r="E18500" s="2">
        <v>24</v>
      </c>
      <c r="F18500" s="2" t="s">
        <v>16</v>
      </c>
    </row>
    <row r="18501" spans="1:6" ht="25.5">
      <c r="A18501" s="2">
        <v>18498</v>
      </c>
      <c r="B18501" s="2" t="s">
        <v>18570</v>
      </c>
      <c r="C18501" s="2" t="str">
        <f>"14679531"</f>
        <v>14679531</v>
      </c>
      <c r="D18501" s="2">
        <v>1.0149999999999999</v>
      </c>
      <c r="E18501" s="2">
        <v>31</v>
      </c>
      <c r="F18501" s="2" t="s">
        <v>16</v>
      </c>
    </row>
    <row r="18502" spans="1:6" ht="25.5">
      <c r="A18502" s="2">
        <v>18499</v>
      </c>
      <c r="B18502" s="2" t="s">
        <v>18571</v>
      </c>
      <c r="C18502" s="2" t="str">
        <f>"00491241"</f>
        <v>00491241</v>
      </c>
      <c r="D18502" s="2">
        <v>1.587</v>
      </c>
      <c r="E18502" s="2">
        <v>34</v>
      </c>
      <c r="F18502" s="2" t="s">
        <v>6</v>
      </c>
    </row>
    <row r="18503" spans="1:6" ht="25.5">
      <c r="A18503" s="2">
        <v>18500</v>
      </c>
      <c r="B18503" s="2" t="s">
        <v>18572</v>
      </c>
      <c r="C18503" s="2" t="str">
        <f>"07311214"</f>
        <v>07311214</v>
      </c>
      <c r="D18503" s="2">
        <v>0.38700000000000001</v>
      </c>
      <c r="E18503" s="2">
        <v>28</v>
      </c>
      <c r="F18503" s="2" t="s">
        <v>6</v>
      </c>
    </row>
    <row r="18504" spans="1:6" ht="25.5">
      <c r="A18504" s="2">
        <v>18501</v>
      </c>
      <c r="B18504" s="2" t="s">
        <v>18573</v>
      </c>
      <c r="C18504" s="2" t="str">
        <f>"00380253"</f>
        <v>00380253</v>
      </c>
      <c r="D18504" s="2">
        <v>1.28</v>
      </c>
      <c r="E18504" s="2">
        <v>32</v>
      </c>
      <c r="F18504" s="2" t="s">
        <v>16</v>
      </c>
    </row>
    <row r="18505" spans="1:6" ht="25.5">
      <c r="A18505" s="2">
        <v>18502</v>
      </c>
      <c r="B18505" s="2" t="s">
        <v>18574</v>
      </c>
      <c r="C18505" s="2" t="str">
        <f>"13607804"</f>
        <v>13607804</v>
      </c>
      <c r="D18505" s="2">
        <v>0.33200000000000002</v>
      </c>
      <c r="E18505" s="2">
        <v>20</v>
      </c>
      <c r="F18505" s="2" t="s">
        <v>16</v>
      </c>
    </row>
    <row r="18506" spans="1:6" ht="25.5">
      <c r="A18506" s="2">
        <v>18503</v>
      </c>
      <c r="B18506" s="2" t="s">
        <v>18575</v>
      </c>
      <c r="C18506" s="2" t="str">
        <f>"1467954X"</f>
        <v>1467954X</v>
      </c>
      <c r="D18506" s="2">
        <v>0.495</v>
      </c>
      <c r="E18506" s="2">
        <v>34</v>
      </c>
      <c r="F18506" s="2" t="s">
        <v>16</v>
      </c>
    </row>
    <row r="18507" spans="1:6" ht="25.5">
      <c r="A18507" s="2">
        <v>18504</v>
      </c>
      <c r="B18507" s="2" t="s">
        <v>18576</v>
      </c>
      <c r="C18507" s="2" t="str">
        <f>"15210707"</f>
        <v>15210707</v>
      </c>
      <c r="D18507" s="2">
        <v>0.27900000000000003</v>
      </c>
      <c r="E18507" s="2">
        <v>18</v>
      </c>
      <c r="F18507" s="2" t="s">
        <v>16</v>
      </c>
    </row>
    <row r="18508" spans="1:6" ht="25.5">
      <c r="A18508" s="2">
        <v>18505</v>
      </c>
      <c r="B18508" s="2" t="s">
        <v>18577</v>
      </c>
      <c r="C18508" s="2" t="str">
        <f>"14679558"</f>
        <v>14679558</v>
      </c>
      <c r="D18508" s="2">
        <v>1.952</v>
      </c>
      <c r="E18508" s="2">
        <v>34</v>
      </c>
      <c r="F18508" s="2" t="s">
        <v>16</v>
      </c>
    </row>
    <row r="18509" spans="1:6" ht="25.5">
      <c r="A18509" s="2">
        <v>18506</v>
      </c>
      <c r="B18509" s="2" t="s">
        <v>18578</v>
      </c>
      <c r="C18509" s="2" t="str">
        <f>"09131442"</f>
        <v>09131442</v>
      </c>
      <c r="D18509" s="2">
        <v>0.107</v>
      </c>
      <c r="E18509" s="2">
        <v>3</v>
      </c>
      <c r="F18509" s="2" t="s">
        <v>131</v>
      </c>
    </row>
    <row r="18510" spans="1:6" ht="25.5">
      <c r="A18510" s="2">
        <v>18507</v>
      </c>
      <c r="B18510" s="2" t="s">
        <v>18579</v>
      </c>
      <c r="C18510" s="2" t="str">
        <f>"00380288"</f>
        <v>00380288</v>
      </c>
      <c r="D18510" s="2">
        <v>0.28199999999999997</v>
      </c>
      <c r="E18510" s="2">
        <v>9</v>
      </c>
      <c r="F18510" s="2" t="s">
        <v>208</v>
      </c>
    </row>
    <row r="18511" spans="1:6" ht="25.5">
      <c r="A18511" s="2">
        <v>18508</v>
      </c>
      <c r="B18511" s="2" t="s">
        <v>18580</v>
      </c>
      <c r="C18511" s="2" t="str">
        <f>"00380296"</f>
        <v>00380296</v>
      </c>
      <c r="D18511" s="2">
        <v>0.59699999999999998</v>
      </c>
      <c r="E18511" s="2">
        <v>15</v>
      </c>
      <c r="F18511" s="2" t="s">
        <v>66</v>
      </c>
    </row>
    <row r="18512" spans="1:6" ht="25.5">
      <c r="A18512" s="2">
        <v>18509</v>
      </c>
      <c r="B18512" s="2" t="s">
        <v>18581</v>
      </c>
      <c r="C18512" s="2" t="str">
        <f>"00380318"</f>
        <v>00380318</v>
      </c>
      <c r="D18512" s="2">
        <v>0.16500000000000001</v>
      </c>
      <c r="E18512" s="2">
        <v>2</v>
      </c>
      <c r="F18512" s="2" t="s">
        <v>212</v>
      </c>
    </row>
    <row r="18513" spans="1:6" ht="25.5">
      <c r="A18513" s="2">
        <v>18510</v>
      </c>
      <c r="B18513" s="2" t="s">
        <v>18582</v>
      </c>
      <c r="C18513" s="2" t="str">
        <f>"18465226"</f>
        <v>18465226</v>
      </c>
      <c r="D18513" s="2">
        <v>0.123</v>
      </c>
      <c r="E18513" s="2">
        <v>2</v>
      </c>
      <c r="F18513" s="2" t="s">
        <v>149</v>
      </c>
    </row>
    <row r="18514" spans="1:6" ht="25.5">
      <c r="A18514" s="2">
        <v>18511</v>
      </c>
      <c r="B18514" s="2" t="s">
        <v>18583</v>
      </c>
      <c r="C18514" s="2" t="str">
        <f>"00380342"</f>
        <v>00380342</v>
      </c>
      <c r="D18514" s="2">
        <v>0.11700000000000001</v>
      </c>
      <c r="E18514" s="2">
        <v>4</v>
      </c>
      <c r="F18514" s="2" t="s">
        <v>151</v>
      </c>
    </row>
    <row r="18515" spans="1:6" ht="25.5">
      <c r="A18515" s="2">
        <v>18512</v>
      </c>
      <c r="B18515" s="2" t="s">
        <v>18584</v>
      </c>
      <c r="C18515" s="2" t="str">
        <f>"00380377"</f>
        <v>00380377</v>
      </c>
      <c r="D18515" s="2">
        <v>0.154</v>
      </c>
      <c r="E18515" s="2">
        <v>1</v>
      </c>
      <c r="F18515" s="2" t="s">
        <v>12</v>
      </c>
    </row>
    <row r="18516" spans="1:6" ht="25.5">
      <c r="A18516" s="2">
        <v>18513</v>
      </c>
      <c r="B18516" s="2" t="s">
        <v>18585</v>
      </c>
      <c r="C18516" s="2" t="str">
        <f>"00380385"</f>
        <v>00380385</v>
      </c>
      <c r="D18516" s="2">
        <v>1.458</v>
      </c>
      <c r="E18516" s="2">
        <v>49</v>
      </c>
      <c r="F18516" s="2" t="s">
        <v>16</v>
      </c>
    </row>
    <row r="18517" spans="1:6" ht="25.5">
      <c r="A18517" s="2">
        <v>18514</v>
      </c>
      <c r="B18517" s="2" t="s">
        <v>18586</v>
      </c>
      <c r="C18517" s="2" t="str">
        <f>"17519020"</f>
        <v>17519020</v>
      </c>
      <c r="D18517" s="2">
        <v>0.14399999999999999</v>
      </c>
      <c r="E18517" s="2">
        <v>3</v>
      </c>
      <c r="F18517" s="2" t="s">
        <v>6</v>
      </c>
    </row>
    <row r="18518" spans="1:6" ht="25.5">
      <c r="A18518" s="2">
        <v>18515</v>
      </c>
      <c r="B18518" s="2" t="s">
        <v>18587</v>
      </c>
      <c r="C18518" s="2" t="str">
        <f>"00380407"</f>
        <v>00380407</v>
      </c>
      <c r="D18518" s="2">
        <v>2.234</v>
      </c>
      <c r="E18518" s="2">
        <v>48</v>
      </c>
      <c r="F18518" s="2" t="s">
        <v>6</v>
      </c>
    </row>
    <row r="18519" spans="1:6" ht="25.5">
      <c r="A18519" s="2">
        <v>18516</v>
      </c>
      <c r="B18519" s="2" t="s">
        <v>18588</v>
      </c>
      <c r="C18519" s="2" t="str">
        <f>"14679566"</f>
        <v>14679566</v>
      </c>
      <c r="D18519" s="2">
        <v>1.0780000000000001</v>
      </c>
      <c r="E18519" s="2">
        <v>53</v>
      </c>
      <c r="F18519" s="2" t="s">
        <v>16</v>
      </c>
    </row>
    <row r="18520" spans="1:6" ht="25.5">
      <c r="A18520" s="2">
        <v>18517</v>
      </c>
      <c r="B18520" s="2" t="s">
        <v>18589</v>
      </c>
      <c r="C18520" s="2" t="str">
        <f>"10694404"</f>
        <v>10694404</v>
      </c>
      <c r="D18520" s="2">
        <v>0.91</v>
      </c>
      <c r="E18520" s="2">
        <v>21</v>
      </c>
      <c r="F18520" s="2" t="s">
        <v>6</v>
      </c>
    </row>
    <row r="18521" spans="1:6" ht="25.5">
      <c r="A18521" s="2">
        <v>18518</v>
      </c>
      <c r="B18521" s="2" t="s">
        <v>18590</v>
      </c>
      <c r="C18521" s="2" t="str">
        <f>"15432785"</f>
        <v>15432785</v>
      </c>
      <c r="D18521" s="2">
        <v>1.1910000000000001</v>
      </c>
      <c r="E18521" s="2">
        <v>24</v>
      </c>
      <c r="F18521" s="2" t="s">
        <v>6</v>
      </c>
    </row>
    <row r="18522" spans="1:6" ht="25.5">
      <c r="A18522" s="2">
        <v>18519</v>
      </c>
      <c r="B18522" s="2" t="s">
        <v>18591</v>
      </c>
      <c r="C18522" s="2" t="str">
        <f>"14337479"</f>
        <v>14337479</v>
      </c>
      <c r="D18522" s="2">
        <v>1.119</v>
      </c>
      <c r="E18522" s="2">
        <v>32</v>
      </c>
      <c r="F18522" s="2" t="s">
        <v>12</v>
      </c>
    </row>
    <row r="18523" spans="1:6" ht="25.5">
      <c r="A18523" s="2">
        <v>18520</v>
      </c>
      <c r="B18523" s="2" t="s">
        <v>18592</v>
      </c>
      <c r="C18523" s="2" t="str">
        <f>"15394468"</f>
        <v>15394468</v>
      </c>
      <c r="D18523" s="2">
        <v>0.373</v>
      </c>
      <c r="E18523" s="2">
        <v>10</v>
      </c>
      <c r="F18523" s="2" t="s">
        <v>16</v>
      </c>
    </row>
    <row r="18524" spans="1:6" ht="25.5">
      <c r="A18524" s="2">
        <v>18521</v>
      </c>
      <c r="B18524" s="2" t="s">
        <v>18593</v>
      </c>
      <c r="C18524" s="2" t="str">
        <f>"17446848"</f>
        <v>17446848</v>
      </c>
      <c r="D18524" s="2">
        <v>1.633</v>
      </c>
      <c r="E18524" s="2">
        <v>69</v>
      </c>
      <c r="F18524" s="2" t="s">
        <v>16</v>
      </c>
    </row>
    <row r="18525" spans="1:6" ht="25.5">
      <c r="A18525" s="2">
        <v>18522</v>
      </c>
      <c r="B18525" s="2" t="s">
        <v>18594</v>
      </c>
      <c r="C18525" s="2" t="str">
        <f>"16191374"</f>
        <v>16191374</v>
      </c>
      <c r="D18525" s="2">
        <v>1.794</v>
      </c>
      <c r="E18525" s="2">
        <v>24</v>
      </c>
      <c r="F18525" s="2" t="s">
        <v>12</v>
      </c>
    </row>
    <row r="18526" spans="1:6" ht="25.5">
      <c r="A18526" s="2">
        <v>18523</v>
      </c>
      <c r="B18526" s="2" t="s">
        <v>18595</v>
      </c>
      <c r="C18526" s="2" t="str">
        <f>"1097024X"</f>
        <v>1097024X</v>
      </c>
      <c r="D18526" s="2">
        <v>1.181</v>
      </c>
      <c r="E18526" s="2">
        <v>45</v>
      </c>
      <c r="F18526" s="2" t="s">
        <v>16</v>
      </c>
    </row>
    <row r="18527" spans="1:6" ht="25.5">
      <c r="A18527" s="2">
        <v>18524</v>
      </c>
      <c r="B18527" s="2" t="s">
        <v>18596</v>
      </c>
      <c r="C18527" s="2" t="str">
        <f>"15731367"</f>
        <v>15731367</v>
      </c>
      <c r="D18527" s="2">
        <v>0.82699999999999996</v>
      </c>
      <c r="E18527" s="2">
        <v>21</v>
      </c>
      <c r="F18527" s="2" t="s">
        <v>6</v>
      </c>
    </row>
    <row r="18528" spans="1:6" ht="25.5">
      <c r="A18528" s="2">
        <v>18525</v>
      </c>
      <c r="B18528" s="2" t="s">
        <v>18597</v>
      </c>
      <c r="C18528" s="2" t="str">
        <f>"10991689"</f>
        <v>10991689</v>
      </c>
      <c r="D18528" s="2">
        <v>0.997</v>
      </c>
      <c r="E18528" s="2">
        <v>29</v>
      </c>
      <c r="F18528" s="2" t="s">
        <v>16</v>
      </c>
    </row>
    <row r="18529" spans="1:6" ht="25.5">
      <c r="A18529" s="2">
        <v>18526</v>
      </c>
      <c r="B18529" s="2" t="s">
        <v>18598</v>
      </c>
      <c r="C18529" s="2" t="str">
        <f>"15497887"</f>
        <v>15497887</v>
      </c>
      <c r="D18529" s="2">
        <v>0.307</v>
      </c>
      <c r="E18529" s="2">
        <v>29</v>
      </c>
      <c r="F18529" s="2" t="s">
        <v>16</v>
      </c>
    </row>
    <row r="18530" spans="1:6" ht="25.5">
      <c r="A18530" s="2">
        <v>18527</v>
      </c>
      <c r="B18530" s="2" t="s">
        <v>18599</v>
      </c>
      <c r="C18530" s="2" t="str">
        <f>"01671987"</f>
        <v>01671987</v>
      </c>
      <c r="D18530" s="2">
        <v>1.5349999999999999</v>
      </c>
      <c r="E18530" s="2">
        <v>68</v>
      </c>
      <c r="F18530" s="2" t="s">
        <v>75</v>
      </c>
    </row>
    <row r="18531" spans="1:6" ht="25.5">
      <c r="A18531" s="2">
        <v>18528</v>
      </c>
      <c r="B18531" s="2" t="s">
        <v>18600</v>
      </c>
      <c r="C18531" s="2" t="str">
        <f>"18015395"</f>
        <v>18015395</v>
      </c>
      <c r="D18531" s="2">
        <v>0.255</v>
      </c>
      <c r="E18531" s="2">
        <v>5</v>
      </c>
      <c r="F18531" s="2" t="s">
        <v>208</v>
      </c>
    </row>
    <row r="18532" spans="1:6" ht="25.5">
      <c r="A18532" s="2">
        <v>18529</v>
      </c>
      <c r="B18532" s="2" t="s">
        <v>18601</v>
      </c>
      <c r="C18532" s="2" t="str">
        <f>"00380717"</f>
        <v>00380717</v>
      </c>
      <c r="D18532" s="2">
        <v>1.9079999999999999</v>
      </c>
      <c r="E18532" s="2">
        <v>110</v>
      </c>
      <c r="F18532" s="2" t="s">
        <v>16</v>
      </c>
    </row>
    <row r="18533" spans="1:6" ht="25.5">
      <c r="A18533" s="2">
        <v>18530</v>
      </c>
      <c r="B18533" s="2" t="s">
        <v>18602</v>
      </c>
      <c r="C18533" s="2" t="str">
        <f>"02677261"</f>
        <v>02677261</v>
      </c>
      <c r="D18533" s="2">
        <v>1.1160000000000001</v>
      </c>
      <c r="E18533" s="2">
        <v>39</v>
      </c>
      <c r="F18533" s="2" t="s">
        <v>75</v>
      </c>
    </row>
    <row r="18534" spans="1:6" ht="25.5">
      <c r="A18534" s="2">
        <v>18531</v>
      </c>
      <c r="B18534" s="2" t="s">
        <v>18603</v>
      </c>
      <c r="C18534" s="2" t="str">
        <f>"15739279"</f>
        <v>15739279</v>
      </c>
      <c r="D18534" s="2">
        <v>0.1</v>
      </c>
      <c r="E18534" s="2">
        <v>3</v>
      </c>
      <c r="F18534" s="2" t="s">
        <v>6</v>
      </c>
    </row>
    <row r="18535" spans="1:6" ht="25.5">
      <c r="A18535" s="2">
        <v>18532</v>
      </c>
      <c r="B18535" s="2" t="s">
        <v>18604</v>
      </c>
      <c r="C18535" s="2" t="str">
        <f>"00380806"</f>
        <v>00380806</v>
      </c>
      <c r="D18535" s="2">
        <v>1.1220000000000001</v>
      </c>
      <c r="E18535" s="2">
        <v>37</v>
      </c>
      <c r="F18535" s="2" t="s">
        <v>131</v>
      </c>
    </row>
    <row r="18536" spans="1:6" ht="25.5">
      <c r="A18536" s="2">
        <v>18533</v>
      </c>
      <c r="B18536" s="2" t="s">
        <v>18605</v>
      </c>
      <c r="C18536" s="2" t="str">
        <f>"19809743"</f>
        <v>19809743</v>
      </c>
      <c r="D18536" s="2">
        <v>0.16600000000000001</v>
      </c>
      <c r="E18536" s="2">
        <v>3</v>
      </c>
      <c r="F18536" s="2" t="s">
        <v>159</v>
      </c>
    </row>
    <row r="18537" spans="1:6" ht="25.5">
      <c r="A18537" s="2">
        <v>18534</v>
      </c>
      <c r="B18537" s="2" t="s">
        <v>18606</v>
      </c>
      <c r="C18537" s="2" t="str">
        <f>"15389243"</f>
        <v>15389243</v>
      </c>
      <c r="D18537" s="2">
        <v>0.70699999999999996</v>
      </c>
      <c r="E18537" s="2">
        <v>59</v>
      </c>
      <c r="F18537" s="2" t="s">
        <v>6</v>
      </c>
    </row>
    <row r="18538" spans="1:6" ht="25.5">
      <c r="A18538" s="2">
        <v>18535</v>
      </c>
      <c r="B18538" s="2" t="s">
        <v>18607</v>
      </c>
      <c r="C18538" s="2" t="str">
        <f>"00380768"</f>
        <v>00380768</v>
      </c>
      <c r="D18538" s="2">
        <v>0.52500000000000002</v>
      </c>
      <c r="E18538" s="2">
        <v>34</v>
      </c>
      <c r="F18538" s="2" t="s">
        <v>16</v>
      </c>
    </row>
    <row r="18539" spans="1:6" ht="25.5">
      <c r="A18539" s="2">
        <v>18536</v>
      </c>
      <c r="B18539" s="2" t="s">
        <v>18608</v>
      </c>
      <c r="C18539" s="2" t="str">
        <f>"03615995"</f>
        <v>03615995</v>
      </c>
      <c r="D18539" s="2">
        <v>1.18</v>
      </c>
      <c r="E18539" s="2">
        <v>96</v>
      </c>
      <c r="F18539" s="2" t="s">
        <v>6</v>
      </c>
    </row>
    <row r="18540" spans="1:6" ht="25.5">
      <c r="A18540" s="2">
        <v>18537</v>
      </c>
      <c r="B18540" s="2" t="s">
        <v>18609</v>
      </c>
      <c r="C18540" s="2" t="str">
        <f>"14752743"</f>
        <v>14752743</v>
      </c>
      <c r="D18540" s="2">
        <v>0.82899999999999996</v>
      </c>
      <c r="E18540" s="2">
        <v>45</v>
      </c>
      <c r="F18540" s="2" t="s">
        <v>16</v>
      </c>
    </row>
    <row r="18541" spans="1:6" ht="25.5">
      <c r="A18541" s="2">
        <v>18538</v>
      </c>
      <c r="B18541" s="2" t="s">
        <v>18610</v>
      </c>
      <c r="C18541" s="2" t="str">
        <f>"17709857"</f>
        <v>17709857</v>
      </c>
      <c r="D18541" s="2">
        <v>0.1</v>
      </c>
      <c r="E18541" s="2">
        <v>1</v>
      </c>
      <c r="F18541" s="2" t="s">
        <v>190</v>
      </c>
    </row>
    <row r="18542" spans="1:6" ht="25.5">
      <c r="A18542" s="2">
        <v>18539</v>
      </c>
      <c r="B18542" s="2" t="s">
        <v>18611</v>
      </c>
      <c r="C18542" s="2" t="str">
        <f>"01832980"</f>
        <v>01832980</v>
      </c>
      <c r="D18542" s="2">
        <v>0.11600000000000001</v>
      </c>
      <c r="E18542" s="2">
        <v>2</v>
      </c>
      <c r="F18542" s="2" t="s">
        <v>190</v>
      </c>
    </row>
    <row r="18543" spans="1:6" ht="25.5">
      <c r="A18543" s="2">
        <v>18540</v>
      </c>
      <c r="B18543" s="2" t="s">
        <v>18612</v>
      </c>
      <c r="C18543" s="2" t="str">
        <f>"12686034"</f>
        <v>12686034</v>
      </c>
      <c r="D18543" s="2">
        <v>0.124</v>
      </c>
      <c r="E18543" s="2">
        <v>4</v>
      </c>
      <c r="F18543" s="2" t="s">
        <v>190</v>
      </c>
    </row>
    <row r="18544" spans="1:6" ht="25.5">
      <c r="A18544" s="2">
        <v>18541</v>
      </c>
      <c r="B18544" s="2" t="s">
        <v>18613</v>
      </c>
      <c r="C18544" s="2" t="str">
        <f>"00380814"</f>
        <v>00380814</v>
      </c>
      <c r="D18544" s="2">
        <v>0.111</v>
      </c>
      <c r="E18544" s="2">
        <v>3</v>
      </c>
      <c r="F18544" s="2" t="s">
        <v>190</v>
      </c>
    </row>
    <row r="18545" spans="1:6" ht="25.5">
      <c r="A18545" s="2">
        <v>18542</v>
      </c>
      <c r="B18545" s="2" t="s">
        <v>18614</v>
      </c>
      <c r="C18545" s="2" t="str">
        <f>"12594792"</f>
        <v>12594792</v>
      </c>
      <c r="D18545" s="2">
        <v>0.123</v>
      </c>
      <c r="E18545" s="2">
        <v>2</v>
      </c>
      <c r="F18545" s="2" t="s">
        <v>190</v>
      </c>
    </row>
    <row r="18546" spans="1:6" ht="25.5">
      <c r="A18546" s="2">
        <v>18543</v>
      </c>
      <c r="B18546" s="2" t="s">
        <v>18615</v>
      </c>
      <c r="C18546" s="2" t="str">
        <f>"02416972"</f>
        <v>02416972</v>
      </c>
      <c r="D18546" s="2">
        <v>0.115</v>
      </c>
      <c r="E18546" s="2">
        <v>4</v>
      </c>
      <c r="F18546" s="2" t="s">
        <v>190</v>
      </c>
    </row>
    <row r="18547" spans="1:6" ht="25.5">
      <c r="A18547" s="2">
        <v>18544</v>
      </c>
      <c r="B18547" s="2" t="s">
        <v>18616</v>
      </c>
      <c r="C18547" s="2" t="str">
        <f>"02179520"</f>
        <v>02179520</v>
      </c>
      <c r="D18547" s="2">
        <v>0.15</v>
      </c>
      <c r="E18547" s="2">
        <v>5</v>
      </c>
      <c r="F18547" s="2" t="s">
        <v>543</v>
      </c>
    </row>
    <row r="18548" spans="1:6" ht="25.5">
      <c r="A18548" s="2">
        <v>18545</v>
      </c>
      <c r="B18548" s="2" t="s">
        <v>18617</v>
      </c>
      <c r="C18548" s="2" t="str">
        <f>"1883096X"</f>
        <v>1883096X</v>
      </c>
      <c r="D18548" s="2">
        <v>0.10100000000000001</v>
      </c>
      <c r="E18548" s="2">
        <v>0</v>
      </c>
      <c r="F18548" s="2" t="s">
        <v>131</v>
      </c>
    </row>
    <row r="18549" spans="1:6" ht="25.5">
      <c r="A18549" s="2">
        <v>18546</v>
      </c>
      <c r="B18549" s="2" t="s">
        <v>18618</v>
      </c>
      <c r="C18549" s="2" t="str">
        <f>"0038092X"</f>
        <v>0038092X</v>
      </c>
      <c r="D18549" s="2">
        <v>1.522</v>
      </c>
      <c r="E18549" s="2">
        <v>72</v>
      </c>
      <c r="F18549" s="2" t="s">
        <v>16</v>
      </c>
    </row>
    <row r="18550" spans="1:6" ht="25.5">
      <c r="A18550" s="2">
        <v>18547</v>
      </c>
      <c r="B18550" s="2" t="s">
        <v>18619</v>
      </c>
      <c r="C18550" s="2" t="str">
        <f>"09270248"</f>
        <v>09270248</v>
      </c>
      <c r="D18550" s="2">
        <v>2.153</v>
      </c>
      <c r="E18550" s="2">
        <v>92</v>
      </c>
      <c r="F18550" s="2" t="s">
        <v>75</v>
      </c>
    </row>
    <row r="18551" spans="1:6" ht="25.5">
      <c r="A18551" s="2">
        <v>18548</v>
      </c>
      <c r="B18551" s="2" t="s">
        <v>18620</v>
      </c>
      <c r="C18551" s="2" t="str">
        <f>"00380938"</f>
        <v>00380938</v>
      </c>
      <c r="D18551" s="2">
        <v>1.175</v>
      </c>
      <c r="E18551" s="2">
        <v>79</v>
      </c>
      <c r="F18551" s="2" t="s">
        <v>75</v>
      </c>
    </row>
    <row r="18552" spans="1:6" ht="25.5">
      <c r="A18552" s="2">
        <v>18549</v>
      </c>
      <c r="B18552" s="2" t="s">
        <v>18621</v>
      </c>
      <c r="C18552" s="2" t="str">
        <f>"16083423"</f>
        <v>16083423</v>
      </c>
      <c r="D18552" s="2">
        <v>0.26800000000000002</v>
      </c>
      <c r="E18552" s="2">
        <v>14</v>
      </c>
      <c r="F18552" s="2" t="s">
        <v>129</v>
      </c>
    </row>
    <row r="18553" spans="1:6" ht="25.5">
      <c r="A18553" s="2">
        <v>18550</v>
      </c>
      <c r="B18553" s="2" t="s">
        <v>18622</v>
      </c>
      <c r="C18553" s="2" t="str">
        <f>"01049224"</f>
        <v>01049224</v>
      </c>
      <c r="D18553" s="2">
        <v>0.253</v>
      </c>
      <c r="E18553" s="2">
        <v>4</v>
      </c>
      <c r="F18553" s="2" t="s">
        <v>159</v>
      </c>
    </row>
    <row r="18554" spans="1:6" ht="25.5">
      <c r="A18554" s="2">
        <v>18551</v>
      </c>
      <c r="B18554" s="2" t="s">
        <v>18623</v>
      </c>
      <c r="C18554" s="2" t="str">
        <f>"09540911"</f>
        <v>09540911</v>
      </c>
      <c r="D18554" s="2">
        <v>0.45400000000000001</v>
      </c>
      <c r="E18554" s="2">
        <v>21</v>
      </c>
      <c r="F18554" s="2" t="s">
        <v>16</v>
      </c>
    </row>
    <row r="18555" spans="1:6" ht="25.5">
      <c r="A18555" s="2">
        <v>18552</v>
      </c>
      <c r="B18555" s="2" t="s">
        <v>18624</v>
      </c>
      <c r="C18555" s="2" t="str">
        <f>"18699529"</f>
        <v>18699529</v>
      </c>
      <c r="D18555" s="2">
        <v>0.68899999999999995</v>
      </c>
      <c r="E18555" s="2">
        <v>4</v>
      </c>
      <c r="F18555" s="2" t="s">
        <v>12</v>
      </c>
    </row>
    <row r="18556" spans="1:6" ht="25.5">
      <c r="A18556" s="2">
        <v>18553</v>
      </c>
      <c r="B18556" s="2" t="s">
        <v>18625</v>
      </c>
      <c r="C18556" s="2" t="str">
        <f>"03615219"</f>
        <v>03615219</v>
      </c>
      <c r="D18556" s="2">
        <v>0.11</v>
      </c>
      <c r="E18556" s="2">
        <v>4</v>
      </c>
      <c r="F18556" s="2" t="s">
        <v>6</v>
      </c>
    </row>
    <row r="18557" spans="1:6" ht="25.5">
      <c r="A18557" s="2">
        <v>18554</v>
      </c>
      <c r="B18557" s="2" t="s">
        <v>18626</v>
      </c>
      <c r="C18557" s="2" t="str">
        <f>"18753507"</f>
        <v>18753507</v>
      </c>
      <c r="D18557" s="2">
        <v>0.10199999999999999</v>
      </c>
      <c r="E18557" s="2">
        <v>6</v>
      </c>
      <c r="F18557" s="2" t="s">
        <v>12</v>
      </c>
    </row>
    <row r="18558" spans="1:6" ht="25.5">
      <c r="A18558" s="2">
        <v>18555</v>
      </c>
      <c r="B18558" s="2" t="s">
        <v>18627</v>
      </c>
      <c r="C18558" s="2" t="str">
        <f>"00381098"</f>
        <v>00381098</v>
      </c>
      <c r="D18558" s="2">
        <v>0.877</v>
      </c>
      <c r="E18558" s="2">
        <v>88</v>
      </c>
      <c r="F18558" s="2" t="s">
        <v>16</v>
      </c>
    </row>
    <row r="18559" spans="1:6" ht="25.5">
      <c r="A18559" s="2">
        <v>18556</v>
      </c>
      <c r="B18559" s="2" t="s">
        <v>18628</v>
      </c>
      <c r="C18559" s="2" t="str">
        <f>"00381101"</f>
        <v>00381101</v>
      </c>
      <c r="D18559" s="2">
        <v>0.79300000000000004</v>
      </c>
      <c r="E18559" s="2">
        <v>59</v>
      </c>
      <c r="F18559" s="2" t="s">
        <v>16</v>
      </c>
    </row>
    <row r="18560" spans="1:6" ht="25.5">
      <c r="A18560" s="2">
        <v>18557</v>
      </c>
      <c r="B18560" s="2" t="s">
        <v>18629</v>
      </c>
      <c r="C18560" s="2" t="str">
        <f>"01672738"</f>
        <v>01672738</v>
      </c>
      <c r="D18560" s="2">
        <v>0.92</v>
      </c>
      <c r="E18560" s="2">
        <v>122</v>
      </c>
      <c r="F18560" s="2" t="s">
        <v>75</v>
      </c>
    </row>
    <row r="18561" spans="1:6" ht="25.5">
      <c r="A18561" s="2">
        <v>18558</v>
      </c>
      <c r="B18561" s="2" t="s">
        <v>18630</v>
      </c>
      <c r="C18561" s="2" t="str">
        <f>"15273326"</f>
        <v>15273326</v>
      </c>
      <c r="D18561" s="2">
        <v>0.81399999999999995</v>
      </c>
      <c r="E18561" s="2">
        <v>40</v>
      </c>
      <c r="F18561" s="2" t="s">
        <v>75</v>
      </c>
    </row>
    <row r="18562" spans="1:6" ht="25.5">
      <c r="A18562" s="2">
        <v>18559</v>
      </c>
      <c r="B18562" s="2" t="s">
        <v>18631</v>
      </c>
      <c r="C18562" s="2" t="str">
        <f>"00811947"</f>
        <v>00811947</v>
      </c>
      <c r="D18562" s="2">
        <v>0.32600000000000001</v>
      </c>
      <c r="E18562" s="2">
        <v>18</v>
      </c>
      <c r="F18562" s="2" t="s">
        <v>6</v>
      </c>
    </row>
    <row r="18563" spans="1:6" ht="25.5">
      <c r="A18563" s="2">
        <v>18560</v>
      </c>
      <c r="B18563" s="2" t="s">
        <v>18632</v>
      </c>
      <c r="C18563" s="2" t="str">
        <f>"12932558"</f>
        <v>12932558</v>
      </c>
      <c r="D18563" s="2">
        <v>0.70899999999999996</v>
      </c>
      <c r="E18563" s="2">
        <v>48</v>
      </c>
      <c r="F18563" s="2" t="s">
        <v>190</v>
      </c>
    </row>
    <row r="18564" spans="1:6" ht="25.5">
      <c r="A18564" s="2">
        <v>18561</v>
      </c>
      <c r="B18564" s="2" t="s">
        <v>18633</v>
      </c>
      <c r="C18564" s="2" t="str">
        <f>"15322262"</f>
        <v>15322262</v>
      </c>
      <c r="D18564" s="2">
        <v>1.0960000000000001</v>
      </c>
      <c r="E18564" s="2">
        <v>38</v>
      </c>
      <c r="F18564" s="2" t="s">
        <v>16</v>
      </c>
    </row>
    <row r="18565" spans="1:6" ht="25.5">
      <c r="A18565" s="2">
        <v>18562</v>
      </c>
      <c r="B18565" s="2" t="s">
        <v>18634</v>
      </c>
      <c r="C18565" s="2" t="str">
        <f>"13417215"</f>
        <v>13417215</v>
      </c>
      <c r="D18565" s="2">
        <v>0.16500000000000001</v>
      </c>
      <c r="E18565" s="2">
        <v>11</v>
      </c>
      <c r="F18565" s="2" t="s">
        <v>131</v>
      </c>
    </row>
    <row r="18566" spans="1:6" ht="25.5">
      <c r="A18566" s="2">
        <v>18563</v>
      </c>
      <c r="B18566" s="2" t="s">
        <v>18635</v>
      </c>
      <c r="C18566" s="2" t="str">
        <f>"13691651"</f>
        <v>13691651</v>
      </c>
      <c r="D18566" s="2">
        <v>0.34799999999999998</v>
      </c>
      <c r="E18566" s="2">
        <v>32</v>
      </c>
      <c r="F18566" s="2" t="s">
        <v>16</v>
      </c>
    </row>
    <row r="18567" spans="1:6" ht="25.5">
      <c r="A18567" s="2">
        <v>18564</v>
      </c>
      <c r="B18567" s="2" t="s">
        <v>18636</v>
      </c>
      <c r="C18567" s="2" t="str">
        <f>"1439054X"</f>
        <v>1439054X</v>
      </c>
      <c r="D18567" s="2">
        <v>0.187</v>
      </c>
      <c r="E18567" s="2">
        <v>16</v>
      </c>
      <c r="F18567" s="2" t="s">
        <v>12</v>
      </c>
    </row>
    <row r="18568" spans="1:6" ht="25.5">
      <c r="A18568" s="2">
        <v>18565</v>
      </c>
      <c r="B18568" s="2" t="s">
        <v>18637</v>
      </c>
      <c r="C18568" s="2" t="str">
        <f>"01253395"</f>
        <v>01253395</v>
      </c>
      <c r="D18568" s="2">
        <v>0.16800000000000001</v>
      </c>
      <c r="E18568" s="2">
        <v>10</v>
      </c>
      <c r="F18568" s="2" t="s">
        <v>1966</v>
      </c>
    </row>
    <row r="18569" spans="1:6" ht="25.5">
      <c r="A18569" s="2">
        <v>18566</v>
      </c>
      <c r="B18569" s="2" t="s">
        <v>18638</v>
      </c>
      <c r="C18569" s="2" t="str">
        <f>"00381527"</f>
        <v>00381527</v>
      </c>
      <c r="D18569" s="2">
        <v>0.152</v>
      </c>
      <c r="E18569" s="2">
        <v>3</v>
      </c>
      <c r="F18569" s="2" t="s">
        <v>75</v>
      </c>
    </row>
    <row r="18570" spans="1:6" ht="25.5">
      <c r="A18570" s="2">
        <v>18567</v>
      </c>
      <c r="B18570" s="2" t="s">
        <v>18639</v>
      </c>
      <c r="C18570" s="2" t="str">
        <f>"16962281"</f>
        <v>16962281</v>
      </c>
      <c r="D18570" s="2">
        <v>0.29799999999999999</v>
      </c>
      <c r="E18570" s="2">
        <v>6</v>
      </c>
      <c r="F18570" s="2" t="s">
        <v>351</v>
      </c>
    </row>
    <row r="18571" spans="1:6" ht="25.5">
      <c r="A18571" s="2">
        <v>18568</v>
      </c>
      <c r="B18571" s="2" t="s">
        <v>18640</v>
      </c>
      <c r="C18571" s="2" t="str">
        <f>"01321625"</f>
        <v>01321625</v>
      </c>
      <c r="D18571" s="2">
        <v>0.1</v>
      </c>
      <c r="E18571" s="2">
        <v>2</v>
      </c>
      <c r="F18571" s="2" t="s">
        <v>129</v>
      </c>
    </row>
    <row r="18572" spans="1:6" ht="25.5">
      <c r="A18572" s="2">
        <v>18569</v>
      </c>
      <c r="B18572" s="2" t="s">
        <v>18641</v>
      </c>
      <c r="C18572" s="2" t="str">
        <f>"03711854"</f>
        <v>03711854</v>
      </c>
      <c r="D18572" s="2">
        <v>0.108</v>
      </c>
      <c r="E18572" s="2">
        <v>4</v>
      </c>
      <c r="F18572" s="2" t="s">
        <v>208</v>
      </c>
    </row>
    <row r="18573" spans="1:6" ht="25.5">
      <c r="A18573" s="2">
        <v>18570</v>
      </c>
      <c r="B18573" s="2" t="s">
        <v>18642</v>
      </c>
      <c r="C18573" s="2" t="str">
        <f>"15483843"</f>
        <v>15483843</v>
      </c>
      <c r="D18573" s="2">
        <v>0.108</v>
      </c>
      <c r="E18573" s="2">
        <v>1</v>
      </c>
      <c r="F18573" s="2" t="s">
        <v>16</v>
      </c>
    </row>
    <row r="18574" spans="1:6" ht="25.5">
      <c r="A18574" s="2">
        <v>18571</v>
      </c>
      <c r="B18574" s="2" t="s">
        <v>18643</v>
      </c>
      <c r="C18574" s="2" t="str">
        <f>"00381861"</f>
        <v>00381861</v>
      </c>
      <c r="D18574" s="2">
        <v>0.1</v>
      </c>
      <c r="E18574" s="2">
        <v>2</v>
      </c>
      <c r="F18574" s="2" t="s">
        <v>6</v>
      </c>
    </row>
    <row r="18575" spans="1:6" ht="25.5">
      <c r="A18575" s="2">
        <v>18572</v>
      </c>
      <c r="B18575" s="2" t="s">
        <v>18644</v>
      </c>
      <c r="C18575" s="2" t="str">
        <f>"17510473"</f>
        <v>17510473</v>
      </c>
      <c r="D18575" s="2">
        <v>0.66</v>
      </c>
      <c r="E18575" s="2">
        <v>10</v>
      </c>
      <c r="F18575" s="2" t="s">
        <v>16</v>
      </c>
    </row>
    <row r="18576" spans="1:6" ht="25.5">
      <c r="A18576" s="2">
        <v>18573</v>
      </c>
      <c r="B18576" s="2" t="s">
        <v>18645</v>
      </c>
      <c r="C18576" s="2" t="str">
        <f>"07374453"</f>
        <v>07374453</v>
      </c>
      <c r="D18576" s="2">
        <v>0.1</v>
      </c>
      <c r="E18576" s="2">
        <v>3</v>
      </c>
      <c r="F18576" s="2" t="s">
        <v>6</v>
      </c>
    </row>
    <row r="18577" spans="1:6" ht="25.5">
      <c r="A18577" s="2">
        <v>18574</v>
      </c>
      <c r="B18577" s="2" t="s">
        <v>18646</v>
      </c>
      <c r="C18577" s="2" t="str">
        <f>"00381969"</f>
        <v>00381969</v>
      </c>
      <c r="D18577" s="2">
        <v>0.51100000000000001</v>
      </c>
      <c r="E18577" s="2">
        <v>12</v>
      </c>
      <c r="F18577" s="2" t="s">
        <v>410</v>
      </c>
    </row>
    <row r="18578" spans="1:6" ht="25.5">
      <c r="A18578" s="2">
        <v>18575</v>
      </c>
      <c r="B18578" s="2" t="s">
        <v>18647</v>
      </c>
      <c r="C18578" s="2" t="str">
        <f>"1726426X"</f>
        <v>1726426X</v>
      </c>
      <c r="D18578" s="2">
        <v>0.16</v>
      </c>
      <c r="E18578" s="2">
        <v>7</v>
      </c>
      <c r="F18578" s="2" t="s">
        <v>410</v>
      </c>
    </row>
    <row r="18579" spans="1:6" ht="25.5">
      <c r="A18579" s="2">
        <v>18576</v>
      </c>
      <c r="B18579" s="2" t="s">
        <v>18648</v>
      </c>
      <c r="C18579" s="2" t="str">
        <f>"18121659"</f>
        <v>18121659</v>
      </c>
      <c r="D18579" s="2">
        <v>0.1</v>
      </c>
      <c r="E18579" s="2">
        <v>1</v>
      </c>
      <c r="F18579" s="2" t="s">
        <v>410</v>
      </c>
    </row>
    <row r="18580" spans="1:6" ht="25.5">
      <c r="A18580" s="2">
        <v>18577</v>
      </c>
      <c r="B18580" s="2" t="s">
        <v>18649</v>
      </c>
      <c r="C18580" s="2" t="str">
        <f>"02582473"</f>
        <v>02582473</v>
      </c>
      <c r="D18580" s="2">
        <v>0.23400000000000001</v>
      </c>
      <c r="E18580" s="2">
        <v>6</v>
      </c>
      <c r="F18580" s="2" t="s">
        <v>16</v>
      </c>
    </row>
    <row r="18581" spans="1:6" ht="25.5">
      <c r="A18581" s="2">
        <v>18578</v>
      </c>
      <c r="B18581" s="2" t="s">
        <v>18650</v>
      </c>
      <c r="C18581" s="2" t="str">
        <f>"03799069"</f>
        <v>03799069</v>
      </c>
      <c r="D18581" s="2">
        <v>0.124</v>
      </c>
      <c r="E18581" s="2">
        <v>3</v>
      </c>
      <c r="F18581" s="2" t="s">
        <v>410</v>
      </c>
    </row>
    <row r="18582" spans="1:6" ht="25.5">
      <c r="A18582" s="2">
        <v>18579</v>
      </c>
      <c r="B18582" s="2" t="s">
        <v>18651</v>
      </c>
      <c r="C18582" s="2" t="str">
        <f>"03751589"</f>
        <v>03751589</v>
      </c>
      <c r="D18582" s="2">
        <v>0.312</v>
      </c>
      <c r="E18582" s="2">
        <v>17</v>
      </c>
      <c r="F18582" s="2" t="s">
        <v>410</v>
      </c>
    </row>
    <row r="18583" spans="1:6" ht="25.5">
      <c r="A18583" s="2">
        <v>18580</v>
      </c>
      <c r="B18583" s="2" t="s">
        <v>18652</v>
      </c>
      <c r="C18583" s="2" t="str">
        <f>"02546299"</f>
        <v>02546299</v>
      </c>
      <c r="D18583" s="2">
        <v>0.54700000000000004</v>
      </c>
      <c r="E18583" s="2">
        <v>25</v>
      </c>
      <c r="F18583" s="2" t="s">
        <v>75</v>
      </c>
    </row>
    <row r="18584" spans="1:6" ht="25.5">
      <c r="A18584" s="2">
        <v>18581</v>
      </c>
      <c r="B18584" s="2" t="s">
        <v>18653</v>
      </c>
      <c r="C18584" s="2" t="str">
        <f>"03789098"</f>
        <v>03789098</v>
      </c>
      <c r="D18584" s="2">
        <v>0.23400000000000001</v>
      </c>
      <c r="E18584" s="2">
        <v>4</v>
      </c>
      <c r="F18584" s="2" t="s">
        <v>410</v>
      </c>
    </row>
    <row r="18585" spans="1:6" ht="25.5">
      <c r="A18585" s="2">
        <v>18582</v>
      </c>
      <c r="B18585" s="2" t="s">
        <v>18654</v>
      </c>
      <c r="C18585" s="2" t="str">
        <f>"03794350"</f>
        <v>03794350</v>
      </c>
      <c r="D18585" s="2">
        <v>0.19600000000000001</v>
      </c>
      <c r="E18585" s="2">
        <v>12</v>
      </c>
      <c r="F18585" s="2" t="s">
        <v>410</v>
      </c>
    </row>
    <row r="18586" spans="1:6" ht="25.5">
      <c r="A18586" s="2">
        <v>18583</v>
      </c>
      <c r="B18586" s="2" t="s">
        <v>18655</v>
      </c>
      <c r="C18586" s="2" t="str">
        <f>"10118578"</f>
        <v>10118578</v>
      </c>
      <c r="D18586" s="2">
        <v>0.151</v>
      </c>
      <c r="E18586" s="2">
        <v>7</v>
      </c>
      <c r="F18586" s="2" t="s">
        <v>410</v>
      </c>
    </row>
    <row r="18587" spans="1:6" ht="25.5">
      <c r="A18587" s="2">
        <v>18584</v>
      </c>
      <c r="B18587" s="2" t="s">
        <v>18656</v>
      </c>
      <c r="C18587" s="2" t="str">
        <f>"03798046"</f>
        <v>03798046</v>
      </c>
      <c r="D18587" s="2">
        <v>0.122</v>
      </c>
      <c r="E18587" s="2">
        <v>6</v>
      </c>
      <c r="F18587" s="2" t="s">
        <v>410</v>
      </c>
    </row>
    <row r="18588" spans="1:6" ht="25.5">
      <c r="A18588" s="2">
        <v>18585</v>
      </c>
      <c r="B18588" s="2" t="s">
        <v>18657</v>
      </c>
      <c r="C18588" s="2" t="str">
        <f>"10158812"</f>
        <v>10158812</v>
      </c>
      <c r="D18588" s="2">
        <v>0.159</v>
      </c>
      <c r="E18588" s="2">
        <v>4</v>
      </c>
      <c r="F18588" s="2" t="s">
        <v>410</v>
      </c>
    </row>
    <row r="18589" spans="1:6" ht="25.5">
      <c r="A18589" s="2">
        <v>18586</v>
      </c>
      <c r="B18589" s="2" t="s">
        <v>18658</v>
      </c>
      <c r="C18589" s="2" t="str">
        <f>"00382280"</f>
        <v>00382280</v>
      </c>
      <c r="D18589" s="2">
        <v>0.22800000000000001</v>
      </c>
      <c r="E18589" s="2">
        <v>15</v>
      </c>
      <c r="F18589" s="2" t="s">
        <v>16</v>
      </c>
    </row>
    <row r="18590" spans="1:6" ht="25.5">
      <c r="A18590" s="2">
        <v>18587</v>
      </c>
      <c r="B18590" s="2" t="s">
        <v>18659</v>
      </c>
      <c r="C18590" s="2" t="str">
        <f>"20763433"</f>
        <v>20763433</v>
      </c>
      <c r="D18590" s="2">
        <v>0.36799999999999999</v>
      </c>
      <c r="E18590" s="2">
        <v>6</v>
      </c>
      <c r="F18590" s="2" t="s">
        <v>410</v>
      </c>
    </row>
    <row r="18591" spans="1:6" ht="25.5">
      <c r="A18591" s="2">
        <v>18588</v>
      </c>
      <c r="B18591" s="2" t="s">
        <v>18660</v>
      </c>
      <c r="C18591" s="2" t="str">
        <f>"0253939X"</f>
        <v>0253939X</v>
      </c>
      <c r="D18591" s="2">
        <v>0.66</v>
      </c>
      <c r="E18591" s="2">
        <v>7</v>
      </c>
      <c r="F18591" s="2" t="s">
        <v>410</v>
      </c>
    </row>
    <row r="18592" spans="1:6" ht="25.5">
      <c r="A18592" s="2">
        <v>18589</v>
      </c>
      <c r="B18592" s="2" t="s">
        <v>18661</v>
      </c>
      <c r="C18592" s="2" t="str">
        <f>"10120750"</f>
        <v>10120750</v>
      </c>
      <c r="D18592" s="2">
        <v>0.46200000000000002</v>
      </c>
      <c r="E18592" s="2">
        <v>30</v>
      </c>
      <c r="F18592" s="2" t="s">
        <v>410</v>
      </c>
    </row>
    <row r="18593" spans="1:6" ht="25.5">
      <c r="A18593" s="2">
        <v>18590</v>
      </c>
      <c r="B18593" s="2" t="s">
        <v>18662</v>
      </c>
      <c r="C18593" s="2" t="str">
        <f>"10220461"</f>
        <v>10220461</v>
      </c>
      <c r="D18593" s="2">
        <v>0.10100000000000001</v>
      </c>
      <c r="E18593" s="2">
        <v>2</v>
      </c>
      <c r="F18593" s="2" t="s">
        <v>16</v>
      </c>
    </row>
    <row r="18594" spans="1:6" ht="25.5">
      <c r="A18594" s="2">
        <v>18591</v>
      </c>
      <c r="B18594" s="2" t="s">
        <v>18663</v>
      </c>
      <c r="C18594" s="2" t="str">
        <f>"00382329"</f>
        <v>00382329</v>
      </c>
      <c r="D18594" s="2">
        <v>0.11</v>
      </c>
      <c r="E18594" s="2">
        <v>3</v>
      </c>
      <c r="F18594" s="2" t="s">
        <v>410</v>
      </c>
    </row>
    <row r="18595" spans="1:6" ht="25.5">
      <c r="A18595" s="2">
        <v>18592</v>
      </c>
      <c r="B18595" s="2" t="s">
        <v>18664</v>
      </c>
      <c r="C18595" s="2" t="str">
        <f>"02571862"</f>
        <v>02571862</v>
      </c>
      <c r="D18595" s="2">
        <v>0.15</v>
      </c>
      <c r="E18595" s="2">
        <v>11</v>
      </c>
      <c r="F18595" s="2" t="s">
        <v>410</v>
      </c>
    </row>
    <row r="18596" spans="1:6" ht="25.5">
      <c r="A18596" s="2">
        <v>18593</v>
      </c>
      <c r="B18596" s="2" t="s">
        <v>18665</v>
      </c>
      <c r="C18596" s="2" t="str">
        <f>"16089685"</f>
        <v>16089685</v>
      </c>
      <c r="D18596" s="2">
        <v>0.13500000000000001</v>
      </c>
      <c r="E18596" s="2">
        <v>5</v>
      </c>
      <c r="F18596" s="2" t="s">
        <v>410</v>
      </c>
    </row>
    <row r="18597" spans="1:6" ht="25.5">
      <c r="A18597" s="2">
        <v>18594</v>
      </c>
      <c r="B18597" s="2" t="s">
        <v>18666</v>
      </c>
      <c r="C18597" s="2" t="str">
        <f>"00812463"</f>
        <v>00812463</v>
      </c>
      <c r="D18597" s="2">
        <v>0.23699999999999999</v>
      </c>
      <c r="E18597" s="2">
        <v>17</v>
      </c>
      <c r="F18597" s="2" t="s">
        <v>410</v>
      </c>
    </row>
    <row r="18598" spans="1:6" ht="25.5">
      <c r="A18598" s="2">
        <v>18595</v>
      </c>
      <c r="B18598" s="2" t="s">
        <v>18667</v>
      </c>
      <c r="C18598" s="2" t="str">
        <f>"03708462"</f>
        <v>03708462</v>
      </c>
      <c r="D18598" s="2">
        <v>0.19600000000000001</v>
      </c>
      <c r="E18598" s="2">
        <v>36</v>
      </c>
      <c r="F18598" s="2" t="s">
        <v>410</v>
      </c>
    </row>
    <row r="18599" spans="1:6" ht="25.5">
      <c r="A18599" s="2">
        <v>18596</v>
      </c>
      <c r="B18599" s="2" t="s">
        <v>18668</v>
      </c>
      <c r="C18599" s="2" t="str">
        <f>"00382361"</f>
        <v>00382361</v>
      </c>
      <c r="D18599" s="2">
        <v>0.186</v>
      </c>
      <c r="E18599" s="2">
        <v>15</v>
      </c>
      <c r="F18599" s="2" t="s">
        <v>410</v>
      </c>
    </row>
    <row r="18600" spans="1:6" ht="25.5">
      <c r="A18600" s="2">
        <v>18597</v>
      </c>
      <c r="B18600" s="2" t="s">
        <v>18669</v>
      </c>
      <c r="C18600" s="2" t="str">
        <f>"03794369"</f>
        <v>03794369</v>
      </c>
      <c r="D18600" s="2">
        <v>0.29099999999999998</v>
      </c>
      <c r="E18600" s="2">
        <v>18</v>
      </c>
      <c r="F18600" s="2" t="s">
        <v>37</v>
      </c>
    </row>
    <row r="18601" spans="1:6" ht="25.5">
      <c r="A18601" s="2">
        <v>18598</v>
      </c>
      <c r="B18601" s="2" t="s">
        <v>18670</v>
      </c>
      <c r="C18601" s="2" t="str">
        <f>"00382469"</f>
        <v>00382469</v>
      </c>
      <c r="D18601" s="2">
        <v>0.44800000000000001</v>
      </c>
      <c r="E18601" s="2">
        <v>36</v>
      </c>
      <c r="F18601" s="2" t="s">
        <v>410</v>
      </c>
    </row>
    <row r="18602" spans="1:6" ht="25.5">
      <c r="A18602" s="2">
        <v>18599</v>
      </c>
      <c r="B18602" s="2" t="s">
        <v>18671</v>
      </c>
      <c r="C18602" s="2" t="str">
        <f>"0038271X"</f>
        <v>0038271X</v>
      </c>
      <c r="D18602" s="2">
        <v>0.10100000000000001</v>
      </c>
      <c r="E18602" s="2">
        <v>6</v>
      </c>
      <c r="F18602" s="2" t="s">
        <v>410</v>
      </c>
    </row>
    <row r="18603" spans="1:6" ht="25.5">
      <c r="A18603" s="2">
        <v>18600</v>
      </c>
      <c r="B18603" s="2" t="s">
        <v>18672</v>
      </c>
      <c r="C18603" s="2" t="str">
        <f>"13915614"</f>
        <v>13915614</v>
      </c>
      <c r="D18603" s="2">
        <v>0.107</v>
      </c>
      <c r="E18603" s="2">
        <v>3</v>
      </c>
      <c r="F18603" s="2" t="s">
        <v>488</v>
      </c>
    </row>
    <row r="18604" spans="1:6" ht="25.5">
      <c r="A18604" s="2">
        <v>18601</v>
      </c>
      <c r="B18604" s="2" t="s">
        <v>18673</v>
      </c>
      <c r="C18604" s="2" t="str">
        <f>"14790270"</f>
        <v>14790270</v>
      </c>
      <c r="D18604" s="2">
        <v>0.14299999999999999</v>
      </c>
      <c r="E18604" s="2">
        <v>5</v>
      </c>
      <c r="F18604" s="2" t="s">
        <v>16</v>
      </c>
    </row>
    <row r="18605" spans="1:6" ht="25.5">
      <c r="A18605" s="2">
        <v>18602</v>
      </c>
      <c r="B18605" s="2" t="s">
        <v>18674</v>
      </c>
      <c r="C18605" s="2" t="str">
        <f>"19438192"</f>
        <v>19438192</v>
      </c>
      <c r="D18605" s="2">
        <v>0.123</v>
      </c>
      <c r="E18605" s="2">
        <v>3</v>
      </c>
      <c r="F18605" s="2" t="s">
        <v>16</v>
      </c>
    </row>
    <row r="18606" spans="1:6" ht="25.5">
      <c r="A18606" s="2">
        <v>18603</v>
      </c>
      <c r="B18606" s="2" t="s">
        <v>18675</v>
      </c>
      <c r="C18606" s="2" t="str">
        <f>"19472501"</f>
        <v>19472501</v>
      </c>
      <c r="D18606" s="2">
        <v>0.23599999999999999</v>
      </c>
      <c r="E18606" s="2">
        <v>2</v>
      </c>
      <c r="F18606" s="2" t="s">
        <v>16</v>
      </c>
    </row>
    <row r="18607" spans="1:6" ht="25.5">
      <c r="A18607" s="2">
        <v>18604</v>
      </c>
      <c r="B18607" s="2" t="s">
        <v>18676</v>
      </c>
      <c r="C18607" s="2" t="str">
        <f>"14746697"</f>
        <v>14746697</v>
      </c>
      <c r="D18607" s="2">
        <v>0.104</v>
      </c>
      <c r="E18607" s="2">
        <v>2</v>
      </c>
      <c r="F18607" s="2" t="s">
        <v>16</v>
      </c>
    </row>
    <row r="18608" spans="1:6" ht="25.5">
      <c r="A18608" s="2">
        <v>18605</v>
      </c>
      <c r="B18608" s="2" t="s">
        <v>18677</v>
      </c>
      <c r="C18608" s="2" t="str">
        <f>"02627280"</f>
        <v>02627280</v>
      </c>
      <c r="D18608" s="2">
        <v>0.23499999999999999</v>
      </c>
      <c r="E18608" s="2">
        <v>5</v>
      </c>
      <c r="F18608" s="2" t="s">
        <v>488</v>
      </c>
    </row>
    <row r="18609" spans="1:6" ht="25.5">
      <c r="A18609" s="2">
        <v>18606</v>
      </c>
      <c r="B18609" s="2" t="s">
        <v>18678</v>
      </c>
      <c r="C18609" s="2" t="str">
        <f>"00382876"</f>
        <v>00382876</v>
      </c>
      <c r="D18609" s="2">
        <v>0.28299999999999997</v>
      </c>
      <c r="E18609" s="2">
        <v>15</v>
      </c>
      <c r="F18609" s="2" t="s">
        <v>6</v>
      </c>
    </row>
    <row r="18610" spans="1:6" ht="25.5">
      <c r="A18610" s="2">
        <v>18607</v>
      </c>
      <c r="B18610" s="2" t="s">
        <v>18679</v>
      </c>
      <c r="C18610" s="2" t="str">
        <f>"00382973"</f>
        <v>00382973</v>
      </c>
      <c r="D18610" s="2">
        <v>0.24</v>
      </c>
      <c r="E18610" s="2">
        <v>2</v>
      </c>
      <c r="F18610" s="2" t="s">
        <v>127</v>
      </c>
    </row>
    <row r="18611" spans="1:6" ht="25.5">
      <c r="A18611" s="2">
        <v>18608</v>
      </c>
      <c r="B18611" s="2" t="s">
        <v>18680</v>
      </c>
      <c r="C18611" s="2" t="str">
        <f>"10467394"</f>
        <v>10467394</v>
      </c>
      <c r="D18611" s="2">
        <v>0.10100000000000001</v>
      </c>
      <c r="E18611" s="2">
        <v>2</v>
      </c>
      <c r="F18611" s="2" t="s">
        <v>6</v>
      </c>
    </row>
    <row r="18612" spans="1:6" ht="25.5">
      <c r="A18612" s="2">
        <v>18609</v>
      </c>
      <c r="B18612" s="2" t="s">
        <v>18681</v>
      </c>
      <c r="C18612" s="2" t="str">
        <f>"15493377"</f>
        <v>15493377</v>
      </c>
      <c r="D18612" s="2">
        <v>0.10199999999999999</v>
      </c>
      <c r="E18612" s="2">
        <v>0</v>
      </c>
      <c r="F18612" s="2" t="s">
        <v>6</v>
      </c>
    </row>
    <row r="18613" spans="1:6" ht="25.5">
      <c r="A18613" s="2">
        <v>18610</v>
      </c>
      <c r="B18613" s="2" t="s">
        <v>18682</v>
      </c>
      <c r="C18613" s="2" t="str">
        <f>"00383317"</f>
        <v>00383317</v>
      </c>
      <c r="D18613" s="2">
        <v>0.124</v>
      </c>
      <c r="E18613" s="2">
        <v>11</v>
      </c>
      <c r="F18613" s="2" t="s">
        <v>6</v>
      </c>
    </row>
    <row r="18614" spans="1:6" ht="25.5">
      <c r="A18614" s="2">
        <v>18611</v>
      </c>
      <c r="B18614" s="2" t="s">
        <v>18683</v>
      </c>
      <c r="C18614" s="2" t="str">
        <f>"00383368"</f>
        <v>00383368</v>
      </c>
      <c r="D18614" s="2">
        <v>0.1</v>
      </c>
      <c r="E18614" s="2">
        <v>0</v>
      </c>
      <c r="F18614" s="2" t="s">
        <v>6</v>
      </c>
    </row>
    <row r="18615" spans="1:6" ht="25.5">
      <c r="A18615" s="2">
        <v>18612</v>
      </c>
      <c r="B18615" s="2" t="s">
        <v>18684</v>
      </c>
      <c r="C18615" s="2" t="str">
        <f>"01251562"</f>
        <v>01251562</v>
      </c>
      <c r="D18615" s="2">
        <v>0.33300000000000002</v>
      </c>
      <c r="E18615" s="2">
        <v>30</v>
      </c>
      <c r="F18615" s="2" t="s">
        <v>1966</v>
      </c>
    </row>
    <row r="18616" spans="1:6" ht="25.5">
      <c r="A18616" s="2">
        <v>18613</v>
      </c>
      <c r="B18616" s="2" t="s">
        <v>18685</v>
      </c>
      <c r="C18616" s="2" t="str">
        <f>"05638682"</f>
        <v>05638682</v>
      </c>
      <c r="D18616" s="2">
        <v>0.14000000000000001</v>
      </c>
      <c r="E18616" s="2">
        <v>7</v>
      </c>
      <c r="F18616" s="2" t="s">
        <v>131</v>
      </c>
    </row>
    <row r="18617" spans="1:6" ht="25.5">
      <c r="A18617" s="2">
        <v>18614</v>
      </c>
      <c r="B18617" s="2" t="s">
        <v>18686</v>
      </c>
      <c r="C18617" s="2" t="str">
        <f>"0967828X"</f>
        <v>0967828X</v>
      </c>
      <c r="D18617" s="2">
        <v>0.13400000000000001</v>
      </c>
      <c r="E18617" s="2">
        <v>8</v>
      </c>
      <c r="F18617" s="2" t="s">
        <v>16</v>
      </c>
    </row>
    <row r="18618" spans="1:6" ht="25.5">
      <c r="A18618" s="2">
        <v>18615</v>
      </c>
      <c r="B18618" s="2" t="s">
        <v>18687</v>
      </c>
      <c r="C18618" s="2" t="str">
        <f>"0734578X"</f>
        <v>0734578X</v>
      </c>
      <c r="D18618" s="2">
        <v>0.28799999999999998</v>
      </c>
      <c r="E18618" s="2">
        <v>11</v>
      </c>
      <c r="F18618" s="2" t="s">
        <v>6</v>
      </c>
    </row>
    <row r="18619" spans="1:6" ht="25.5">
      <c r="A18619" s="2">
        <v>18616</v>
      </c>
      <c r="B18619" s="2" t="s">
        <v>18688</v>
      </c>
      <c r="C18619" s="2" t="str">
        <f>"00944467"</f>
        <v>00944467</v>
      </c>
      <c r="D18619" s="2">
        <v>0.14399999999999999</v>
      </c>
      <c r="E18619" s="2">
        <v>1</v>
      </c>
      <c r="F18619" s="2" t="s">
        <v>75</v>
      </c>
    </row>
    <row r="18620" spans="1:6" ht="25.5">
      <c r="A18620" s="2">
        <v>18617</v>
      </c>
      <c r="B18620" s="2" t="s">
        <v>18689</v>
      </c>
      <c r="C18620" s="2" t="str">
        <f>"15496929"</f>
        <v>15496929</v>
      </c>
      <c r="D18620" s="2">
        <v>0.16800000000000001</v>
      </c>
      <c r="E18620" s="2">
        <v>9</v>
      </c>
      <c r="F18620" s="2" t="s">
        <v>6</v>
      </c>
    </row>
    <row r="18621" spans="1:6" ht="25.5">
      <c r="A18621" s="2">
        <v>18618</v>
      </c>
      <c r="B18621" s="2" t="s">
        <v>18690</v>
      </c>
      <c r="C18621" s="2" t="str">
        <f>"00383678"</f>
        <v>00383678</v>
      </c>
      <c r="D18621" s="2">
        <v>0.11600000000000001</v>
      </c>
      <c r="E18621" s="2">
        <v>10</v>
      </c>
      <c r="F18621" s="2" t="s">
        <v>6</v>
      </c>
    </row>
    <row r="18622" spans="1:6" ht="25.5">
      <c r="A18622" s="2">
        <v>18619</v>
      </c>
      <c r="B18622" s="2" t="s">
        <v>18691</v>
      </c>
      <c r="C18622" s="2" t="str">
        <f>"15287092"</f>
        <v>15287092</v>
      </c>
      <c r="D18622" s="2">
        <v>0.249</v>
      </c>
      <c r="E18622" s="2">
        <v>14</v>
      </c>
      <c r="F18622" s="2" t="s">
        <v>6</v>
      </c>
    </row>
    <row r="18623" spans="1:6" ht="25.5">
      <c r="A18623" s="2">
        <v>18620</v>
      </c>
      <c r="B18623" s="2" t="s">
        <v>18692</v>
      </c>
      <c r="C18623" s="2" t="str">
        <f>"1840118X"</f>
        <v>1840118X</v>
      </c>
      <c r="D18623" s="2">
        <v>0.123</v>
      </c>
      <c r="E18623" s="2">
        <v>1</v>
      </c>
      <c r="F18623" s="2" t="s">
        <v>271</v>
      </c>
    </row>
    <row r="18624" spans="1:6" ht="25.5">
      <c r="A18624" s="2">
        <v>18621</v>
      </c>
      <c r="B18624" s="2" t="s">
        <v>18693</v>
      </c>
      <c r="C18624" s="2" t="str">
        <f>"03736245"</f>
        <v>03736245</v>
      </c>
      <c r="D18624" s="2">
        <v>0.29799999999999999</v>
      </c>
      <c r="E18624" s="2">
        <v>12</v>
      </c>
      <c r="F18624" s="2" t="s">
        <v>16</v>
      </c>
    </row>
    <row r="18625" spans="1:6" ht="25.5">
      <c r="A18625" s="2">
        <v>18622</v>
      </c>
      <c r="B18625" s="2" t="s">
        <v>18694</v>
      </c>
      <c r="C18625" s="2" t="str">
        <f>"16815564"</f>
        <v>16815564</v>
      </c>
      <c r="D18625" s="2">
        <v>0.28299999999999997</v>
      </c>
      <c r="E18625" s="2">
        <v>6</v>
      </c>
      <c r="F18625" s="2" t="s">
        <v>410</v>
      </c>
    </row>
    <row r="18626" spans="1:6" ht="25.5">
      <c r="A18626" s="2">
        <v>18623</v>
      </c>
      <c r="B18626" s="2" t="s">
        <v>18695</v>
      </c>
      <c r="C18626" s="2" t="str">
        <f>"10279148"</f>
        <v>10279148</v>
      </c>
      <c r="D18626" s="2">
        <v>0.104</v>
      </c>
      <c r="E18626" s="2">
        <v>2</v>
      </c>
      <c r="F18626" s="2" t="s">
        <v>410</v>
      </c>
    </row>
    <row r="18627" spans="1:6" ht="25.5">
      <c r="A18627" s="2">
        <v>18624</v>
      </c>
      <c r="B18627" s="2" t="s">
        <v>18696</v>
      </c>
      <c r="C18627" s="2" t="str">
        <f>"15628264"</f>
        <v>15628264</v>
      </c>
      <c r="D18627" s="2">
        <v>0.113</v>
      </c>
      <c r="E18627" s="2">
        <v>3</v>
      </c>
      <c r="F18627" s="2" t="s">
        <v>410</v>
      </c>
    </row>
    <row r="18628" spans="1:6" ht="25.5">
      <c r="A18628" s="2">
        <v>18625</v>
      </c>
      <c r="B18628" s="2" t="s">
        <v>18697</v>
      </c>
      <c r="C18628" s="2" t="str">
        <f>"16089693"</f>
        <v>16089693</v>
      </c>
      <c r="D18628" s="2">
        <v>0.25</v>
      </c>
      <c r="E18628" s="2">
        <v>6</v>
      </c>
      <c r="F18628" s="2" t="s">
        <v>410</v>
      </c>
    </row>
    <row r="18629" spans="1:6" ht="25.5">
      <c r="A18629" s="2">
        <v>18626</v>
      </c>
      <c r="B18629" s="2" t="s">
        <v>18698</v>
      </c>
      <c r="C18629" s="2" t="str">
        <f>"16073614"</f>
        <v>16073614</v>
      </c>
      <c r="D18629" s="2">
        <v>0.127</v>
      </c>
      <c r="E18629" s="2">
        <v>6</v>
      </c>
      <c r="F18629" s="2" t="s">
        <v>16</v>
      </c>
    </row>
    <row r="18630" spans="1:6" ht="25.5">
      <c r="A18630" s="2">
        <v>18627</v>
      </c>
      <c r="B18630" s="2" t="s">
        <v>18699</v>
      </c>
      <c r="C18630" s="2" t="str">
        <f>"00383910"</f>
        <v>00383910</v>
      </c>
      <c r="D18630" s="2">
        <v>0.61699999999999999</v>
      </c>
      <c r="E18630" s="2">
        <v>16</v>
      </c>
      <c r="F18630" s="2" t="s">
        <v>6</v>
      </c>
    </row>
    <row r="18631" spans="1:6" ht="25.5">
      <c r="A18631" s="2">
        <v>18628</v>
      </c>
      <c r="B18631" s="2" t="s">
        <v>18700</v>
      </c>
      <c r="C18631" s="2" t="str">
        <f>"1041794X"</f>
        <v>1041794X</v>
      </c>
      <c r="D18631" s="2">
        <v>0.27300000000000002</v>
      </c>
      <c r="E18631" s="2">
        <v>3</v>
      </c>
      <c r="F18631" s="2" t="s">
        <v>16</v>
      </c>
    </row>
    <row r="18632" spans="1:6" ht="25.5">
      <c r="A18632" s="2">
        <v>18629</v>
      </c>
      <c r="B18632" s="2" t="s">
        <v>18701</v>
      </c>
      <c r="C18632" s="2" t="str">
        <f>"10688218"</f>
        <v>10688218</v>
      </c>
      <c r="D18632" s="2">
        <v>0.13300000000000001</v>
      </c>
      <c r="E18632" s="2">
        <v>4</v>
      </c>
      <c r="F18632" s="2" t="s">
        <v>6</v>
      </c>
    </row>
    <row r="18633" spans="1:6" ht="25.5">
      <c r="A18633" s="2">
        <v>18630</v>
      </c>
      <c r="B18633" s="2" t="s">
        <v>18702</v>
      </c>
      <c r="C18633" s="2" t="str">
        <f>"00384038"</f>
        <v>00384038</v>
      </c>
      <c r="D18633" s="2">
        <v>0.59699999999999998</v>
      </c>
      <c r="E18633" s="2">
        <v>29</v>
      </c>
      <c r="F18633" s="2" t="s">
        <v>6</v>
      </c>
    </row>
    <row r="18634" spans="1:6" ht="25.5">
      <c r="A18634" s="2">
        <v>18631</v>
      </c>
      <c r="B18634" s="2" t="s">
        <v>18703</v>
      </c>
      <c r="C18634" s="2" t="str">
        <f>"20702639"</f>
        <v>20702639</v>
      </c>
      <c r="D18634" s="2">
        <v>0.189</v>
      </c>
      <c r="E18634" s="2">
        <v>12</v>
      </c>
      <c r="F18634" s="2" t="s">
        <v>410</v>
      </c>
    </row>
    <row r="18635" spans="1:6" ht="25.5">
      <c r="A18635" s="2">
        <v>18632</v>
      </c>
      <c r="B18635" s="2" t="s">
        <v>18704</v>
      </c>
      <c r="C18635" s="2" t="str">
        <f>"00384186"</f>
        <v>00384186</v>
      </c>
      <c r="D18635" s="2">
        <v>0.10100000000000001</v>
      </c>
      <c r="E18635" s="2">
        <v>1</v>
      </c>
      <c r="F18635" s="2" t="s">
        <v>6</v>
      </c>
    </row>
    <row r="18636" spans="1:6">
      <c r="A18636" s="2">
        <v>18633</v>
      </c>
      <c r="B18636" s="2" t="s">
        <v>18705</v>
      </c>
      <c r="C18636" s="2" t="str">
        <f>"0"</f>
        <v>0</v>
      </c>
      <c r="D18636" s="2">
        <v>0</v>
      </c>
      <c r="E18636" s="2">
        <v>0</v>
      </c>
      <c r="F18636" s="2" t="s">
        <v>6</v>
      </c>
    </row>
    <row r="18637" spans="1:6" ht="25.5">
      <c r="A18637" s="2">
        <v>18634</v>
      </c>
      <c r="B18637" s="2" t="s">
        <v>18706</v>
      </c>
      <c r="C18637" s="2" t="str">
        <f>"01484419"</f>
        <v>01484419</v>
      </c>
      <c r="D18637" s="2">
        <v>0.58599999999999997</v>
      </c>
      <c r="E18637" s="2">
        <v>21</v>
      </c>
      <c r="F18637" s="2" t="s">
        <v>6</v>
      </c>
    </row>
    <row r="18638" spans="1:6" ht="25.5">
      <c r="A18638" s="2">
        <v>18635</v>
      </c>
      <c r="B18638" s="2" t="s">
        <v>18707</v>
      </c>
      <c r="C18638" s="2" t="str">
        <f>"00384283"</f>
        <v>00384283</v>
      </c>
      <c r="D18638" s="2">
        <v>0.14199999999999999</v>
      </c>
      <c r="E18638" s="2">
        <v>6</v>
      </c>
      <c r="F18638" s="2" t="s">
        <v>6</v>
      </c>
    </row>
    <row r="18639" spans="1:6" ht="25.5">
      <c r="A18639" s="2">
        <v>18636</v>
      </c>
      <c r="B18639" s="2" t="s">
        <v>18708</v>
      </c>
      <c r="C18639" s="2" t="str">
        <f>"00384291"</f>
        <v>00384291</v>
      </c>
      <c r="D18639" s="2">
        <v>0.1</v>
      </c>
      <c r="E18639" s="2">
        <v>2</v>
      </c>
      <c r="F18639" s="2" t="s">
        <v>6</v>
      </c>
    </row>
    <row r="18640" spans="1:6" ht="25.5">
      <c r="A18640" s="2">
        <v>18637</v>
      </c>
      <c r="B18640" s="2" t="s">
        <v>18709</v>
      </c>
      <c r="C18640" s="2" t="str">
        <f>"15418243"</f>
        <v>15418243</v>
      </c>
      <c r="D18640" s="2">
        <v>0.34499999999999997</v>
      </c>
      <c r="E18640" s="2">
        <v>49</v>
      </c>
      <c r="F18640" s="2" t="s">
        <v>6</v>
      </c>
    </row>
    <row r="18641" spans="1:6" ht="25.5">
      <c r="A18641" s="2">
        <v>18638</v>
      </c>
      <c r="B18641" s="2" t="s">
        <v>18710</v>
      </c>
      <c r="C18641" s="2" t="str">
        <f>"11742704"</f>
        <v>11742704</v>
      </c>
      <c r="D18641" s="2">
        <v>0.17699999999999999</v>
      </c>
      <c r="E18641" s="2">
        <v>2</v>
      </c>
      <c r="F18641" s="2" t="s">
        <v>503</v>
      </c>
    </row>
    <row r="18642" spans="1:6" ht="25.5">
      <c r="A18642" s="2">
        <v>18639</v>
      </c>
      <c r="B18642" s="2" t="s">
        <v>18711</v>
      </c>
      <c r="C18642" s="2" t="str">
        <f>"0"</f>
        <v>0</v>
      </c>
      <c r="D18642" s="2">
        <v>0</v>
      </c>
      <c r="E18642" s="2">
        <v>0</v>
      </c>
      <c r="F18642" s="2" t="s">
        <v>6</v>
      </c>
    </row>
    <row r="18643" spans="1:6" ht="25.5">
      <c r="A18643" s="2">
        <v>18640</v>
      </c>
      <c r="B18643" s="2" t="s">
        <v>18712</v>
      </c>
      <c r="C18643" s="2" t="str">
        <f>"13608746"</f>
        <v>13608746</v>
      </c>
      <c r="D18643" s="2">
        <v>0.56399999999999995</v>
      </c>
      <c r="E18643" s="2">
        <v>14</v>
      </c>
      <c r="F18643" s="2" t="s">
        <v>16</v>
      </c>
    </row>
    <row r="18644" spans="1:6" ht="25.5">
      <c r="A18644" s="2">
        <v>18641</v>
      </c>
      <c r="B18644" s="2" t="s">
        <v>18713</v>
      </c>
      <c r="C18644" s="2" t="str">
        <f>"01471724"</f>
        <v>01471724</v>
      </c>
      <c r="D18644" s="2">
        <v>0.311</v>
      </c>
      <c r="E18644" s="2">
        <v>16</v>
      </c>
      <c r="F18644" s="2" t="s">
        <v>6</v>
      </c>
    </row>
    <row r="18645" spans="1:6" ht="25.5">
      <c r="A18645" s="2">
        <v>18642</v>
      </c>
      <c r="B18645" s="2" t="s">
        <v>18714</v>
      </c>
      <c r="C18645" s="2" t="str">
        <f>"15589560"</f>
        <v>15589560</v>
      </c>
      <c r="D18645" s="2">
        <v>0.111</v>
      </c>
      <c r="E18645" s="2">
        <v>2</v>
      </c>
      <c r="F18645" s="2" t="s">
        <v>6</v>
      </c>
    </row>
    <row r="18646" spans="1:6" ht="25.5">
      <c r="A18646" s="2">
        <v>18643</v>
      </c>
      <c r="B18646" s="2" t="s">
        <v>18715</v>
      </c>
      <c r="C18646" s="2" t="str">
        <f>"00384909"</f>
        <v>00384909</v>
      </c>
      <c r="D18646" s="2">
        <v>0.19</v>
      </c>
      <c r="E18646" s="2">
        <v>18</v>
      </c>
      <c r="F18646" s="2" t="s">
        <v>6</v>
      </c>
    </row>
    <row r="18647" spans="1:6" ht="25.5">
      <c r="A18647" s="2">
        <v>18644</v>
      </c>
      <c r="B18647" s="2" t="s">
        <v>18716</v>
      </c>
      <c r="C18647" s="2" t="str">
        <f>"10751262"</f>
        <v>10751262</v>
      </c>
      <c r="D18647" s="2">
        <v>0.10100000000000001</v>
      </c>
      <c r="E18647" s="2">
        <v>2</v>
      </c>
      <c r="F18647" s="2" t="s">
        <v>75</v>
      </c>
    </row>
    <row r="18648" spans="1:6" ht="25.5">
      <c r="A18648" s="2">
        <v>18645</v>
      </c>
      <c r="B18648" s="2" t="s">
        <v>18717</v>
      </c>
      <c r="C18648" s="2" t="str">
        <f>"20764243"</f>
        <v>20764243</v>
      </c>
      <c r="D18648" s="2">
        <v>0.185</v>
      </c>
      <c r="E18648" s="2">
        <v>2</v>
      </c>
      <c r="F18648" s="2" t="s">
        <v>129</v>
      </c>
    </row>
    <row r="18649" spans="1:6" ht="25.5">
      <c r="A18649" s="2">
        <v>18646</v>
      </c>
      <c r="B18649" s="2" t="s">
        <v>18718</v>
      </c>
      <c r="C18649" s="2" t="str">
        <f>"00386073"</f>
        <v>00386073</v>
      </c>
      <c r="D18649" s="2">
        <v>0.14299999999999999</v>
      </c>
      <c r="E18649" s="2">
        <v>9</v>
      </c>
      <c r="F18649" s="2" t="s">
        <v>12</v>
      </c>
    </row>
    <row r="18650" spans="1:6" ht="25.5">
      <c r="A18650" s="2">
        <v>18647</v>
      </c>
      <c r="B18650" s="2" t="s">
        <v>18719</v>
      </c>
      <c r="C18650" s="2" t="str">
        <f>"12282472"</f>
        <v>12282472</v>
      </c>
      <c r="D18650" s="2">
        <v>0.1</v>
      </c>
      <c r="E18650" s="2">
        <v>1</v>
      </c>
      <c r="F18650" s="2" t="s">
        <v>274</v>
      </c>
    </row>
    <row r="18651" spans="1:6" ht="25.5">
      <c r="A18651" s="2">
        <v>18648</v>
      </c>
      <c r="B18651" s="2" t="s">
        <v>18720</v>
      </c>
      <c r="C18651" s="2" t="str">
        <f>"12063312"</f>
        <v>12063312</v>
      </c>
      <c r="D18651" s="2">
        <v>0.51100000000000001</v>
      </c>
      <c r="E18651" s="2">
        <v>13</v>
      </c>
      <c r="F18651" s="2" t="s">
        <v>6</v>
      </c>
    </row>
    <row r="18652" spans="1:6" ht="25.5">
      <c r="A18652" s="2">
        <v>18649</v>
      </c>
      <c r="B18652" s="2" t="s">
        <v>18721</v>
      </c>
      <c r="C18652" s="2" t="str">
        <f>"14701235"</f>
        <v>14701235</v>
      </c>
      <c r="D18652" s="2">
        <v>0.47499999999999998</v>
      </c>
      <c r="E18652" s="2">
        <v>17</v>
      </c>
      <c r="F18652" s="2" t="s">
        <v>16</v>
      </c>
    </row>
    <row r="18653" spans="1:6" ht="25.5">
      <c r="A18653" s="2">
        <v>18650</v>
      </c>
      <c r="B18653" s="2" t="s">
        <v>18722</v>
      </c>
      <c r="C18653" s="2" t="str">
        <f>"02659646"</f>
        <v>02659646</v>
      </c>
      <c r="D18653" s="2">
        <v>0.27100000000000002</v>
      </c>
      <c r="E18653" s="2">
        <v>12</v>
      </c>
      <c r="F18653" s="2" t="s">
        <v>75</v>
      </c>
    </row>
    <row r="18654" spans="1:6" ht="25.5">
      <c r="A18654" s="2">
        <v>18651</v>
      </c>
      <c r="B18654" s="2" t="s">
        <v>18723</v>
      </c>
      <c r="C18654" s="2" t="str">
        <f>"18193382"</f>
        <v>18193382</v>
      </c>
      <c r="D18654" s="2">
        <v>0.13</v>
      </c>
      <c r="E18654" s="2">
        <v>1</v>
      </c>
      <c r="F18654" s="2" t="s">
        <v>6</v>
      </c>
    </row>
    <row r="18655" spans="1:6" ht="25.5">
      <c r="A18655" s="2">
        <v>18652</v>
      </c>
      <c r="B18655" s="2" t="s">
        <v>18724</v>
      </c>
      <c r="C18655" s="2" t="str">
        <f>"17529298"</f>
        <v>17529298</v>
      </c>
      <c r="D18655" s="2">
        <v>0</v>
      </c>
      <c r="E18655" s="2">
        <v>2</v>
      </c>
      <c r="F18655" s="2" t="s">
        <v>75</v>
      </c>
    </row>
    <row r="18656" spans="1:6" ht="25.5">
      <c r="A18656" s="2">
        <v>18653</v>
      </c>
      <c r="B18656" s="2" t="s">
        <v>18725</v>
      </c>
      <c r="C18656" s="2" t="str">
        <f>"15729672"</f>
        <v>15729672</v>
      </c>
      <c r="D18656" s="2">
        <v>2.3319999999999999</v>
      </c>
      <c r="E18656" s="2">
        <v>83</v>
      </c>
      <c r="F18656" s="2" t="s">
        <v>75</v>
      </c>
    </row>
    <row r="18657" spans="1:6" ht="25.5">
      <c r="A18657" s="2">
        <v>18654</v>
      </c>
      <c r="B18657" s="2" t="s">
        <v>18726</v>
      </c>
      <c r="C18657" s="2" t="str">
        <f>"15427390"</f>
        <v>15427390</v>
      </c>
      <c r="D18657" s="2">
        <v>0.496</v>
      </c>
      <c r="E18657" s="2">
        <v>16</v>
      </c>
      <c r="F18657" s="2" t="s">
        <v>6</v>
      </c>
    </row>
    <row r="18658" spans="1:6" ht="25.5">
      <c r="A18658" s="2">
        <v>18655</v>
      </c>
      <c r="B18658" s="2" t="s">
        <v>18727</v>
      </c>
      <c r="C18658" s="2" t="str">
        <f>"15710718"</f>
        <v>15710718</v>
      </c>
      <c r="D18658" s="2">
        <v>0.17499999999999999</v>
      </c>
      <c r="E18658" s="2">
        <v>6</v>
      </c>
      <c r="F18658" s="2" t="s">
        <v>75</v>
      </c>
    </row>
    <row r="18659" spans="1:6" ht="25.5">
      <c r="A18659" s="2">
        <v>18656</v>
      </c>
      <c r="B18659" s="2" t="s">
        <v>18728</v>
      </c>
      <c r="C18659" s="2" t="str">
        <f>"1695971X"</f>
        <v>1695971X</v>
      </c>
      <c r="D18659" s="2">
        <v>0.32400000000000001</v>
      </c>
      <c r="E18659" s="2">
        <v>11</v>
      </c>
      <c r="F18659" s="2" t="s">
        <v>351</v>
      </c>
    </row>
    <row r="18660" spans="1:6" ht="25.5">
      <c r="A18660" s="2">
        <v>18657</v>
      </c>
      <c r="B18660" s="2" t="s">
        <v>18729</v>
      </c>
      <c r="C18660" s="2" t="str">
        <f>"11387416"</f>
        <v>11387416</v>
      </c>
      <c r="D18660" s="2">
        <v>0.42099999999999999</v>
      </c>
      <c r="E18660" s="2">
        <v>17</v>
      </c>
      <c r="F18660" s="2" t="s">
        <v>351</v>
      </c>
    </row>
    <row r="18661" spans="1:6" ht="25.5">
      <c r="A18661" s="2">
        <v>18658</v>
      </c>
      <c r="B18661" s="2" t="s">
        <v>18730</v>
      </c>
      <c r="C18661" s="2" t="str">
        <f>"21731268"</f>
        <v>21731268</v>
      </c>
      <c r="D18661" s="2">
        <v>0.10299999999999999</v>
      </c>
      <c r="E18661" s="2">
        <v>1</v>
      </c>
      <c r="F18661" s="2" t="s">
        <v>351</v>
      </c>
    </row>
    <row r="18662" spans="1:6" ht="25.5">
      <c r="A18662" s="2">
        <v>18659</v>
      </c>
      <c r="B18662" s="2" t="s">
        <v>18731</v>
      </c>
      <c r="C18662" s="2" t="str">
        <f>"18775845"</f>
        <v>18775845</v>
      </c>
      <c r="D18662" s="2">
        <v>0.35399999999999998</v>
      </c>
      <c r="E18662" s="2">
        <v>5</v>
      </c>
      <c r="F18662" s="2" t="s">
        <v>16</v>
      </c>
    </row>
    <row r="18663" spans="1:6" ht="25.5">
      <c r="A18663" s="2">
        <v>18660</v>
      </c>
      <c r="B18663" s="2" t="s">
        <v>18732</v>
      </c>
      <c r="C18663" s="2" t="str">
        <f>"13875868"</f>
        <v>13875868</v>
      </c>
      <c r="D18663" s="2">
        <v>0.22800000000000001</v>
      </c>
      <c r="E18663" s="2">
        <v>13</v>
      </c>
      <c r="F18663" s="2" t="s">
        <v>16</v>
      </c>
    </row>
    <row r="18664" spans="1:6" ht="25.5">
      <c r="A18664" s="2">
        <v>18661</v>
      </c>
      <c r="B18664" s="2" t="s">
        <v>18733</v>
      </c>
      <c r="C18664" s="2" t="str">
        <f>"17421780"</f>
        <v>17421780</v>
      </c>
      <c r="D18664" s="2">
        <v>0.95199999999999996</v>
      </c>
      <c r="E18664" s="2">
        <v>9</v>
      </c>
      <c r="F18664" s="2" t="s">
        <v>16</v>
      </c>
    </row>
    <row r="18665" spans="1:6" ht="25.5">
      <c r="A18665" s="2">
        <v>18662</v>
      </c>
      <c r="B18665" s="2" t="s">
        <v>18734</v>
      </c>
      <c r="C18665" s="2" t="str">
        <f>"22178066"</f>
        <v>22178066</v>
      </c>
      <c r="D18665" s="2">
        <v>0.111</v>
      </c>
      <c r="E18665" s="2">
        <v>1</v>
      </c>
      <c r="F18665" s="2" t="s">
        <v>212</v>
      </c>
    </row>
    <row r="18666" spans="1:6" ht="25.5">
      <c r="A18666" s="2">
        <v>18663</v>
      </c>
      <c r="B18666" s="2" t="s">
        <v>18735</v>
      </c>
      <c r="C18666" s="2" t="str">
        <f>"0"</f>
        <v>0</v>
      </c>
      <c r="D18666" s="2">
        <v>0</v>
      </c>
      <c r="E18666" s="2">
        <v>0</v>
      </c>
      <c r="F18666" s="2" t="s">
        <v>6</v>
      </c>
    </row>
    <row r="18667" spans="1:6" ht="25.5">
      <c r="A18667" s="2">
        <v>18664</v>
      </c>
      <c r="B18667" s="2" t="s">
        <v>18736</v>
      </c>
      <c r="C18667" s="2" t="str">
        <f>"02751879"</f>
        <v>02751879</v>
      </c>
      <c r="D18667" s="2">
        <v>0.3</v>
      </c>
      <c r="E18667" s="2">
        <v>24</v>
      </c>
      <c r="F18667" s="2" t="s">
        <v>16</v>
      </c>
    </row>
    <row r="18668" spans="1:6" ht="25.5">
      <c r="A18668" s="2">
        <v>18665</v>
      </c>
      <c r="B18668" s="2" t="s">
        <v>18737</v>
      </c>
      <c r="C18668" s="2" t="str">
        <f>"10039384"</f>
        <v>10039384</v>
      </c>
      <c r="D18668" s="2">
        <v>0.10199999999999999</v>
      </c>
      <c r="E18668" s="2">
        <v>2</v>
      </c>
      <c r="F18668" s="2" t="s">
        <v>46</v>
      </c>
    </row>
    <row r="18669" spans="1:6" ht="25.5">
      <c r="A18669" s="2">
        <v>18666</v>
      </c>
      <c r="B18669" s="2" t="s">
        <v>18738</v>
      </c>
      <c r="C18669" s="2" t="str">
        <f>"07828535"</f>
        <v>07828535</v>
      </c>
      <c r="D18669" s="2">
        <v>0.158</v>
      </c>
      <c r="E18669" s="2">
        <v>11</v>
      </c>
      <c r="F18669" s="2" t="s">
        <v>751</v>
      </c>
    </row>
    <row r="18670" spans="1:6" ht="25.5">
      <c r="A18670" s="2">
        <v>18667</v>
      </c>
      <c r="B18670" s="2" t="s">
        <v>18739</v>
      </c>
      <c r="C18670" s="2" t="str">
        <f>"00721077"</f>
        <v>00721077</v>
      </c>
      <c r="D18670" s="2">
        <v>0.27900000000000003</v>
      </c>
      <c r="E18670" s="2">
        <v>34</v>
      </c>
      <c r="F18670" s="2" t="s">
        <v>6</v>
      </c>
    </row>
    <row r="18671" spans="1:6" ht="25.5">
      <c r="A18671" s="2">
        <v>18668</v>
      </c>
      <c r="B18671" s="2" t="s">
        <v>18740</v>
      </c>
      <c r="C18671" s="2" t="str">
        <f>"00386804"</f>
        <v>00386804</v>
      </c>
      <c r="D18671" s="2">
        <v>0.52300000000000002</v>
      </c>
      <c r="E18671" s="2">
        <v>23</v>
      </c>
      <c r="F18671" s="2" t="s">
        <v>16</v>
      </c>
    </row>
    <row r="18672" spans="1:6" ht="25.5">
      <c r="A18672" s="2">
        <v>18669</v>
      </c>
      <c r="B18672" s="2" t="s">
        <v>18741</v>
      </c>
      <c r="C18672" s="2" t="str">
        <f>"0360859X"</f>
        <v>0360859X</v>
      </c>
      <c r="D18672" s="2">
        <v>0.10299999999999999</v>
      </c>
      <c r="E18672" s="2">
        <v>5</v>
      </c>
      <c r="F18672" s="2" t="s">
        <v>6</v>
      </c>
    </row>
    <row r="18673" spans="1:6" ht="25.5">
      <c r="A18673" s="2">
        <v>18670</v>
      </c>
      <c r="B18673" s="2" t="s">
        <v>18742</v>
      </c>
      <c r="C18673" s="2" t="str">
        <f>"2151562X"</f>
        <v>2151562X</v>
      </c>
      <c r="D18673" s="2">
        <v>0.308</v>
      </c>
      <c r="E18673" s="2">
        <v>4</v>
      </c>
      <c r="F18673" s="2" t="s">
        <v>6</v>
      </c>
    </row>
    <row r="18674" spans="1:6" ht="25.5">
      <c r="A18674" s="2">
        <v>18671</v>
      </c>
      <c r="B18674" s="2" t="s">
        <v>18743</v>
      </c>
      <c r="C18674" s="2" t="str">
        <f>"13925369"</f>
        <v>13925369</v>
      </c>
      <c r="D18674" s="2">
        <v>0</v>
      </c>
      <c r="E18674" s="2">
        <v>0</v>
      </c>
      <c r="F18674" s="2" t="s">
        <v>426</v>
      </c>
    </row>
    <row r="18675" spans="1:6" ht="25.5">
      <c r="A18675" s="2">
        <v>18672</v>
      </c>
      <c r="B18675" s="2" t="s">
        <v>18744</v>
      </c>
      <c r="C18675" s="2" t="str">
        <f>"13861425"</f>
        <v>13861425</v>
      </c>
      <c r="D18675" s="2">
        <v>0.56699999999999995</v>
      </c>
      <c r="E18675" s="2">
        <v>58</v>
      </c>
      <c r="F18675" s="2" t="s">
        <v>75</v>
      </c>
    </row>
    <row r="18676" spans="1:6" ht="25.5">
      <c r="A18676" s="2">
        <v>18673</v>
      </c>
      <c r="B18676" s="2" t="s">
        <v>18745</v>
      </c>
      <c r="C18676" s="2" t="str">
        <f>"05848547"</f>
        <v>05848547</v>
      </c>
      <c r="D18676" s="2">
        <v>1.2110000000000001</v>
      </c>
      <c r="E18676" s="2">
        <v>74</v>
      </c>
      <c r="F18676" s="2" t="s">
        <v>75</v>
      </c>
    </row>
    <row r="18677" spans="1:6" ht="25.5">
      <c r="A18677" s="2">
        <v>18674</v>
      </c>
      <c r="B18677" s="2" t="s">
        <v>18746</v>
      </c>
      <c r="C18677" s="2" t="str">
        <f>"05848555"</f>
        <v>05848555</v>
      </c>
      <c r="D18677" s="2">
        <v>0</v>
      </c>
      <c r="E18677" s="2">
        <v>1</v>
      </c>
      <c r="F18677" s="2" t="s">
        <v>16</v>
      </c>
    </row>
    <row r="18678" spans="1:6" ht="25.5">
      <c r="A18678" s="2">
        <v>18675</v>
      </c>
      <c r="B18678" s="2" t="s">
        <v>18747</v>
      </c>
      <c r="C18678" s="2" t="str">
        <f>"07124813"</f>
        <v>07124813</v>
      </c>
      <c r="D18678" s="2">
        <v>0.186</v>
      </c>
      <c r="E18678" s="2">
        <v>23</v>
      </c>
      <c r="F18678" s="2" t="s">
        <v>75</v>
      </c>
    </row>
    <row r="18679" spans="1:6" ht="25.5">
      <c r="A18679" s="2">
        <v>18676</v>
      </c>
      <c r="B18679" s="2" t="s">
        <v>18748</v>
      </c>
      <c r="C18679" s="2" t="str">
        <f>"09660941"</f>
        <v>09660941</v>
      </c>
      <c r="D18679" s="2">
        <v>0.115</v>
      </c>
      <c r="E18679" s="2">
        <v>16</v>
      </c>
      <c r="F18679" s="2" t="s">
        <v>16</v>
      </c>
    </row>
    <row r="18680" spans="1:6" ht="25.5">
      <c r="A18680" s="2">
        <v>18677</v>
      </c>
      <c r="B18680" s="2" t="s">
        <v>18749</v>
      </c>
      <c r="C18680" s="2" t="str">
        <f>"15322289"</f>
        <v>15322289</v>
      </c>
      <c r="D18680" s="2">
        <v>0.22700000000000001</v>
      </c>
      <c r="E18680" s="2">
        <v>25</v>
      </c>
      <c r="F18680" s="2" t="s">
        <v>16</v>
      </c>
    </row>
    <row r="18681" spans="1:6" ht="25.5">
      <c r="A18681" s="2">
        <v>18678</v>
      </c>
      <c r="B18681" s="2" t="s">
        <v>18750</v>
      </c>
      <c r="C18681" s="2" t="str">
        <f>"00387134"</f>
        <v>00387134</v>
      </c>
      <c r="D18681" s="2">
        <v>0.159</v>
      </c>
      <c r="E18681" s="2">
        <v>8</v>
      </c>
      <c r="F18681" s="2" t="s">
        <v>6</v>
      </c>
    </row>
    <row r="18682" spans="1:6">
      <c r="A18682" s="2">
        <v>18679</v>
      </c>
      <c r="B18682" s="2" t="s">
        <v>18751</v>
      </c>
      <c r="C18682" s="2" t="str">
        <f>"0"</f>
        <v>0</v>
      </c>
      <c r="D18682" s="2">
        <v>0.1</v>
      </c>
      <c r="E18682" s="2">
        <v>1</v>
      </c>
      <c r="F18682" s="2" t="s">
        <v>6</v>
      </c>
    </row>
    <row r="18683" spans="1:6" ht="25.5">
      <c r="A18683" s="2">
        <v>18680</v>
      </c>
      <c r="B18683" s="2" t="s">
        <v>18752</v>
      </c>
      <c r="C18683" s="2" t="str">
        <f>"10646671"</f>
        <v>10646671</v>
      </c>
      <c r="D18683" s="2">
        <v>0.314</v>
      </c>
      <c r="E18683" s="2">
        <v>18</v>
      </c>
      <c r="F18683" s="2" t="s">
        <v>6</v>
      </c>
    </row>
    <row r="18684" spans="1:6" ht="25.5">
      <c r="A18684" s="2">
        <v>18681</v>
      </c>
      <c r="B18684" s="2" t="s">
        <v>18753</v>
      </c>
      <c r="C18684" s="2" t="str">
        <f>"01676393"</f>
        <v>01676393</v>
      </c>
      <c r="D18684" s="2">
        <v>1.1839999999999999</v>
      </c>
      <c r="E18684" s="2">
        <v>58</v>
      </c>
      <c r="F18684" s="2" t="s">
        <v>75</v>
      </c>
    </row>
    <row r="18685" spans="1:6" ht="25.5">
      <c r="A18685" s="2">
        <v>18682</v>
      </c>
      <c r="B18685" s="2" t="s">
        <v>18754</v>
      </c>
      <c r="C18685" s="2" t="str">
        <f t="shared" ref="C18685:C18690" si="2">"0"</f>
        <v>0</v>
      </c>
      <c r="D18685" s="2">
        <v>0</v>
      </c>
      <c r="E18685" s="2">
        <v>0</v>
      </c>
      <c r="F18685" s="2" t="s">
        <v>6</v>
      </c>
    </row>
    <row r="18686" spans="1:6">
      <c r="A18686" s="2">
        <v>18683</v>
      </c>
      <c r="B18686" s="2" t="s">
        <v>18755</v>
      </c>
      <c r="C18686" s="2" t="str">
        <f t="shared" si="2"/>
        <v>0</v>
      </c>
      <c r="D18686" s="2">
        <v>0.10100000000000001</v>
      </c>
      <c r="E18686" s="2">
        <v>4</v>
      </c>
      <c r="F18686" s="2" t="s">
        <v>6</v>
      </c>
    </row>
    <row r="18687" spans="1:6">
      <c r="A18687" s="2">
        <v>18684</v>
      </c>
      <c r="B18687" s="2" t="s">
        <v>18756</v>
      </c>
      <c r="C18687" s="2" t="str">
        <f t="shared" si="2"/>
        <v>0</v>
      </c>
      <c r="D18687" s="2">
        <v>0</v>
      </c>
      <c r="E18687" s="2">
        <v>1</v>
      </c>
      <c r="F18687" s="2" t="s">
        <v>6</v>
      </c>
    </row>
    <row r="18688" spans="1:6" ht="25.5">
      <c r="A18688" s="2">
        <v>18685</v>
      </c>
      <c r="B18688" s="2" t="s">
        <v>18757</v>
      </c>
      <c r="C18688" s="2" t="str">
        <f t="shared" si="2"/>
        <v>0</v>
      </c>
      <c r="D18688" s="2">
        <v>0</v>
      </c>
      <c r="E18688" s="2">
        <v>0</v>
      </c>
      <c r="F18688" s="2" t="s">
        <v>6</v>
      </c>
    </row>
    <row r="18689" spans="1:6">
      <c r="A18689" s="2">
        <v>18686</v>
      </c>
      <c r="B18689" s="2" t="s">
        <v>18758</v>
      </c>
      <c r="C18689" s="2" t="str">
        <f t="shared" si="2"/>
        <v>0</v>
      </c>
      <c r="D18689" s="2">
        <v>0.1</v>
      </c>
      <c r="E18689" s="2">
        <v>6</v>
      </c>
      <c r="F18689" s="2" t="s">
        <v>6</v>
      </c>
    </row>
    <row r="18690" spans="1:6" ht="25.5">
      <c r="A18690" s="2">
        <v>18687</v>
      </c>
      <c r="B18690" s="2" t="s">
        <v>18759</v>
      </c>
      <c r="C18690" s="2" t="str">
        <f t="shared" si="2"/>
        <v>0</v>
      </c>
      <c r="D18690" s="2">
        <v>0</v>
      </c>
      <c r="E18690" s="2">
        <v>0</v>
      </c>
      <c r="F18690" s="2" t="s">
        <v>6</v>
      </c>
    </row>
    <row r="18691" spans="1:6" ht="25.5">
      <c r="A18691" s="2">
        <v>18688</v>
      </c>
      <c r="B18691" s="2" t="s">
        <v>18760</v>
      </c>
      <c r="C18691" s="2" t="str">
        <f>"1086055X"</f>
        <v>1086055X</v>
      </c>
      <c r="D18691" s="2">
        <v>1.397</v>
      </c>
      <c r="E18691" s="2">
        <v>44</v>
      </c>
      <c r="F18691" s="2" t="s">
        <v>6</v>
      </c>
    </row>
    <row r="18692" spans="1:6" ht="25.5">
      <c r="A18692" s="2">
        <v>18689</v>
      </c>
      <c r="B18692" s="2" t="s">
        <v>18761</v>
      </c>
      <c r="C18692" s="2" t="str">
        <f>"09304282"</f>
        <v>09304282</v>
      </c>
      <c r="D18692" s="2">
        <v>0.16200000000000001</v>
      </c>
      <c r="E18692" s="2">
        <v>8</v>
      </c>
      <c r="F18692" s="2" t="s">
        <v>288</v>
      </c>
    </row>
    <row r="18693" spans="1:6" ht="25.5">
      <c r="A18693" s="2">
        <v>18690</v>
      </c>
      <c r="B18693" s="2" t="s">
        <v>18762</v>
      </c>
      <c r="C18693" s="2" t="str">
        <f>"0"</f>
        <v>0</v>
      </c>
      <c r="D18693" s="2">
        <v>0</v>
      </c>
      <c r="E18693" s="2">
        <v>0</v>
      </c>
      <c r="F18693" s="2" t="s">
        <v>6</v>
      </c>
    </row>
    <row r="18694" spans="1:6" ht="25.5">
      <c r="A18694" s="2">
        <v>18691</v>
      </c>
      <c r="B18694" s="2" t="s">
        <v>18763</v>
      </c>
      <c r="C18694" s="2" t="str">
        <f>"0"</f>
        <v>0</v>
      </c>
      <c r="D18694" s="2">
        <v>0</v>
      </c>
      <c r="E18694" s="2">
        <v>0</v>
      </c>
      <c r="F18694" s="2" t="s">
        <v>6</v>
      </c>
    </row>
    <row r="18695" spans="1:6" ht="25.5">
      <c r="A18695" s="2">
        <v>18692</v>
      </c>
      <c r="B18695" s="2" t="s">
        <v>18764</v>
      </c>
      <c r="C18695" s="2" t="str">
        <f>"01959468"</f>
        <v>01959468</v>
      </c>
      <c r="D18695" s="2">
        <v>0.10100000000000001</v>
      </c>
      <c r="E18695" s="2">
        <v>4</v>
      </c>
      <c r="F18695" s="2" t="s">
        <v>6</v>
      </c>
    </row>
    <row r="18696" spans="1:6" ht="25.5">
      <c r="A18696" s="2">
        <v>18693</v>
      </c>
      <c r="B18696" s="2" t="s">
        <v>18765</v>
      </c>
      <c r="C18696" s="2" t="str">
        <f>"0"</f>
        <v>0</v>
      </c>
      <c r="D18696" s="2">
        <v>0</v>
      </c>
      <c r="E18696" s="2">
        <v>0</v>
      </c>
      <c r="F18696" s="2" t="s">
        <v>6</v>
      </c>
    </row>
    <row r="18697" spans="1:6" ht="25.5">
      <c r="A18697" s="2">
        <v>18694</v>
      </c>
      <c r="B18697" s="2" t="s">
        <v>18766</v>
      </c>
      <c r="C18697" s="2" t="str">
        <f>"19301855"</f>
        <v>19301855</v>
      </c>
      <c r="D18697" s="2">
        <v>1.1259999999999999</v>
      </c>
      <c r="E18697" s="2">
        <v>23</v>
      </c>
      <c r="F18697" s="2" t="s">
        <v>6</v>
      </c>
    </row>
    <row r="18698" spans="1:6" ht="25.5">
      <c r="A18698" s="2">
        <v>18695</v>
      </c>
      <c r="B18698" s="2" t="s">
        <v>18767</v>
      </c>
      <c r="C18698" s="2" t="str">
        <f>"19422431"</f>
        <v>19422431</v>
      </c>
      <c r="D18698" s="2">
        <v>0.189</v>
      </c>
      <c r="E18698" s="2">
        <v>4</v>
      </c>
      <c r="F18698" s="2" t="s">
        <v>6</v>
      </c>
    </row>
    <row r="18699" spans="1:6" ht="25.5">
      <c r="A18699" s="2">
        <v>18696</v>
      </c>
      <c r="B18699" s="2" t="s">
        <v>18768</v>
      </c>
      <c r="C18699" s="2" t="str">
        <f>"10946470"</f>
        <v>10946470</v>
      </c>
      <c r="D18699" s="2">
        <v>1.5469999999999999</v>
      </c>
      <c r="E18699" s="2">
        <v>31</v>
      </c>
      <c r="F18699" s="2" t="s">
        <v>6</v>
      </c>
    </row>
    <row r="18700" spans="1:6" ht="25.5">
      <c r="A18700" s="2">
        <v>18697</v>
      </c>
      <c r="B18700" s="2" t="s">
        <v>18769</v>
      </c>
      <c r="C18700" s="2" t="str">
        <f>"17831776"</f>
        <v>17831776</v>
      </c>
      <c r="D18700" s="2">
        <v>0.153</v>
      </c>
      <c r="E18700" s="2">
        <v>3</v>
      </c>
      <c r="F18700" s="2" t="s">
        <v>161</v>
      </c>
    </row>
    <row r="18701" spans="1:6" ht="25.5">
      <c r="A18701" s="2">
        <v>18698</v>
      </c>
      <c r="B18701" s="2" t="s">
        <v>18770</v>
      </c>
      <c r="C18701" s="2" t="str">
        <f>"14765624"</f>
        <v>14765624</v>
      </c>
      <c r="D18701" s="2">
        <v>1.0269999999999999</v>
      </c>
      <c r="E18701" s="2">
        <v>64</v>
      </c>
      <c r="F18701" s="2" t="s">
        <v>16</v>
      </c>
    </row>
    <row r="18702" spans="1:6" ht="25.5">
      <c r="A18702" s="2">
        <v>18699</v>
      </c>
      <c r="B18702" s="2" t="s">
        <v>18771</v>
      </c>
      <c r="C18702" s="2" t="str">
        <f>"15281159"</f>
        <v>15281159</v>
      </c>
      <c r="D18702" s="2">
        <v>1.4470000000000001</v>
      </c>
      <c r="E18702" s="2">
        <v>156</v>
      </c>
      <c r="F18702" s="2" t="s">
        <v>6</v>
      </c>
    </row>
    <row r="18703" spans="1:6" ht="25.5">
      <c r="A18703" s="2">
        <v>18700</v>
      </c>
      <c r="B18703" s="2" t="s">
        <v>18772</v>
      </c>
      <c r="C18703" s="2" t="str">
        <f>"15299430"</f>
        <v>15299430</v>
      </c>
      <c r="D18703" s="2">
        <v>1.232</v>
      </c>
      <c r="E18703" s="2">
        <v>55</v>
      </c>
      <c r="F18703" s="2" t="s">
        <v>6</v>
      </c>
    </row>
    <row r="18704" spans="1:6" ht="25.5">
      <c r="A18704" s="2">
        <v>18701</v>
      </c>
      <c r="B18704" s="2" t="s">
        <v>18773</v>
      </c>
      <c r="C18704" s="2" t="str">
        <f>"12784699"</f>
        <v>12784699</v>
      </c>
      <c r="D18704" s="2">
        <v>0.1</v>
      </c>
      <c r="E18704" s="2">
        <v>2</v>
      </c>
      <c r="F18704" s="2" t="s">
        <v>66</v>
      </c>
    </row>
    <row r="18705" spans="1:6" ht="25.5">
      <c r="A18705" s="2">
        <v>18702</v>
      </c>
      <c r="B18705" s="2" t="s">
        <v>18774</v>
      </c>
      <c r="C18705" s="2" t="str">
        <f>"15331709"</f>
        <v>15331709</v>
      </c>
      <c r="D18705" s="2">
        <v>0.123</v>
      </c>
      <c r="E18705" s="2">
        <v>1</v>
      </c>
      <c r="F18705" s="2" t="s">
        <v>6</v>
      </c>
    </row>
    <row r="18706" spans="1:6" ht="25.5">
      <c r="A18706" s="2">
        <v>18703</v>
      </c>
      <c r="B18706" s="2" t="s">
        <v>18775</v>
      </c>
      <c r="C18706" s="2" t="str">
        <f>"03418391"</f>
        <v>03418391</v>
      </c>
      <c r="D18706" s="2">
        <v>0.28799999999999998</v>
      </c>
      <c r="E18706" s="2">
        <v>4</v>
      </c>
      <c r="F18706" s="2" t="s">
        <v>12</v>
      </c>
    </row>
    <row r="18707" spans="1:6" ht="25.5">
      <c r="A18707" s="2">
        <v>18704</v>
      </c>
      <c r="B18707" s="2" t="s">
        <v>18776</v>
      </c>
      <c r="C18707" s="2" t="str">
        <f>"10110054"</f>
        <v>10110054</v>
      </c>
      <c r="D18707" s="2">
        <v>0.10100000000000001</v>
      </c>
      <c r="E18707" s="2">
        <v>1</v>
      </c>
      <c r="F18707" s="2" t="s">
        <v>75</v>
      </c>
    </row>
    <row r="18708" spans="1:6" ht="25.5">
      <c r="A18708" s="2">
        <v>18705</v>
      </c>
      <c r="B18708" s="2" t="s">
        <v>18777</v>
      </c>
      <c r="C18708" s="2" t="str">
        <f>"13573322"</f>
        <v>13573322</v>
      </c>
      <c r="D18708" s="2">
        <v>0.59799999999999998</v>
      </c>
      <c r="E18708" s="2">
        <v>27</v>
      </c>
      <c r="F18708" s="2" t="s">
        <v>16</v>
      </c>
    </row>
    <row r="18709" spans="1:6" ht="25.5">
      <c r="A18709" s="2">
        <v>18706</v>
      </c>
      <c r="B18709" s="2" t="s">
        <v>18778</v>
      </c>
      <c r="C18709" s="2" t="str">
        <f>"18746659"</f>
        <v>18746659</v>
      </c>
      <c r="D18709" s="2">
        <v>0.10199999999999999</v>
      </c>
      <c r="E18709" s="2">
        <v>4</v>
      </c>
      <c r="F18709" s="2" t="s">
        <v>75</v>
      </c>
    </row>
    <row r="18710" spans="1:6" ht="25.5">
      <c r="A18710" s="2">
        <v>18707</v>
      </c>
      <c r="B18710" s="2" t="s">
        <v>18779</v>
      </c>
      <c r="C18710" s="2" t="str">
        <f>"1751133X"</f>
        <v>1751133X</v>
      </c>
      <c r="D18710" s="2">
        <v>0.192</v>
      </c>
      <c r="E18710" s="2">
        <v>1</v>
      </c>
      <c r="F18710" s="2" t="s">
        <v>16</v>
      </c>
    </row>
    <row r="18711" spans="1:6" ht="25.5">
      <c r="A18711" s="2">
        <v>18708</v>
      </c>
      <c r="B18711" s="2" t="s">
        <v>18780</v>
      </c>
      <c r="C18711" s="2" t="str">
        <f>"15432947"</f>
        <v>15432947</v>
      </c>
      <c r="D18711" s="2">
        <v>0.23499999999999999</v>
      </c>
      <c r="E18711" s="2">
        <v>2</v>
      </c>
      <c r="F18711" s="2" t="s">
        <v>6</v>
      </c>
    </row>
    <row r="18712" spans="1:6" ht="25.5">
      <c r="A18712" s="2">
        <v>18709</v>
      </c>
      <c r="B18712" s="2" t="s">
        <v>18781</v>
      </c>
      <c r="C18712" s="2" t="str">
        <f>"17460271"</f>
        <v>17460271</v>
      </c>
      <c r="D18712" s="2">
        <v>0.24099999999999999</v>
      </c>
      <c r="E18712" s="2">
        <v>3</v>
      </c>
      <c r="F18712" s="2" t="s">
        <v>16</v>
      </c>
    </row>
    <row r="18713" spans="1:6" ht="25.5">
      <c r="A18713" s="2">
        <v>18710</v>
      </c>
      <c r="B18713" s="2" t="s">
        <v>18782</v>
      </c>
      <c r="C18713" s="2" t="str">
        <f>"14610981"</f>
        <v>14610981</v>
      </c>
      <c r="D18713" s="2">
        <v>0.50600000000000001</v>
      </c>
      <c r="E18713" s="2">
        <v>12</v>
      </c>
      <c r="F18713" s="2" t="s">
        <v>16</v>
      </c>
    </row>
    <row r="18714" spans="1:6" ht="25.5">
      <c r="A18714" s="2">
        <v>18711</v>
      </c>
      <c r="B18714" s="2" t="s">
        <v>18783</v>
      </c>
      <c r="C18714" s="2" t="str">
        <f>"14413523"</f>
        <v>14413523</v>
      </c>
      <c r="D18714" s="2">
        <v>0.51500000000000001</v>
      </c>
      <c r="E18714" s="2">
        <v>17</v>
      </c>
      <c r="F18714" s="2" t="s">
        <v>75</v>
      </c>
    </row>
    <row r="18715" spans="1:6" ht="25.5">
      <c r="A18715" s="2">
        <v>18712</v>
      </c>
      <c r="B18715" s="2" t="s">
        <v>18784</v>
      </c>
      <c r="C18715" s="2" t="str">
        <f>"0949328X"</f>
        <v>0949328X</v>
      </c>
      <c r="D18715" s="2">
        <v>0.108</v>
      </c>
      <c r="E18715" s="2">
        <v>4</v>
      </c>
      <c r="F18715" s="2" t="s">
        <v>12</v>
      </c>
    </row>
    <row r="18716" spans="1:6" ht="25.5">
      <c r="A18716" s="2">
        <v>18713</v>
      </c>
      <c r="B18716" s="2" t="s">
        <v>18785</v>
      </c>
      <c r="C18716" s="2" t="str">
        <f>"15432793"</f>
        <v>15432793</v>
      </c>
      <c r="D18716" s="2">
        <v>0.64</v>
      </c>
      <c r="E18716" s="2">
        <v>36</v>
      </c>
      <c r="F18716" s="2" t="s">
        <v>6</v>
      </c>
    </row>
    <row r="18717" spans="1:6" ht="25.5">
      <c r="A18717" s="2">
        <v>18714</v>
      </c>
      <c r="B18717" s="2" t="s">
        <v>18786</v>
      </c>
      <c r="C18717" s="2" t="str">
        <f>"14763141"</f>
        <v>14763141</v>
      </c>
      <c r="D18717" s="2">
        <v>0.54600000000000004</v>
      </c>
      <c r="E18717" s="2">
        <v>15</v>
      </c>
      <c r="F18717" s="2" t="s">
        <v>16</v>
      </c>
    </row>
    <row r="18718" spans="1:6" ht="25.5">
      <c r="A18718" s="2">
        <v>18715</v>
      </c>
      <c r="B18718" s="2" t="s">
        <v>18787</v>
      </c>
      <c r="C18718" s="2" t="str">
        <f>"18403670"</f>
        <v>18403670</v>
      </c>
      <c r="D18718" s="2">
        <v>0.16900000000000001</v>
      </c>
      <c r="E18718" s="2">
        <v>2</v>
      </c>
      <c r="F18718" s="2" t="s">
        <v>271</v>
      </c>
    </row>
    <row r="18719" spans="1:6" ht="25.5">
      <c r="A18719" s="2">
        <v>18716</v>
      </c>
      <c r="B18719" s="2" t="s">
        <v>18788</v>
      </c>
      <c r="C18719" s="2" t="str">
        <f>"18251234"</f>
        <v>18251234</v>
      </c>
      <c r="D18719" s="2">
        <v>0.16300000000000001</v>
      </c>
      <c r="E18719" s="2">
        <v>4</v>
      </c>
      <c r="F18719" s="2" t="s">
        <v>190</v>
      </c>
    </row>
    <row r="18720" spans="1:6" ht="25.5">
      <c r="A18720" s="2">
        <v>18717</v>
      </c>
      <c r="B18720" s="2" t="s">
        <v>18789</v>
      </c>
      <c r="C18720" s="2" t="str">
        <f>"14602687"</f>
        <v>14602687</v>
      </c>
      <c r="D18720" s="2">
        <v>0.4</v>
      </c>
      <c r="E18720" s="2">
        <v>6</v>
      </c>
      <c r="F18720" s="2" t="s">
        <v>16</v>
      </c>
    </row>
    <row r="18721" spans="1:6" ht="25.5">
      <c r="A18721" s="2">
        <v>18718</v>
      </c>
      <c r="B18721" s="2" t="s">
        <v>18790</v>
      </c>
      <c r="C18721" s="2" t="str">
        <f>"01121642"</f>
        <v>01121642</v>
      </c>
      <c r="D18721" s="2">
        <v>2.1840000000000002</v>
      </c>
      <c r="E18721" s="2">
        <v>95</v>
      </c>
      <c r="F18721" s="2" t="s">
        <v>16</v>
      </c>
    </row>
    <row r="18722" spans="1:6" ht="25.5">
      <c r="A18722" s="2">
        <v>18719</v>
      </c>
      <c r="B18722" s="2" t="s">
        <v>18791</v>
      </c>
      <c r="C18722" s="2" t="str">
        <f>"10628592"</f>
        <v>10628592</v>
      </c>
      <c r="D18722" s="2">
        <v>1.0489999999999999</v>
      </c>
      <c r="E18722" s="2">
        <v>22</v>
      </c>
      <c r="F18722" s="2" t="s">
        <v>6</v>
      </c>
    </row>
    <row r="18723" spans="1:6" ht="25.5">
      <c r="A18723" s="2">
        <v>18720</v>
      </c>
      <c r="B18723" s="2" t="s">
        <v>18792</v>
      </c>
      <c r="C18723" s="2" t="str">
        <f>"1041696X"</f>
        <v>1041696X</v>
      </c>
      <c r="D18723" s="2">
        <v>0.10100000000000001</v>
      </c>
      <c r="E18723" s="2">
        <v>1</v>
      </c>
      <c r="F18723" s="2" t="s">
        <v>6</v>
      </c>
    </row>
    <row r="18724" spans="1:6" ht="25.5">
      <c r="A18724" s="2">
        <v>18721</v>
      </c>
      <c r="B18724" s="2" t="s">
        <v>18793</v>
      </c>
      <c r="C18724" s="2" t="str">
        <f>"09320555"</f>
        <v>09320555</v>
      </c>
      <c r="D18724" s="2">
        <v>0.20599999999999999</v>
      </c>
      <c r="E18724" s="2">
        <v>14</v>
      </c>
      <c r="F18724" s="2" t="s">
        <v>12</v>
      </c>
    </row>
    <row r="18725" spans="1:6" ht="25.5">
      <c r="A18725" s="2">
        <v>18722</v>
      </c>
      <c r="B18725" s="2" t="s">
        <v>18794</v>
      </c>
      <c r="C18725" s="2" t="str">
        <f>"03422380"</f>
        <v>03422380</v>
      </c>
      <c r="D18725" s="2">
        <v>0.14199999999999999</v>
      </c>
      <c r="E18725" s="2">
        <v>4</v>
      </c>
      <c r="F18725" s="2" t="s">
        <v>12</v>
      </c>
    </row>
    <row r="18726" spans="1:6" ht="25.5">
      <c r="A18726" s="2">
        <v>18723</v>
      </c>
      <c r="B18726" s="2" t="s">
        <v>18795</v>
      </c>
      <c r="C18726" s="2" t="str">
        <f>"14391260"</f>
        <v>14391260</v>
      </c>
      <c r="D18726" s="2">
        <v>0.156</v>
      </c>
      <c r="E18726" s="2">
        <v>9</v>
      </c>
      <c r="F18726" s="2" t="s">
        <v>12</v>
      </c>
    </row>
    <row r="18727" spans="1:6" ht="25.5">
      <c r="A18727" s="2">
        <v>18724</v>
      </c>
      <c r="B18727" s="2" t="s">
        <v>18796</v>
      </c>
      <c r="C18727" s="2" t="str">
        <f>"03448169"</f>
        <v>03448169</v>
      </c>
      <c r="D18727" s="2">
        <v>0.123</v>
      </c>
      <c r="E18727" s="2">
        <v>4</v>
      </c>
      <c r="F18727" s="2" t="s">
        <v>12</v>
      </c>
    </row>
    <row r="18728" spans="1:6" ht="25.5">
      <c r="A18728" s="2">
        <v>18725</v>
      </c>
      <c r="B18728" s="2" t="s">
        <v>18797</v>
      </c>
      <c r="C18728" s="2" t="str">
        <f>"11011165"</f>
        <v>11011165</v>
      </c>
      <c r="D18728" s="2">
        <v>0.104</v>
      </c>
      <c r="E18728" s="2">
        <v>0</v>
      </c>
      <c r="F18728" s="2" t="s">
        <v>151</v>
      </c>
    </row>
    <row r="18729" spans="1:6" ht="25.5">
      <c r="A18729" s="2">
        <v>18726</v>
      </c>
      <c r="B18729" s="2" t="s">
        <v>18798</v>
      </c>
      <c r="C18729" s="2" t="str">
        <f>"14397382"</f>
        <v>14397382</v>
      </c>
      <c r="D18729" s="2">
        <v>0.14000000000000001</v>
      </c>
      <c r="E18729" s="2">
        <v>2</v>
      </c>
      <c r="F18729" s="2" t="s">
        <v>6</v>
      </c>
    </row>
    <row r="18730" spans="1:6" ht="25.5">
      <c r="A18730" s="2">
        <v>18727</v>
      </c>
      <c r="B18730" s="2" t="s">
        <v>18799</v>
      </c>
      <c r="C18730" s="2" t="str">
        <f>"21931801"</f>
        <v>21931801</v>
      </c>
      <c r="D18730" s="2">
        <v>0</v>
      </c>
      <c r="E18730" s="2">
        <v>0</v>
      </c>
      <c r="F18730" s="2" t="s">
        <v>12</v>
      </c>
    </row>
    <row r="18731" spans="1:6" ht="25.5">
      <c r="A18731" s="2">
        <v>18728</v>
      </c>
      <c r="B18731" s="2" t="s">
        <v>18800</v>
      </c>
      <c r="C18731" s="2" t="str">
        <f>"14370387"</f>
        <v>14370387</v>
      </c>
      <c r="D18731" s="2">
        <v>0.10199999999999999</v>
      </c>
      <c r="E18731" s="2">
        <v>0</v>
      </c>
      <c r="F18731" s="2" t="s">
        <v>12</v>
      </c>
    </row>
    <row r="18732" spans="1:6" ht="25.5">
      <c r="A18732" s="2">
        <v>18729</v>
      </c>
      <c r="B18732" s="2" t="s">
        <v>18801</v>
      </c>
      <c r="C18732" s="2" t="str">
        <f>"01726218"</f>
        <v>01726218</v>
      </c>
      <c r="D18732" s="2">
        <v>0.14299999999999999</v>
      </c>
      <c r="E18732" s="2">
        <v>6</v>
      </c>
      <c r="F18732" s="2" t="s">
        <v>6</v>
      </c>
    </row>
    <row r="18733" spans="1:6" ht="25.5">
      <c r="A18733" s="2">
        <v>18730</v>
      </c>
      <c r="B18733" s="2" t="s">
        <v>18802</v>
      </c>
      <c r="C18733" s="2" t="str">
        <f>"18668755"</f>
        <v>18668755</v>
      </c>
      <c r="D18733" s="2">
        <v>0.104</v>
      </c>
      <c r="E18733" s="2">
        <v>1</v>
      </c>
      <c r="F18733" s="2" t="s">
        <v>12</v>
      </c>
    </row>
    <row r="18734" spans="1:6" ht="25.5">
      <c r="A18734" s="2">
        <v>18731</v>
      </c>
      <c r="B18734" s="2" t="s">
        <v>18803</v>
      </c>
      <c r="C18734" s="2" t="str">
        <f>"0933033X"</f>
        <v>0933033X</v>
      </c>
      <c r="D18734" s="2">
        <v>0.108</v>
      </c>
      <c r="E18734" s="2">
        <v>1</v>
      </c>
      <c r="F18734" s="2" t="s">
        <v>12</v>
      </c>
    </row>
    <row r="18735" spans="1:6" ht="25.5">
      <c r="A18735" s="2">
        <v>18732</v>
      </c>
      <c r="B18735" s="2" t="s">
        <v>18804</v>
      </c>
      <c r="C18735" s="2" t="str">
        <f>"15561534"</f>
        <v>15561534</v>
      </c>
      <c r="D18735" s="2">
        <v>0.104</v>
      </c>
      <c r="E18735" s="2">
        <v>4</v>
      </c>
      <c r="F18735" s="2" t="s">
        <v>12</v>
      </c>
    </row>
    <row r="18736" spans="1:6" ht="25.5">
      <c r="A18736" s="2">
        <v>18733</v>
      </c>
      <c r="B18736" s="2" t="s">
        <v>18805</v>
      </c>
      <c r="C18736" s="2" t="str">
        <f>"16107438"</f>
        <v>16107438</v>
      </c>
      <c r="D18736" s="2">
        <v>0.25800000000000001</v>
      </c>
      <c r="E18736" s="2">
        <v>10</v>
      </c>
      <c r="F18736" s="2" t="s">
        <v>12</v>
      </c>
    </row>
    <row r="18737" spans="1:6" ht="25.5">
      <c r="A18737" s="2">
        <v>18734</v>
      </c>
      <c r="B18737" s="2" t="s">
        <v>18806</v>
      </c>
      <c r="C18737" s="2" t="str">
        <f>"13918834"</f>
        <v>13918834</v>
      </c>
      <c r="D18737" s="2">
        <v>0.112</v>
      </c>
      <c r="E18737" s="2">
        <v>1</v>
      </c>
      <c r="F18737" s="2" t="s">
        <v>3443</v>
      </c>
    </row>
    <row r="18738" spans="1:6" ht="25.5">
      <c r="A18738" s="2">
        <v>18735</v>
      </c>
      <c r="B18738" s="2" t="s">
        <v>18807</v>
      </c>
      <c r="C18738" s="2" t="str">
        <f>"03708179"</f>
        <v>03708179</v>
      </c>
      <c r="D18738" s="2">
        <v>0.14299999999999999</v>
      </c>
      <c r="E18738" s="2">
        <v>8</v>
      </c>
      <c r="F18738" s="2" t="s">
        <v>212</v>
      </c>
    </row>
    <row r="18739" spans="1:6" ht="25.5">
      <c r="A18739" s="2">
        <v>18736</v>
      </c>
      <c r="B18739" s="2" t="s">
        <v>18808</v>
      </c>
      <c r="C18739" s="2" t="str">
        <f>"18720676"</f>
        <v>18720676</v>
      </c>
      <c r="D18739" s="2">
        <v>0.104</v>
      </c>
      <c r="E18739" s="2">
        <v>0</v>
      </c>
      <c r="F18739" s="2" t="s">
        <v>75</v>
      </c>
    </row>
    <row r="18740" spans="1:6" ht="25.5">
      <c r="A18740" s="2">
        <v>18737</v>
      </c>
      <c r="B18740" s="2" t="s">
        <v>18809</v>
      </c>
      <c r="C18740" s="2" t="str">
        <f>"19997108"</f>
        <v>19997108</v>
      </c>
      <c r="D18740" s="2">
        <v>0.127</v>
      </c>
      <c r="E18740" s="2">
        <v>1</v>
      </c>
      <c r="F18740" s="2" t="s">
        <v>2282</v>
      </c>
    </row>
    <row r="18741" spans="1:6" ht="25.5">
      <c r="A18741" s="2">
        <v>18738</v>
      </c>
      <c r="B18741" s="2" t="s">
        <v>18810</v>
      </c>
      <c r="C18741" s="2" t="str">
        <f>"00389366"</f>
        <v>00389366</v>
      </c>
      <c r="D18741" s="2">
        <v>0.10100000000000001</v>
      </c>
      <c r="E18741" s="2">
        <v>0</v>
      </c>
      <c r="F18741" s="2" t="s">
        <v>16</v>
      </c>
    </row>
    <row r="18742" spans="1:6" ht="25.5">
      <c r="A18742" s="2">
        <v>18739</v>
      </c>
      <c r="B18742" s="2" t="s">
        <v>18811</v>
      </c>
      <c r="C18742" s="2" t="str">
        <f>"10944656"</f>
        <v>10944656</v>
      </c>
      <c r="D18742" s="2">
        <v>0.1</v>
      </c>
      <c r="E18742" s="2">
        <v>5</v>
      </c>
      <c r="F18742" s="2" t="s">
        <v>6</v>
      </c>
    </row>
    <row r="18743" spans="1:6" ht="25.5">
      <c r="A18743" s="2">
        <v>18740</v>
      </c>
      <c r="B18743" s="2" t="s">
        <v>18812</v>
      </c>
      <c r="C18743" s="2" t="str">
        <f>"19443277"</f>
        <v>19443277</v>
      </c>
      <c r="D18743" s="2">
        <v>0.65800000000000003</v>
      </c>
      <c r="E18743" s="2">
        <v>9</v>
      </c>
      <c r="F18743" s="2" t="s">
        <v>6</v>
      </c>
    </row>
    <row r="18744" spans="1:6" ht="25.5">
      <c r="A18744" s="2">
        <v>18741</v>
      </c>
      <c r="B18744" s="2" t="s">
        <v>18813</v>
      </c>
      <c r="C18744" s="2" t="str">
        <f>"01743635"</f>
        <v>01743635</v>
      </c>
      <c r="D18744" s="2">
        <v>0.1</v>
      </c>
      <c r="E18744" s="2">
        <v>2</v>
      </c>
      <c r="F18744" s="2" t="s">
        <v>12</v>
      </c>
    </row>
    <row r="18745" spans="1:6" ht="25.5">
      <c r="A18745" s="2">
        <v>18742</v>
      </c>
      <c r="B18745" s="2" t="s">
        <v>18814</v>
      </c>
      <c r="C18745" s="2" t="str">
        <f>"07315082"</f>
        <v>07315082</v>
      </c>
      <c r="D18745" s="2">
        <v>0.14599999999999999</v>
      </c>
      <c r="E18745" s="2">
        <v>7</v>
      </c>
      <c r="F18745" s="2" t="s">
        <v>6</v>
      </c>
    </row>
    <row r="18746" spans="1:6" ht="25.5">
      <c r="A18746" s="2">
        <v>18743</v>
      </c>
      <c r="B18746" s="2" t="s">
        <v>18815</v>
      </c>
      <c r="C18746" s="2" t="str">
        <f>"00389765"</f>
        <v>00389765</v>
      </c>
      <c r="D18746" s="2">
        <v>1.9690000000000001</v>
      </c>
      <c r="E18746" s="2">
        <v>29</v>
      </c>
      <c r="F18746" s="2" t="s">
        <v>6</v>
      </c>
    </row>
    <row r="18747" spans="1:6" ht="25.5">
      <c r="A18747" s="2">
        <v>18744</v>
      </c>
      <c r="B18747" s="2" t="s">
        <v>18816</v>
      </c>
      <c r="C18747" s="2" t="str">
        <f>"15328546"</f>
        <v>15328546</v>
      </c>
      <c r="D18747" s="2">
        <v>0.23699999999999999</v>
      </c>
      <c r="E18747" s="2">
        <v>19</v>
      </c>
      <c r="F18747" s="2" t="s">
        <v>6</v>
      </c>
    </row>
    <row r="18748" spans="1:6" ht="25.5">
      <c r="A18748" s="2">
        <v>18745</v>
      </c>
      <c r="B18748" s="2" t="s">
        <v>18817</v>
      </c>
      <c r="C18748" s="2" t="str">
        <f>"17821568"</f>
        <v>17821568</v>
      </c>
      <c r="D18748" s="2">
        <v>0.20599999999999999</v>
      </c>
      <c r="E18748" s="2">
        <v>5</v>
      </c>
      <c r="F18748" s="2" t="s">
        <v>161</v>
      </c>
    </row>
    <row r="18749" spans="1:6" ht="25.5">
      <c r="A18749" s="2">
        <v>18746</v>
      </c>
      <c r="B18749" s="2" t="s">
        <v>18818</v>
      </c>
      <c r="C18749" s="2" t="str">
        <f>"1521379X"</f>
        <v>1521379X</v>
      </c>
      <c r="D18749" s="2">
        <v>0.46500000000000002</v>
      </c>
      <c r="E18749" s="2">
        <v>44</v>
      </c>
      <c r="F18749" s="2" t="s">
        <v>12</v>
      </c>
    </row>
    <row r="18750" spans="1:6" ht="25.5">
      <c r="A18750" s="2">
        <v>18747</v>
      </c>
      <c r="B18750" s="2" t="s">
        <v>18819</v>
      </c>
      <c r="C18750" s="2" t="str">
        <f>"1536867X"</f>
        <v>1536867X</v>
      </c>
      <c r="D18750" s="2">
        <v>1.6850000000000001</v>
      </c>
      <c r="E18750" s="2">
        <v>26</v>
      </c>
      <c r="F18750" s="2" t="s">
        <v>12</v>
      </c>
    </row>
    <row r="18751" spans="1:6" ht="25.5">
      <c r="A18751" s="2">
        <v>18748</v>
      </c>
      <c r="B18751" s="2" t="s">
        <v>18820</v>
      </c>
      <c r="C18751" s="2" t="str">
        <f>"01476041"</f>
        <v>01476041</v>
      </c>
      <c r="D18751" s="2">
        <v>0.11600000000000001</v>
      </c>
      <c r="E18751" s="2">
        <v>3</v>
      </c>
      <c r="F18751" s="2" t="s">
        <v>6</v>
      </c>
    </row>
    <row r="18752" spans="1:6" ht="25.5">
      <c r="A18752" s="2">
        <v>18749</v>
      </c>
      <c r="B18752" s="2" t="s">
        <v>18821</v>
      </c>
      <c r="C18752" s="2" t="str">
        <f>"15324400"</f>
        <v>15324400</v>
      </c>
      <c r="D18752" s="2">
        <v>1.4970000000000001</v>
      </c>
      <c r="E18752" s="2">
        <v>12</v>
      </c>
      <c r="F18752" s="2" t="s">
        <v>6</v>
      </c>
    </row>
    <row r="18753" spans="1:6">
      <c r="A18753" s="2">
        <v>18750</v>
      </c>
      <c r="B18753" s="2" t="s">
        <v>18822</v>
      </c>
      <c r="C18753" s="2" t="str">
        <f>"0"</f>
        <v>0</v>
      </c>
      <c r="D18753" s="2">
        <v>0</v>
      </c>
      <c r="E18753" s="2">
        <v>0</v>
      </c>
      <c r="F18753" s="2" t="s">
        <v>6</v>
      </c>
    </row>
    <row r="18754" spans="1:6">
      <c r="A18754" s="2">
        <v>18751</v>
      </c>
      <c r="B18754" s="2" t="s">
        <v>18823</v>
      </c>
      <c r="C18754" s="2" t="str">
        <f>"0"</f>
        <v>0</v>
      </c>
      <c r="D18754" s="2">
        <v>0</v>
      </c>
      <c r="E18754" s="2">
        <v>0</v>
      </c>
      <c r="F18754" s="2" t="s">
        <v>6</v>
      </c>
    </row>
    <row r="18755" spans="1:6" ht="25.5">
      <c r="A18755" s="2">
        <v>18752</v>
      </c>
      <c r="B18755" s="2" t="s">
        <v>18824</v>
      </c>
      <c r="C18755" s="2" t="str">
        <f>"19321872"</f>
        <v>19321872</v>
      </c>
      <c r="D18755" s="2">
        <v>0.51100000000000001</v>
      </c>
      <c r="E18755" s="2">
        <v>9</v>
      </c>
      <c r="F18755" s="2" t="s">
        <v>6</v>
      </c>
    </row>
    <row r="18756" spans="1:6" ht="25.5">
      <c r="A18756" s="2">
        <v>18753</v>
      </c>
      <c r="B18756" s="2" t="s">
        <v>18825</v>
      </c>
      <c r="C18756" s="2" t="str">
        <f>"15446115"</f>
        <v>15446115</v>
      </c>
      <c r="D18756" s="2">
        <v>0.82499999999999996</v>
      </c>
      <c r="E18756" s="2">
        <v>27</v>
      </c>
      <c r="F18756" s="2" t="s">
        <v>6</v>
      </c>
    </row>
    <row r="18757" spans="1:6" ht="25.5">
      <c r="A18757" s="2">
        <v>18754</v>
      </c>
      <c r="B18757" s="2" t="s">
        <v>18826</v>
      </c>
      <c r="C18757" s="2" t="str">
        <f>"13870874"</f>
        <v>13870874</v>
      </c>
      <c r="D18757" s="2">
        <v>0.59899999999999998</v>
      </c>
      <c r="E18757" s="2">
        <v>7</v>
      </c>
      <c r="F18757" s="2" t="s">
        <v>75</v>
      </c>
    </row>
    <row r="18758" spans="1:6" ht="25.5">
      <c r="A18758" s="2">
        <v>18755</v>
      </c>
      <c r="B18758" s="2" t="s">
        <v>18827</v>
      </c>
      <c r="C18758" s="2" t="str">
        <f>"18747655"</f>
        <v>18747655</v>
      </c>
      <c r="D18758" s="2">
        <v>0.217</v>
      </c>
      <c r="E18758" s="2">
        <v>6</v>
      </c>
      <c r="F18758" s="2" t="s">
        <v>75</v>
      </c>
    </row>
    <row r="18759" spans="1:6" ht="25.5">
      <c r="A18759" s="2">
        <v>18756</v>
      </c>
      <c r="B18759" s="2" t="s">
        <v>18828</v>
      </c>
      <c r="C18759" s="2" t="str">
        <f>"15723127"</f>
        <v>15723127</v>
      </c>
      <c r="D18759" s="2">
        <v>0.76500000000000001</v>
      </c>
      <c r="E18759" s="2">
        <v>13</v>
      </c>
      <c r="F18759" s="2" t="s">
        <v>75</v>
      </c>
    </row>
    <row r="18760" spans="1:6" ht="25.5">
      <c r="A18760" s="2">
        <v>18757</v>
      </c>
      <c r="B18760" s="2" t="s">
        <v>18829</v>
      </c>
      <c r="C18760" s="2" t="str">
        <f>"16182510"</f>
        <v>16182510</v>
      </c>
      <c r="D18760" s="2">
        <v>0.373</v>
      </c>
      <c r="E18760" s="2">
        <v>10</v>
      </c>
      <c r="F18760" s="2" t="s">
        <v>12</v>
      </c>
    </row>
    <row r="18761" spans="1:6" ht="25.5">
      <c r="A18761" s="2">
        <v>18758</v>
      </c>
      <c r="B18761" s="2" t="s">
        <v>18830</v>
      </c>
      <c r="C18761" s="2" t="str">
        <f>"14770334"</f>
        <v>14770334</v>
      </c>
      <c r="D18761" s="2">
        <v>0.91100000000000003</v>
      </c>
      <c r="E18761" s="2">
        <v>44</v>
      </c>
      <c r="F18761" s="2" t="s">
        <v>16</v>
      </c>
    </row>
    <row r="18762" spans="1:6" ht="25.5">
      <c r="A18762" s="2">
        <v>18759</v>
      </c>
      <c r="B18762" s="2" t="s">
        <v>18831</v>
      </c>
      <c r="C18762" s="2" t="str">
        <f>"1471082X"</f>
        <v>1471082X</v>
      </c>
      <c r="D18762" s="2">
        <v>0.53800000000000003</v>
      </c>
      <c r="E18762" s="2">
        <v>11</v>
      </c>
      <c r="F18762" s="2" t="s">
        <v>16</v>
      </c>
    </row>
    <row r="18763" spans="1:6" ht="25.5">
      <c r="A18763" s="2">
        <v>18760</v>
      </c>
      <c r="B18763" s="2" t="s">
        <v>18832</v>
      </c>
      <c r="C18763" s="2" t="str">
        <f>"09325026"</f>
        <v>09325026</v>
      </c>
      <c r="D18763" s="2">
        <v>0.74299999999999999</v>
      </c>
      <c r="E18763" s="2">
        <v>14</v>
      </c>
      <c r="F18763" s="2" t="s">
        <v>6</v>
      </c>
    </row>
    <row r="18764" spans="1:6" ht="25.5">
      <c r="A18764" s="2">
        <v>18761</v>
      </c>
      <c r="B18764" s="2" t="s">
        <v>18833</v>
      </c>
      <c r="C18764" s="2" t="str">
        <f>"08834237"</f>
        <v>08834237</v>
      </c>
      <c r="D18764" s="2">
        <v>1.397</v>
      </c>
      <c r="E18764" s="2">
        <v>56</v>
      </c>
      <c r="F18764" s="2" t="s">
        <v>6</v>
      </c>
    </row>
    <row r="18765" spans="1:6" ht="25.5">
      <c r="A18765" s="2">
        <v>18762</v>
      </c>
      <c r="B18765" s="2" t="s">
        <v>18834</v>
      </c>
      <c r="C18765" s="2" t="str">
        <f>"00390402"</f>
        <v>00390402</v>
      </c>
      <c r="D18765" s="2">
        <v>0.52600000000000002</v>
      </c>
      <c r="E18765" s="2">
        <v>21</v>
      </c>
      <c r="F18765" s="2" t="s">
        <v>16</v>
      </c>
    </row>
    <row r="18766" spans="1:6" ht="25.5">
      <c r="A18766" s="2">
        <v>18763</v>
      </c>
      <c r="B18766" s="2" t="s">
        <v>18835</v>
      </c>
      <c r="C18766" s="2" t="str">
        <f>"10170405"</f>
        <v>10170405</v>
      </c>
      <c r="D18766" s="2">
        <v>2.177</v>
      </c>
      <c r="E18766" s="2">
        <v>45</v>
      </c>
      <c r="F18766" s="2" t="s">
        <v>165</v>
      </c>
    </row>
    <row r="18767" spans="1:6" ht="25.5">
      <c r="A18767" s="2">
        <v>18764</v>
      </c>
      <c r="B18767" s="2" t="s">
        <v>18836</v>
      </c>
      <c r="C18767" s="2" t="str">
        <f>"10294910"</f>
        <v>10294910</v>
      </c>
      <c r="D18767" s="2">
        <v>0.57399999999999995</v>
      </c>
      <c r="E18767" s="2">
        <v>16</v>
      </c>
      <c r="F18767" s="2" t="s">
        <v>16</v>
      </c>
    </row>
    <row r="18768" spans="1:6" ht="25.5">
      <c r="A18768" s="2">
        <v>18765</v>
      </c>
      <c r="B18768" s="2" t="s">
        <v>18837</v>
      </c>
      <c r="C18768" s="2" t="str">
        <f>"15731375"</f>
        <v>15731375</v>
      </c>
      <c r="D18768" s="2">
        <v>1.8069999999999999</v>
      </c>
      <c r="E18768" s="2">
        <v>39</v>
      </c>
      <c r="F18768" s="2" t="s">
        <v>75</v>
      </c>
    </row>
    <row r="18769" spans="1:6" ht="25.5">
      <c r="A18769" s="2">
        <v>18766</v>
      </c>
      <c r="B18769" s="2" t="s">
        <v>18838</v>
      </c>
      <c r="C18769" s="2" t="str">
        <f>"01677152"</f>
        <v>01677152</v>
      </c>
      <c r="D18769" s="2">
        <v>0.67800000000000005</v>
      </c>
      <c r="E18769" s="2">
        <v>34</v>
      </c>
      <c r="F18769" s="2" t="s">
        <v>75</v>
      </c>
    </row>
    <row r="18770" spans="1:6" ht="25.5">
      <c r="A18770" s="2">
        <v>18767</v>
      </c>
      <c r="B18770" s="2" t="s">
        <v>18839</v>
      </c>
      <c r="C18770" s="2" t="str">
        <f>"15701824"</f>
        <v>15701824</v>
      </c>
      <c r="D18770" s="2">
        <v>0.24199999999999999</v>
      </c>
      <c r="E18770" s="2">
        <v>2</v>
      </c>
      <c r="F18770" s="2" t="s">
        <v>503</v>
      </c>
    </row>
    <row r="18771" spans="1:6" ht="25.5">
      <c r="A18771" s="2">
        <v>18768</v>
      </c>
      <c r="B18771" s="2" t="s">
        <v>18840</v>
      </c>
      <c r="C18771" s="2" t="str">
        <f>"18671764"</f>
        <v>18671764</v>
      </c>
      <c r="D18771" s="2">
        <v>0.29399999999999998</v>
      </c>
      <c r="E18771" s="2">
        <v>1</v>
      </c>
      <c r="F18771" s="2" t="s">
        <v>6</v>
      </c>
    </row>
    <row r="18772" spans="1:6" ht="25.5">
      <c r="A18772" s="2">
        <v>18769</v>
      </c>
      <c r="B18772" s="2" t="s">
        <v>18841</v>
      </c>
      <c r="C18772" s="2" t="str">
        <f>"10970258"</f>
        <v>10970258</v>
      </c>
      <c r="D18772" s="2">
        <v>1.6910000000000001</v>
      </c>
      <c r="E18772" s="2">
        <v>102</v>
      </c>
      <c r="F18772" s="2" t="s">
        <v>16</v>
      </c>
    </row>
    <row r="18773" spans="1:6" ht="25.5">
      <c r="A18773" s="2">
        <v>18770</v>
      </c>
      <c r="B18773" s="2" t="s">
        <v>18842</v>
      </c>
      <c r="C18773" s="2" t="str">
        <f>"19357516"</f>
        <v>19357516</v>
      </c>
      <c r="D18773" s="2">
        <v>2.843</v>
      </c>
      <c r="E18773" s="2">
        <v>9</v>
      </c>
      <c r="F18773" s="2" t="s">
        <v>6</v>
      </c>
    </row>
    <row r="18774" spans="1:6" ht="25.5">
      <c r="A18774" s="2">
        <v>18771</v>
      </c>
      <c r="B18774" s="2" t="s">
        <v>18843</v>
      </c>
      <c r="C18774" s="2" t="str">
        <f>"03929701"</f>
        <v>03929701</v>
      </c>
      <c r="D18774" s="2">
        <v>0.126</v>
      </c>
      <c r="E18774" s="2">
        <v>1</v>
      </c>
      <c r="F18774" s="2" t="s">
        <v>190</v>
      </c>
    </row>
    <row r="18775" spans="1:6" ht="25.5">
      <c r="A18775" s="2">
        <v>18772</v>
      </c>
      <c r="B18775" s="2" t="s">
        <v>18844</v>
      </c>
      <c r="C18775" s="2" t="str">
        <f>"01443593"</f>
        <v>01443593</v>
      </c>
      <c r="D18775" s="2">
        <v>0.125</v>
      </c>
      <c r="E18775" s="2">
        <v>3</v>
      </c>
      <c r="F18775" s="2" t="s">
        <v>16</v>
      </c>
    </row>
    <row r="18776" spans="1:6" ht="25.5">
      <c r="A18776" s="2">
        <v>18773</v>
      </c>
      <c r="B18776" s="2" t="s">
        <v>18845</v>
      </c>
      <c r="C18776" s="2" t="str">
        <f>"12299367"</f>
        <v>12299367</v>
      </c>
      <c r="D18776" s="2">
        <v>0.51700000000000002</v>
      </c>
      <c r="E18776" s="2">
        <v>12</v>
      </c>
      <c r="F18776" s="2" t="s">
        <v>274</v>
      </c>
    </row>
    <row r="18777" spans="1:6" ht="25.5">
      <c r="A18777" s="2">
        <v>18774</v>
      </c>
      <c r="B18777" s="2" t="s">
        <v>18846</v>
      </c>
      <c r="C18777" s="2" t="str">
        <f>"09670912"</f>
        <v>09670912</v>
      </c>
      <c r="D18777" s="2">
        <v>0.114</v>
      </c>
      <c r="E18777" s="2">
        <v>2</v>
      </c>
      <c r="F18777" s="2" t="s">
        <v>6</v>
      </c>
    </row>
    <row r="18778" spans="1:6" ht="25.5">
      <c r="A18778" s="2">
        <v>18775</v>
      </c>
      <c r="B18778" s="2" t="s">
        <v>18847</v>
      </c>
      <c r="C18778" s="2" t="str">
        <f>"16113683"</f>
        <v>16113683</v>
      </c>
      <c r="D18778" s="2">
        <v>0.68700000000000006</v>
      </c>
      <c r="E18778" s="2">
        <v>24</v>
      </c>
      <c r="F18778" s="2" t="s">
        <v>12</v>
      </c>
    </row>
    <row r="18779" spans="1:6" ht="25.5">
      <c r="A18779" s="2">
        <v>18776</v>
      </c>
      <c r="B18779" s="2" t="s">
        <v>18848</v>
      </c>
      <c r="C18779" s="2" t="str">
        <f>"18767753"</f>
        <v>18767753</v>
      </c>
      <c r="D18779" s="2">
        <v>1.494</v>
      </c>
      <c r="E18779" s="2">
        <v>22</v>
      </c>
      <c r="F18779" s="2" t="s">
        <v>6</v>
      </c>
    </row>
    <row r="18780" spans="1:6" ht="25.5">
      <c r="A18780" s="2">
        <v>18777</v>
      </c>
      <c r="B18780" s="2" t="s">
        <v>18849</v>
      </c>
      <c r="C18780" s="2" t="str">
        <f>"17576512"</f>
        <v>17576512</v>
      </c>
      <c r="D18780" s="2">
        <v>0.80900000000000005</v>
      </c>
      <c r="E18780" s="2">
        <v>10</v>
      </c>
      <c r="F18780" s="2" t="s">
        <v>16</v>
      </c>
    </row>
    <row r="18781" spans="1:6" ht="25.5">
      <c r="A18781" s="2">
        <v>18778</v>
      </c>
      <c r="B18781" s="2" t="s">
        <v>18850</v>
      </c>
      <c r="C18781" s="2" t="str">
        <f>"15586804"</f>
        <v>15586804</v>
      </c>
      <c r="D18781" s="2">
        <v>1.262</v>
      </c>
      <c r="E18781" s="2">
        <v>33</v>
      </c>
      <c r="F18781" s="2" t="s">
        <v>6</v>
      </c>
    </row>
    <row r="18782" spans="1:6" ht="25.5">
      <c r="A18782" s="2">
        <v>18779</v>
      </c>
      <c r="B18782" s="2" t="s">
        <v>18851</v>
      </c>
      <c r="C18782" s="2" t="str">
        <f>"15494918"</f>
        <v>15494918</v>
      </c>
      <c r="D18782" s="2">
        <v>3.2669999999999999</v>
      </c>
      <c r="E18782" s="2">
        <v>135</v>
      </c>
      <c r="F18782" s="2" t="s">
        <v>6</v>
      </c>
    </row>
    <row r="18783" spans="1:6" ht="25.5">
      <c r="A18783" s="2">
        <v>18780</v>
      </c>
      <c r="B18783" s="2" t="s">
        <v>18852</v>
      </c>
      <c r="C18783" s="2" t="str">
        <f>"11786957"</f>
        <v>11786957</v>
      </c>
      <c r="D18783" s="2">
        <v>0.152</v>
      </c>
      <c r="E18783" s="2">
        <v>2</v>
      </c>
      <c r="F18783" s="2" t="s">
        <v>503</v>
      </c>
    </row>
    <row r="18784" spans="1:6" ht="25.5">
      <c r="A18784" s="2">
        <v>18781</v>
      </c>
      <c r="B18784" s="2" t="s">
        <v>18853</v>
      </c>
      <c r="C18784" s="2" t="str">
        <f>"15473287"</f>
        <v>15473287</v>
      </c>
      <c r="D18784" s="2">
        <v>1.4830000000000001</v>
      </c>
      <c r="E18784" s="2">
        <v>57</v>
      </c>
      <c r="F18784" s="2" t="s">
        <v>6</v>
      </c>
    </row>
    <row r="18785" spans="1:6" ht="25.5">
      <c r="A18785" s="2">
        <v>18782</v>
      </c>
      <c r="B18785" s="2" t="s">
        <v>18854</v>
      </c>
      <c r="C18785" s="2" t="str">
        <f>"16879678"</f>
        <v>16879678</v>
      </c>
      <c r="D18785" s="2">
        <v>0.34799999999999998</v>
      </c>
      <c r="E18785" s="2">
        <v>8</v>
      </c>
      <c r="F18785" s="2" t="s">
        <v>6</v>
      </c>
    </row>
    <row r="18786" spans="1:6" ht="25.5">
      <c r="A18786" s="2">
        <v>18783</v>
      </c>
      <c r="B18786" s="2" t="s">
        <v>18855</v>
      </c>
      <c r="C18786" s="2" t="str">
        <f>"21576580"</f>
        <v>21576580</v>
      </c>
      <c r="D18786" s="2">
        <v>0</v>
      </c>
      <c r="E18786" s="2">
        <v>3</v>
      </c>
      <c r="F18786" s="2" t="s">
        <v>6</v>
      </c>
    </row>
    <row r="18787" spans="1:6" ht="25.5">
      <c r="A18787" s="2">
        <v>18784</v>
      </c>
      <c r="B18787" s="2" t="s">
        <v>18856</v>
      </c>
      <c r="C18787" s="2" t="str">
        <f>"09247025"</f>
        <v>09247025</v>
      </c>
      <c r="D18787" s="2">
        <v>0.105</v>
      </c>
      <c r="E18787" s="2">
        <v>0</v>
      </c>
      <c r="F18787" s="2" t="s">
        <v>75</v>
      </c>
    </row>
    <row r="18788" spans="1:6" ht="25.5">
      <c r="A18788" s="2">
        <v>18785</v>
      </c>
      <c r="B18788" s="2" t="s">
        <v>18857</v>
      </c>
      <c r="C18788" s="2" t="str">
        <f>"14230372"</f>
        <v>14230372</v>
      </c>
      <c r="D18788" s="2">
        <v>0.61099999999999999</v>
      </c>
      <c r="E18788" s="2">
        <v>42</v>
      </c>
      <c r="F18788" s="2" t="s">
        <v>31</v>
      </c>
    </row>
    <row r="18789" spans="1:6" ht="25.5">
      <c r="A18789" s="2">
        <v>18786</v>
      </c>
      <c r="B18789" s="2" t="s">
        <v>18858</v>
      </c>
      <c r="C18789" s="2" t="str">
        <f>"0039128X"</f>
        <v>0039128X</v>
      </c>
      <c r="D18789" s="2">
        <v>0.76200000000000001</v>
      </c>
      <c r="E18789" s="2">
        <v>70</v>
      </c>
      <c r="F18789" s="2" t="s">
        <v>6</v>
      </c>
    </row>
    <row r="18790" spans="1:6">
      <c r="A18790" s="2">
        <v>18787</v>
      </c>
      <c r="B18790" s="2" t="s">
        <v>18859</v>
      </c>
      <c r="C18790" s="2" t="str">
        <f>"0"</f>
        <v>0</v>
      </c>
      <c r="D18790" s="2">
        <v>0</v>
      </c>
      <c r="E18790" s="2">
        <v>0</v>
      </c>
      <c r="F18790" s="2" t="s">
        <v>6</v>
      </c>
    </row>
    <row r="18791" spans="1:6" ht="25.5">
      <c r="A18791" s="2">
        <v>18788</v>
      </c>
      <c r="B18791" s="2" t="s">
        <v>18860</v>
      </c>
      <c r="C18791" s="2" t="str">
        <f>"17459656"</f>
        <v>17459656</v>
      </c>
      <c r="D18791" s="2">
        <v>0.27</v>
      </c>
      <c r="E18791" s="2">
        <v>8</v>
      </c>
      <c r="F18791" s="2" t="s">
        <v>16</v>
      </c>
    </row>
    <row r="18792" spans="1:6" ht="25.5">
      <c r="A18792" s="2">
        <v>18789</v>
      </c>
      <c r="B18792" s="2" t="s">
        <v>18861</v>
      </c>
      <c r="C18792" s="2" t="str">
        <f>"15329356"</f>
        <v>15329356</v>
      </c>
      <c r="D18792" s="2">
        <v>0.42</v>
      </c>
      <c r="E18792" s="2">
        <v>20</v>
      </c>
      <c r="F18792" s="2" t="s">
        <v>16</v>
      </c>
    </row>
    <row r="18793" spans="1:6" ht="25.5">
      <c r="A18793" s="2">
        <v>18790</v>
      </c>
      <c r="B18793" s="2" t="s">
        <v>18862</v>
      </c>
      <c r="C18793" s="2" t="str">
        <f>"14363259"</f>
        <v>14363259</v>
      </c>
      <c r="D18793" s="2">
        <v>1.121</v>
      </c>
      <c r="E18793" s="2">
        <v>29</v>
      </c>
      <c r="F18793" s="2" t="s">
        <v>6</v>
      </c>
    </row>
    <row r="18794" spans="1:6" ht="25.5">
      <c r="A18794" s="2">
        <v>18791</v>
      </c>
      <c r="B18794" s="2" t="s">
        <v>18863</v>
      </c>
      <c r="C18794" s="2" t="str">
        <f>"15326349"</f>
        <v>15326349</v>
      </c>
      <c r="D18794" s="2">
        <v>0.36</v>
      </c>
      <c r="E18794" s="2">
        <v>21</v>
      </c>
      <c r="F18794" s="2" t="s">
        <v>16</v>
      </c>
    </row>
    <row r="18795" spans="1:6" ht="25.5">
      <c r="A18795" s="2">
        <v>18792</v>
      </c>
      <c r="B18795" s="2" t="s">
        <v>18864</v>
      </c>
      <c r="C18795" s="2" t="str">
        <f>"03044149"</f>
        <v>03044149</v>
      </c>
      <c r="D18795" s="2">
        <v>1.1220000000000001</v>
      </c>
      <c r="E18795" s="2">
        <v>41</v>
      </c>
      <c r="F18795" s="2" t="s">
        <v>75</v>
      </c>
    </row>
    <row r="18796" spans="1:6" ht="25.5">
      <c r="A18796" s="2">
        <v>18793</v>
      </c>
      <c r="B18796" s="2" t="s">
        <v>18865</v>
      </c>
      <c r="C18796" s="2" t="str">
        <f>"00909491"</f>
        <v>00909491</v>
      </c>
      <c r="D18796" s="2">
        <v>0.44800000000000001</v>
      </c>
      <c r="E18796" s="2">
        <v>8</v>
      </c>
      <c r="F18796" s="2" t="s">
        <v>31</v>
      </c>
    </row>
    <row r="18797" spans="1:6" ht="25.5">
      <c r="A18797" s="2">
        <v>18794</v>
      </c>
      <c r="B18797" s="2" t="s">
        <v>18866</v>
      </c>
      <c r="C18797" s="2" t="str">
        <f>"02194937"</f>
        <v>02194937</v>
      </c>
      <c r="D18797" s="2">
        <v>0.54900000000000004</v>
      </c>
      <c r="E18797" s="2">
        <v>10</v>
      </c>
      <c r="F18797" s="2" t="s">
        <v>543</v>
      </c>
    </row>
    <row r="18798" spans="1:6" ht="25.5">
      <c r="A18798" s="2">
        <v>18795</v>
      </c>
      <c r="B18798" s="2" t="s">
        <v>18867</v>
      </c>
      <c r="C18798" s="2" t="str">
        <f>"13928589"</f>
        <v>13928589</v>
      </c>
      <c r="D18798" s="2">
        <v>0.182</v>
      </c>
      <c r="E18798" s="2">
        <v>7</v>
      </c>
      <c r="F18798" s="2" t="s">
        <v>426</v>
      </c>
    </row>
    <row r="18799" spans="1:6" ht="25.5">
      <c r="A18799" s="2">
        <v>18796</v>
      </c>
      <c r="B18799" s="2" t="s">
        <v>18868</v>
      </c>
      <c r="C18799" s="2" t="str">
        <f>"00391735"</f>
        <v>00391735</v>
      </c>
      <c r="D18799" s="2">
        <v>0.10199999999999999</v>
      </c>
      <c r="E18799" s="2">
        <v>6</v>
      </c>
      <c r="F18799" s="2" t="s">
        <v>129</v>
      </c>
    </row>
    <row r="18800" spans="1:6" ht="25.5">
      <c r="A18800" s="2">
        <v>18797</v>
      </c>
      <c r="B18800" s="2" t="s">
        <v>18869</v>
      </c>
      <c r="C18800" s="2" t="str">
        <f>"19320280"</f>
        <v>19320280</v>
      </c>
      <c r="D18800" s="2">
        <v>0.112</v>
      </c>
      <c r="E18800" s="2">
        <v>1</v>
      </c>
      <c r="F18800" s="2" t="s">
        <v>16</v>
      </c>
    </row>
    <row r="18801" spans="1:6" ht="25.5">
      <c r="A18801" s="2">
        <v>18798</v>
      </c>
      <c r="B18801" s="2" t="s">
        <v>18870</v>
      </c>
      <c r="C18801" s="2" t="str">
        <f>"15477371"</f>
        <v>15477371</v>
      </c>
      <c r="D18801" s="2">
        <v>0.21</v>
      </c>
      <c r="E18801" s="2">
        <v>3</v>
      </c>
      <c r="F18801" s="2" t="s">
        <v>6</v>
      </c>
    </row>
    <row r="18802" spans="1:6" ht="25.5">
      <c r="A18802" s="2">
        <v>18799</v>
      </c>
      <c r="B18802" s="2" t="s">
        <v>18871</v>
      </c>
      <c r="C18802" s="2" t="str">
        <f>"11571497"</f>
        <v>11571497</v>
      </c>
      <c r="D18802" s="2">
        <v>0.16400000000000001</v>
      </c>
      <c r="E18802" s="2">
        <v>9</v>
      </c>
      <c r="F18802" s="2" t="s">
        <v>66</v>
      </c>
    </row>
    <row r="18803" spans="1:6" ht="25.5">
      <c r="A18803" s="2">
        <v>18800</v>
      </c>
      <c r="B18803" s="2" t="s">
        <v>18872</v>
      </c>
      <c r="C18803" s="2" t="str">
        <f>"17445132"</f>
        <v>17445132</v>
      </c>
      <c r="D18803" s="2">
        <v>0.35699999999999998</v>
      </c>
      <c r="E18803" s="2">
        <v>19</v>
      </c>
      <c r="F18803" s="2" t="s">
        <v>16</v>
      </c>
    </row>
    <row r="18804" spans="1:6" ht="25.5">
      <c r="A18804" s="2">
        <v>18801</v>
      </c>
      <c r="B18804" s="2" t="s">
        <v>18873</v>
      </c>
      <c r="C18804" s="2" t="str">
        <f>"00392049"</f>
        <v>00392049</v>
      </c>
      <c r="D18804" s="2">
        <v>0.1</v>
      </c>
      <c r="E18804" s="2">
        <v>2</v>
      </c>
      <c r="F18804" s="2" t="s">
        <v>16</v>
      </c>
    </row>
    <row r="18805" spans="1:6" ht="25.5">
      <c r="A18805" s="2">
        <v>18802</v>
      </c>
      <c r="B18805" s="2" t="s">
        <v>18874</v>
      </c>
      <c r="C18805" s="2" t="str">
        <f>"1439099X"</f>
        <v>1439099X</v>
      </c>
      <c r="D18805" s="2">
        <v>1.034</v>
      </c>
      <c r="E18805" s="2">
        <v>48</v>
      </c>
      <c r="F18805" s="2" t="s">
        <v>12</v>
      </c>
    </row>
    <row r="18806" spans="1:6" ht="25.5">
      <c r="A18806" s="2">
        <v>18803</v>
      </c>
      <c r="B18806" s="2" t="s">
        <v>18875</v>
      </c>
      <c r="C18806" s="2" t="str">
        <f>"14751305"</f>
        <v>14751305</v>
      </c>
      <c r="D18806" s="2">
        <v>0.375</v>
      </c>
      <c r="E18806" s="2">
        <v>21</v>
      </c>
      <c r="F18806" s="2" t="s">
        <v>16</v>
      </c>
    </row>
    <row r="18807" spans="1:6" ht="25.5">
      <c r="A18807" s="2">
        <v>18804</v>
      </c>
      <c r="B18807" s="2" t="s">
        <v>18876</v>
      </c>
      <c r="C18807" s="2" t="str">
        <f>"13567888"</f>
        <v>13567888</v>
      </c>
      <c r="D18807" s="2">
        <v>0.17799999999999999</v>
      </c>
      <c r="E18807" s="2">
        <v>1</v>
      </c>
      <c r="F18807" s="2" t="s">
        <v>6</v>
      </c>
    </row>
    <row r="18808" spans="1:6" ht="25.5">
      <c r="A18808" s="2">
        <v>18805</v>
      </c>
      <c r="B18808" s="2" t="s">
        <v>18877</v>
      </c>
      <c r="C18808" s="2" t="str">
        <f>"02580543"</f>
        <v>02580543</v>
      </c>
      <c r="D18808" s="2">
        <v>0.10199999999999999</v>
      </c>
      <c r="E18808" s="2">
        <v>3</v>
      </c>
      <c r="F18808" s="2" t="s">
        <v>16</v>
      </c>
    </row>
    <row r="18809" spans="1:6" ht="25.5">
      <c r="A18809" s="2">
        <v>18806</v>
      </c>
      <c r="B18809" s="2" t="s">
        <v>18878</v>
      </c>
      <c r="C18809" s="2" t="str">
        <f>"1932443X"</f>
        <v>1932443X</v>
      </c>
      <c r="D18809" s="2">
        <v>0.46300000000000002</v>
      </c>
      <c r="E18809" s="2">
        <v>3</v>
      </c>
      <c r="F18809" s="2" t="s">
        <v>6</v>
      </c>
    </row>
    <row r="18810" spans="1:6" ht="25.5">
      <c r="A18810" s="2">
        <v>18807</v>
      </c>
      <c r="B18810" s="2" t="s">
        <v>18879</v>
      </c>
      <c r="C18810" s="2" t="str">
        <f>"10970266"</f>
        <v>10970266</v>
      </c>
      <c r="D18810" s="2">
        <v>5.6130000000000004</v>
      </c>
      <c r="E18810" s="2">
        <v>146</v>
      </c>
      <c r="F18810" s="2" t="s">
        <v>16</v>
      </c>
    </row>
    <row r="18811" spans="1:6" ht="25.5">
      <c r="A18811" s="2">
        <v>18808</v>
      </c>
      <c r="B18811" s="2" t="s">
        <v>18880</v>
      </c>
      <c r="C18811" s="2" t="str">
        <f>"1741315X"</f>
        <v>1741315X</v>
      </c>
      <c r="D18811" s="2">
        <v>1.349</v>
      </c>
      <c r="E18811" s="2">
        <v>9</v>
      </c>
      <c r="F18811" s="2" t="s">
        <v>16</v>
      </c>
    </row>
    <row r="18812" spans="1:6" ht="25.5">
      <c r="A18812" s="2">
        <v>18809</v>
      </c>
      <c r="B18812" s="2" t="s">
        <v>18881</v>
      </c>
      <c r="C18812" s="2" t="str">
        <f>"15460126"</f>
        <v>15460126</v>
      </c>
      <c r="D18812" s="2">
        <v>0.10100000000000001</v>
      </c>
      <c r="E18812" s="2">
        <v>3</v>
      </c>
      <c r="F18812" s="2" t="s">
        <v>6</v>
      </c>
    </row>
    <row r="18813" spans="1:6" ht="25.5">
      <c r="A18813" s="2">
        <v>18810</v>
      </c>
      <c r="B18813" s="2" t="s">
        <v>18882</v>
      </c>
      <c r="C18813" s="2" t="str">
        <f>"18746004"</f>
        <v>18746004</v>
      </c>
      <c r="D18813" s="2">
        <v>0</v>
      </c>
      <c r="E18813" s="2">
        <v>6</v>
      </c>
      <c r="F18813" s="2" t="s">
        <v>6</v>
      </c>
    </row>
    <row r="18814" spans="1:6" ht="25.5">
      <c r="A18814" s="2">
        <v>18811</v>
      </c>
      <c r="B18814" s="2" t="s">
        <v>18883</v>
      </c>
      <c r="C18814" s="2" t="str">
        <f>"18288936"</f>
        <v>18288936</v>
      </c>
      <c r="D18814" s="2">
        <v>0.27700000000000002</v>
      </c>
      <c r="E18814" s="2">
        <v>7</v>
      </c>
      <c r="F18814" s="2" t="s">
        <v>190</v>
      </c>
    </row>
    <row r="18815" spans="1:6" ht="25.5">
      <c r="A18815" s="2">
        <v>18812</v>
      </c>
      <c r="B18815" s="2" t="s">
        <v>18884</v>
      </c>
      <c r="C18815" s="2" t="str">
        <f>"10878572"</f>
        <v>10878572</v>
      </c>
      <c r="D18815" s="2">
        <v>0.25600000000000001</v>
      </c>
      <c r="E18815" s="2">
        <v>12</v>
      </c>
      <c r="F18815" s="2" t="s">
        <v>16</v>
      </c>
    </row>
    <row r="18816" spans="1:6" ht="25.5">
      <c r="A18816" s="2">
        <v>18813</v>
      </c>
      <c r="B18816" s="2" t="s">
        <v>18885</v>
      </c>
      <c r="C18816" s="2" t="str">
        <f>"1547139X"</f>
        <v>1547139X</v>
      </c>
      <c r="D18816" s="2">
        <v>0.375</v>
      </c>
      <c r="E18816" s="2">
        <v>10</v>
      </c>
      <c r="F18816" s="2" t="s">
        <v>6</v>
      </c>
    </row>
    <row r="18817" spans="1:6" ht="25.5">
      <c r="A18817" s="2">
        <v>18814</v>
      </c>
      <c r="B18817" s="2" t="s">
        <v>18886</v>
      </c>
      <c r="C18817" s="2" t="str">
        <f>"08695938"</f>
        <v>08695938</v>
      </c>
      <c r="D18817" s="2">
        <v>0.52500000000000002</v>
      </c>
      <c r="E18817" s="2">
        <v>17</v>
      </c>
      <c r="F18817" s="2" t="s">
        <v>129</v>
      </c>
    </row>
    <row r="18818" spans="1:6" ht="25.5">
      <c r="A18818" s="2">
        <v>18815</v>
      </c>
      <c r="B18818" s="2" t="s">
        <v>18887</v>
      </c>
      <c r="C18818" s="2" t="str">
        <f>"15334295"</f>
        <v>15334295</v>
      </c>
      <c r="D18818" s="2">
        <v>0.26700000000000002</v>
      </c>
      <c r="E18818" s="2">
        <v>18</v>
      </c>
      <c r="F18818" s="2" t="s">
        <v>6</v>
      </c>
    </row>
    <row r="18819" spans="1:6" ht="25.5">
      <c r="A18819" s="2">
        <v>18816</v>
      </c>
      <c r="B18819" s="2" t="s">
        <v>18888</v>
      </c>
      <c r="C18819" s="2" t="str">
        <f>"15672069"</f>
        <v>15672069</v>
      </c>
      <c r="D18819" s="2">
        <v>0.192</v>
      </c>
      <c r="E18819" s="2">
        <v>5</v>
      </c>
      <c r="F18819" s="2" t="s">
        <v>75</v>
      </c>
    </row>
    <row r="18820" spans="1:6" ht="25.5">
      <c r="A18820" s="2">
        <v>18817</v>
      </c>
      <c r="B18820" s="2" t="s">
        <v>18889</v>
      </c>
      <c r="C18820" s="2" t="str">
        <f>"15739325"</f>
        <v>15739325</v>
      </c>
      <c r="D18820" s="2">
        <v>0.23400000000000001</v>
      </c>
      <c r="E18820" s="2">
        <v>6</v>
      </c>
      <c r="F18820" s="2" t="s">
        <v>6</v>
      </c>
    </row>
    <row r="18821" spans="1:6" ht="25.5">
      <c r="A18821" s="2">
        <v>18818</v>
      </c>
      <c r="B18821" s="2" t="s">
        <v>18890</v>
      </c>
      <c r="C18821" s="2" t="str">
        <f>"15323005"</f>
        <v>15323005</v>
      </c>
      <c r="D18821" s="2">
        <v>0.41699999999999998</v>
      </c>
      <c r="E18821" s="2">
        <v>32</v>
      </c>
      <c r="F18821" s="2" t="s">
        <v>6</v>
      </c>
    </row>
    <row r="18822" spans="1:6" ht="25.5">
      <c r="A18822" s="2">
        <v>18819</v>
      </c>
      <c r="B18822" s="2" t="s">
        <v>18891</v>
      </c>
      <c r="C18822" s="2" t="str">
        <f>"16078888"</f>
        <v>16078888</v>
      </c>
      <c r="D18822" s="2">
        <v>1.1220000000000001</v>
      </c>
      <c r="E18822" s="2">
        <v>46</v>
      </c>
      <c r="F18822" s="2" t="s">
        <v>16</v>
      </c>
    </row>
    <row r="18823" spans="1:6" ht="25.5">
      <c r="A18823" s="2">
        <v>18820</v>
      </c>
      <c r="B18823" s="2" t="s">
        <v>18892</v>
      </c>
      <c r="C18823" s="2" t="str">
        <f>"05621887"</f>
        <v>05621887</v>
      </c>
      <c r="D18823" s="2">
        <v>0.13700000000000001</v>
      </c>
      <c r="E18823" s="2">
        <v>6</v>
      </c>
      <c r="F18823" s="2" t="s">
        <v>149</v>
      </c>
    </row>
    <row r="18824" spans="1:6" ht="25.5">
      <c r="A18824" s="2">
        <v>18821</v>
      </c>
      <c r="B18824" s="2" t="s">
        <v>18893</v>
      </c>
      <c r="C18824" s="2" t="str">
        <f>"00392480"</f>
        <v>00392480</v>
      </c>
      <c r="D18824" s="2">
        <v>0.34799999999999998</v>
      </c>
      <c r="E18824" s="2">
        <v>10</v>
      </c>
      <c r="F18824" s="2" t="s">
        <v>154</v>
      </c>
    </row>
    <row r="18825" spans="1:6" ht="25.5">
      <c r="A18825" s="2">
        <v>18822</v>
      </c>
      <c r="B18825" s="2" t="s">
        <v>18894</v>
      </c>
      <c r="C18825" s="2" t="str">
        <f>"15244628"</f>
        <v>15244628</v>
      </c>
      <c r="D18825" s="2">
        <v>3.2010000000000001</v>
      </c>
      <c r="E18825" s="2">
        <v>208</v>
      </c>
      <c r="F18825" s="2" t="s">
        <v>6</v>
      </c>
    </row>
    <row r="18826" spans="1:6" ht="25.5">
      <c r="A18826" s="2">
        <v>18823</v>
      </c>
      <c r="B18826" s="2" t="s">
        <v>18895</v>
      </c>
      <c r="C18826" s="2" t="str">
        <f>"16151488"</f>
        <v>16151488</v>
      </c>
      <c r="D18826" s="2">
        <v>1.2729999999999999</v>
      </c>
      <c r="E18826" s="2">
        <v>54</v>
      </c>
      <c r="F18826" s="2" t="s">
        <v>12</v>
      </c>
    </row>
    <row r="18827" spans="1:6" ht="25.5">
      <c r="A18827" s="2">
        <v>18824</v>
      </c>
      <c r="B18827" s="2" t="s">
        <v>18896</v>
      </c>
      <c r="C18827" s="2" t="str">
        <f>"0954349X"</f>
        <v>0954349X</v>
      </c>
      <c r="D18827" s="2">
        <v>0.36699999999999999</v>
      </c>
      <c r="E18827" s="2">
        <v>23</v>
      </c>
      <c r="F18827" s="2" t="s">
        <v>75</v>
      </c>
    </row>
    <row r="18828" spans="1:6" ht="25.5">
      <c r="A18828" s="2">
        <v>18825</v>
      </c>
      <c r="B18828" s="2" t="s">
        <v>18897</v>
      </c>
      <c r="C18828" s="2" t="str">
        <f>"15729001"</f>
        <v>15729001</v>
      </c>
      <c r="D18828" s="2">
        <v>0.47399999999999998</v>
      </c>
      <c r="E18828" s="2">
        <v>28</v>
      </c>
      <c r="F18828" s="2" t="s">
        <v>6</v>
      </c>
    </row>
    <row r="18829" spans="1:6" ht="25.5">
      <c r="A18829" s="2">
        <v>18826</v>
      </c>
      <c r="B18829" s="2" t="s">
        <v>18898</v>
      </c>
      <c r="C18829" s="2" t="str">
        <f>"14644177"</f>
        <v>14644177</v>
      </c>
      <c r="D18829" s="2">
        <v>0.311</v>
      </c>
      <c r="E18829" s="2">
        <v>7</v>
      </c>
      <c r="F18829" s="2" t="s">
        <v>6</v>
      </c>
    </row>
    <row r="18830" spans="1:6" ht="25.5">
      <c r="A18830" s="2">
        <v>18827</v>
      </c>
      <c r="B18830" s="2" t="s">
        <v>18899</v>
      </c>
      <c r="C18830" s="2" t="str">
        <f>"15452255"</f>
        <v>15452255</v>
      </c>
      <c r="D18830" s="2">
        <v>1.1479999999999999</v>
      </c>
      <c r="E18830" s="2">
        <v>21</v>
      </c>
      <c r="F18830" s="2" t="s">
        <v>16</v>
      </c>
    </row>
    <row r="18831" spans="1:6" ht="25.5">
      <c r="A18831" s="2">
        <v>18828</v>
      </c>
      <c r="B18831" s="2" t="s">
        <v>18900</v>
      </c>
      <c r="C18831" s="2" t="str">
        <f>"15417808"</f>
        <v>15417808</v>
      </c>
      <c r="D18831" s="2">
        <v>0.93200000000000005</v>
      </c>
      <c r="E18831" s="2">
        <v>17</v>
      </c>
      <c r="F18831" s="2" t="s">
        <v>16</v>
      </c>
    </row>
    <row r="18832" spans="1:6" ht="25.5">
      <c r="A18832" s="2">
        <v>18829</v>
      </c>
      <c r="B18832" s="2" t="s">
        <v>18901</v>
      </c>
      <c r="C18832" s="2" t="str">
        <f>"12254568"</f>
        <v>12254568</v>
      </c>
      <c r="D18832" s="2">
        <v>0.309</v>
      </c>
      <c r="E18832" s="2">
        <v>23</v>
      </c>
      <c r="F18832" s="2" t="s">
        <v>274</v>
      </c>
    </row>
    <row r="18833" spans="1:6" ht="25.5">
      <c r="A18833" s="2">
        <v>18830</v>
      </c>
      <c r="B18833" s="2" t="s">
        <v>18902</v>
      </c>
      <c r="C18833" s="2" t="str">
        <f>"02898063"</f>
        <v>02898063</v>
      </c>
      <c r="D18833" s="2">
        <v>0.10199999999999999</v>
      </c>
      <c r="E18833" s="2">
        <v>10</v>
      </c>
      <c r="F18833" s="2" t="s">
        <v>131</v>
      </c>
    </row>
    <row r="18834" spans="1:6" ht="25.5">
      <c r="A18834" s="2">
        <v>18831</v>
      </c>
      <c r="B18834" s="2" t="s">
        <v>18903</v>
      </c>
      <c r="C18834" s="2" t="str">
        <f>"10168664"</f>
        <v>10168664</v>
      </c>
      <c r="D18834" s="2">
        <v>0.20799999999999999</v>
      </c>
      <c r="E18834" s="2">
        <v>17</v>
      </c>
      <c r="F18834" s="2" t="s">
        <v>31</v>
      </c>
    </row>
    <row r="18835" spans="1:6" ht="25.5">
      <c r="A18835" s="2">
        <v>18832</v>
      </c>
      <c r="B18835" s="2" t="s">
        <v>18904</v>
      </c>
      <c r="C18835" s="2" t="str">
        <f>"15328007"</f>
        <v>15328007</v>
      </c>
      <c r="D18835" s="2">
        <v>2.1560000000000001</v>
      </c>
      <c r="E18835" s="2">
        <v>53</v>
      </c>
      <c r="F18835" s="2" t="s">
        <v>16</v>
      </c>
    </row>
    <row r="18836" spans="1:6" ht="25.5">
      <c r="A18836" s="2">
        <v>18833</v>
      </c>
      <c r="B18836" s="2" t="s">
        <v>18905</v>
      </c>
      <c r="C18836" s="2" t="str">
        <f>"14759217"</f>
        <v>14759217</v>
      </c>
      <c r="D18836" s="2">
        <v>0.71599999999999997</v>
      </c>
      <c r="E18836" s="2">
        <v>26</v>
      </c>
      <c r="F18836" s="2" t="s">
        <v>16</v>
      </c>
    </row>
    <row r="18837" spans="1:6" ht="25.5">
      <c r="A18837" s="2">
        <v>18834</v>
      </c>
      <c r="B18837" s="2" t="s">
        <v>18906</v>
      </c>
      <c r="C18837" s="2" t="str">
        <f>"01674730"</f>
        <v>01674730</v>
      </c>
      <c r="D18837" s="2">
        <v>2.5369999999999999</v>
      </c>
      <c r="E18837" s="2">
        <v>43</v>
      </c>
      <c r="F18837" s="2" t="s">
        <v>75</v>
      </c>
    </row>
    <row r="18838" spans="1:6" ht="25.5">
      <c r="A18838" s="2">
        <v>18835</v>
      </c>
      <c r="B18838" s="2" t="s">
        <v>18907</v>
      </c>
      <c r="C18838" s="2" t="str">
        <f>"0263080X"</f>
        <v>0263080X</v>
      </c>
      <c r="D18838" s="2">
        <v>0.27200000000000002</v>
      </c>
      <c r="E18838" s="2">
        <v>8</v>
      </c>
      <c r="F18838" s="2" t="s">
        <v>16</v>
      </c>
    </row>
    <row r="18839" spans="1:6" ht="25.5">
      <c r="A18839" s="2">
        <v>18836</v>
      </c>
      <c r="B18839" s="2" t="s">
        <v>18908</v>
      </c>
      <c r="C18839" s="2" t="str">
        <f>"09692126"</f>
        <v>09692126</v>
      </c>
      <c r="D18839" s="2">
        <v>3.476</v>
      </c>
      <c r="E18839" s="2">
        <v>128</v>
      </c>
      <c r="F18839" s="2" t="s">
        <v>6</v>
      </c>
    </row>
    <row r="18840" spans="1:6" ht="25.5">
      <c r="A18840" s="2">
        <v>18837</v>
      </c>
      <c r="B18840" s="2" t="s">
        <v>18909</v>
      </c>
      <c r="C18840" s="2" t="str">
        <f>"00815993"</f>
        <v>00815993</v>
      </c>
      <c r="D18840" s="2">
        <v>0.91700000000000004</v>
      </c>
      <c r="E18840" s="2">
        <v>24</v>
      </c>
      <c r="F18840" s="2" t="s">
        <v>12</v>
      </c>
    </row>
    <row r="18841" spans="1:6" ht="25.5">
      <c r="A18841" s="2">
        <v>18838</v>
      </c>
      <c r="B18841" s="2" t="s">
        <v>18910</v>
      </c>
      <c r="C18841" s="2" t="str">
        <f>"17448980"</f>
        <v>17448980</v>
      </c>
      <c r="D18841" s="2">
        <v>0.83099999999999996</v>
      </c>
      <c r="E18841" s="2">
        <v>14</v>
      </c>
      <c r="F18841" s="2" t="s">
        <v>16</v>
      </c>
    </row>
    <row r="18842" spans="1:6" ht="25.5">
      <c r="A18842" s="2">
        <v>18839</v>
      </c>
      <c r="B18842" s="2" t="s">
        <v>18911</v>
      </c>
      <c r="C18842" s="2" t="str">
        <f>"00392618"</f>
        <v>00392618</v>
      </c>
      <c r="D18842" s="2">
        <v>0.1</v>
      </c>
      <c r="E18842" s="2">
        <v>2</v>
      </c>
      <c r="F18842" s="2" t="s">
        <v>190</v>
      </c>
    </row>
    <row r="18843" spans="1:6" ht="25.5">
      <c r="A18843" s="2">
        <v>18840</v>
      </c>
      <c r="B18843" s="2" t="s">
        <v>18912</v>
      </c>
      <c r="C18843" s="2" t="str">
        <f>"00816272"</f>
        <v>00816272</v>
      </c>
      <c r="D18843" s="2">
        <v>0.10199999999999999</v>
      </c>
      <c r="E18843" s="2">
        <v>1</v>
      </c>
      <c r="F18843" s="2" t="s">
        <v>169</v>
      </c>
    </row>
    <row r="18844" spans="1:6" ht="25.5">
      <c r="A18844" s="2">
        <v>18841</v>
      </c>
      <c r="B18844" s="2" t="s">
        <v>18913</v>
      </c>
      <c r="C18844" s="2" t="str">
        <f>"12242284"</f>
        <v>12242284</v>
      </c>
      <c r="D18844" s="2">
        <v>0.10299999999999999</v>
      </c>
      <c r="E18844" s="2">
        <v>0</v>
      </c>
      <c r="F18844" s="2" t="s">
        <v>19</v>
      </c>
    </row>
    <row r="18845" spans="1:6" ht="25.5">
      <c r="A18845" s="2">
        <v>18842</v>
      </c>
      <c r="B18845" s="2" t="s">
        <v>18914</v>
      </c>
      <c r="C18845" s="2" t="str">
        <f>"00816426"</f>
        <v>00816426</v>
      </c>
      <c r="D18845" s="2">
        <v>0.14099999999999999</v>
      </c>
      <c r="E18845" s="2">
        <v>9</v>
      </c>
      <c r="F18845" s="2" t="s">
        <v>169</v>
      </c>
    </row>
    <row r="18846" spans="1:6" ht="25.5">
      <c r="A18846" s="2">
        <v>18843</v>
      </c>
      <c r="B18846" s="2" t="s">
        <v>18915</v>
      </c>
      <c r="C18846" s="2" t="str">
        <f>"15731626"</f>
        <v>15731626</v>
      </c>
      <c r="D18846" s="2">
        <v>0.47699999999999998</v>
      </c>
      <c r="E18846" s="2">
        <v>23</v>
      </c>
      <c r="F18846" s="2" t="s">
        <v>75</v>
      </c>
    </row>
    <row r="18847" spans="1:6" ht="25.5">
      <c r="A18847" s="2">
        <v>18844</v>
      </c>
      <c r="B18847" s="2" t="s">
        <v>18916</v>
      </c>
      <c r="C18847" s="2" t="str">
        <f>"02132060"</f>
        <v>02132060</v>
      </c>
      <c r="D18847" s="2">
        <v>0.10299999999999999</v>
      </c>
      <c r="E18847" s="2">
        <v>1</v>
      </c>
      <c r="F18847" s="2" t="s">
        <v>351</v>
      </c>
    </row>
    <row r="18848" spans="1:6" ht="25.5">
      <c r="A18848" s="2">
        <v>18845</v>
      </c>
      <c r="B18848" s="2" t="s">
        <v>18917</v>
      </c>
      <c r="C18848" s="2" t="str">
        <f>"02132079"</f>
        <v>02132079</v>
      </c>
      <c r="D18848" s="2">
        <v>0.10299999999999999</v>
      </c>
      <c r="E18848" s="2">
        <v>0</v>
      </c>
      <c r="F18848" s="2" t="s">
        <v>351</v>
      </c>
    </row>
    <row r="18849" spans="1:6" ht="25.5">
      <c r="A18849" s="2">
        <v>18846</v>
      </c>
      <c r="B18849" s="2" t="s">
        <v>18918</v>
      </c>
      <c r="C18849" s="2" t="str">
        <f>"02215004"</f>
        <v>02215004</v>
      </c>
      <c r="D18849" s="2">
        <v>0.104</v>
      </c>
      <c r="E18849" s="2">
        <v>1</v>
      </c>
      <c r="F18849" s="2" t="s">
        <v>66</v>
      </c>
    </row>
    <row r="18850" spans="1:6" ht="25.5">
      <c r="A18850" s="2">
        <v>18847</v>
      </c>
      <c r="B18850" s="2" t="s">
        <v>18919</v>
      </c>
      <c r="C18850" s="2" t="str">
        <f>"00393185"</f>
        <v>00393185</v>
      </c>
      <c r="D18850" s="2">
        <v>0.10100000000000001</v>
      </c>
      <c r="E18850" s="2">
        <v>2</v>
      </c>
      <c r="F18850" s="2" t="s">
        <v>12</v>
      </c>
    </row>
    <row r="18851" spans="1:6" ht="25.5">
      <c r="A18851" s="2">
        <v>18848</v>
      </c>
      <c r="B18851" s="2" t="s">
        <v>18920</v>
      </c>
      <c r="C18851" s="2" t="str">
        <f>"00393193"</f>
        <v>00393193</v>
      </c>
      <c r="D18851" s="2">
        <v>0.42</v>
      </c>
      <c r="E18851" s="2">
        <v>8</v>
      </c>
      <c r="F18851" s="2" t="s">
        <v>16</v>
      </c>
    </row>
    <row r="18852" spans="1:6" ht="25.5">
      <c r="A18852" s="2">
        <v>18849</v>
      </c>
      <c r="B18852" s="2" t="s">
        <v>18921</v>
      </c>
      <c r="C18852" s="2" t="str">
        <f>"00393215"</f>
        <v>00393215</v>
      </c>
      <c r="D18852" s="2">
        <v>1.1399999999999999</v>
      </c>
      <c r="E18852" s="2">
        <v>19</v>
      </c>
      <c r="F18852" s="2" t="s">
        <v>75</v>
      </c>
    </row>
    <row r="18853" spans="1:6" ht="25.5">
      <c r="A18853" s="2">
        <v>18850</v>
      </c>
      <c r="B18853" s="2" t="s">
        <v>18922</v>
      </c>
      <c r="C18853" s="2" t="str">
        <f>"00393223"</f>
        <v>00393223</v>
      </c>
      <c r="D18853" s="2">
        <v>0.73099999999999998</v>
      </c>
      <c r="E18853" s="2">
        <v>31</v>
      </c>
      <c r="F18853" s="2" t="s">
        <v>169</v>
      </c>
    </row>
    <row r="18854" spans="1:6" ht="25.5">
      <c r="A18854" s="2">
        <v>18851</v>
      </c>
      <c r="B18854" s="2" t="s">
        <v>18923</v>
      </c>
      <c r="C18854" s="2" t="str">
        <f>"00393258"</f>
        <v>00393258</v>
      </c>
      <c r="D18854" s="2">
        <v>0.10199999999999999</v>
      </c>
      <c r="E18854" s="2">
        <v>1</v>
      </c>
      <c r="F18854" s="2" t="s">
        <v>351</v>
      </c>
    </row>
    <row r="18855" spans="1:6" ht="25.5">
      <c r="A18855" s="2">
        <v>18852</v>
      </c>
      <c r="B18855" s="2" t="s">
        <v>18924</v>
      </c>
      <c r="C18855" s="2" t="str">
        <f>"17886244"</f>
        <v>17886244</v>
      </c>
      <c r="D18855" s="2">
        <v>0.1</v>
      </c>
      <c r="E18855" s="2">
        <v>1</v>
      </c>
      <c r="F18855" s="2" t="s">
        <v>135</v>
      </c>
    </row>
    <row r="18856" spans="1:6" ht="25.5">
      <c r="A18856" s="2">
        <v>18853</v>
      </c>
      <c r="B18856" s="2" t="s">
        <v>18925</v>
      </c>
      <c r="C18856" s="2" t="str">
        <f>"00393274"</f>
        <v>00393274</v>
      </c>
      <c r="D18856" s="2">
        <v>0.111</v>
      </c>
      <c r="E18856" s="2">
        <v>3</v>
      </c>
      <c r="F18856" s="2" t="s">
        <v>151</v>
      </c>
    </row>
    <row r="18857" spans="1:6" ht="25.5">
      <c r="A18857" s="2">
        <v>18854</v>
      </c>
      <c r="B18857" s="2" t="s">
        <v>18926</v>
      </c>
      <c r="C18857" s="2" t="str">
        <f>"15825647"</f>
        <v>15825647</v>
      </c>
      <c r="D18857" s="2">
        <v>0.11</v>
      </c>
      <c r="E18857" s="2">
        <v>2</v>
      </c>
      <c r="F18857" s="2" t="s">
        <v>19</v>
      </c>
    </row>
    <row r="18858" spans="1:6" ht="25.5">
      <c r="A18858" s="2">
        <v>18855</v>
      </c>
      <c r="B18858" s="2" t="s">
        <v>18927</v>
      </c>
      <c r="C18858" s="2" t="str">
        <f>"1213810X"</f>
        <v>1213810X</v>
      </c>
      <c r="D18858" s="2">
        <v>0.13</v>
      </c>
      <c r="E18858" s="2">
        <v>5</v>
      </c>
      <c r="F18858" s="2" t="s">
        <v>208</v>
      </c>
    </row>
    <row r="18859" spans="1:6" ht="25.5">
      <c r="A18859" s="2">
        <v>18856</v>
      </c>
      <c r="B18859" s="2" t="s">
        <v>18928</v>
      </c>
      <c r="C18859" s="2" t="str">
        <f>"00393320"</f>
        <v>00393320</v>
      </c>
      <c r="D18859" s="2">
        <v>0.23499999999999999</v>
      </c>
      <c r="E18859" s="2">
        <v>11</v>
      </c>
      <c r="F18859" s="2" t="s">
        <v>241</v>
      </c>
    </row>
    <row r="18860" spans="1:6" ht="25.5">
      <c r="A18860" s="2">
        <v>18857</v>
      </c>
      <c r="B18860" s="2" t="s">
        <v>18929</v>
      </c>
      <c r="C18860" s="2" t="str">
        <f>"16415558"</f>
        <v>16415558</v>
      </c>
      <c r="D18860" s="2">
        <v>0.24399999999999999</v>
      </c>
      <c r="E18860" s="2">
        <v>9</v>
      </c>
      <c r="F18860" s="2" t="s">
        <v>169</v>
      </c>
    </row>
    <row r="18861" spans="1:6" ht="25.5">
      <c r="A18861" s="2">
        <v>18858</v>
      </c>
      <c r="B18861" s="2" t="s">
        <v>18930</v>
      </c>
      <c r="C18861" s="2" t="str">
        <f>"01372475"</f>
        <v>01372475</v>
      </c>
      <c r="D18861" s="2">
        <v>0.10100000000000001</v>
      </c>
      <c r="E18861" s="2">
        <v>0</v>
      </c>
      <c r="F18861" s="2" t="s">
        <v>169</v>
      </c>
    </row>
    <row r="18862" spans="1:6" ht="25.5">
      <c r="A18862" s="2">
        <v>18859</v>
      </c>
      <c r="B18862" s="2" t="s">
        <v>18931</v>
      </c>
      <c r="C18862" s="2" t="str">
        <f>"00393347"</f>
        <v>00393347</v>
      </c>
      <c r="D18862" s="2">
        <v>0.10100000000000001</v>
      </c>
      <c r="E18862" s="2">
        <v>2</v>
      </c>
      <c r="F18862" s="2" t="s">
        <v>75</v>
      </c>
    </row>
    <row r="18863" spans="1:6" ht="25.5">
      <c r="A18863" s="2">
        <v>18860</v>
      </c>
      <c r="B18863" s="2" t="s">
        <v>18932</v>
      </c>
      <c r="C18863" s="2" t="str">
        <f>"15882896"</f>
        <v>15882896</v>
      </c>
      <c r="D18863" s="2">
        <v>0.35299999999999998</v>
      </c>
      <c r="E18863" s="2">
        <v>14</v>
      </c>
      <c r="F18863" s="2" t="s">
        <v>135</v>
      </c>
    </row>
    <row r="18864" spans="1:6" ht="25.5">
      <c r="A18864" s="2">
        <v>18861</v>
      </c>
      <c r="B18864" s="2" t="s">
        <v>18933</v>
      </c>
      <c r="C18864" s="2" t="str">
        <f>"1588290X"</f>
        <v>1588290X</v>
      </c>
      <c r="D18864" s="2">
        <v>0.10100000000000001</v>
      </c>
      <c r="E18864" s="2">
        <v>1</v>
      </c>
      <c r="F18864" s="2" t="s">
        <v>135</v>
      </c>
    </row>
    <row r="18865" spans="1:6" ht="25.5">
      <c r="A18865" s="2">
        <v>18862</v>
      </c>
      <c r="B18865" s="2" t="s">
        <v>18934</v>
      </c>
      <c r="C18865" s="2" t="str">
        <f>"00393371"</f>
        <v>00393371</v>
      </c>
      <c r="D18865" s="2">
        <v>0.185</v>
      </c>
      <c r="E18865" s="2">
        <v>2</v>
      </c>
      <c r="F18865" s="2" t="s">
        <v>169</v>
      </c>
    </row>
    <row r="18866" spans="1:6" ht="25.5">
      <c r="A18866" s="2">
        <v>18863</v>
      </c>
      <c r="B18866" s="2" t="s">
        <v>18935</v>
      </c>
      <c r="C18866" s="2" t="str">
        <f>"12128570"</f>
        <v>12128570</v>
      </c>
      <c r="D18866" s="2">
        <v>0.1</v>
      </c>
      <c r="E18866" s="2">
        <v>1</v>
      </c>
      <c r="F18866" s="2" t="s">
        <v>208</v>
      </c>
    </row>
    <row r="18867" spans="1:6" ht="25.5">
      <c r="A18867" s="2">
        <v>18864</v>
      </c>
      <c r="B18867" s="2" t="s">
        <v>18936</v>
      </c>
      <c r="C18867" s="2" t="str">
        <f>"0039338X"</f>
        <v>0039338X</v>
      </c>
      <c r="D18867" s="2">
        <v>0.10100000000000001</v>
      </c>
      <c r="E18867" s="2">
        <v>0</v>
      </c>
      <c r="F18867" s="2" t="s">
        <v>16</v>
      </c>
    </row>
    <row r="18868" spans="1:6" ht="25.5">
      <c r="A18868" s="2">
        <v>18865</v>
      </c>
      <c r="B18868" s="2" t="s">
        <v>18937</v>
      </c>
      <c r="C18868" s="2" t="str">
        <f>"20659520"</f>
        <v>20659520</v>
      </c>
      <c r="D18868" s="2">
        <v>0.13600000000000001</v>
      </c>
      <c r="E18868" s="2">
        <v>5</v>
      </c>
      <c r="F18868" s="2" t="s">
        <v>19</v>
      </c>
    </row>
    <row r="18869" spans="1:6" ht="25.5">
      <c r="A18869" s="2">
        <v>18866</v>
      </c>
      <c r="B18869" s="2" t="s">
        <v>18938</v>
      </c>
      <c r="C18869" s="2" t="str">
        <f>"18427863"</f>
        <v>18427863</v>
      </c>
      <c r="D18869" s="2">
        <v>0.129</v>
      </c>
      <c r="E18869" s="2">
        <v>2</v>
      </c>
      <c r="F18869" s="2" t="s">
        <v>19</v>
      </c>
    </row>
    <row r="18870" spans="1:6" ht="25.5">
      <c r="A18870" s="2">
        <v>18867</v>
      </c>
      <c r="B18870" s="2" t="s">
        <v>18939</v>
      </c>
      <c r="C18870" s="2" t="str">
        <f>"00817090"</f>
        <v>00817090</v>
      </c>
      <c r="D18870" s="2">
        <v>0.10199999999999999</v>
      </c>
      <c r="E18870" s="2">
        <v>1</v>
      </c>
      <c r="F18870" s="2" t="s">
        <v>169</v>
      </c>
    </row>
    <row r="18871" spans="1:6" ht="25.5">
      <c r="A18871" s="2">
        <v>18868</v>
      </c>
      <c r="B18871" s="2" t="s">
        <v>18940</v>
      </c>
      <c r="C18871" s="2" t="str">
        <f>"03917835"</f>
        <v>03917835</v>
      </c>
      <c r="D18871" s="2">
        <v>0.10100000000000001</v>
      </c>
      <c r="E18871" s="2">
        <v>3</v>
      </c>
      <c r="F18871" s="2" t="s">
        <v>190</v>
      </c>
    </row>
    <row r="18872" spans="1:6" ht="25.5">
      <c r="A18872" s="2">
        <v>18869</v>
      </c>
      <c r="B18872" s="2" t="s">
        <v>18941</v>
      </c>
      <c r="C18872" s="2" t="str">
        <f>"00392936"</f>
        <v>00392936</v>
      </c>
      <c r="D18872" s="2">
        <v>0.1</v>
      </c>
      <c r="E18872" s="2">
        <v>6</v>
      </c>
      <c r="F18872" s="2" t="s">
        <v>190</v>
      </c>
    </row>
    <row r="18873" spans="1:6" ht="25.5">
      <c r="A18873" s="2">
        <v>18870</v>
      </c>
      <c r="B18873" s="2" t="s">
        <v>18942</v>
      </c>
      <c r="C18873" s="2" t="str">
        <f>"1826722X"</f>
        <v>1826722X</v>
      </c>
      <c r="D18873" s="2">
        <v>0.11</v>
      </c>
      <c r="E18873" s="2">
        <v>1</v>
      </c>
      <c r="F18873" s="2" t="s">
        <v>190</v>
      </c>
    </row>
    <row r="18874" spans="1:6" ht="25.5">
      <c r="A18874" s="2">
        <v>18871</v>
      </c>
      <c r="B18874" s="2" t="s">
        <v>18943</v>
      </c>
      <c r="C18874" s="2" t="str">
        <f>"00393533"</f>
        <v>00393533</v>
      </c>
      <c r="D18874" s="2">
        <v>0.126</v>
      </c>
      <c r="E18874" s="2">
        <v>0</v>
      </c>
      <c r="F18874" s="2" t="s">
        <v>6</v>
      </c>
    </row>
    <row r="18875" spans="1:6" ht="25.5">
      <c r="A18875" s="2">
        <v>18872</v>
      </c>
      <c r="B18875" s="2" t="s">
        <v>18944</v>
      </c>
      <c r="C18875" s="2" t="str">
        <f>"00918083"</f>
        <v>00918083</v>
      </c>
      <c r="D18875" s="2">
        <v>0.10199999999999999</v>
      </c>
      <c r="E18875" s="2">
        <v>3</v>
      </c>
      <c r="F18875" s="2" t="s">
        <v>6</v>
      </c>
    </row>
    <row r="18876" spans="1:6" ht="25.5">
      <c r="A18876" s="2">
        <v>18873</v>
      </c>
      <c r="B18876" s="2" t="s">
        <v>18945</v>
      </c>
      <c r="C18876" s="2" t="str">
        <f>"15489590"</f>
        <v>15489590</v>
      </c>
      <c r="D18876" s="2">
        <v>0.16800000000000001</v>
      </c>
      <c r="E18876" s="2">
        <v>4</v>
      </c>
      <c r="F18876" s="2" t="s">
        <v>6</v>
      </c>
    </row>
    <row r="18877" spans="1:6" ht="25.5">
      <c r="A18877" s="2">
        <v>18874</v>
      </c>
      <c r="B18877" s="2" t="s">
        <v>18946</v>
      </c>
      <c r="C18877" s="2" t="str">
        <f>"14698692"</f>
        <v>14698692</v>
      </c>
      <c r="D18877" s="2">
        <v>0.33900000000000002</v>
      </c>
      <c r="E18877" s="2">
        <v>12</v>
      </c>
      <c r="F18877" s="2" t="s">
        <v>16</v>
      </c>
    </row>
    <row r="18878" spans="1:6" ht="25.5">
      <c r="A18878" s="2">
        <v>18875</v>
      </c>
      <c r="B18878" s="2" t="s">
        <v>18947</v>
      </c>
      <c r="C18878" s="2" t="str">
        <f>"09251421"</f>
        <v>09251421</v>
      </c>
      <c r="D18878" s="2">
        <v>0.1</v>
      </c>
      <c r="E18878" s="2">
        <v>2</v>
      </c>
      <c r="F18878" s="2" t="s">
        <v>75</v>
      </c>
    </row>
    <row r="18879" spans="1:6" ht="25.5">
      <c r="A18879" s="2">
        <v>18876</v>
      </c>
      <c r="B18879" s="2" t="s">
        <v>18948</v>
      </c>
      <c r="C18879" s="2" t="str">
        <f>"14679590"</f>
        <v>14679590</v>
      </c>
      <c r="D18879" s="2">
        <v>0.85299999999999998</v>
      </c>
      <c r="E18879" s="2">
        <v>25</v>
      </c>
      <c r="F18879" s="2" t="s">
        <v>16</v>
      </c>
    </row>
    <row r="18880" spans="1:6" ht="25.5">
      <c r="A18880" s="2">
        <v>18877</v>
      </c>
      <c r="B18880" s="2" t="s">
        <v>18949</v>
      </c>
      <c r="C18880" s="2" t="str">
        <f>"03806995"</f>
        <v>03806995</v>
      </c>
      <c r="D18880" s="2">
        <v>0.1</v>
      </c>
      <c r="E18880" s="2">
        <v>5</v>
      </c>
      <c r="F18880" s="2" t="s">
        <v>64</v>
      </c>
    </row>
    <row r="18881" spans="1:6" ht="25.5">
      <c r="A18881" s="2">
        <v>18878</v>
      </c>
      <c r="B18881" s="2" t="s">
        <v>18950</v>
      </c>
      <c r="C18881" s="2" t="str">
        <f>"14244896"</f>
        <v>14244896</v>
      </c>
      <c r="D18881" s="2">
        <v>0</v>
      </c>
      <c r="E18881" s="2">
        <v>0</v>
      </c>
      <c r="F18881" s="2" t="s">
        <v>12</v>
      </c>
    </row>
    <row r="18882" spans="1:6" ht="25.5">
      <c r="A18882" s="2">
        <v>18879</v>
      </c>
      <c r="B18882" s="2" t="s">
        <v>18951</v>
      </c>
      <c r="C18882" s="2" t="str">
        <f>"00393606"</f>
        <v>00393606</v>
      </c>
      <c r="D18882" s="2">
        <v>0.61</v>
      </c>
      <c r="E18882" s="2">
        <v>26</v>
      </c>
      <c r="F18882" s="2" t="s">
        <v>6</v>
      </c>
    </row>
    <row r="18883" spans="1:6" ht="25.5">
      <c r="A18883" s="2">
        <v>18880</v>
      </c>
      <c r="B18883" s="2" t="s">
        <v>18952</v>
      </c>
      <c r="C18883" s="2" t="str">
        <f>"18609503"</f>
        <v>18609503</v>
      </c>
      <c r="D18883" s="2">
        <v>0.223</v>
      </c>
      <c r="E18883" s="2">
        <v>17</v>
      </c>
      <c r="F18883" s="2" t="s">
        <v>12</v>
      </c>
    </row>
    <row r="18884" spans="1:6" ht="25.5">
      <c r="A18884" s="2">
        <v>18881</v>
      </c>
      <c r="B18884" s="2" t="s">
        <v>18953</v>
      </c>
      <c r="C18884" s="2" t="str">
        <f>"1057610X"</f>
        <v>1057610X</v>
      </c>
      <c r="D18884" s="2">
        <v>0.54100000000000004</v>
      </c>
      <c r="E18884" s="2">
        <v>13</v>
      </c>
      <c r="F18884" s="2" t="s">
        <v>16</v>
      </c>
    </row>
    <row r="18885" spans="1:6" ht="25.5">
      <c r="A18885" s="2">
        <v>18882</v>
      </c>
      <c r="B18885" s="2" t="s">
        <v>18954</v>
      </c>
      <c r="C18885" s="2" t="str">
        <f>"00393630"</f>
        <v>00393630</v>
      </c>
      <c r="D18885" s="2">
        <v>0.217</v>
      </c>
      <c r="E18885" s="2">
        <v>23</v>
      </c>
      <c r="F18885" s="2" t="s">
        <v>16</v>
      </c>
    </row>
    <row r="18886" spans="1:6" ht="25.5">
      <c r="A18886" s="2">
        <v>18883</v>
      </c>
      <c r="B18886" s="2" t="s">
        <v>18955</v>
      </c>
      <c r="C18886" s="2" t="str">
        <f>"1470126X"</f>
        <v>1470126X</v>
      </c>
      <c r="D18886" s="2">
        <v>0.55600000000000005</v>
      </c>
      <c r="E18886" s="2">
        <v>9</v>
      </c>
      <c r="F18886" s="2" t="s">
        <v>16</v>
      </c>
    </row>
    <row r="18887" spans="1:6" ht="25.5">
      <c r="A18887" s="2">
        <v>18884</v>
      </c>
      <c r="B18887" s="2" t="s">
        <v>18956</v>
      </c>
      <c r="C18887" s="2" t="str">
        <f>"15730948"</f>
        <v>15730948</v>
      </c>
      <c r="D18887" s="2">
        <v>0.114</v>
      </c>
      <c r="E18887" s="2">
        <v>4</v>
      </c>
      <c r="F18887" s="2" t="s">
        <v>75</v>
      </c>
    </row>
    <row r="18888" spans="1:6" ht="25.5">
      <c r="A18888" s="2">
        <v>18885</v>
      </c>
      <c r="B18888" s="2" t="s">
        <v>18957</v>
      </c>
      <c r="C18888" s="2" t="str">
        <f>"10867376"</f>
        <v>10867376</v>
      </c>
      <c r="D18888" s="2">
        <v>0.251</v>
      </c>
      <c r="E18888" s="2">
        <v>3</v>
      </c>
      <c r="F18888" s="2" t="s">
        <v>16</v>
      </c>
    </row>
    <row r="18889" spans="1:6" ht="25.5">
      <c r="A18889" s="2">
        <v>18886</v>
      </c>
      <c r="B18889" s="2" t="s">
        <v>18958</v>
      </c>
      <c r="C18889" s="2" t="str">
        <f>"0191491X"</f>
        <v>0191491X</v>
      </c>
      <c r="D18889" s="2">
        <v>0.50900000000000001</v>
      </c>
      <c r="E18889" s="2">
        <v>17</v>
      </c>
      <c r="F18889" s="2" t="s">
        <v>16</v>
      </c>
    </row>
    <row r="18890" spans="1:6" ht="25.5">
      <c r="A18890" s="2">
        <v>18887</v>
      </c>
      <c r="B18890" s="2" t="s">
        <v>18959</v>
      </c>
      <c r="C18890" s="2" t="str">
        <f>"03602370"</f>
        <v>03602370</v>
      </c>
      <c r="D18890" s="2">
        <v>0.111</v>
      </c>
      <c r="E18890" s="2">
        <v>4</v>
      </c>
      <c r="F18890" s="2" t="s">
        <v>6</v>
      </c>
    </row>
    <row r="18891" spans="1:6" ht="25.5">
      <c r="A18891" s="2">
        <v>18888</v>
      </c>
      <c r="B18891" s="2" t="s">
        <v>18960</v>
      </c>
      <c r="C18891" s="2" t="str">
        <f>"19416008"</f>
        <v>19416008</v>
      </c>
      <c r="D18891" s="2">
        <v>0.159</v>
      </c>
      <c r="E18891" s="2">
        <v>3</v>
      </c>
      <c r="F18891" s="2" t="s">
        <v>6</v>
      </c>
    </row>
    <row r="18892" spans="1:6" ht="25.5">
      <c r="A18892" s="2">
        <v>18889</v>
      </c>
      <c r="B18892" s="2" t="s">
        <v>18961</v>
      </c>
      <c r="C18892" s="2" t="str">
        <f>"17284465"</f>
        <v>17284465</v>
      </c>
      <c r="D18892" s="2">
        <v>0.96099999999999997</v>
      </c>
      <c r="E18892" s="2">
        <v>41</v>
      </c>
      <c r="F18892" s="2" t="s">
        <v>16</v>
      </c>
    </row>
    <row r="18893" spans="1:6" ht="25.5">
      <c r="A18893" s="2">
        <v>18890</v>
      </c>
      <c r="B18893" s="2" t="s">
        <v>18962</v>
      </c>
      <c r="C18893" s="2" t="str">
        <f>"17589517"</f>
        <v>17589517</v>
      </c>
      <c r="D18893" s="2">
        <v>0.10100000000000001</v>
      </c>
      <c r="E18893" s="2">
        <v>1</v>
      </c>
      <c r="F18893" s="2" t="s">
        <v>16</v>
      </c>
    </row>
    <row r="18894" spans="1:6" ht="25.5">
      <c r="A18894" s="2">
        <v>18891</v>
      </c>
      <c r="B18894" s="2" t="s">
        <v>18963</v>
      </c>
      <c r="C18894" s="2" t="str">
        <f>"14349922"</f>
        <v>14349922</v>
      </c>
      <c r="D18894" s="2">
        <v>0.185</v>
      </c>
      <c r="E18894" s="2">
        <v>9</v>
      </c>
      <c r="F18894" s="2" t="s">
        <v>12</v>
      </c>
    </row>
    <row r="18895" spans="1:6" ht="25.5">
      <c r="A18895" s="2">
        <v>18892</v>
      </c>
      <c r="B18895" s="2" t="s">
        <v>18964</v>
      </c>
      <c r="C18895" s="2" t="str">
        <f>"15240657"</f>
        <v>15240657</v>
      </c>
      <c r="D18895" s="2">
        <v>0.21199999999999999</v>
      </c>
      <c r="E18895" s="2">
        <v>6</v>
      </c>
      <c r="F18895" s="2" t="s">
        <v>16</v>
      </c>
    </row>
    <row r="18896" spans="1:6" ht="25.5">
      <c r="A18896" s="2">
        <v>18893</v>
      </c>
      <c r="B18896" s="2" t="s">
        <v>18965</v>
      </c>
      <c r="C18896" s="2" t="str">
        <f>"09269630"</f>
        <v>09269630</v>
      </c>
      <c r="D18896" s="2">
        <v>0.26</v>
      </c>
      <c r="E18896" s="2">
        <v>26</v>
      </c>
      <c r="F18896" s="2" t="s">
        <v>75</v>
      </c>
    </row>
    <row r="18897" spans="1:6" ht="25.5">
      <c r="A18897" s="2">
        <v>18894</v>
      </c>
      <c r="B18897" s="2" t="s">
        <v>18966</v>
      </c>
      <c r="C18897" s="2" t="str">
        <f>"1470174X"</f>
        <v>1470174X</v>
      </c>
      <c r="D18897" s="2">
        <v>1.49</v>
      </c>
      <c r="E18897" s="2">
        <v>42</v>
      </c>
      <c r="F18897" s="2" t="s">
        <v>16</v>
      </c>
    </row>
    <row r="18898" spans="1:6" ht="25.5">
      <c r="A18898" s="2">
        <v>18895</v>
      </c>
      <c r="B18898" s="2" t="s">
        <v>18967</v>
      </c>
      <c r="C18898" s="2" t="str">
        <f>"02576430"</f>
        <v>02576430</v>
      </c>
      <c r="D18898" s="2">
        <v>0.10100000000000001</v>
      </c>
      <c r="E18898" s="2">
        <v>5</v>
      </c>
      <c r="F18898" s="2" t="s">
        <v>488</v>
      </c>
    </row>
    <row r="18899" spans="1:6" ht="25.5">
      <c r="A18899" s="2">
        <v>18896</v>
      </c>
      <c r="B18899" s="2" t="s">
        <v>18968</v>
      </c>
      <c r="C18899" s="2" t="str">
        <f>"00393681"</f>
        <v>00393681</v>
      </c>
      <c r="D18899" s="2">
        <v>0.49099999999999999</v>
      </c>
      <c r="E18899" s="2">
        <v>17</v>
      </c>
      <c r="F18899" s="2" t="s">
        <v>16</v>
      </c>
    </row>
    <row r="18900" spans="1:6" ht="25.5">
      <c r="A18900" s="2">
        <v>18897</v>
      </c>
      <c r="B18900" s="2" t="s">
        <v>18969</v>
      </c>
      <c r="C18900" s="2" t="str">
        <f>"18792502"</f>
        <v>18792502</v>
      </c>
      <c r="D18900" s="2">
        <v>0.59599999999999997</v>
      </c>
      <c r="E18900" s="2">
        <v>19</v>
      </c>
      <c r="F18900" s="2" t="s">
        <v>16</v>
      </c>
    </row>
    <row r="18901" spans="1:6" ht="25.5">
      <c r="A18901" s="2">
        <v>18898</v>
      </c>
      <c r="B18901" s="2" t="s">
        <v>18970</v>
      </c>
      <c r="C18901" s="2" t="str">
        <f>"13698486"</f>
        <v>13698486</v>
      </c>
      <c r="D18901" s="2">
        <v>0.30099999999999999</v>
      </c>
      <c r="E18901" s="2">
        <v>19</v>
      </c>
      <c r="F18901" s="2" t="s">
        <v>16</v>
      </c>
    </row>
    <row r="18902" spans="1:6" ht="25.5">
      <c r="A18902" s="2">
        <v>18899</v>
      </c>
      <c r="B18902" s="2" t="s">
        <v>18971</v>
      </c>
      <c r="C18902" s="2" t="str">
        <f>"01481029"</f>
        <v>01481029</v>
      </c>
      <c r="D18902" s="2">
        <v>0.10100000000000001</v>
      </c>
      <c r="E18902" s="2">
        <v>2</v>
      </c>
      <c r="F18902" s="2" t="s">
        <v>6</v>
      </c>
    </row>
    <row r="18903" spans="1:6" ht="25.5">
      <c r="A18903" s="2">
        <v>18900</v>
      </c>
      <c r="B18903" s="2" t="s">
        <v>18972</v>
      </c>
      <c r="C18903" s="2" t="str">
        <f>"1841429X"</f>
        <v>1841429X</v>
      </c>
      <c r="D18903" s="2">
        <v>0.224</v>
      </c>
      <c r="E18903" s="2">
        <v>5</v>
      </c>
      <c r="F18903" s="2" t="s">
        <v>19</v>
      </c>
    </row>
    <row r="18904" spans="1:6" ht="25.5">
      <c r="A18904" s="2">
        <v>18901</v>
      </c>
      <c r="B18904" s="2" t="s">
        <v>18973</v>
      </c>
      <c r="C18904" s="2" t="str">
        <f>"13837303"</f>
        <v>13837303</v>
      </c>
      <c r="D18904" s="2">
        <v>0.106</v>
      </c>
      <c r="E18904" s="2">
        <v>9</v>
      </c>
      <c r="F18904" s="2" t="s">
        <v>75</v>
      </c>
    </row>
    <row r="18905" spans="1:6" ht="25.5">
      <c r="A18905" s="2">
        <v>18902</v>
      </c>
      <c r="B18905" s="2" t="s">
        <v>18974</v>
      </c>
      <c r="C18905" s="2" t="str">
        <f>"17831806"</f>
        <v>17831806</v>
      </c>
      <c r="D18905" s="2">
        <v>0.10199999999999999</v>
      </c>
      <c r="E18905" s="2">
        <v>1</v>
      </c>
      <c r="F18905" s="2" t="s">
        <v>161</v>
      </c>
    </row>
    <row r="18906" spans="1:6" ht="25.5">
      <c r="A18906" s="2">
        <v>18903</v>
      </c>
      <c r="B18906" s="2" t="s">
        <v>18975</v>
      </c>
      <c r="C18906" s="2" t="str">
        <f>"03784177"</f>
        <v>03784177</v>
      </c>
      <c r="D18906" s="2">
        <v>0.24199999999999999</v>
      </c>
      <c r="E18906" s="2">
        <v>11</v>
      </c>
      <c r="F18906" s="2" t="s">
        <v>75</v>
      </c>
    </row>
    <row r="18907" spans="1:6" ht="25.5">
      <c r="A18907" s="2">
        <v>18904</v>
      </c>
      <c r="B18907" s="2" t="s">
        <v>18976</v>
      </c>
      <c r="C18907" s="2" t="str">
        <f>"07309139"</f>
        <v>07309139</v>
      </c>
      <c r="D18907" s="2">
        <v>0.10100000000000001</v>
      </c>
      <c r="E18907" s="2">
        <v>3</v>
      </c>
      <c r="F18907" s="2" t="s">
        <v>6</v>
      </c>
    </row>
    <row r="18908" spans="1:6" ht="25.5">
      <c r="A18908" s="2">
        <v>18905</v>
      </c>
      <c r="B18908" s="2" t="s">
        <v>18977</v>
      </c>
      <c r="C18908" s="2" t="str">
        <f>"0860150X"</f>
        <v>0860150X</v>
      </c>
      <c r="D18908" s="2">
        <v>0.189</v>
      </c>
      <c r="E18908" s="2">
        <v>2</v>
      </c>
      <c r="F18908" s="2" t="s">
        <v>169</v>
      </c>
    </row>
    <row r="18909" spans="1:6" ht="25.5">
      <c r="A18909" s="2">
        <v>18906</v>
      </c>
      <c r="B18909" s="2" t="s">
        <v>18978</v>
      </c>
      <c r="C18909" s="2" t="str">
        <f>"01660616"</f>
        <v>01660616</v>
      </c>
      <c r="D18909" s="2">
        <v>2.9990000000000001</v>
      </c>
      <c r="E18909" s="2">
        <v>44</v>
      </c>
      <c r="F18909" s="2" t="s">
        <v>75</v>
      </c>
    </row>
    <row r="18910" spans="1:6" ht="25.5">
      <c r="A18910" s="2">
        <v>18907</v>
      </c>
      <c r="B18910" s="2" t="s">
        <v>18979</v>
      </c>
      <c r="C18910" s="2" t="str">
        <f>"15725995"</f>
        <v>15725995</v>
      </c>
      <c r="D18910" s="2">
        <v>0</v>
      </c>
      <c r="E18910" s="2">
        <v>19</v>
      </c>
      <c r="F18910" s="2" t="s">
        <v>75</v>
      </c>
    </row>
    <row r="18911" spans="1:6" ht="25.5">
      <c r="A18911" s="2">
        <v>18908</v>
      </c>
      <c r="B18911" s="2" t="s">
        <v>18980</v>
      </c>
      <c r="C18911" s="2" t="str">
        <f>"15583708"</f>
        <v>15583708</v>
      </c>
      <c r="D18911" s="2">
        <v>0.497</v>
      </c>
      <c r="E18911" s="2">
        <v>16</v>
      </c>
      <c r="F18911" s="2" t="s">
        <v>6</v>
      </c>
    </row>
    <row r="18912" spans="1:6" ht="25.5">
      <c r="A18912" s="2">
        <v>18909</v>
      </c>
      <c r="B18912" s="2" t="s">
        <v>18981</v>
      </c>
      <c r="C18912" s="2" t="str">
        <f>"00393738"</f>
        <v>00393738</v>
      </c>
      <c r="D18912" s="2">
        <v>0.13700000000000001</v>
      </c>
      <c r="E18912" s="2">
        <v>5</v>
      </c>
      <c r="F18912" s="2" t="s">
        <v>6</v>
      </c>
    </row>
    <row r="18913" spans="1:6" ht="25.5">
      <c r="A18913" s="2">
        <v>18910</v>
      </c>
      <c r="B18913" s="2" t="s">
        <v>18982</v>
      </c>
      <c r="C18913" s="2" t="str">
        <f>"00393746"</f>
        <v>00393746</v>
      </c>
      <c r="D18913" s="2">
        <v>0.42799999999999999</v>
      </c>
      <c r="E18913" s="2">
        <v>11</v>
      </c>
      <c r="F18913" s="2" t="s">
        <v>75</v>
      </c>
    </row>
    <row r="18914" spans="1:6" ht="25.5">
      <c r="A18914" s="2">
        <v>18911</v>
      </c>
      <c r="B18914" s="2" t="s">
        <v>18983</v>
      </c>
      <c r="C18914" s="2" t="str">
        <f>"07078552"</f>
        <v>07078552</v>
      </c>
      <c r="D18914" s="2">
        <v>0.17599999999999999</v>
      </c>
      <c r="E18914" s="2">
        <v>6</v>
      </c>
      <c r="F18914" s="2" t="s">
        <v>64</v>
      </c>
    </row>
    <row r="18915" spans="1:6" ht="25.5">
      <c r="A18915" s="2">
        <v>18912</v>
      </c>
      <c r="B18915" s="2" t="s">
        <v>18984</v>
      </c>
      <c r="C18915" s="2" t="str">
        <f>"18806465"</f>
        <v>18806465</v>
      </c>
      <c r="D18915" s="2">
        <v>0.1</v>
      </c>
      <c r="E18915" s="2">
        <v>2</v>
      </c>
      <c r="F18915" s="2" t="s">
        <v>131</v>
      </c>
    </row>
    <row r="18916" spans="1:6" ht="25.5">
      <c r="A18916" s="2">
        <v>18913</v>
      </c>
      <c r="B18916" s="2" t="s">
        <v>18985</v>
      </c>
      <c r="C18916" s="2" t="str">
        <f>"00084298"</f>
        <v>00084298</v>
      </c>
      <c r="D18916" s="2">
        <v>0.20100000000000001</v>
      </c>
      <c r="E18916" s="2">
        <v>3</v>
      </c>
      <c r="F18916" s="2" t="s">
        <v>6</v>
      </c>
    </row>
    <row r="18917" spans="1:6" ht="25.5">
      <c r="A18917" s="2">
        <v>18914</v>
      </c>
      <c r="B18917" s="2" t="s">
        <v>18986</v>
      </c>
      <c r="C18917" s="2" t="str">
        <f>"00393762"</f>
        <v>00393762</v>
      </c>
      <c r="D18917" s="2">
        <v>0.113</v>
      </c>
      <c r="E18917" s="2">
        <v>5</v>
      </c>
      <c r="F18917" s="2" t="s">
        <v>6</v>
      </c>
    </row>
    <row r="18918" spans="1:6" ht="25.5">
      <c r="A18918" s="2">
        <v>18915</v>
      </c>
      <c r="B18918" s="2" t="s">
        <v>18987</v>
      </c>
      <c r="C18918" s="2" t="str">
        <f>"02722631"</f>
        <v>02722631</v>
      </c>
      <c r="D18918" s="2">
        <v>1.3839999999999999</v>
      </c>
      <c r="E18918" s="2">
        <v>21</v>
      </c>
      <c r="F18918" s="2" t="s">
        <v>16</v>
      </c>
    </row>
    <row r="18919" spans="1:6" ht="25.5">
      <c r="A18919" s="2">
        <v>18916</v>
      </c>
      <c r="B18919" s="2" t="s">
        <v>18988</v>
      </c>
      <c r="C18919" s="2" t="str">
        <f>"19114788"</f>
        <v>19114788</v>
      </c>
      <c r="D18919" s="2">
        <v>0.16500000000000001</v>
      </c>
      <c r="E18919" s="2">
        <v>2</v>
      </c>
      <c r="F18919" s="2" t="s">
        <v>64</v>
      </c>
    </row>
    <row r="18920" spans="1:6" ht="25.5">
      <c r="A18920" s="2">
        <v>18917</v>
      </c>
      <c r="B18920" s="2" t="s">
        <v>18989</v>
      </c>
      <c r="C18920" s="2" t="str">
        <f>"01672991"</f>
        <v>01672991</v>
      </c>
      <c r="D18920" s="2">
        <v>0.23499999999999999</v>
      </c>
      <c r="E18920" s="2">
        <v>39</v>
      </c>
      <c r="F18920" s="2" t="s">
        <v>75</v>
      </c>
    </row>
    <row r="18921" spans="1:6" ht="25.5">
      <c r="A18921" s="2">
        <v>18918</v>
      </c>
      <c r="B18921" s="2" t="s">
        <v>18990</v>
      </c>
      <c r="C18921" s="2" t="str">
        <f>"01632396"</f>
        <v>01632396</v>
      </c>
      <c r="D18921" s="2">
        <v>0.11799999999999999</v>
      </c>
      <c r="E18921" s="2">
        <v>5</v>
      </c>
      <c r="F18921" s="2" t="s">
        <v>6</v>
      </c>
    </row>
    <row r="18922" spans="1:6" ht="25.5">
      <c r="A18922" s="2">
        <v>18919</v>
      </c>
      <c r="B18922" s="2" t="s">
        <v>18991</v>
      </c>
      <c r="C18922" s="2" t="str">
        <f>"01902407"</f>
        <v>01902407</v>
      </c>
      <c r="D18922" s="2">
        <v>0.186</v>
      </c>
      <c r="E18922" s="2">
        <v>5</v>
      </c>
      <c r="F18922" s="2" t="s">
        <v>6</v>
      </c>
    </row>
    <row r="18923" spans="1:6" ht="25.5">
      <c r="A18923" s="2">
        <v>18920</v>
      </c>
      <c r="B18923" s="2" t="s">
        <v>18992</v>
      </c>
      <c r="C18923" s="2" t="str">
        <f>"14682761"</f>
        <v>14682761</v>
      </c>
      <c r="D18923" s="2">
        <v>0</v>
      </c>
      <c r="E18923" s="2">
        <v>1</v>
      </c>
      <c r="F18923" s="2" t="s">
        <v>16</v>
      </c>
    </row>
    <row r="18924" spans="1:6" ht="25.5">
      <c r="A18924" s="2">
        <v>18921</v>
      </c>
      <c r="B18924" s="2" t="s">
        <v>18993</v>
      </c>
      <c r="C18924" s="2" t="str">
        <f>"14601176"</f>
        <v>14601176</v>
      </c>
      <c r="D18924" s="2">
        <v>0.111</v>
      </c>
      <c r="E18924" s="2">
        <v>4</v>
      </c>
      <c r="F18924" s="2" t="s">
        <v>16</v>
      </c>
    </row>
    <row r="18925" spans="1:6" ht="25.5">
      <c r="A18925" s="2">
        <v>18922</v>
      </c>
      <c r="B18925" s="2" t="s">
        <v>18994</v>
      </c>
      <c r="C18925" s="2" t="str">
        <f>"00393819"</f>
        <v>00393819</v>
      </c>
      <c r="D18925" s="2">
        <v>0.10100000000000001</v>
      </c>
      <c r="E18925" s="2">
        <v>3</v>
      </c>
      <c r="F18925" s="2" t="s">
        <v>6</v>
      </c>
    </row>
    <row r="18926" spans="1:6" ht="25.5">
      <c r="A18926" s="2">
        <v>18923</v>
      </c>
      <c r="B18926" s="2" t="s">
        <v>18995</v>
      </c>
      <c r="C18926" s="2" t="str">
        <f>"00393827"</f>
        <v>00393827</v>
      </c>
      <c r="D18926" s="2">
        <v>0.11799999999999999</v>
      </c>
      <c r="E18926" s="2">
        <v>4</v>
      </c>
      <c r="F18926" s="2" t="s">
        <v>6</v>
      </c>
    </row>
    <row r="18927" spans="1:6" ht="25.5">
      <c r="A18927" s="2">
        <v>18924</v>
      </c>
      <c r="B18927" s="2" t="s">
        <v>18996</v>
      </c>
      <c r="C18927" s="2" t="str">
        <f>"13645145"</f>
        <v>13645145</v>
      </c>
      <c r="D18927" s="2">
        <v>0.105</v>
      </c>
      <c r="E18927" s="2">
        <v>2</v>
      </c>
      <c r="F18927" s="2" t="s">
        <v>16</v>
      </c>
    </row>
    <row r="18928" spans="1:6" ht="25.5">
      <c r="A18928" s="2">
        <v>18925</v>
      </c>
      <c r="B18928" s="2" t="s">
        <v>18997</v>
      </c>
      <c r="C18928" s="2" t="str">
        <f>"17500230"</f>
        <v>17500230</v>
      </c>
      <c r="D18928" s="2">
        <v>0.10100000000000001</v>
      </c>
      <c r="E18928" s="2">
        <v>1</v>
      </c>
      <c r="F18928" s="2" t="s">
        <v>16</v>
      </c>
    </row>
    <row r="18929" spans="1:6" ht="25.5">
      <c r="A18929" s="2">
        <v>18926</v>
      </c>
      <c r="B18929" s="2" t="s">
        <v>18998</v>
      </c>
      <c r="C18929" s="2" t="str">
        <f>"17368758"</f>
        <v>17368758</v>
      </c>
      <c r="D18929" s="2">
        <v>0.17299999999999999</v>
      </c>
      <c r="E18929" s="2">
        <v>2</v>
      </c>
      <c r="F18929" s="2" t="s">
        <v>265</v>
      </c>
    </row>
    <row r="18930" spans="1:6" ht="25.5">
      <c r="A18930" s="2">
        <v>18927</v>
      </c>
      <c r="B18930" s="2" t="s">
        <v>18999</v>
      </c>
      <c r="C18930" s="2" t="str">
        <f>"09735070"</f>
        <v>09735070</v>
      </c>
      <c r="D18930" s="2">
        <v>0.24</v>
      </c>
      <c r="E18930" s="2">
        <v>5</v>
      </c>
      <c r="F18930" s="2" t="s">
        <v>488</v>
      </c>
    </row>
    <row r="18931" spans="1:6" ht="25.5">
      <c r="A18931" s="2">
        <v>18928</v>
      </c>
      <c r="B18931" s="2" t="s">
        <v>19000</v>
      </c>
      <c r="C18931" s="2" t="str">
        <f>"01650521"</f>
        <v>01650521</v>
      </c>
      <c r="D18931" s="2">
        <v>0.371</v>
      </c>
      <c r="E18931" s="2">
        <v>20</v>
      </c>
      <c r="F18931" s="2" t="s">
        <v>16</v>
      </c>
    </row>
    <row r="18932" spans="1:6" ht="25.5">
      <c r="A18932" s="2">
        <v>18929</v>
      </c>
      <c r="B18932" s="2" t="s">
        <v>19001</v>
      </c>
      <c r="C18932" s="2" t="str">
        <f>"10757007"</f>
        <v>10757007</v>
      </c>
      <c r="D18932" s="2">
        <v>0.13100000000000001</v>
      </c>
      <c r="E18932" s="2">
        <v>3</v>
      </c>
      <c r="F18932" s="2" t="s">
        <v>129</v>
      </c>
    </row>
    <row r="18933" spans="1:6" ht="25.5">
      <c r="A18933" s="2">
        <v>18930</v>
      </c>
      <c r="B18933" s="2" t="s">
        <v>19002</v>
      </c>
      <c r="C18933" s="2" t="str">
        <f>"04352866"</f>
        <v>04352866</v>
      </c>
      <c r="D18933" s="2">
        <v>0</v>
      </c>
      <c r="E18933" s="2">
        <v>1</v>
      </c>
      <c r="F18933" s="2" t="s">
        <v>16</v>
      </c>
    </row>
    <row r="18934" spans="1:6" ht="25.5">
      <c r="A18934" s="2">
        <v>18931</v>
      </c>
      <c r="B18934" s="2" t="s">
        <v>19003</v>
      </c>
      <c r="C18934" s="2" t="str">
        <f>"00392944"</f>
        <v>00392944</v>
      </c>
      <c r="D18934" s="2">
        <v>0.1</v>
      </c>
      <c r="E18934" s="2">
        <v>1</v>
      </c>
      <c r="F18934" s="2" t="s">
        <v>190</v>
      </c>
    </row>
    <row r="18935" spans="1:6" ht="25.5">
      <c r="A18935" s="2">
        <v>18932</v>
      </c>
      <c r="B18935" s="2" t="s">
        <v>19004</v>
      </c>
      <c r="C18935" s="2" t="str">
        <f>"03918467"</f>
        <v>03918467</v>
      </c>
      <c r="D18935" s="2">
        <v>0.1</v>
      </c>
      <c r="E18935" s="2">
        <v>3</v>
      </c>
      <c r="F18935" s="2" t="s">
        <v>190</v>
      </c>
    </row>
    <row r="18936" spans="1:6" ht="25.5">
      <c r="A18936" s="2">
        <v>18933</v>
      </c>
      <c r="B18936" s="2" t="s">
        <v>19005</v>
      </c>
      <c r="C18936" s="2" t="str">
        <f>"03927261"</f>
        <v>03927261</v>
      </c>
      <c r="D18936" s="2">
        <v>0.1</v>
      </c>
      <c r="E18936" s="2">
        <v>2</v>
      </c>
      <c r="F18936" s="2" t="s">
        <v>190</v>
      </c>
    </row>
    <row r="18937" spans="1:6" ht="25.5">
      <c r="A18937" s="2">
        <v>18934</v>
      </c>
      <c r="B18937" s="2" t="s">
        <v>19006</v>
      </c>
      <c r="C18937" s="2" t="str">
        <f>"00393037"</f>
        <v>00393037</v>
      </c>
      <c r="D18937" s="2">
        <v>0.1</v>
      </c>
      <c r="E18937" s="2">
        <v>3</v>
      </c>
      <c r="F18937" s="2" t="s">
        <v>190</v>
      </c>
    </row>
    <row r="18938" spans="1:6" ht="25.5">
      <c r="A18938" s="2">
        <v>18935</v>
      </c>
      <c r="B18938" s="2" t="s">
        <v>19007</v>
      </c>
      <c r="C18938" s="2" t="str">
        <f>"18769055"</f>
        <v>18769055</v>
      </c>
      <c r="D18938" s="2">
        <v>0.10100000000000001</v>
      </c>
      <c r="E18938" s="2">
        <v>1</v>
      </c>
      <c r="F18938" s="2" t="s">
        <v>75</v>
      </c>
    </row>
    <row r="18939" spans="1:6" ht="25.5">
      <c r="A18939" s="2">
        <v>18936</v>
      </c>
      <c r="B18939" s="2" t="s">
        <v>19008</v>
      </c>
      <c r="C18939" s="2" t="str">
        <f>"00394238"</f>
        <v>00394238</v>
      </c>
      <c r="D18939" s="2">
        <v>0.14599999999999999</v>
      </c>
      <c r="E18939" s="2">
        <v>8</v>
      </c>
      <c r="F18939" s="2" t="s">
        <v>6</v>
      </c>
    </row>
    <row r="18940" spans="1:6" ht="25.5">
      <c r="A18940" s="2">
        <v>18937</v>
      </c>
      <c r="B18940" s="2" t="s">
        <v>19009</v>
      </c>
      <c r="C18940" s="2" t="str">
        <f>"00492426"</f>
        <v>00492426</v>
      </c>
      <c r="D18940" s="2">
        <v>0.127</v>
      </c>
      <c r="E18940" s="2">
        <v>5</v>
      </c>
      <c r="F18940" s="2" t="s">
        <v>6</v>
      </c>
    </row>
    <row r="18941" spans="1:6" ht="25.5">
      <c r="A18941" s="2">
        <v>18938</v>
      </c>
      <c r="B18941" s="2" t="s">
        <v>19010</v>
      </c>
      <c r="C18941" s="2" t="str">
        <f>"15470164"</f>
        <v>15470164</v>
      </c>
      <c r="D18941" s="2">
        <v>0.497</v>
      </c>
      <c r="E18941" s="2">
        <v>25</v>
      </c>
      <c r="F18941" s="2" t="s">
        <v>16</v>
      </c>
    </row>
    <row r="18942" spans="1:6" ht="25.5">
      <c r="A18942" s="2">
        <v>18939</v>
      </c>
      <c r="B18942" s="2" t="s">
        <v>19011</v>
      </c>
      <c r="C18942" s="2" t="str">
        <f>"11782218"</f>
        <v>11782218</v>
      </c>
      <c r="D18942" s="2">
        <v>0.159</v>
      </c>
      <c r="E18942" s="2">
        <v>3</v>
      </c>
      <c r="F18942" s="2" t="s">
        <v>503</v>
      </c>
    </row>
    <row r="18943" spans="1:6" ht="25.5">
      <c r="A18943" s="2">
        <v>18940</v>
      </c>
      <c r="B18943" s="2" t="s">
        <v>19012</v>
      </c>
      <c r="C18943" s="2" t="str">
        <f>"1747597X"</f>
        <v>1747597X</v>
      </c>
      <c r="D18943" s="2">
        <v>0.52500000000000002</v>
      </c>
      <c r="E18943" s="2">
        <v>15</v>
      </c>
      <c r="F18943" s="2" t="s">
        <v>16</v>
      </c>
    </row>
    <row r="18944" spans="1:6" ht="25.5">
      <c r="A18944" s="2">
        <v>18941</v>
      </c>
      <c r="B18944" s="2" t="s">
        <v>19013</v>
      </c>
      <c r="C18944" s="2" t="str">
        <f>"15322491"</f>
        <v>15322491</v>
      </c>
      <c r="D18944" s="2">
        <v>0.54200000000000004</v>
      </c>
      <c r="E18944" s="2">
        <v>49</v>
      </c>
      <c r="F18944" s="2" t="s">
        <v>16</v>
      </c>
    </row>
    <row r="18945" spans="1:6" ht="25.5">
      <c r="A18945" s="2">
        <v>18942</v>
      </c>
      <c r="B18945" s="2" t="s">
        <v>19014</v>
      </c>
      <c r="C18945" s="2" t="str">
        <f>"17681448"</f>
        <v>17681448</v>
      </c>
      <c r="D18945" s="2">
        <v>0.219</v>
      </c>
      <c r="E18945" s="2">
        <v>1</v>
      </c>
      <c r="F18945" s="2" t="s">
        <v>66</v>
      </c>
    </row>
    <row r="18946" spans="1:6" ht="25.5">
      <c r="A18946" s="2">
        <v>18943</v>
      </c>
      <c r="B18946" s="2" t="s">
        <v>19015</v>
      </c>
      <c r="C18946" s="2" t="str">
        <f>"09395911"</f>
        <v>09395911</v>
      </c>
      <c r="D18946" s="2">
        <v>0.26600000000000001</v>
      </c>
      <c r="E18946" s="2">
        <v>15</v>
      </c>
      <c r="F18946" s="2" t="s">
        <v>6</v>
      </c>
    </row>
    <row r="18947" spans="1:6" ht="25.5">
      <c r="A18947" s="2">
        <v>18944</v>
      </c>
      <c r="B18947" s="2" t="s">
        <v>19016</v>
      </c>
      <c r="C18947" s="2" t="str">
        <f>"14375567"</f>
        <v>14375567</v>
      </c>
      <c r="D18947" s="2">
        <v>0.11799999999999999</v>
      </c>
      <c r="E18947" s="2">
        <v>7</v>
      </c>
      <c r="F18947" s="2" t="s">
        <v>12</v>
      </c>
    </row>
    <row r="18948" spans="1:6" ht="25.5">
      <c r="A18948" s="2">
        <v>18945</v>
      </c>
      <c r="B18948" s="2" t="s">
        <v>19017</v>
      </c>
      <c r="C18948" s="2" t="str">
        <f>"14399903"</f>
        <v>14399903</v>
      </c>
      <c r="D18948" s="2">
        <v>0.13700000000000001</v>
      </c>
      <c r="E18948" s="2">
        <v>3</v>
      </c>
      <c r="F18948" s="2" t="s">
        <v>12</v>
      </c>
    </row>
    <row r="18949" spans="1:6" ht="25.5">
      <c r="A18949" s="2">
        <v>18946</v>
      </c>
      <c r="B18949" s="2" t="s">
        <v>19018</v>
      </c>
      <c r="C18949" s="2" t="str">
        <f>"00394521"</f>
        <v>00394521</v>
      </c>
      <c r="D18949" s="2">
        <v>0.10100000000000001</v>
      </c>
      <c r="E18949" s="2">
        <v>4</v>
      </c>
      <c r="F18949" s="2" t="s">
        <v>129</v>
      </c>
    </row>
    <row r="18950" spans="1:6" ht="25.5">
      <c r="A18950" s="2">
        <v>18947</v>
      </c>
      <c r="B18950" s="2" t="s">
        <v>19019</v>
      </c>
      <c r="C18950" s="2" t="str">
        <f>"00394564"</f>
        <v>00394564</v>
      </c>
      <c r="D18950" s="2">
        <v>0.10100000000000001</v>
      </c>
      <c r="E18950" s="2">
        <v>4</v>
      </c>
      <c r="F18950" s="2" t="s">
        <v>12</v>
      </c>
    </row>
    <row r="18951" spans="1:6" ht="25.5">
      <c r="A18951" s="2">
        <v>18948</v>
      </c>
      <c r="B18951" s="2" t="s">
        <v>19020</v>
      </c>
      <c r="C18951" s="2" t="str">
        <f>"09721525"</f>
        <v>09721525</v>
      </c>
      <c r="D18951" s="2">
        <v>0.38100000000000001</v>
      </c>
      <c r="E18951" s="2">
        <v>8</v>
      </c>
      <c r="F18951" s="2" t="s">
        <v>488</v>
      </c>
    </row>
    <row r="18952" spans="1:6" ht="25.5">
      <c r="A18952" s="2">
        <v>18949</v>
      </c>
      <c r="B18952" s="2" t="s">
        <v>19021</v>
      </c>
      <c r="C18952" s="2" t="str">
        <f>"2013620X"</f>
        <v>2013620X</v>
      </c>
      <c r="D18952" s="2">
        <v>0.106</v>
      </c>
      <c r="E18952" s="2">
        <v>0</v>
      </c>
      <c r="F18952" s="2" t="s">
        <v>351</v>
      </c>
    </row>
    <row r="18953" spans="1:6" ht="25.5">
      <c r="A18953" s="2">
        <v>18950</v>
      </c>
      <c r="B18953" s="2" t="s">
        <v>19022</v>
      </c>
      <c r="C18953" s="2" t="str">
        <f>"03630234"</f>
        <v>03630234</v>
      </c>
      <c r="D18953" s="2">
        <v>0.754</v>
      </c>
      <c r="E18953" s="2">
        <v>51</v>
      </c>
      <c r="F18953" s="2" t="s">
        <v>6</v>
      </c>
    </row>
    <row r="18954" spans="1:6" ht="25.5">
      <c r="A18954" s="2">
        <v>18951</v>
      </c>
      <c r="B18954" s="2" t="s">
        <v>19023</v>
      </c>
      <c r="C18954" s="2" t="str">
        <f>"20750528"</f>
        <v>20750528</v>
      </c>
      <c r="D18954" s="2">
        <v>0.151</v>
      </c>
      <c r="E18954" s="2">
        <v>4</v>
      </c>
      <c r="F18954" s="2" t="s">
        <v>10911</v>
      </c>
    </row>
    <row r="18955" spans="1:6" ht="25.5">
      <c r="A18955" s="2">
        <v>18952</v>
      </c>
      <c r="B18955" s="2" t="s">
        <v>19024</v>
      </c>
      <c r="C18955" s="2" t="str">
        <f>"03731332"</f>
        <v>03731332</v>
      </c>
      <c r="D18955" s="2">
        <v>0.19900000000000001</v>
      </c>
      <c r="E18955" s="2">
        <v>4</v>
      </c>
      <c r="F18955" s="2" t="s">
        <v>149</v>
      </c>
    </row>
    <row r="18956" spans="1:6" ht="25.5">
      <c r="A18956" s="2">
        <v>18953</v>
      </c>
      <c r="B18956" s="2" t="s">
        <v>19025</v>
      </c>
      <c r="C18956" s="2" t="str">
        <f>"19805454"</f>
        <v>19805454</v>
      </c>
      <c r="D18956" s="2">
        <v>0.32500000000000001</v>
      </c>
      <c r="E18956" s="2">
        <v>3</v>
      </c>
      <c r="F18956" s="2" t="s">
        <v>159</v>
      </c>
    </row>
    <row r="18957" spans="1:6" ht="25.5">
      <c r="A18957" s="2">
        <v>18954</v>
      </c>
      <c r="B18957" s="2" t="s">
        <v>19026</v>
      </c>
      <c r="C18957" s="2" t="str">
        <f>"15982661"</f>
        <v>15982661</v>
      </c>
      <c r="D18957" s="2">
        <v>0.10100000000000001</v>
      </c>
      <c r="E18957" s="2">
        <v>0</v>
      </c>
      <c r="F18957" s="2" t="s">
        <v>274</v>
      </c>
    </row>
    <row r="18958" spans="1:6" ht="25.5">
      <c r="A18958" s="2">
        <v>18955</v>
      </c>
      <c r="B18958" s="2" t="s">
        <v>19027</v>
      </c>
      <c r="C18958" s="2" t="str">
        <f>"00395471"</f>
        <v>00395471</v>
      </c>
      <c r="D18958" s="2">
        <v>0.158</v>
      </c>
      <c r="E18958" s="2">
        <v>11</v>
      </c>
      <c r="F18958" s="2" t="s">
        <v>751</v>
      </c>
    </row>
    <row r="18959" spans="1:6" ht="25.5">
      <c r="A18959" s="2">
        <v>18956</v>
      </c>
      <c r="B18959" s="2" t="s">
        <v>19028</v>
      </c>
      <c r="C18959" s="2" t="str">
        <f>"13616668"</f>
        <v>13616668</v>
      </c>
      <c r="D18959" s="2">
        <v>1.119</v>
      </c>
      <c r="E18959" s="2">
        <v>63</v>
      </c>
      <c r="F18959" s="2" t="s">
        <v>16</v>
      </c>
    </row>
    <row r="18960" spans="1:6" ht="25.5">
      <c r="A18960" s="2">
        <v>18957</v>
      </c>
      <c r="B18960" s="2" t="s">
        <v>19029</v>
      </c>
      <c r="C18960" s="2" t="str">
        <f>"22120505"</f>
        <v>22120505</v>
      </c>
      <c r="D18960" s="2">
        <v>0.10299999999999999</v>
      </c>
      <c r="E18960" s="2">
        <v>0</v>
      </c>
      <c r="F18960" s="2" t="s">
        <v>75</v>
      </c>
    </row>
    <row r="18961" spans="1:6" ht="25.5">
      <c r="A18961" s="2">
        <v>18958</v>
      </c>
      <c r="B18961" s="2" t="s">
        <v>19030</v>
      </c>
      <c r="C18961" s="2" t="str">
        <f>"16653521"</f>
        <v>16653521</v>
      </c>
      <c r="D18961" s="2">
        <v>0</v>
      </c>
      <c r="E18961" s="2">
        <v>0</v>
      </c>
      <c r="F18961" s="2" t="s">
        <v>200</v>
      </c>
    </row>
    <row r="18962" spans="1:6" ht="25.5">
      <c r="A18962" s="2">
        <v>18959</v>
      </c>
      <c r="B18962" s="2" t="s">
        <v>19031</v>
      </c>
      <c r="C18962" s="2" t="str">
        <f>"10963677"</f>
        <v>10963677</v>
      </c>
      <c r="D18962" s="2">
        <v>0.54200000000000004</v>
      </c>
      <c r="E18962" s="2">
        <v>40</v>
      </c>
      <c r="F18962" s="2" t="s">
        <v>6</v>
      </c>
    </row>
    <row r="18963" spans="1:6" ht="25.5">
      <c r="A18963" s="2">
        <v>18960</v>
      </c>
      <c r="B18963" s="2" t="s">
        <v>19032</v>
      </c>
      <c r="C18963" s="2" t="str">
        <f>"13598546"</f>
        <v>13598546</v>
      </c>
      <c r="D18963" s="2">
        <v>1.2649999999999999</v>
      </c>
      <c r="E18963" s="2">
        <v>50</v>
      </c>
      <c r="F18963" s="2" t="s">
        <v>16</v>
      </c>
    </row>
    <row r="18964" spans="1:6" ht="25.5">
      <c r="A18964" s="2">
        <v>18961</v>
      </c>
      <c r="B18964" s="2" t="s">
        <v>19033</v>
      </c>
      <c r="C18964" s="2" t="str">
        <f>"02682141"</f>
        <v>02682141</v>
      </c>
      <c r="D18964" s="2">
        <v>0.32700000000000001</v>
      </c>
      <c r="E18964" s="2">
        <v>5</v>
      </c>
      <c r="F18964" s="2" t="s">
        <v>16</v>
      </c>
    </row>
    <row r="18965" spans="1:6" ht="25.5">
      <c r="A18965" s="2">
        <v>18962</v>
      </c>
      <c r="B18965" s="2" t="s">
        <v>19034</v>
      </c>
      <c r="C18965" s="2" t="str">
        <f>"14337339"</f>
        <v>14337339</v>
      </c>
      <c r="D18965" s="2">
        <v>1.1910000000000001</v>
      </c>
      <c r="E18965" s="2">
        <v>60</v>
      </c>
      <c r="F18965" s="2" t="s">
        <v>12</v>
      </c>
    </row>
    <row r="18966" spans="1:6" ht="25.5">
      <c r="A18966" s="2">
        <v>18963</v>
      </c>
      <c r="B18966" s="2" t="s">
        <v>19035</v>
      </c>
      <c r="C18966" s="2" t="str">
        <f>"10610278"</f>
        <v>10610278</v>
      </c>
      <c r="D18966" s="2">
        <v>0.48499999999999999</v>
      </c>
      <c r="E18966" s="2">
        <v>30</v>
      </c>
      <c r="F18966" s="2" t="s">
        <v>16</v>
      </c>
    </row>
    <row r="18967" spans="1:6" ht="25.5">
      <c r="A18967" s="2">
        <v>18964</v>
      </c>
      <c r="B18967" s="2" t="s">
        <v>19036</v>
      </c>
      <c r="C18967" s="2" t="str">
        <f>"00819557"</f>
        <v>00819557</v>
      </c>
      <c r="D18967" s="2">
        <v>0.68100000000000005</v>
      </c>
      <c r="E18967" s="2">
        <v>7</v>
      </c>
      <c r="F18967" s="2" t="s">
        <v>6</v>
      </c>
    </row>
    <row r="18968" spans="1:6" ht="25.5">
      <c r="A18968" s="2">
        <v>18965</v>
      </c>
      <c r="B18968" s="2" t="s">
        <v>19037</v>
      </c>
      <c r="C18968" s="2" t="str">
        <f>"02578972"</f>
        <v>02578972</v>
      </c>
      <c r="D18968" s="2">
        <v>0.96399999999999997</v>
      </c>
      <c r="E18968" s="2">
        <v>101</v>
      </c>
      <c r="F18968" s="2" t="s">
        <v>75</v>
      </c>
    </row>
    <row r="18969" spans="1:6" ht="25.5">
      <c r="A18969" s="2">
        <v>18966</v>
      </c>
      <c r="B18969" s="2" t="s">
        <v>19038</v>
      </c>
      <c r="C18969" s="2" t="str">
        <f>"10969918"</f>
        <v>10969918</v>
      </c>
      <c r="D18969" s="2">
        <v>0.51500000000000001</v>
      </c>
      <c r="E18969" s="2">
        <v>53</v>
      </c>
      <c r="F18969" s="2" t="s">
        <v>16</v>
      </c>
    </row>
    <row r="18970" spans="1:6" ht="25.5">
      <c r="A18970" s="2">
        <v>18967</v>
      </c>
      <c r="B18970" s="2" t="s">
        <v>19039</v>
      </c>
      <c r="C18970" s="2" t="str">
        <f>"01974483"</f>
        <v>01974483</v>
      </c>
      <c r="D18970" s="2">
        <v>0.1</v>
      </c>
      <c r="E18970" s="2">
        <v>1</v>
      </c>
      <c r="F18970" s="2" t="s">
        <v>6</v>
      </c>
    </row>
    <row r="18971" spans="1:6" ht="25.5">
      <c r="A18971" s="2">
        <v>18968</v>
      </c>
      <c r="B18971" s="2" t="s">
        <v>19040</v>
      </c>
      <c r="C18971" s="2" t="str">
        <f>"02670844"</f>
        <v>02670844</v>
      </c>
      <c r="D18971" s="2">
        <v>0.56000000000000005</v>
      </c>
      <c r="E18971" s="2">
        <v>28</v>
      </c>
      <c r="F18971" s="2" t="s">
        <v>16</v>
      </c>
    </row>
    <row r="18972" spans="1:6" ht="25.5">
      <c r="A18972" s="2">
        <v>18969</v>
      </c>
      <c r="B18972" s="2" t="s">
        <v>19041</v>
      </c>
      <c r="C18972" s="2" t="str">
        <f>"19348002"</f>
        <v>19348002</v>
      </c>
      <c r="D18972" s="2">
        <v>0.20200000000000001</v>
      </c>
      <c r="E18972" s="2">
        <v>4</v>
      </c>
      <c r="F18972" s="2" t="s">
        <v>6</v>
      </c>
    </row>
    <row r="18973" spans="1:6" ht="25.5">
      <c r="A18973" s="2">
        <v>18970</v>
      </c>
      <c r="B18973" s="2" t="s">
        <v>19042</v>
      </c>
      <c r="C18973" s="2" t="str">
        <f>"10274510"</f>
        <v>10274510</v>
      </c>
      <c r="D18973" s="2">
        <v>0.252</v>
      </c>
      <c r="E18973" s="2">
        <v>6</v>
      </c>
      <c r="F18973" s="2" t="s">
        <v>129</v>
      </c>
    </row>
    <row r="18974" spans="1:6" ht="25.5">
      <c r="A18974" s="2">
        <v>18971</v>
      </c>
      <c r="B18974" s="2" t="s">
        <v>19043</v>
      </c>
      <c r="C18974" s="2" t="str">
        <f>"0218625X"</f>
        <v>0218625X</v>
      </c>
      <c r="D18974" s="2">
        <v>0.187</v>
      </c>
      <c r="E18974" s="2">
        <v>35</v>
      </c>
      <c r="F18974" s="2" t="s">
        <v>543</v>
      </c>
    </row>
    <row r="18975" spans="1:6" ht="25.5">
      <c r="A18975" s="2">
        <v>18972</v>
      </c>
      <c r="B18975" s="2" t="s">
        <v>19044</v>
      </c>
      <c r="C18975" s="2" t="str">
        <f>"00396028"</f>
        <v>00396028</v>
      </c>
      <c r="D18975" s="2">
        <v>0.94499999999999995</v>
      </c>
      <c r="E18975" s="2">
        <v>100</v>
      </c>
      <c r="F18975" s="2" t="s">
        <v>75</v>
      </c>
    </row>
    <row r="18976" spans="1:6" ht="25.5">
      <c r="A18976" s="2">
        <v>18973</v>
      </c>
      <c r="B18976" s="2" t="s">
        <v>19045</v>
      </c>
      <c r="C18976" s="2" t="str">
        <f>"01675729"</f>
        <v>01675729</v>
      </c>
      <c r="D18976" s="2">
        <v>6.907</v>
      </c>
      <c r="E18976" s="2">
        <v>76</v>
      </c>
      <c r="F18976" s="2" t="s">
        <v>75</v>
      </c>
    </row>
    <row r="18977" spans="1:6" ht="25.5">
      <c r="A18977" s="2">
        <v>18974</v>
      </c>
      <c r="B18977" s="2" t="s">
        <v>19046</v>
      </c>
      <c r="C18977" s="2" t="str">
        <f>"1479666X"</f>
        <v>1479666X</v>
      </c>
      <c r="D18977" s="2">
        <v>0.42899999999999999</v>
      </c>
      <c r="E18977" s="2">
        <v>22</v>
      </c>
      <c r="F18977" s="2" t="s">
        <v>16</v>
      </c>
    </row>
    <row r="18978" spans="1:6" ht="25.5">
      <c r="A18978" s="2">
        <v>18975</v>
      </c>
      <c r="B18978" s="2" t="s">
        <v>19047</v>
      </c>
      <c r="C18978" s="2" t="str">
        <f>"15327361"</f>
        <v>15327361</v>
      </c>
      <c r="D18978" s="2">
        <v>1.2509999999999999</v>
      </c>
      <c r="E18978" s="2">
        <v>108</v>
      </c>
      <c r="F18978" s="2" t="s">
        <v>6</v>
      </c>
    </row>
    <row r="18979" spans="1:6" ht="25.5">
      <c r="A18979" s="2">
        <v>18976</v>
      </c>
      <c r="B18979" s="2" t="s">
        <v>19047</v>
      </c>
      <c r="C18979" s="2" t="str">
        <f>"02639319"</f>
        <v>02639319</v>
      </c>
      <c r="D18979" s="2">
        <v>0.13</v>
      </c>
      <c r="E18979" s="2">
        <v>13</v>
      </c>
      <c r="F18979" s="2" t="s">
        <v>75</v>
      </c>
    </row>
    <row r="18980" spans="1:6" ht="25.5">
      <c r="A18980" s="2">
        <v>18977</v>
      </c>
      <c r="B18980" s="2" t="s">
        <v>19048</v>
      </c>
      <c r="C18980" s="2" t="str">
        <f>"15507289"</f>
        <v>15507289</v>
      </c>
      <c r="D18980" s="2">
        <v>1.2589999999999999</v>
      </c>
      <c r="E18980" s="2">
        <v>38</v>
      </c>
      <c r="F18980" s="2" t="s">
        <v>6</v>
      </c>
    </row>
    <row r="18981" spans="1:6" ht="25.5">
      <c r="A18981" s="2">
        <v>18978</v>
      </c>
      <c r="B18981" s="2" t="s">
        <v>19049</v>
      </c>
      <c r="C18981" s="2" t="str">
        <f>"14362813"</f>
        <v>14362813</v>
      </c>
      <c r="D18981" s="2">
        <v>0.55900000000000005</v>
      </c>
      <c r="E18981" s="2">
        <v>40</v>
      </c>
      <c r="F18981" s="2" t="s">
        <v>131</v>
      </c>
    </row>
    <row r="18982" spans="1:6" ht="25.5">
      <c r="A18982" s="2">
        <v>18979</v>
      </c>
      <c r="B18982" s="2" t="s">
        <v>19050</v>
      </c>
      <c r="C18982" s="2" t="str">
        <f>"19848773"</f>
        <v>19848773</v>
      </c>
      <c r="D18982" s="2">
        <v>0.14199999999999999</v>
      </c>
      <c r="E18982" s="2">
        <v>3</v>
      </c>
      <c r="F18982" s="2" t="s">
        <v>159</v>
      </c>
    </row>
    <row r="18983" spans="1:6" ht="25.5">
      <c r="A18983" s="2">
        <v>18980</v>
      </c>
      <c r="B18983" s="2" t="s">
        <v>19051</v>
      </c>
      <c r="C18983" s="2" t="str">
        <f>"12798517"</f>
        <v>12798517</v>
      </c>
      <c r="D18983" s="2">
        <v>0.54400000000000004</v>
      </c>
      <c r="E18983" s="2">
        <v>33</v>
      </c>
      <c r="F18983" s="2" t="s">
        <v>66</v>
      </c>
    </row>
    <row r="18984" spans="1:6" ht="25.5">
      <c r="A18984" s="2">
        <v>18981</v>
      </c>
      <c r="B18984" s="2" t="s">
        <v>19052</v>
      </c>
      <c r="C18984" s="2" t="str">
        <f>"11085002"</f>
        <v>11085002</v>
      </c>
      <c r="D18984" s="2">
        <v>0.1</v>
      </c>
      <c r="E18984" s="2">
        <v>1</v>
      </c>
      <c r="F18984" s="2" t="s">
        <v>313</v>
      </c>
    </row>
    <row r="18985" spans="1:6" ht="25.5">
      <c r="A18985" s="2">
        <v>18982</v>
      </c>
      <c r="B18985" s="2" t="s">
        <v>19053</v>
      </c>
      <c r="C18985" s="2" t="str">
        <f>"00396109"</f>
        <v>00396109</v>
      </c>
      <c r="D18985" s="2">
        <v>0.67900000000000005</v>
      </c>
      <c r="E18985" s="2">
        <v>64</v>
      </c>
      <c r="F18985" s="2" t="s">
        <v>16</v>
      </c>
    </row>
    <row r="18986" spans="1:6" ht="25.5">
      <c r="A18986" s="2">
        <v>18983</v>
      </c>
      <c r="B18986" s="2" t="s">
        <v>19054</v>
      </c>
      <c r="C18986" s="2" t="str">
        <f>"14322218"</f>
        <v>14322218</v>
      </c>
      <c r="D18986" s="2">
        <v>1.4470000000000001</v>
      </c>
      <c r="E18986" s="2">
        <v>97</v>
      </c>
      <c r="F18986" s="2" t="s">
        <v>6</v>
      </c>
    </row>
    <row r="18987" spans="1:6" ht="25.5">
      <c r="A18987" s="2">
        <v>18984</v>
      </c>
      <c r="B18987" s="2" t="s">
        <v>19055</v>
      </c>
      <c r="C18987" s="2" t="str">
        <f>"10962964"</f>
        <v>10962964</v>
      </c>
      <c r="D18987" s="2">
        <v>0.77300000000000002</v>
      </c>
      <c r="E18987" s="2">
        <v>34</v>
      </c>
      <c r="F18987" s="2" t="s">
        <v>6</v>
      </c>
    </row>
    <row r="18988" spans="1:6" ht="25.5">
      <c r="A18988" s="2">
        <v>18985</v>
      </c>
      <c r="B18988" s="2" t="s">
        <v>19056</v>
      </c>
      <c r="C18988" s="2" t="str">
        <f>"15533514"</f>
        <v>15533514</v>
      </c>
      <c r="D18988" s="2">
        <v>0.78700000000000003</v>
      </c>
      <c r="E18988" s="2">
        <v>28</v>
      </c>
      <c r="F18988" s="2" t="s">
        <v>6</v>
      </c>
    </row>
    <row r="18989" spans="1:6" ht="25.5">
      <c r="A18989" s="2">
        <v>18986</v>
      </c>
      <c r="B18989" s="2" t="s">
        <v>19057</v>
      </c>
      <c r="C18989" s="2" t="str">
        <f>"15304515"</f>
        <v>15304515</v>
      </c>
      <c r="D18989" s="2">
        <v>0.51600000000000001</v>
      </c>
      <c r="E18989" s="2">
        <v>44</v>
      </c>
      <c r="F18989" s="2" t="s">
        <v>6</v>
      </c>
    </row>
    <row r="18990" spans="1:6" ht="25.5">
      <c r="A18990" s="2">
        <v>18987</v>
      </c>
      <c r="B18990" s="2" t="s">
        <v>19058</v>
      </c>
      <c r="C18990" s="2" t="str">
        <f>"09607404"</f>
        <v>09607404</v>
      </c>
      <c r="D18990" s="2">
        <v>0.68400000000000005</v>
      </c>
      <c r="E18990" s="2">
        <v>37</v>
      </c>
      <c r="F18990" s="2" t="s">
        <v>75</v>
      </c>
    </row>
    <row r="18991" spans="1:6" ht="25.5">
      <c r="A18991" s="2">
        <v>18988</v>
      </c>
      <c r="B18991" s="2" t="s">
        <v>19059</v>
      </c>
      <c r="C18991" s="2" t="str">
        <f>"10553207"</f>
        <v>10553207</v>
      </c>
      <c r="D18991" s="2">
        <v>0.46600000000000003</v>
      </c>
      <c r="E18991" s="2">
        <v>39</v>
      </c>
      <c r="F18991" s="2" t="s">
        <v>16</v>
      </c>
    </row>
    <row r="18992" spans="1:6" ht="25.5">
      <c r="A18992" s="2">
        <v>18989</v>
      </c>
      <c r="B18992" s="2" t="s">
        <v>19060</v>
      </c>
      <c r="C18992" s="2" t="str">
        <f>"18759181"</f>
        <v>18759181</v>
      </c>
      <c r="D18992" s="2">
        <v>0.14699999999999999</v>
      </c>
      <c r="E18992" s="2">
        <v>2</v>
      </c>
      <c r="F18992" s="2" t="s">
        <v>16</v>
      </c>
    </row>
    <row r="18993" spans="1:6" ht="25.5">
      <c r="A18993" s="2">
        <v>18990</v>
      </c>
      <c r="B18993" s="2" t="s">
        <v>19061</v>
      </c>
      <c r="C18993" s="2" t="str">
        <f>"17441633"</f>
        <v>17441633</v>
      </c>
      <c r="D18993" s="2">
        <v>0.114</v>
      </c>
      <c r="E18993" s="2">
        <v>6</v>
      </c>
      <c r="F18993" s="2" t="s">
        <v>16</v>
      </c>
    </row>
    <row r="18994" spans="1:6" ht="25.5">
      <c r="A18994" s="2">
        <v>18991</v>
      </c>
      <c r="B18994" s="2" t="s">
        <v>19062</v>
      </c>
      <c r="C18994" s="2" t="str">
        <f>"10624732"</f>
        <v>10624732</v>
      </c>
      <c r="D18994" s="2">
        <v>0.10100000000000001</v>
      </c>
      <c r="E18994" s="2">
        <v>0</v>
      </c>
      <c r="F18994" s="2" t="s">
        <v>6</v>
      </c>
    </row>
    <row r="18995" spans="1:6" ht="25.5">
      <c r="A18995" s="2">
        <v>18992</v>
      </c>
      <c r="B18995" s="2" t="s">
        <v>19063</v>
      </c>
      <c r="C18995" s="2" t="str">
        <f>"18066445"</f>
        <v>18066445</v>
      </c>
      <c r="D18995" s="2">
        <v>0</v>
      </c>
      <c r="E18995" s="2">
        <v>0</v>
      </c>
      <c r="F18995" s="2" t="s">
        <v>159</v>
      </c>
    </row>
    <row r="18996" spans="1:6" ht="25.5">
      <c r="A18996" s="2">
        <v>18993</v>
      </c>
      <c r="B18996" s="2" t="s">
        <v>19064</v>
      </c>
      <c r="C18996" s="2" t="str">
        <f>"14777487"</f>
        <v>14777487</v>
      </c>
      <c r="D18996" s="2">
        <v>0.126</v>
      </c>
      <c r="E18996" s="2">
        <v>1</v>
      </c>
      <c r="F18996" s="2" t="s">
        <v>16</v>
      </c>
    </row>
    <row r="18997" spans="1:6" ht="25.5">
      <c r="A18997" s="2">
        <v>18994</v>
      </c>
      <c r="B18997" s="2" t="s">
        <v>19065</v>
      </c>
      <c r="C18997" s="2" t="str">
        <f>"15381242"</f>
        <v>15381242</v>
      </c>
      <c r="D18997" s="2">
        <v>0.108</v>
      </c>
      <c r="E18997" s="2">
        <v>8</v>
      </c>
      <c r="F18997" s="2" t="s">
        <v>6</v>
      </c>
    </row>
    <row r="18998" spans="1:6" ht="25.5">
      <c r="A18998" s="2">
        <v>18995</v>
      </c>
      <c r="B18998" s="2" t="s">
        <v>19066</v>
      </c>
      <c r="C18998" s="2" t="str">
        <f>"07140045"</f>
        <v>07140045</v>
      </c>
      <c r="D18998" s="2">
        <v>0.61799999999999999</v>
      </c>
      <c r="E18998" s="2">
        <v>5</v>
      </c>
      <c r="F18998" s="2" t="s">
        <v>64</v>
      </c>
    </row>
    <row r="18999" spans="1:6" ht="25.5">
      <c r="A18999" s="2">
        <v>18996</v>
      </c>
      <c r="B18999" s="2" t="s">
        <v>19067</v>
      </c>
      <c r="C18999" s="2" t="str">
        <f>"00396257"</f>
        <v>00396257</v>
      </c>
      <c r="D18999" s="2">
        <v>1.746</v>
      </c>
      <c r="E18999" s="2">
        <v>84</v>
      </c>
      <c r="F18999" s="2" t="s">
        <v>6</v>
      </c>
    </row>
    <row r="19000" spans="1:6" ht="25.5">
      <c r="A19000" s="2">
        <v>18997</v>
      </c>
      <c r="B19000" s="2" t="s">
        <v>19068</v>
      </c>
      <c r="C19000" s="2" t="str">
        <f>"00396265"</f>
        <v>00396265</v>
      </c>
      <c r="D19000" s="2">
        <v>0.42899999999999999</v>
      </c>
      <c r="E19000" s="2">
        <v>13</v>
      </c>
      <c r="F19000" s="2" t="s">
        <v>16</v>
      </c>
    </row>
    <row r="19001" spans="1:6" ht="25.5">
      <c r="A19001" s="2">
        <v>18998</v>
      </c>
      <c r="B19001" s="2" t="s">
        <v>19069</v>
      </c>
      <c r="C19001" s="2" t="str">
        <f>"15730956"</f>
        <v>15730956</v>
      </c>
      <c r="D19001" s="2">
        <v>2.105</v>
      </c>
      <c r="E19001" s="2">
        <v>36</v>
      </c>
      <c r="F19001" s="2" t="s">
        <v>75</v>
      </c>
    </row>
    <row r="19002" spans="1:6" ht="25.5">
      <c r="A19002" s="2">
        <v>18999</v>
      </c>
      <c r="B19002" s="2" t="s">
        <v>19070</v>
      </c>
      <c r="C19002" s="2" t="str">
        <f>"18767354"</f>
        <v>18767354</v>
      </c>
      <c r="D19002" s="2">
        <v>0.876</v>
      </c>
      <c r="E19002" s="2">
        <v>3</v>
      </c>
      <c r="F19002" s="2" t="s">
        <v>75</v>
      </c>
    </row>
    <row r="19003" spans="1:6" ht="25.5">
      <c r="A19003" s="2">
        <v>19000</v>
      </c>
      <c r="B19003" s="2" t="s">
        <v>19071</v>
      </c>
      <c r="C19003" s="2" t="str">
        <f>"14682699"</f>
        <v>14682699</v>
      </c>
      <c r="D19003" s="2">
        <v>0.76800000000000002</v>
      </c>
      <c r="E19003" s="2">
        <v>17</v>
      </c>
      <c r="F19003" s="2" t="s">
        <v>16</v>
      </c>
    </row>
    <row r="19004" spans="1:6" ht="25.5">
      <c r="A19004" s="2">
        <v>19001</v>
      </c>
      <c r="B19004" s="2" t="s">
        <v>19072</v>
      </c>
      <c r="C19004" s="2" t="str">
        <f>"19370709"</f>
        <v>19370709</v>
      </c>
      <c r="D19004" s="2">
        <v>0.34300000000000003</v>
      </c>
      <c r="E19004" s="2">
        <v>9</v>
      </c>
      <c r="F19004" s="2" t="s">
        <v>6</v>
      </c>
    </row>
    <row r="19005" spans="1:6" ht="25.5">
      <c r="A19005" s="2">
        <v>19002</v>
      </c>
      <c r="B19005" s="2" t="s">
        <v>19073</v>
      </c>
      <c r="C19005" s="2" t="str">
        <f>"20408021"</f>
        <v>20408021</v>
      </c>
      <c r="D19005" s="2">
        <v>0.20599999999999999</v>
      </c>
      <c r="E19005" s="2">
        <v>2</v>
      </c>
      <c r="F19005" s="2" t="s">
        <v>16</v>
      </c>
    </row>
    <row r="19006" spans="1:6" ht="25.5">
      <c r="A19006" s="2">
        <v>19003</v>
      </c>
      <c r="B19006" s="2" t="s">
        <v>19074</v>
      </c>
      <c r="C19006" s="2" t="str">
        <f>"18624065"</f>
        <v>18624065</v>
      </c>
      <c r="D19006" s="2">
        <v>0.627</v>
      </c>
      <c r="E19006" s="2">
        <v>13</v>
      </c>
      <c r="F19006" s="2" t="s">
        <v>131</v>
      </c>
    </row>
    <row r="19007" spans="1:6" ht="25.5">
      <c r="A19007" s="2">
        <v>19004</v>
      </c>
      <c r="B19007" s="2" t="s">
        <v>19075</v>
      </c>
      <c r="C19007" s="2" t="str">
        <f>"15487733"</f>
        <v>15487733</v>
      </c>
      <c r="D19007" s="2">
        <v>0.25</v>
      </c>
      <c r="E19007" s="2">
        <v>5</v>
      </c>
      <c r="F19007" s="2" t="s">
        <v>6</v>
      </c>
    </row>
    <row r="19008" spans="1:6" ht="25.5">
      <c r="A19008" s="2">
        <v>19005</v>
      </c>
      <c r="B19008" s="2" t="s">
        <v>19076</v>
      </c>
      <c r="C19008" s="2" t="str">
        <f>"10991719"</f>
        <v>10991719</v>
      </c>
      <c r="D19008" s="2">
        <v>1.008</v>
      </c>
      <c r="E19008" s="2">
        <v>23</v>
      </c>
      <c r="F19008" s="2" t="s">
        <v>16</v>
      </c>
    </row>
    <row r="19009" spans="1:6" ht="25.5">
      <c r="A19009" s="2">
        <v>19006</v>
      </c>
      <c r="B19009" s="2" t="s">
        <v>19077</v>
      </c>
      <c r="C19009" s="2" t="str">
        <f>"05860296"</f>
        <v>05860296</v>
      </c>
      <c r="D19009" s="2">
        <v>0.10199999999999999</v>
      </c>
      <c r="E19009" s="2">
        <v>1</v>
      </c>
      <c r="F19009" s="2" t="s">
        <v>149</v>
      </c>
    </row>
    <row r="19010" spans="1:6" ht="25.5">
      <c r="A19010" s="2">
        <v>19007</v>
      </c>
      <c r="B19010" s="2" t="s">
        <v>19078</v>
      </c>
      <c r="C19010" s="2" t="str">
        <f>"13319264"</f>
        <v>13319264</v>
      </c>
      <c r="D19010" s="2">
        <v>0.16400000000000001</v>
      </c>
      <c r="E19010" s="2">
        <v>2</v>
      </c>
      <c r="F19010" s="2" t="s">
        <v>149</v>
      </c>
    </row>
    <row r="19011" spans="1:6" ht="25.5">
      <c r="A19011" s="2">
        <v>19008</v>
      </c>
      <c r="B19011" s="2" t="s">
        <v>19079</v>
      </c>
      <c r="C19011" s="2" t="str">
        <f>"10072012"</f>
        <v>10072012</v>
      </c>
      <c r="D19011" s="2">
        <v>0.16800000000000001</v>
      </c>
      <c r="E19011" s="2">
        <v>7</v>
      </c>
      <c r="F19011" s="2" t="s">
        <v>46</v>
      </c>
    </row>
    <row r="19012" spans="1:6" ht="25.5">
      <c r="A19012" s="2">
        <v>19009</v>
      </c>
      <c r="B19012" s="2" t="s">
        <v>19080</v>
      </c>
      <c r="C19012" s="2" t="str">
        <f>"0039646X"</f>
        <v>0039646X</v>
      </c>
      <c r="D19012" s="2">
        <v>0.20799999999999999</v>
      </c>
      <c r="E19012" s="2">
        <v>10</v>
      </c>
      <c r="F19012" s="2" t="s">
        <v>151</v>
      </c>
    </row>
    <row r="19013" spans="1:6" ht="25.5">
      <c r="A19013" s="2">
        <v>19010</v>
      </c>
      <c r="B19013" s="2" t="s">
        <v>19081</v>
      </c>
      <c r="C19013" s="2" t="str">
        <f>"22106502"</f>
        <v>22106502</v>
      </c>
      <c r="D19013" s="2">
        <v>3.3639999999999999</v>
      </c>
      <c r="E19013" s="2">
        <v>8</v>
      </c>
      <c r="F19013" s="2" t="s">
        <v>75</v>
      </c>
    </row>
    <row r="19014" spans="1:6" ht="25.5">
      <c r="A19014" s="2">
        <v>19011</v>
      </c>
      <c r="B19014" s="2" t="s">
        <v>19082</v>
      </c>
      <c r="C19014" s="2" t="str">
        <f>"19353812"</f>
        <v>19353812</v>
      </c>
      <c r="D19014" s="2">
        <v>1.702</v>
      </c>
      <c r="E19014" s="2">
        <v>13</v>
      </c>
      <c r="F19014" s="2" t="s">
        <v>6</v>
      </c>
    </row>
    <row r="19015" spans="1:6" ht="25.5">
      <c r="A19015" s="2">
        <v>19012</v>
      </c>
      <c r="B19015" s="2" t="s">
        <v>19083</v>
      </c>
      <c r="C19015" s="2" t="str">
        <f>"03479994"</f>
        <v>03479994</v>
      </c>
      <c r="D19015" s="2">
        <v>0.42599999999999999</v>
      </c>
      <c r="E19015" s="2">
        <v>21</v>
      </c>
      <c r="F19015" s="2" t="s">
        <v>151</v>
      </c>
    </row>
    <row r="19016" spans="1:6" ht="25.5">
      <c r="A19016" s="2">
        <v>19013</v>
      </c>
      <c r="B19016" s="2" t="s">
        <v>19084</v>
      </c>
      <c r="C19016" s="2" t="str">
        <f>"03486672"</f>
        <v>03486672</v>
      </c>
      <c r="D19016" s="2">
        <v>0.17100000000000001</v>
      </c>
      <c r="E19016" s="2">
        <v>14</v>
      </c>
      <c r="F19016" s="2" t="s">
        <v>151</v>
      </c>
    </row>
    <row r="19017" spans="1:6" ht="25.5">
      <c r="A19017" s="2">
        <v>19014</v>
      </c>
      <c r="B19017" s="2" t="s">
        <v>19085</v>
      </c>
      <c r="C19017" s="2" t="str">
        <f>"16618726"</f>
        <v>16618726</v>
      </c>
      <c r="D19017" s="2">
        <v>0.60599999999999998</v>
      </c>
      <c r="E19017" s="2">
        <v>14</v>
      </c>
      <c r="F19017" s="2" t="s">
        <v>31</v>
      </c>
    </row>
    <row r="19018" spans="1:6" ht="25.5">
      <c r="A19018" s="2">
        <v>19015</v>
      </c>
      <c r="B19018" s="2" t="s">
        <v>19086</v>
      </c>
      <c r="C19018" s="2" t="str">
        <f>"14210185"</f>
        <v>14210185</v>
      </c>
      <c r="D19018" s="2">
        <v>0.23</v>
      </c>
      <c r="E19018" s="2">
        <v>16</v>
      </c>
      <c r="F19018" s="2" t="s">
        <v>31</v>
      </c>
    </row>
    <row r="19019" spans="1:6" ht="25.5">
      <c r="A19019" s="2">
        <v>19016</v>
      </c>
      <c r="B19019" s="2" t="s">
        <v>19087</v>
      </c>
      <c r="C19019" s="2" t="str">
        <f>"14247860"</f>
        <v>14247860</v>
      </c>
      <c r="D19019" s="2">
        <v>0.45800000000000002</v>
      </c>
      <c r="E19019" s="2">
        <v>40</v>
      </c>
      <c r="F19019" s="2" t="s">
        <v>31</v>
      </c>
    </row>
    <row r="19020" spans="1:6" ht="25.5">
      <c r="A19020" s="2">
        <v>19017</v>
      </c>
      <c r="B19020" s="2" t="s">
        <v>19088</v>
      </c>
      <c r="C19020" s="2" t="str">
        <f>"16626370"</f>
        <v>16626370</v>
      </c>
      <c r="D19020" s="2">
        <v>0.17599999999999999</v>
      </c>
      <c r="E19020" s="2">
        <v>7</v>
      </c>
      <c r="F19020" s="2" t="s">
        <v>6</v>
      </c>
    </row>
    <row r="19021" spans="1:6" ht="25.5">
      <c r="A19021" s="2">
        <v>19018</v>
      </c>
      <c r="B19021" s="2" t="s">
        <v>19089</v>
      </c>
      <c r="C19021" s="2" t="str">
        <f>"10131469"</f>
        <v>10131469</v>
      </c>
      <c r="D19021" s="2">
        <v>0.1</v>
      </c>
      <c r="E19021" s="2">
        <v>2</v>
      </c>
      <c r="F19021" s="2" t="s">
        <v>288</v>
      </c>
    </row>
    <row r="19022" spans="1:6" ht="25.5">
      <c r="A19022" s="2">
        <v>19019</v>
      </c>
      <c r="B19022" s="2" t="s">
        <v>19090</v>
      </c>
      <c r="C19022" s="2" t="str">
        <f>"00820598"</f>
        <v>00820598</v>
      </c>
      <c r="D19022" s="2">
        <v>0.377</v>
      </c>
      <c r="E19022" s="2">
        <v>19</v>
      </c>
      <c r="F19022" s="2" t="s">
        <v>288</v>
      </c>
    </row>
    <row r="19023" spans="1:6" ht="25.5">
      <c r="A19023" s="2">
        <v>19020</v>
      </c>
      <c r="B19023" s="2" t="s">
        <v>19091</v>
      </c>
      <c r="C19023" s="2" t="str">
        <f>"02317796"</f>
        <v>02317796</v>
      </c>
      <c r="D19023" s="2">
        <v>0.187</v>
      </c>
      <c r="E19023" s="2">
        <v>2</v>
      </c>
      <c r="F19023" s="2" t="s">
        <v>208</v>
      </c>
    </row>
    <row r="19024" spans="1:6" ht="25.5">
      <c r="A19024" s="2">
        <v>19021</v>
      </c>
      <c r="B19024" s="2" t="s">
        <v>19092</v>
      </c>
      <c r="C19024" s="2" t="str">
        <f>"03345114"</f>
        <v>03345114</v>
      </c>
      <c r="D19024" s="2">
        <v>0.52100000000000002</v>
      </c>
      <c r="E19024" s="2">
        <v>26</v>
      </c>
      <c r="F19024" s="2" t="s">
        <v>75</v>
      </c>
    </row>
    <row r="19025" spans="1:6" ht="25.5">
      <c r="A19025" s="2">
        <v>19022</v>
      </c>
      <c r="B19025" s="2" t="s">
        <v>19093</v>
      </c>
      <c r="C19025" s="2" t="str">
        <f>"15027805"</f>
        <v>15027805</v>
      </c>
      <c r="D19025" s="2">
        <v>0.124</v>
      </c>
      <c r="E19025" s="2">
        <v>2</v>
      </c>
      <c r="F19025" s="2" t="s">
        <v>16</v>
      </c>
    </row>
    <row r="19026" spans="1:6" ht="25.5">
      <c r="A19026" s="2">
        <v>19023</v>
      </c>
      <c r="B19026" s="2" t="s">
        <v>19094</v>
      </c>
      <c r="C19026" s="2" t="str">
        <f>"15338665"</f>
        <v>15338665</v>
      </c>
      <c r="D19026" s="2">
        <v>0.57299999999999995</v>
      </c>
      <c r="E19026" s="2">
        <v>22</v>
      </c>
      <c r="F19026" s="2" t="s">
        <v>6</v>
      </c>
    </row>
    <row r="19027" spans="1:6" ht="25.5">
      <c r="A19027" s="2">
        <v>19024</v>
      </c>
      <c r="B19027" s="2" t="s">
        <v>19095</v>
      </c>
      <c r="C19027" s="2" t="str">
        <f>"20738994"</f>
        <v>20738994</v>
      </c>
      <c r="D19027" s="2">
        <v>0.39600000000000002</v>
      </c>
      <c r="E19027" s="2">
        <v>9</v>
      </c>
      <c r="F19027" s="2" t="s">
        <v>31</v>
      </c>
    </row>
    <row r="19028" spans="1:6" ht="25.5">
      <c r="A19028" s="2">
        <v>19025</v>
      </c>
      <c r="B19028" s="2" t="s">
        <v>19096</v>
      </c>
      <c r="C19028" s="2" t="str">
        <f>"18150659"</f>
        <v>18150659</v>
      </c>
      <c r="D19028" s="2">
        <v>0.34100000000000003</v>
      </c>
      <c r="E19028" s="2">
        <v>11</v>
      </c>
      <c r="F19028" s="2" t="s">
        <v>438</v>
      </c>
    </row>
    <row r="19029" spans="1:6" ht="25.5">
      <c r="A19029" s="2">
        <v>19026</v>
      </c>
      <c r="B19029" s="2" t="s">
        <v>19097</v>
      </c>
      <c r="C19029" s="2" t="str">
        <f>"00397709"</f>
        <v>00397709</v>
      </c>
      <c r="D19029" s="2">
        <v>0.1</v>
      </c>
      <c r="E19029" s="2">
        <v>2</v>
      </c>
      <c r="F19029" s="2" t="s">
        <v>16</v>
      </c>
    </row>
    <row r="19030" spans="1:6" ht="25.5">
      <c r="A19030" s="2">
        <v>19027</v>
      </c>
      <c r="B19030" s="2" t="s">
        <v>19098</v>
      </c>
      <c r="C19030" s="2" t="str">
        <f>"10982396"</f>
        <v>10982396</v>
      </c>
      <c r="D19030" s="2">
        <v>1.081</v>
      </c>
      <c r="E19030" s="2">
        <v>78</v>
      </c>
      <c r="F19030" s="2" t="s">
        <v>6</v>
      </c>
    </row>
    <row r="19031" spans="1:6" ht="25.5">
      <c r="A19031" s="2">
        <v>19028</v>
      </c>
      <c r="B19031" s="2" t="s">
        <v>19099</v>
      </c>
      <c r="C19031" s="2" t="str">
        <f>"08940886"</f>
        <v>08940886</v>
      </c>
      <c r="D19031" s="2">
        <v>0.11799999999999999</v>
      </c>
      <c r="E19031" s="2">
        <v>3</v>
      </c>
      <c r="F19031" s="2" t="s">
        <v>6</v>
      </c>
    </row>
    <row r="19032" spans="1:6" ht="25.5">
      <c r="A19032" s="2">
        <v>19029</v>
      </c>
      <c r="B19032" s="2" t="s">
        <v>19100</v>
      </c>
      <c r="C19032" s="2" t="str">
        <f>"22606513"</f>
        <v>22606513</v>
      </c>
      <c r="D19032" s="2">
        <v>0</v>
      </c>
      <c r="E19032" s="2">
        <v>0</v>
      </c>
      <c r="F19032" s="2" t="s">
        <v>66</v>
      </c>
    </row>
    <row r="19033" spans="1:6" ht="25.5">
      <c r="A19033" s="2">
        <v>19030</v>
      </c>
      <c r="B19033" s="2" t="s">
        <v>19101</v>
      </c>
      <c r="C19033" s="2" t="str">
        <f>"14372096"</f>
        <v>14372096</v>
      </c>
      <c r="D19033" s="2">
        <v>0.96599999999999997</v>
      </c>
      <c r="E19033" s="2">
        <v>94</v>
      </c>
      <c r="F19033" s="2" t="s">
        <v>12</v>
      </c>
    </row>
    <row r="19034" spans="1:6" ht="25.5">
      <c r="A19034" s="2">
        <v>19031</v>
      </c>
      <c r="B19034" s="2" t="s">
        <v>19102</v>
      </c>
      <c r="C19034" s="2" t="str">
        <f>"13680005"</f>
        <v>13680005</v>
      </c>
      <c r="D19034" s="2">
        <v>0.96599999999999997</v>
      </c>
      <c r="E19034" s="2">
        <v>9</v>
      </c>
      <c r="F19034" s="2" t="s">
        <v>16</v>
      </c>
    </row>
    <row r="19035" spans="1:6" ht="25.5">
      <c r="A19035" s="2">
        <v>19032</v>
      </c>
      <c r="B19035" s="2" t="s">
        <v>19103</v>
      </c>
      <c r="C19035" s="2" t="str">
        <f>"15730964"</f>
        <v>15730964</v>
      </c>
      <c r="D19035" s="2">
        <v>0.71199999999999997</v>
      </c>
      <c r="E19035" s="2">
        <v>26</v>
      </c>
      <c r="F19035" s="2" t="s">
        <v>75</v>
      </c>
    </row>
    <row r="19036" spans="1:6" ht="25.5">
      <c r="A19036" s="2">
        <v>19033</v>
      </c>
      <c r="B19036" s="2" t="s">
        <v>19104</v>
      </c>
      <c r="C19036" s="2" t="str">
        <f>"18832318"</f>
        <v>18832318</v>
      </c>
      <c r="D19036" s="2">
        <v>0.11</v>
      </c>
      <c r="E19036" s="2">
        <v>3</v>
      </c>
      <c r="F19036" s="2" t="s">
        <v>131</v>
      </c>
    </row>
    <row r="19037" spans="1:6" ht="25.5">
      <c r="A19037" s="2">
        <v>19034</v>
      </c>
      <c r="B19037" s="2" t="s">
        <v>19105</v>
      </c>
      <c r="C19037" s="2" t="str">
        <f>"1851779X"</f>
        <v>1851779X</v>
      </c>
      <c r="D19037" s="2">
        <v>0.126</v>
      </c>
      <c r="E19037" s="2">
        <v>0</v>
      </c>
      <c r="F19037" s="2" t="s">
        <v>192</v>
      </c>
    </row>
    <row r="19038" spans="1:6" ht="25.5">
      <c r="A19038" s="2">
        <v>19035</v>
      </c>
      <c r="B19038" s="2" t="s">
        <v>19105</v>
      </c>
      <c r="C19038" s="2" t="str">
        <f>"1437210X"</f>
        <v>1437210X</v>
      </c>
      <c r="D19038" s="2">
        <v>0.92400000000000004</v>
      </c>
      <c r="E19038" s="2">
        <v>77</v>
      </c>
      <c r="F19038" s="2" t="s">
        <v>12</v>
      </c>
    </row>
    <row r="19039" spans="1:6" ht="25.5">
      <c r="A19039" s="2">
        <v>19036</v>
      </c>
      <c r="B19039" s="2" t="s">
        <v>19106</v>
      </c>
      <c r="C19039" s="2" t="str">
        <f>"15533174"</f>
        <v>15533174</v>
      </c>
      <c r="D19039" s="2">
        <v>0.187</v>
      </c>
      <c r="E19039" s="2">
        <v>31</v>
      </c>
      <c r="F19039" s="2" t="s">
        <v>16</v>
      </c>
    </row>
    <row r="19040" spans="1:6" ht="25.5">
      <c r="A19040" s="2">
        <v>19037</v>
      </c>
      <c r="B19040" s="2" t="s">
        <v>19107</v>
      </c>
      <c r="C19040" s="2" t="str">
        <f>"19394608"</f>
        <v>19394608</v>
      </c>
      <c r="D19040" s="2">
        <v>0.878</v>
      </c>
      <c r="E19040" s="2">
        <v>4</v>
      </c>
      <c r="F19040" s="2" t="s">
        <v>6</v>
      </c>
    </row>
    <row r="19041" spans="1:6" ht="25.5">
      <c r="A19041" s="2">
        <v>19038</v>
      </c>
      <c r="B19041" s="2" t="s">
        <v>19108</v>
      </c>
      <c r="C19041" s="2" t="str">
        <f>"19300328"</f>
        <v>19300328</v>
      </c>
      <c r="D19041" s="2">
        <v>0.10199999999999999</v>
      </c>
      <c r="E19041" s="2">
        <v>2</v>
      </c>
      <c r="F19041" s="2" t="s">
        <v>6</v>
      </c>
    </row>
    <row r="19042" spans="1:6" ht="25.5">
      <c r="A19042" s="2">
        <v>19039</v>
      </c>
      <c r="B19042" s="2" t="s">
        <v>19109</v>
      </c>
      <c r="C19042" s="2" t="str">
        <f>"19321244"</f>
        <v>19321244</v>
      </c>
      <c r="D19042" s="2">
        <v>0.113</v>
      </c>
      <c r="E19042" s="2">
        <v>2</v>
      </c>
      <c r="F19042" s="2" t="s">
        <v>6</v>
      </c>
    </row>
    <row r="19043" spans="1:6" ht="25.5">
      <c r="A19043" s="2">
        <v>19040</v>
      </c>
      <c r="B19043" s="2" t="s">
        <v>19110</v>
      </c>
      <c r="C19043" s="2" t="str">
        <f>"19321252"</f>
        <v>19321252</v>
      </c>
      <c r="D19043" s="2">
        <v>0.109</v>
      </c>
      <c r="E19043" s="2">
        <v>3</v>
      </c>
      <c r="F19043" s="2" t="s">
        <v>6</v>
      </c>
    </row>
    <row r="19044" spans="1:6" ht="25.5">
      <c r="A19044" s="2">
        <v>19041</v>
      </c>
      <c r="B19044" s="2" t="s">
        <v>19111</v>
      </c>
      <c r="C19044" s="2" t="str">
        <f>"19353243"</f>
        <v>19353243</v>
      </c>
      <c r="D19044" s="2">
        <v>0.80700000000000005</v>
      </c>
      <c r="E19044" s="2">
        <v>3</v>
      </c>
      <c r="F19044" s="2" t="s">
        <v>6</v>
      </c>
    </row>
    <row r="19045" spans="1:6" ht="25.5">
      <c r="A19045" s="2">
        <v>19042</v>
      </c>
      <c r="B19045" s="2" t="s">
        <v>19112</v>
      </c>
      <c r="C19045" s="2" t="str">
        <f>"19338996"</f>
        <v>19338996</v>
      </c>
      <c r="D19045" s="2">
        <v>0.14399999999999999</v>
      </c>
      <c r="E19045" s="2">
        <v>2</v>
      </c>
      <c r="F19045" s="2" t="s">
        <v>6</v>
      </c>
    </row>
    <row r="19046" spans="1:6" ht="25.5">
      <c r="A19046" s="2">
        <v>19043</v>
      </c>
      <c r="B19046" s="2" t="s">
        <v>19113</v>
      </c>
      <c r="C19046" s="2" t="str">
        <f>"19321686"</f>
        <v>19321686</v>
      </c>
      <c r="D19046" s="2">
        <v>0.309</v>
      </c>
      <c r="E19046" s="2">
        <v>1</v>
      </c>
      <c r="F19046" s="2" t="s">
        <v>6</v>
      </c>
    </row>
    <row r="19047" spans="1:6" ht="25.5">
      <c r="A19047" s="2">
        <v>19044</v>
      </c>
      <c r="B19047" s="2" t="s">
        <v>19114</v>
      </c>
      <c r="C19047" s="2" t="str">
        <f>"19323166"</f>
        <v>19323166</v>
      </c>
      <c r="D19047" s="2">
        <v>0.106</v>
      </c>
      <c r="E19047" s="2">
        <v>1</v>
      </c>
      <c r="F19047" s="2" t="s">
        <v>6</v>
      </c>
    </row>
    <row r="19048" spans="1:6" ht="25.5">
      <c r="A19048" s="2">
        <v>19045</v>
      </c>
      <c r="B19048" s="2" t="s">
        <v>19115</v>
      </c>
      <c r="C19048" s="2" t="str">
        <f>"1559811X"</f>
        <v>1559811X</v>
      </c>
      <c r="D19048" s="2">
        <v>0.104</v>
      </c>
      <c r="E19048" s="2">
        <v>0</v>
      </c>
      <c r="F19048" s="2" t="s">
        <v>6</v>
      </c>
    </row>
    <row r="19049" spans="1:6">
      <c r="A19049" s="2">
        <v>19046</v>
      </c>
      <c r="B19049" s="2" t="s">
        <v>19116</v>
      </c>
      <c r="C19049" s="2" t="str">
        <f>"0"</f>
        <v>0</v>
      </c>
      <c r="D19049" s="2">
        <v>0.10299999999999999</v>
      </c>
      <c r="E19049" s="2">
        <v>2</v>
      </c>
      <c r="F19049" s="2" t="s">
        <v>6</v>
      </c>
    </row>
    <row r="19050" spans="1:6" ht="25.5">
      <c r="A19050" s="2">
        <v>19047</v>
      </c>
      <c r="B19050" s="2" t="s">
        <v>19117</v>
      </c>
      <c r="C19050" s="2" t="str">
        <f>"15598136"</f>
        <v>15598136</v>
      </c>
      <c r="D19050" s="2">
        <v>0.113</v>
      </c>
      <c r="E19050" s="2">
        <v>2</v>
      </c>
      <c r="F19050" s="2" t="s">
        <v>6</v>
      </c>
    </row>
    <row r="19051" spans="1:6" ht="25.5">
      <c r="A19051" s="2">
        <v>19048</v>
      </c>
      <c r="B19051" s="2" t="s">
        <v>19118</v>
      </c>
      <c r="C19051" s="2" t="str">
        <f>"19339011"</f>
        <v>19339011</v>
      </c>
      <c r="D19051" s="2">
        <v>0.109</v>
      </c>
      <c r="E19051" s="2">
        <v>2</v>
      </c>
      <c r="F19051" s="2" t="s">
        <v>6</v>
      </c>
    </row>
    <row r="19052" spans="1:6" ht="25.5">
      <c r="A19052" s="2">
        <v>19049</v>
      </c>
      <c r="B19052" s="2" t="s">
        <v>19119</v>
      </c>
      <c r="C19052" s="2" t="str">
        <f>"19354185"</f>
        <v>19354185</v>
      </c>
      <c r="D19052" s="2">
        <v>1.0069999999999999</v>
      </c>
      <c r="E19052" s="2">
        <v>2</v>
      </c>
      <c r="F19052" s="2" t="s">
        <v>6</v>
      </c>
    </row>
    <row r="19053" spans="1:6" ht="25.5">
      <c r="A19053" s="2">
        <v>19050</v>
      </c>
      <c r="B19053" s="2" t="s">
        <v>19120</v>
      </c>
      <c r="C19053" s="2" t="str">
        <f>"19319533"</f>
        <v>19319533</v>
      </c>
      <c r="D19053" s="2">
        <v>0.126</v>
      </c>
      <c r="E19053" s="2">
        <v>1</v>
      </c>
      <c r="F19053" s="2" t="s">
        <v>6</v>
      </c>
    </row>
    <row r="19054" spans="1:6" ht="25.5">
      <c r="A19054" s="2">
        <v>19051</v>
      </c>
      <c r="B19054" s="2" t="s">
        <v>19121</v>
      </c>
      <c r="C19054" s="2" t="str">
        <f>"19321236"</f>
        <v>19321236</v>
      </c>
      <c r="D19054" s="2">
        <v>1.4470000000000001</v>
      </c>
      <c r="E19054" s="2">
        <v>1</v>
      </c>
      <c r="F19054" s="2" t="s">
        <v>6</v>
      </c>
    </row>
    <row r="19055" spans="1:6" ht="25.5">
      <c r="A19055" s="2">
        <v>19052</v>
      </c>
      <c r="B19055" s="2" t="s">
        <v>19122</v>
      </c>
      <c r="C19055" s="2" t="str">
        <f>"1932121X"</f>
        <v>1932121X</v>
      </c>
      <c r="D19055" s="2">
        <v>1.538</v>
      </c>
      <c r="E19055" s="2">
        <v>2</v>
      </c>
      <c r="F19055" s="2" t="s">
        <v>6</v>
      </c>
    </row>
    <row r="19056" spans="1:6" ht="25.5">
      <c r="A19056" s="2">
        <v>19053</v>
      </c>
      <c r="B19056" s="2" t="s">
        <v>19123</v>
      </c>
      <c r="C19056" s="2" t="str">
        <f>"1933978X"</f>
        <v>1933978X</v>
      </c>
      <c r="D19056" s="2">
        <v>0.113</v>
      </c>
      <c r="E19056" s="2">
        <v>0</v>
      </c>
      <c r="F19056" s="2" t="s">
        <v>6</v>
      </c>
    </row>
    <row r="19057" spans="1:6" ht="25.5">
      <c r="A19057" s="2">
        <v>19054</v>
      </c>
      <c r="B19057" s="2" t="s">
        <v>19124</v>
      </c>
      <c r="C19057" s="2" t="str">
        <f>"03527875"</f>
        <v>03527875</v>
      </c>
      <c r="D19057" s="2">
        <v>0.114</v>
      </c>
      <c r="E19057" s="2">
        <v>2</v>
      </c>
      <c r="F19057" s="2" t="s">
        <v>149</v>
      </c>
    </row>
    <row r="19058" spans="1:6" ht="25.5">
      <c r="A19058" s="2">
        <v>19055</v>
      </c>
      <c r="B19058" s="2" t="s">
        <v>19125</v>
      </c>
      <c r="C19058" s="2" t="str">
        <f>"21553718"</f>
        <v>21553718</v>
      </c>
      <c r="D19058" s="2">
        <v>0.126</v>
      </c>
      <c r="E19058" s="2">
        <v>0</v>
      </c>
      <c r="F19058" s="2" t="s">
        <v>6</v>
      </c>
    </row>
    <row r="19059" spans="1:6" ht="25.5">
      <c r="A19059" s="2">
        <v>19056</v>
      </c>
      <c r="B19059" s="2" t="s">
        <v>19126</v>
      </c>
      <c r="C19059" s="2" t="str">
        <f>"15322432"</f>
        <v>15322432</v>
      </c>
      <c r="D19059" s="2">
        <v>0.38900000000000001</v>
      </c>
      <c r="E19059" s="2">
        <v>52</v>
      </c>
      <c r="F19059" s="2" t="s">
        <v>16</v>
      </c>
    </row>
    <row r="19060" spans="1:6" ht="25.5">
      <c r="A19060" s="2">
        <v>19057</v>
      </c>
      <c r="B19060" s="2" t="s">
        <v>19127</v>
      </c>
      <c r="C19060" s="2" t="str">
        <f>"03796779"</f>
        <v>03796779</v>
      </c>
      <c r="D19060" s="2">
        <v>0.75700000000000001</v>
      </c>
      <c r="E19060" s="2">
        <v>96</v>
      </c>
      <c r="F19060" s="2" t="s">
        <v>75</v>
      </c>
    </row>
    <row r="19061" spans="1:6" ht="25.5">
      <c r="A19061" s="2">
        <v>19058</v>
      </c>
      <c r="B19061" s="2" t="s">
        <v>19128</v>
      </c>
      <c r="C19061" s="2" t="str">
        <f>"0346251X"</f>
        <v>0346251X</v>
      </c>
      <c r="D19061" s="2">
        <v>0.95899999999999996</v>
      </c>
      <c r="E19061" s="2">
        <v>28</v>
      </c>
      <c r="F19061" s="2" t="s">
        <v>16</v>
      </c>
    </row>
    <row r="19062" spans="1:6" ht="25.5">
      <c r="A19062" s="2">
        <v>19059</v>
      </c>
      <c r="B19062" s="2" t="s">
        <v>19129</v>
      </c>
      <c r="C19062" s="2" t="str">
        <f>"13621971"</f>
        <v>13621971</v>
      </c>
      <c r="D19062" s="2">
        <v>0.32600000000000001</v>
      </c>
      <c r="E19062" s="2">
        <v>3</v>
      </c>
      <c r="F19062" s="2" t="s">
        <v>127</v>
      </c>
    </row>
    <row r="19063" spans="1:6" ht="25.5">
      <c r="A19063" s="2">
        <v>19060</v>
      </c>
      <c r="B19063" s="2" t="s">
        <v>19130</v>
      </c>
      <c r="C19063" s="2" t="str">
        <f>"16180984"</f>
        <v>16180984</v>
      </c>
      <c r="D19063" s="2">
        <v>1.5229999999999999</v>
      </c>
      <c r="E19063" s="2">
        <v>59</v>
      </c>
      <c r="F19063" s="2" t="s">
        <v>12</v>
      </c>
    </row>
    <row r="19064" spans="1:6" ht="25.5">
      <c r="A19064" s="2">
        <v>19061</v>
      </c>
      <c r="B19064" s="2" t="s">
        <v>19131</v>
      </c>
      <c r="C19064" s="2" t="str">
        <f>"1076836X"</f>
        <v>1076836X</v>
      </c>
      <c r="D19064" s="2">
        <v>6.6989999999999998</v>
      </c>
      <c r="E19064" s="2">
        <v>115</v>
      </c>
      <c r="F19064" s="2" t="s">
        <v>16</v>
      </c>
    </row>
    <row r="19065" spans="1:6" ht="25.5">
      <c r="A19065" s="2">
        <v>19062</v>
      </c>
      <c r="B19065" s="2" t="s">
        <v>19132</v>
      </c>
      <c r="C19065" s="2" t="str">
        <f>"15482324"</f>
        <v>15482324</v>
      </c>
      <c r="D19065" s="2">
        <v>0.81699999999999995</v>
      </c>
      <c r="E19065" s="2">
        <v>48</v>
      </c>
      <c r="F19065" s="2" t="s">
        <v>6</v>
      </c>
    </row>
    <row r="19066" spans="1:6" ht="25.5">
      <c r="A19066" s="2">
        <v>19063</v>
      </c>
      <c r="B19066" s="2" t="s">
        <v>19133</v>
      </c>
      <c r="C19066" s="2" t="str">
        <f>"03076970"</f>
        <v>03076970</v>
      </c>
      <c r="D19066" s="2">
        <v>1.2909999999999999</v>
      </c>
      <c r="E19066" s="2">
        <v>36</v>
      </c>
      <c r="F19066" s="2" t="s">
        <v>16</v>
      </c>
    </row>
    <row r="19067" spans="1:6" ht="25.5">
      <c r="A19067" s="2">
        <v>19064</v>
      </c>
      <c r="B19067" s="2" t="s">
        <v>19134</v>
      </c>
      <c r="C19067" s="2" t="str">
        <f>"15735192"</f>
        <v>15735192</v>
      </c>
      <c r="D19067" s="2">
        <v>0.45800000000000002</v>
      </c>
      <c r="E19067" s="2">
        <v>32</v>
      </c>
      <c r="F19067" s="2" t="s">
        <v>75</v>
      </c>
    </row>
    <row r="19068" spans="1:6" ht="25.5">
      <c r="A19068" s="2">
        <v>19065</v>
      </c>
      <c r="B19068" s="2" t="s">
        <v>19135</v>
      </c>
      <c r="C19068" s="2" t="str">
        <f>"14780933"</f>
        <v>14780933</v>
      </c>
      <c r="D19068" s="2">
        <v>0.9</v>
      </c>
      <c r="E19068" s="2">
        <v>16</v>
      </c>
      <c r="F19068" s="2" t="s">
        <v>16</v>
      </c>
    </row>
    <row r="19069" spans="1:6" ht="25.5">
      <c r="A19069" s="2">
        <v>19066</v>
      </c>
      <c r="B19069" s="2" t="s">
        <v>19136</v>
      </c>
      <c r="C19069" s="2" t="str">
        <f>"10991727"</f>
        <v>10991727</v>
      </c>
      <c r="D19069" s="2">
        <v>0.39300000000000002</v>
      </c>
      <c r="E19069" s="2">
        <v>32</v>
      </c>
      <c r="F19069" s="2" t="s">
        <v>16</v>
      </c>
    </row>
    <row r="19070" spans="1:6" ht="25.5">
      <c r="A19070" s="2">
        <v>19067</v>
      </c>
      <c r="B19070" s="2" t="s">
        <v>19137</v>
      </c>
      <c r="C19070" s="2" t="str">
        <f>"15739295"</f>
        <v>15739295</v>
      </c>
      <c r="D19070" s="2">
        <v>0.21</v>
      </c>
      <c r="E19070" s="2">
        <v>16</v>
      </c>
      <c r="F19070" s="2" t="s">
        <v>6</v>
      </c>
    </row>
    <row r="19071" spans="1:6" ht="25.5">
      <c r="A19071" s="2">
        <v>19068</v>
      </c>
      <c r="B19071" s="2" t="s">
        <v>19138</v>
      </c>
      <c r="C19071" s="2" t="str">
        <f>"01676911"</f>
        <v>01676911</v>
      </c>
      <c r="D19071" s="2">
        <v>2.6080000000000001</v>
      </c>
      <c r="E19071" s="2">
        <v>78</v>
      </c>
      <c r="F19071" s="2" t="s">
        <v>75</v>
      </c>
    </row>
    <row r="19072" spans="1:6" ht="25.5">
      <c r="A19072" s="2">
        <v>19069</v>
      </c>
      <c r="B19072" s="2" t="s">
        <v>19139</v>
      </c>
      <c r="C19072" s="2" t="str">
        <f>"18725333"</f>
        <v>18725333</v>
      </c>
      <c r="D19072" s="2">
        <v>0.85299999999999998</v>
      </c>
      <c r="E19072" s="2">
        <v>10</v>
      </c>
      <c r="F19072" s="2" t="s">
        <v>75</v>
      </c>
    </row>
    <row r="19073" spans="1:6" ht="25.5">
      <c r="A19073" s="2">
        <v>19070</v>
      </c>
      <c r="B19073" s="2" t="s">
        <v>19140</v>
      </c>
      <c r="C19073" s="2" t="str">
        <f>"19396376"</f>
        <v>19396376</v>
      </c>
      <c r="D19073" s="2">
        <v>0.46500000000000002</v>
      </c>
      <c r="E19073" s="2">
        <v>28</v>
      </c>
      <c r="F19073" s="2" t="s">
        <v>16</v>
      </c>
    </row>
    <row r="19074" spans="1:6" ht="25.5">
      <c r="A19074" s="2">
        <v>19071</v>
      </c>
      <c r="B19074" s="2" t="s">
        <v>19141</v>
      </c>
      <c r="C19074" s="2" t="str">
        <f>"15206858"</f>
        <v>15206858</v>
      </c>
      <c r="D19074" s="2">
        <v>0.38300000000000001</v>
      </c>
      <c r="E19074" s="2">
        <v>22</v>
      </c>
      <c r="F19074" s="2" t="s">
        <v>6</v>
      </c>
    </row>
    <row r="19075" spans="1:6" ht="25.5">
      <c r="A19075" s="2">
        <v>19072</v>
      </c>
      <c r="B19075" s="2" t="s">
        <v>19142</v>
      </c>
      <c r="C19075" s="2" t="str">
        <f>"10991743"</f>
        <v>10991743</v>
      </c>
      <c r="D19075" s="2">
        <v>0.34399999999999997</v>
      </c>
      <c r="E19075" s="2">
        <v>22</v>
      </c>
      <c r="F19075" s="2" t="s">
        <v>16</v>
      </c>
    </row>
    <row r="19076" spans="1:6" ht="25.5">
      <c r="A19076" s="2">
        <v>19073</v>
      </c>
      <c r="B19076" s="2" t="s">
        <v>19143</v>
      </c>
      <c r="C19076" s="2" t="str">
        <f>"12162051"</f>
        <v>12162051</v>
      </c>
      <c r="D19076" s="2">
        <v>0.1</v>
      </c>
      <c r="E19076" s="2">
        <v>1</v>
      </c>
      <c r="F19076" s="2" t="s">
        <v>135</v>
      </c>
    </row>
    <row r="19077" spans="1:6" ht="25.5">
      <c r="A19077" s="2">
        <v>19074</v>
      </c>
      <c r="B19077" s="2" t="s">
        <v>19144</v>
      </c>
      <c r="C19077" s="2" t="str">
        <f>"16307364"</f>
        <v>16307364</v>
      </c>
      <c r="D19077" s="2">
        <v>0.104</v>
      </c>
      <c r="E19077" s="2">
        <v>0</v>
      </c>
      <c r="F19077" s="2" t="s">
        <v>66</v>
      </c>
    </row>
    <row r="19078" spans="1:6" ht="25.5">
      <c r="A19078" s="2">
        <v>19075</v>
      </c>
      <c r="B19078" s="2" t="s">
        <v>19145</v>
      </c>
      <c r="C19078" s="2" t="str">
        <f>"0494464X"</f>
        <v>0494464X</v>
      </c>
      <c r="D19078" s="2">
        <v>0.10100000000000001</v>
      </c>
      <c r="E19078" s="2">
        <v>2</v>
      </c>
      <c r="F19078" s="2" t="s">
        <v>12</v>
      </c>
    </row>
    <row r="19079" spans="1:6" ht="25.5">
      <c r="A19079" s="2">
        <v>19076</v>
      </c>
      <c r="B19079" s="2" t="s">
        <v>19146</v>
      </c>
      <c r="C19079" s="2" t="str">
        <f>"16052471"</f>
        <v>16052471</v>
      </c>
      <c r="D19079" s="2">
        <v>0.125</v>
      </c>
      <c r="E19079" s="2">
        <v>3</v>
      </c>
      <c r="F19079" s="2" t="s">
        <v>165</v>
      </c>
    </row>
    <row r="19080" spans="1:6" ht="25.5">
      <c r="A19080" s="2">
        <v>19077</v>
      </c>
      <c r="B19080" s="2" t="s">
        <v>19147</v>
      </c>
      <c r="C19080" s="2" t="str">
        <f>"10275487"</f>
        <v>10275487</v>
      </c>
      <c r="D19080" s="2">
        <v>0.67200000000000004</v>
      </c>
      <c r="E19080" s="2">
        <v>25</v>
      </c>
      <c r="F19080" s="2" t="s">
        <v>165</v>
      </c>
    </row>
    <row r="19081" spans="1:6" ht="25.5">
      <c r="A19081" s="2">
        <v>19078</v>
      </c>
      <c r="B19081" s="2" t="s">
        <v>19148</v>
      </c>
      <c r="C19081" s="2" t="str">
        <f>"10284559"</f>
        <v>10284559</v>
      </c>
      <c r="D19081" s="2">
        <v>0.41099999999999998</v>
      </c>
      <c r="E19081" s="2">
        <v>16</v>
      </c>
      <c r="F19081" s="2" t="s">
        <v>165</v>
      </c>
    </row>
    <row r="19082" spans="1:6" ht="25.5">
      <c r="A19082" s="2">
        <v>19079</v>
      </c>
      <c r="B19082" s="2" t="s">
        <v>19149</v>
      </c>
      <c r="C19082" s="2" t="str">
        <f>"0372333X"</f>
        <v>0372333X</v>
      </c>
      <c r="D19082" s="2">
        <v>0.35699999999999998</v>
      </c>
      <c r="E19082" s="2">
        <v>5</v>
      </c>
      <c r="F19082" s="2" t="s">
        <v>165</v>
      </c>
    </row>
    <row r="19083" spans="1:6" ht="25.5">
      <c r="A19083" s="2">
        <v>19080</v>
      </c>
      <c r="B19083" s="2" t="s">
        <v>19150</v>
      </c>
      <c r="C19083" s="2" t="str">
        <f>"17294649"</f>
        <v>17294649</v>
      </c>
      <c r="D19083" s="2">
        <v>0.311</v>
      </c>
      <c r="E19083" s="2">
        <v>2</v>
      </c>
      <c r="F19083" s="2" t="s">
        <v>165</v>
      </c>
    </row>
    <row r="19084" spans="1:6" ht="25.5">
      <c r="A19084" s="2">
        <v>19081</v>
      </c>
      <c r="B19084" s="2" t="s">
        <v>19151</v>
      </c>
      <c r="C19084" s="2" t="str">
        <f>"10232141"</f>
        <v>10232141</v>
      </c>
      <c r="D19084" s="2">
        <v>0.19800000000000001</v>
      </c>
      <c r="E19084" s="2">
        <v>11</v>
      </c>
      <c r="F19084" s="2" t="s">
        <v>165</v>
      </c>
    </row>
    <row r="19085" spans="1:6" ht="25.5">
      <c r="A19085" s="2">
        <v>19082</v>
      </c>
      <c r="B19085" s="2" t="s">
        <v>19152</v>
      </c>
      <c r="C19085" s="2" t="str">
        <f>"17275199"</f>
        <v>17275199</v>
      </c>
      <c r="D19085" s="2">
        <v>0.1</v>
      </c>
      <c r="E19085" s="2">
        <v>2</v>
      </c>
      <c r="F19085" s="2" t="s">
        <v>165</v>
      </c>
    </row>
    <row r="19086" spans="1:6" ht="25.5">
      <c r="A19086" s="2">
        <v>19083</v>
      </c>
      <c r="B19086" s="2" t="s">
        <v>19153</v>
      </c>
      <c r="C19086" s="2" t="str">
        <f>"04921505"</f>
        <v>04921505</v>
      </c>
      <c r="D19086" s="2">
        <v>0.10100000000000001</v>
      </c>
      <c r="E19086" s="2">
        <v>0</v>
      </c>
      <c r="F19086" s="2" t="s">
        <v>165</v>
      </c>
    </row>
    <row r="19087" spans="1:6" ht="25.5">
      <c r="A19087" s="2">
        <v>19084</v>
      </c>
      <c r="B19087" s="2" t="s">
        <v>19154</v>
      </c>
      <c r="C19087" s="2" t="str">
        <f>"02540096"</f>
        <v>02540096</v>
      </c>
      <c r="D19087" s="2">
        <v>0.214</v>
      </c>
      <c r="E19087" s="2">
        <v>14</v>
      </c>
      <c r="F19087" s="2" t="s">
        <v>46</v>
      </c>
    </row>
    <row r="19088" spans="1:6" ht="25.5">
      <c r="A19088" s="2">
        <v>19085</v>
      </c>
      <c r="B19088" s="2" t="s">
        <v>19155</v>
      </c>
      <c r="C19088" s="2" t="str">
        <f>"00399140"</f>
        <v>00399140</v>
      </c>
      <c r="D19088" s="2">
        <v>1.254</v>
      </c>
      <c r="E19088" s="2">
        <v>92</v>
      </c>
      <c r="F19088" s="2" t="s">
        <v>75</v>
      </c>
    </row>
    <row r="19089" spans="1:6" ht="25.5">
      <c r="A19089" s="2">
        <v>19086</v>
      </c>
      <c r="B19089" s="2" t="s">
        <v>19156</v>
      </c>
      <c r="C19089" s="2" t="str">
        <f>"07160798"</f>
        <v>07160798</v>
      </c>
      <c r="D19089" s="2">
        <v>0.10199999999999999</v>
      </c>
      <c r="E19089" s="2">
        <v>0</v>
      </c>
      <c r="F19089" s="2" t="s">
        <v>182</v>
      </c>
    </row>
    <row r="19090" spans="1:6" ht="25.5">
      <c r="A19090" s="2">
        <v>19087</v>
      </c>
      <c r="B19090" s="2" t="s">
        <v>19157</v>
      </c>
      <c r="C19090" s="2" t="str">
        <f>"12489433"</f>
        <v>12489433</v>
      </c>
      <c r="D19090" s="2">
        <v>0.10100000000000001</v>
      </c>
      <c r="E19090" s="2">
        <v>0</v>
      </c>
      <c r="F19090" s="2" t="s">
        <v>66</v>
      </c>
    </row>
    <row r="19091" spans="1:6" ht="25.5">
      <c r="A19091" s="2">
        <v>19088</v>
      </c>
      <c r="B19091" s="2" t="s">
        <v>19158</v>
      </c>
      <c r="C19091" s="2" t="str">
        <f>"10274979"</f>
        <v>10274979</v>
      </c>
      <c r="D19091" s="2">
        <v>0.10100000000000001</v>
      </c>
      <c r="E19091" s="2">
        <v>2</v>
      </c>
      <c r="F19091" s="2" t="s">
        <v>165</v>
      </c>
    </row>
    <row r="19092" spans="1:6" ht="25.5">
      <c r="A19092" s="2">
        <v>19089</v>
      </c>
      <c r="B19092" s="2" t="s">
        <v>19159</v>
      </c>
      <c r="C19092" s="2" t="str">
        <f>"00492930"</f>
        <v>00492930</v>
      </c>
      <c r="D19092" s="2">
        <v>0.16400000000000001</v>
      </c>
      <c r="E19092" s="2">
        <v>6</v>
      </c>
      <c r="F19092" s="2" t="s">
        <v>165</v>
      </c>
    </row>
    <row r="19093" spans="1:6" ht="25.5">
      <c r="A19093" s="2">
        <v>19090</v>
      </c>
      <c r="B19093" s="2" t="s">
        <v>19160</v>
      </c>
      <c r="C19093" s="2" t="str">
        <f>"15606686"</f>
        <v>15606686</v>
      </c>
      <c r="D19093" s="2">
        <v>0.20399999999999999</v>
      </c>
      <c r="E19093" s="2">
        <v>14</v>
      </c>
      <c r="F19093" s="2" t="s">
        <v>165</v>
      </c>
    </row>
    <row r="19094" spans="1:6" ht="25.5">
      <c r="A19094" s="2">
        <v>19091</v>
      </c>
      <c r="B19094" s="2" t="s">
        <v>19161</v>
      </c>
      <c r="C19094" s="2" t="str">
        <f>"00492949"</f>
        <v>00492949</v>
      </c>
      <c r="D19094" s="2">
        <v>0.1</v>
      </c>
      <c r="E19094" s="2">
        <v>2</v>
      </c>
      <c r="F19094" s="2" t="s">
        <v>165</v>
      </c>
    </row>
    <row r="19095" spans="1:6" ht="25.5">
      <c r="A19095" s="2">
        <v>19092</v>
      </c>
      <c r="B19095" s="2" t="s">
        <v>19162</v>
      </c>
      <c r="C19095" s="2" t="str">
        <f>"22224432"</f>
        <v>22224432</v>
      </c>
      <c r="D19095" s="2">
        <v>0.16700000000000001</v>
      </c>
      <c r="E19095" s="2">
        <v>3</v>
      </c>
      <c r="F19095" s="2" t="s">
        <v>165</v>
      </c>
    </row>
    <row r="19096" spans="1:6" ht="25.5">
      <c r="A19096" s="2">
        <v>19093</v>
      </c>
      <c r="B19096" s="2" t="s">
        <v>19163</v>
      </c>
      <c r="C19096" s="2" t="str">
        <f>"17350344"</f>
        <v>17350344</v>
      </c>
      <c r="D19096" s="2">
        <v>0.127</v>
      </c>
      <c r="E19096" s="2">
        <v>4</v>
      </c>
      <c r="F19096" s="2" t="s">
        <v>299</v>
      </c>
    </row>
    <row r="19097" spans="1:6" ht="25.5">
      <c r="A19097" s="2">
        <v>19094</v>
      </c>
      <c r="B19097" s="2" t="s">
        <v>19164</v>
      </c>
      <c r="C19097" s="2" t="str">
        <f>"15357740"</f>
        <v>15357740</v>
      </c>
      <c r="D19097" s="2">
        <v>0.106</v>
      </c>
      <c r="E19097" s="2">
        <v>14</v>
      </c>
      <c r="F19097" s="2" t="s">
        <v>6</v>
      </c>
    </row>
    <row r="19098" spans="1:6" ht="25.5">
      <c r="A19098" s="2">
        <v>19095</v>
      </c>
      <c r="B19098" s="2" t="s">
        <v>19165</v>
      </c>
      <c r="C19098" s="2" t="str">
        <f>"18697720"</f>
        <v>18697720</v>
      </c>
      <c r="D19098" s="2">
        <v>0.1</v>
      </c>
      <c r="E19098" s="2">
        <v>0</v>
      </c>
      <c r="F19098" s="2" t="s">
        <v>12</v>
      </c>
    </row>
    <row r="19099" spans="1:6" ht="25.5">
      <c r="A19099" s="2">
        <v>19096</v>
      </c>
      <c r="B19099" s="2" t="s">
        <v>19166</v>
      </c>
      <c r="C19099" s="2" t="str">
        <f>"18216404"</f>
        <v>18216404</v>
      </c>
      <c r="D19099" s="2">
        <v>0.19900000000000001</v>
      </c>
      <c r="E19099" s="2">
        <v>10</v>
      </c>
      <c r="F19099" s="2" t="s">
        <v>5263</v>
      </c>
    </row>
    <row r="19100" spans="1:6">
      <c r="A19100" s="2">
        <v>19097</v>
      </c>
      <c r="B19100" s="2" t="s">
        <v>19167</v>
      </c>
      <c r="C19100" s="2" t="str">
        <f>"0"</f>
        <v>0</v>
      </c>
      <c r="D19100" s="2">
        <v>0.1</v>
      </c>
      <c r="E19100" s="2">
        <v>1</v>
      </c>
      <c r="F19100" s="2" t="s">
        <v>6</v>
      </c>
    </row>
    <row r="19101" spans="1:6" ht="25.5">
      <c r="A19101" s="2">
        <v>19098</v>
      </c>
      <c r="B19101" s="2" t="s">
        <v>19168</v>
      </c>
      <c r="C19101" s="2" t="str">
        <f>"09241884"</f>
        <v>09241884</v>
      </c>
      <c r="D19101" s="2">
        <v>0.10100000000000001</v>
      </c>
      <c r="E19101" s="2">
        <v>7</v>
      </c>
      <c r="F19101" s="2" t="s">
        <v>75</v>
      </c>
    </row>
    <row r="19102" spans="1:6" ht="25.5">
      <c r="A19102" s="2">
        <v>19099</v>
      </c>
      <c r="B19102" s="2" t="s">
        <v>19169</v>
      </c>
      <c r="C19102" s="2" t="str">
        <f>"1776260X"</f>
        <v>1776260X</v>
      </c>
      <c r="D19102" s="2">
        <v>1.2549999999999999</v>
      </c>
      <c r="E19102" s="2">
        <v>14</v>
      </c>
      <c r="F19102" s="2" t="s">
        <v>66</v>
      </c>
    </row>
    <row r="19103" spans="1:6" ht="25.5">
      <c r="A19103" s="2">
        <v>19100</v>
      </c>
      <c r="B19103" s="2" t="s">
        <v>19170</v>
      </c>
      <c r="C19103" s="2" t="str">
        <f>"00399620"</f>
        <v>00399620</v>
      </c>
      <c r="D19103" s="2">
        <v>0.114</v>
      </c>
      <c r="E19103" s="2">
        <v>3</v>
      </c>
      <c r="F19103" s="2" t="s">
        <v>6</v>
      </c>
    </row>
    <row r="19104" spans="1:6" ht="25.5">
      <c r="A19104" s="2">
        <v>19101</v>
      </c>
      <c r="B19104" s="2" t="s">
        <v>19171</v>
      </c>
      <c r="C19104" s="2" t="str">
        <f>"13007580"</f>
        <v>13007580</v>
      </c>
      <c r="D19104" s="2">
        <v>0.23699999999999999</v>
      </c>
      <c r="E19104" s="2">
        <v>3</v>
      </c>
      <c r="F19104" s="2" t="s">
        <v>345</v>
      </c>
    </row>
    <row r="19105" spans="1:6" ht="25.5">
      <c r="A19105" s="2">
        <v>19102</v>
      </c>
      <c r="B19105" s="2" t="s">
        <v>19172</v>
      </c>
      <c r="C19105" s="2" t="str">
        <f>"15882918"</f>
        <v>15882918</v>
      </c>
      <c r="D19105" s="2">
        <v>0.11700000000000001</v>
      </c>
      <c r="E19105" s="2">
        <v>2</v>
      </c>
      <c r="F19105" s="2" t="s">
        <v>135</v>
      </c>
    </row>
    <row r="19106" spans="1:6" ht="25.5">
      <c r="A19106" s="2">
        <v>19103</v>
      </c>
      <c r="B19106" s="2" t="s">
        <v>19173</v>
      </c>
      <c r="C19106" s="2" t="str">
        <f>"10338306"</f>
        <v>10338306</v>
      </c>
      <c r="D19106" s="2">
        <v>0.23400000000000001</v>
      </c>
      <c r="E19106" s="2">
        <v>3</v>
      </c>
      <c r="F19106" s="2" t="s">
        <v>127</v>
      </c>
    </row>
    <row r="19107" spans="1:6" ht="25.5">
      <c r="A19107" s="2">
        <v>19104</v>
      </c>
      <c r="B19107" s="2" t="s">
        <v>19174</v>
      </c>
      <c r="C19107" s="2" t="str">
        <f>"12103195"</f>
        <v>12103195</v>
      </c>
      <c r="D19107" s="2">
        <v>0.156</v>
      </c>
      <c r="E19107" s="2">
        <v>1</v>
      </c>
      <c r="F19107" s="2" t="s">
        <v>16</v>
      </c>
    </row>
    <row r="19108" spans="1:6" ht="25.5">
      <c r="A19108" s="2">
        <v>19105</v>
      </c>
      <c r="B19108" s="2" t="s">
        <v>19175</v>
      </c>
      <c r="C19108" s="2" t="str">
        <f>"15153037"</f>
        <v>15153037</v>
      </c>
      <c r="D19108" s="2">
        <v>0</v>
      </c>
      <c r="E19108" s="2">
        <v>0</v>
      </c>
      <c r="F19108" s="2" t="s">
        <v>192</v>
      </c>
    </row>
    <row r="19109" spans="1:6" ht="25.5">
      <c r="A19109" s="2">
        <v>19106</v>
      </c>
      <c r="B19109" s="2" t="s">
        <v>19176</v>
      </c>
      <c r="C19109" s="2" t="str">
        <f>"00400262"</f>
        <v>00400262</v>
      </c>
      <c r="D19109" s="2">
        <v>0.79800000000000004</v>
      </c>
      <c r="E19109" s="2">
        <v>47</v>
      </c>
      <c r="F19109" s="2" t="s">
        <v>288</v>
      </c>
    </row>
    <row r="19110" spans="1:6" ht="25.5">
      <c r="A19110" s="2">
        <v>19107</v>
      </c>
      <c r="B19110" s="2" t="s">
        <v>19177</v>
      </c>
      <c r="C19110" s="2" t="str">
        <f>"15372650"</f>
        <v>15372650</v>
      </c>
      <c r="D19110" s="2">
        <v>1.694</v>
      </c>
      <c r="E19110" s="2">
        <v>3</v>
      </c>
      <c r="F19110" s="2" t="s">
        <v>6</v>
      </c>
    </row>
    <row r="19111" spans="1:6" ht="25.5">
      <c r="A19111" s="2">
        <v>19108</v>
      </c>
      <c r="B19111" s="2" t="s">
        <v>19178</v>
      </c>
      <c r="C19111" s="2" t="str">
        <f>"15314715"</f>
        <v>15314715</v>
      </c>
      <c r="D19111" s="2">
        <v>0.17199999999999999</v>
      </c>
      <c r="E19111" s="2">
        <v>7</v>
      </c>
      <c r="F19111" s="2" t="s">
        <v>6</v>
      </c>
    </row>
    <row r="19112" spans="1:6" ht="25.5">
      <c r="A19112" s="2">
        <v>19109</v>
      </c>
      <c r="B19112" s="2" t="s">
        <v>19179</v>
      </c>
      <c r="C19112" s="2" t="str">
        <f>"17475120"</f>
        <v>17475120</v>
      </c>
      <c r="D19112" s="2">
        <v>0.33200000000000002</v>
      </c>
      <c r="E19112" s="2">
        <v>6</v>
      </c>
      <c r="F19112" s="2" t="s">
        <v>16</v>
      </c>
    </row>
    <row r="19113" spans="1:6" ht="25.5">
      <c r="A19113" s="2">
        <v>19110</v>
      </c>
      <c r="B19113" s="2" t="s">
        <v>19180</v>
      </c>
      <c r="C19113" s="2" t="str">
        <f>"08878730"</f>
        <v>08878730</v>
      </c>
      <c r="D19113" s="2">
        <v>0.28499999999999998</v>
      </c>
      <c r="E19113" s="2">
        <v>3</v>
      </c>
      <c r="F19113" s="2" t="s">
        <v>6</v>
      </c>
    </row>
    <row r="19114" spans="1:6" ht="25.5">
      <c r="A19114" s="2">
        <v>19111</v>
      </c>
      <c r="B19114" s="2" t="s">
        <v>19181</v>
      </c>
      <c r="C19114" s="2" t="str">
        <f>"14701278"</f>
        <v>14701278</v>
      </c>
      <c r="D19114" s="2">
        <v>1.0980000000000001</v>
      </c>
      <c r="E19114" s="2">
        <v>22</v>
      </c>
      <c r="F19114" s="2" t="s">
        <v>16</v>
      </c>
    </row>
    <row r="19115" spans="1:6" ht="25.5">
      <c r="A19115" s="2">
        <v>19112</v>
      </c>
      <c r="B19115" s="2" t="s">
        <v>19182</v>
      </c>
      <c r="C19115" s="2" t="str">
        <f>"14679620"</f>
        <v>14679620</v>
      </c>
      <c r="D19115" s="2">
        <v>1.0489999999999999</v>
      </c>
      <c r="E19115" s="2">
        <v>40</v>
      </c>
      <c r="F19115" s="2" t="s">
        <v>6</v>
      </c>
    </row>
    <row r="19116" spans="1:6" ht="25.5">
      <c r="A19116" s="2">
        <v>19113</v>
      </c>
      <c r="B19116" s="2" t="s">
        <v>19183</v>
      </c>
      <c r="C19116" s="2" t="str">
        <f>"15328015"</f>
        <v>15328015</v>
      </c>
      <c r="D19116" s="2">
        <v>0.753</v>
      </c>
      <c r="E19116" s="2">
        <v>27</v>
      </c>
      <c r="F19116" s="2" t="s">
        <v>16</v>
      </c>
    </row>
    <row r="19117" spans="1:6" ht="25.5">
      <c r="A19117" s="2">
        <v>19114</v>
      </c>
      <c r="B19117" s="2" t="s">
        <v>19184</v>
      </c>
      <c r="C19117" s="2" t="str">
        <f>"15573087"</f>
        <v>15573087</v>
      </c>
      <c r="D19117" s="2">
        <v>0.308</v>
      </c>
      <c r="E19117" s="2">
        <v>7</v>
      </c>
      <c r="F19117" s="2" t="s">
        <v>75</v>
      </c>
    </row>
    <row r="19118" spans="1:6" ht="25.5">
      <c r="A19118" s="2">
        <v>19115</v>
      </c>
      <c r="B19118" s="2" t="s">
        <v>19185</v>
      </c>
      <c r="C19118" s="2" t="str">
        <f>"0742051X"</f>
        <v>0742051X</v>
      </c>
      <c r="D19118" s="2">
        <v>1.3779999999999999</v>
      </c>
      <c r="E19118" s="2">
        <v>50</v>
      </c>
      <c r="F19118" s="2" t="s">
        <v>16</v>
      </c>
    </row>
    <row r="19119" spans="1:6" ht="25.5">
      <c r="A19119" s="2">
        <v>19116</v>
      </c>
      <c r="B19119" s="2" t="s">
        <v>19186</v>
      </c>
      <c r="C19119" s="2" t="str">
        <f>"15411796"</f>
        <v>15411796</v>
      </c>
      <c r="D19119" s="2">
        <v>0.104</v>
      </c>
      <c r="E19119" s="2">
        <v>1</v>
      </c>
      <c r="F19119" s="2" t="s">
        <v>6</v>
      </c>
    </row>
    <row r="19120" spans="1:6" ht="25.5">
      <c r="A19120" s="2">
        <v>19117</v>
      </c>
      <c r="B19120" s="2" t="s">
        <v>19187</v>
      </c>
      <c r="C19120" s="2" t="str">
        <f>"10476210"</f>
        <v>10476210</v>
      </c>
      <c r="D19120" s="2">
        <v>0.47199999999999998</v>
      </c>
      <c r="E19120" s="2">
        <v>8</v>
      </c>
      <c r="F19120" s="2" t="s">
        <v>6</v>
      </c>
    </row>
    <row r="19121" spans="1:6" ht="25.5">
      <c r="A19121" s="2">
        <v>19118</v>
      </c>
      <c r="B19121" s="2" t="s">
        <v>19188</v>
      </c>
      <c r="C19121" s="2" t="str">
        <f>"14701294"</f>
        <v>14701294</v>
      </c>
      <c r="D19121" s="2">
        <v>0.81599999999999995</v>
      </c>
      <c r="E19121" s="2">
        <v>17</v>
      </c>
      <c r="F19121" s="2" t="s">
        <v>16</v>
      </c>
    </row>
    <row r="19122" spans="1:6" ht="25.5">
      <c r="A19122" s="2">
        <v>19119</v>
      </c>
      <c r="B19122" s="2" t="s">
        <v>19189</v>
      </c>
      <c r="C19122" s="2" t="str">
        <f>"14716976"</f>
        <v>14716976</v>
      </c>
      <c r="D19122" s="2">
        <v>0.23</v>
      </c>
      <c r="E19122" s="2">
        <v>5</v>
      </c>
      <c r="F19122" s="2" t="s">
        <v>16</v>
      </c>
    </row>
    <row r="19123" spans="1:6" ht="25.5">
      <c r="A19123" s="2">
        <v>19120</v>
      </c>
      <c r="B19123" s="2" t="s">
        <v>19190</v>
      </c>
      <c r="C19123" s="2" t="str">
        <f>"15328023"</f>
        <v>15328023</v>
      </c>
      <c r="D19123" s="2">
        <v>0.41899999999999998</v>
      </c>
      <c r="E19123" s="2">
        <v>21</v>
      </c>
      <c r="F19123" s="2" t="s">
        <v>6</v>
      </c>
    </row>
    <row r="19124" spans="1:6" ht="25.5">
      <c r="A19124" s="2">
        <v>19121</v>
      </c>
      <c r="B19124" s="2" t="s">
        <v>19191</v>
      </c>
      <c r="C19124" s="2" t="str">
        <f>"0092055X"</f>
        <v>0092055X</v>
      </c>
      <c r="D19124" s="2">
        <v>0.26300000000000001</v>
      </c>
      <c r="E19124" s="2">
        <v>20</v>
      </c>
      <c r="F19124" s="2" t="s">
        <v>6</v>
      </c>
    </row>
    <row r="19125" spans="1:6" ht="25.5">
      <c r="A19125" s="2">
        <v>19122</v>
      </c>
      <c r="B19125" s="2" t="s">
        <v>19192</v>
      </c>
      <c r="C19125" s="2" t="str">
        <f>"14679639"</f>
        <v>14679639</v>
      </c>
      <c r="D19125" s="2">
        <v>0.124</v>
      </c>
      <c r="E19125" s="2">
        <v>1</v>
      </c>
      <c r="F19125" s="2" t="s">
        <v>16</v>
      </c>
    </row>
    <row r="19126" spans="1:6" ht="25.5">
      <c r="A19126" s="2">
        <v>19123</v>
      </c>
      <c r="B19126" s="2" t="s">
        <v>19193</v>
      </c>
      <c r="C19126" s="2" t="str">
        <f>"14679647"</f>
        <v>14679647</v>
      </c>
      <c r="D19126" s="2">
        <v>0.115</v>
      </c>
      <c r="E19126" s="2">
        <v>3</v>
      </c>
      <c r="F19126" s="2" t="s">
        <v>16</v>
      </c>
    </row>
    <row r="19127" spans="1:6" ht="25.5">
      <c r="A19127" s="2">
        <v>19124</v>
      </c>
      <c r="B19127" s="2" t="s">
        <v>19194</v>
      </c>
      <c r="C19127" s="2" t="str">
        <f>"13527592"</f>
        <v>13527592</v>
      </c>
      <c r="D19127" s="2">
        <v>0.31900000000000001</v>
      </c>
      <c r="E19127" s="2">
        <v>9</v>
      </c>
      <c r="F19127" s="2" t="s">
        <v>16</v>
      </c>
    </row>
    <row r="19128" spans="1:6" ht="25.5">
      <c r="A19128" s="2">
        <v>19125</v>
      </c>
      <c r="B19128" s="2" t="s">
        <v>19195</v>
      </c>
      <c r="C19128" s="2" t="str">
        <f>"00493155"</f>
        <v>00493155</v>
      </c>
      <c r="D19128" s="2">
        <v>0.32500000000000001</v>
      </c>
      <c r="E19128" s="2">
        <v>20</v>
      </c>
      <c r="F19128" s="2" t="s">
        <v>6</v>
      </c>
    </row>
    <row r="19129" spans="1:6" ht="25.5">
      <c r="A19129" s="2">
        <v>19126</v>
      </c>
      <c r="B19129" s="2" t="s">
        <v>19196</v>
      </c>
      <c r="C19129" s="2" t="str">
        <f>"10572252"</f>
        <v>10572252</v>
      </c>
      <c r="D19129" s="2">
        <v>0.26800000000000002</v>
      </c>
      <c r="E19129" s="2">
        <v>4</v>
      </c>
      <c r="F19129" s="2" t="s">
        <v>16</v>
      </c>
    </row>
    <row r="19130" spans="1:6" ht="25.5">
      <c r="A19130" s="2">
        <v>19127</v>
      </c>
      <c r="B19130" s="2" t="s">
        <v>19197</v>
      </c>
      <c r="C19130" s="2" t="str">
        <f>"01631918"</f>
        <v>01631918</v>
      </c>
      <c r="D19130" s="2">
        <v>0.29599999999999999</v>
      </c>
      <c r="E19130" s="2">
        <v>58</v>
      </c>
      <c r="F19130" s="2" t="s">
        <v>6</v>
      </c>
    </row>
    <row r="19131" spans="1:6" ht="25.5">
      <c r="A19131" s="2">
        <v>19128</v>
      </c>
      <c r="B19131" s="2" t="s">
        <v>19198</v>
      </c>
      <c r="C19131" s="2" t="str">
        <f>"10906525"</f>
        <v>10906525</v>
      </c>
      <c r="D19131" s="2">
        <v>0.38600000000000001</v>
      </c>
      <c r="E19131" s="2">
        <v>17</v>
      </c>
      <c r="F19131" s="2" t="s">
        <v>129</v>
      </c>
    </row>
    <row r="19132" spans="1:6" ht="25.5">
      <c r="A19132" s="2">
        <v>19129</v>
      </c>
      <c r="B19132" s="2" t="s">
        <v>19199</v>
      </c>
      <c r="C19132" s="2" t="str">
        <f>"10906533"</f>
        <v>10906533</v>
      </c>
      <c r="D19132" s="2">
        <v>0.36599999999999999</v>
      </c>
      <c r="E19132" s="2">
        <v>17</v>
      </c>
      <c r="F19132" s="2" t="s">
        <v>129</v>
      </c>
    </row>
    <row r="19133" spans="1:6" ht="25.5">
      <c r="A19133" s="2">
        <v>19130</v>
      </c>
      <c r="B19133" s="2" t="s">
        <v>19200</v>
      </c>
      <c r="C19133" s="2" t="str">
        <f>"05123054"</f>
        <v>05123054</v>
      </c>
      <c r="D19133" s="2">
        <v>0.10100000000000001</v>
      </c>
      <c r="E19133" s="2">
        <v>6</v>
      </c>
      <c r="F19133" s="2" t="s">
        <v>31</v>
      </c>
    </row>
    <row r="19134" spans="1:6" ht="25.5">
      <c r="A19134" s="2">
        <v>19131</v>
      </c>
      <c r="B19134" s="2" t="s">
        <v>19201</v>
      </c>
      <c r="C19134" s="2" t="str">
        <f>"01472194"</f>
        <v>01472194</v>
      </c>
      <c r="D19134" s="2">
        <v>0.10100000000000001</v>
      </c>
      <c r="E19134" s="2">
        <v>0</v>
      </c>
      <c r="F19134" s="2" t="s">
        <v>6</v>
      </c>
    </row>
    <row r="19135" spans="1:6" ht="25.5">
      <c r="A19135" s="2">
        <v>19132</v>
      </c>
      <c r="B19135" s="2" t="s">
        <v>19202</v>
      </c>
      <c r="C19135" s="2" t="str">
        <f>"07317131"</f>
        <v>07317131</v>
      </c>
      <c r="D19135" s="2">
        <v>0.628</v>
      </c>
      <c r="E19135" s="2">
        <v>6</v>
      </c>
      <c r="F19135" s="2" t="s">
        <v>16</v>
      </c>
    </row>
    <row r="19136" spans="1:6" ht="25.5">
      <c r="A19136" s="2">
        <v>19133</v>
      </c>
      <c r="B19136" s="2" t="s">
        <v>19203</v>
      </c>
      <c r="C19136" s="2" t="str">
        <f>"18401503"</f>
        <v>18401503</v>
      </c>
      <c r="D19136" s="2">
        <v>0.40600000000000003</v>
      </c>
      <c r="E19136" s="2">
        <v>5</v>
      </c>
      <c r="F19136" s="2" t="s">
        <v>271</v>
      </c>
    </row>
    <row r="19137" spans="1:6" ht="25.5">
      <c r="A19137" s="2">
        <v>19134</v>
      </c>
      <c r="B19137" s="2" t="s">
        <v>19204</v>
      </c>
      <c r="C19137" s="2" t="str">
        <f>"1128045X"</f>
        <v>1128045X</v>
      </c>
      <c r="D19137" s="2">
        <v>0.61299999999999999</v>
      </c>
      <c r="E19137" s="2">
        <v>25</v>
      </c>
      <c r="F19137" s="2" t="s">
        <v>190</v>
      </c>
    </row>
    <row r="19138" spans="1:6" ht="25.5">
      <c r="A19138" s="2">
        <v>19135</v>
      </c>
      <c r="B19138" s="2" t="s">
        <v>19205</v>
      </c>
      <c r="C19138" s="2" t="str">
        <f>"15381943"</f>
        <v>15381943</v>
      </c>
      <c r="D19138" s="2">
        <v>0.27800000000000002</v>
      </c>
      <c r="E19138" s="2">
        <v>7</v>
      </c>
      <c r="F19138" s="2" t="s">
        <v>6</v>
      </c>
    </row>
    <row r="19139" spans="1:6" ht="25.5">
      <c r="A19139" s="2">
        <v>19136</v>
      </c>
      <c r="B19139" s="2" t="s">
        <v>19206</v>
      </c>
      <c r="C19139" s="2" t="str">
        <f>"10962883"</f>
        <v>10962883</v>
      </c>
      <c r="D19139" s="2">
        <v>0.17299999999999999</v>
      </c>
      <c r="E19139" s="2">
        <v>8</v>
      </c>
      <c r="F19139" s="2" t="s">
        <v>16</v>
      </c>
    </row>
    <row r="19140" spans="1:6" ht="25.5">
      <c r="A19140" s="2">
        <v>19137</v>
      </c>
      <c r="B19140" s="2" t="s">
        <v>19207</v>
      </c>
      <c r="C19140" s="2" t="str">
        <f>"10893393"</f>
        <v>10893393</v>
      </c>
      <c r="D19140" s="2">
        <v>0.54</v>
      </c>
      <c r="E19140" s="2">
        <v>15</v>
      </c>
      <c r="F19140" s="2" t="s">
        <v>6</v>
      </c>
    </row>
    <row r="19141" spans="1:6" ht="25.5">
      <c r="A19141" s="2">
        <v>19138</v>
      </c>
      <c r="B19141" s="2" t="s">
        <v>19208</v>
      </c>
      <c r="C19141" s="2" t="str">
        <f>"15381935"</f>
        <v>15381935</v>
      </c>
      <c r="D19141" s="2">
        <v>0.191</v>
      </c>
      <c r="E19141" s="2">
        <v>7</v>
      </c>
      <c r="F19141" s="2" t="s">
        <v>6</v>
      </c>
    </row>
    <row r="19142" spans="1:6" ht="25.5">
      <c r="A19142" s="2">
        <v>19139</v>
      </c>
      <c r="B19142" s="2" t="s">
        <v>19209</v>
      </c>
      <c r="C19142" s="2" t="str">
        <f>"15421937"</f>
        <v>15421937</v>
      </c>
      <c r="D19142" s="2">
        <v>0.104</v>
      </c>
      <c r="E19142" s="2">
        <v>3</v>
      </c>
      <c r="F19142" s="2" t="s">
        <v>6</v>
      </c>
    </row>
    <row r="19143" spans="1:6" ht="25.5">
      <c r="A19143" s="2">
        <v>19140</v>
      </c>
      <c r="B19143" s="2" t="s">
        <v>19210</v>
      </c>
      <c r="C19143" s="2" t="str">
        <f>"08859698"</f>
        <v>08859698</v>
      </c>
      <c r="D19143" s="2">
        <v>0.183</v>
      </c>
      <c r="E19143" s="2">
        <v>14</v>
      </c>
      <c r="F19143" s="2" t="s">
        <v>6</v>
      </c>
    </row>
    <row r="19144" spans="1:6" ht="25.5">
      <c r="A19144" s="2">
        <v>19141</v>
      </c>
      <c r="B19144" s="2" t="s">
        <v>19211</v>
      </c>
      <c r="C19144" s="2" t="str">
        <f>"1084208X"</f>
        <v>1084208X</v>
      </c>
      <c r="D19144" s="2">
        <v>0.157</v>
      </c>
      <c r="E19144" s="2">
        <v>9</v>
      </c>
      <c r="F19144" s="2" t="s">
        <v>16</v>
      </c>
    </row>
    <row r="19145" spans="1:6" ht="25.5">
      <c r="A19145" s="2">
        <v>19142</v>
      </c>
      <c r="B19145" s="2" t="s">
        <v>19212</v>
      </c>
      <c r="C19145" s="2" t="str">
        <f>"1539591X"</f>
        <v>1539591X</v>
      </c>
      <c r="D19145" s="2">
        <v>0.32900000000000001</v>
      </c>
      <c r="E19145" s="2">
        <v>11</v>
      </c>
      <c r="F19145" s="2" t="s">
        <v>6</v>
      </c>
    </row>
    <row r="19146" spans="1:6" ht="25.5">
      <c r="A19146" s="2">
        <v>19143</v>
      </c>
      <c r="B19146" s="2" t="s">
        <v>19213</v>
      </c>
      <c r="C19146" s="2" t="str">
        <f>"15579808"</f>
        <v>15579808</v>
      </c>
      <c r="D19146" s="2">
        <v>0.29299999999999998</v>
      </c>
      <c r="E19146" s="2">
        <v>20</v>
      </c>
      <c r="F19146" s="2" t="s">
        <v>16</v>
      </c>
    </row>
    <row r="19147" spans="1:6" ht="25.5">
      <c r="A19147" s="2">
        <v>19144</v>
      </c>
      <c r="B19147" s="2" t="s">
        <v>19214</v>
      </c>
      <c r="C19147" s="2" t="str">
        <f>"02997258"</f>
        <v>02997258</v>
      </c>
      <c r="D19147" s="2">
        <v>0.13400000000000001</v>
      </c>
      <c r="E19147" s="2">
        <v>5</v>
      </c>
      <c r="F19147" s="2" t="s">
        <v>66</v>
      </c>
    </row>
    <row r="19148" spans="1:6" ht="25.5">
      <c r="A19148" s="2">
        <v>19145</v>
      </c>
      <c r="B19148" s="2" t="s">
        <v>19215</v>
      </c>
      <c r="C19148" s="2" t="str">
        <f>"02323869"</f>
        <v>02323869</v>
      </c>
      <c r="D19148" s="2">
        <v>0.14299999999999999</v>
      </c>
      <c r="E19148" s="2">
        <v>2</v>
      </c>
      <c r="F19148" s="2" t="s">
        <v>12</v>
      </c>
    </row>
    <row r="19149" spans="1:6" ht="25.5">
      <c r="A19149" s="2">
        <v>19146</v>
      </c>
      <c r="B19149" s="2" t="s">
        <v>19216</v>
      </c>
      <c r="C19149" s="2" t="str">
        <f>"14364948"</f>
        <v>14364948</v>
      </c>
      <c r="D19149" s="2">
        <v>0.122</v>
      </c>
      <c r="E19149" s="2">
        <v>4</v>
      </c>
      <c r="F19149" s="2" t="s">
        <v>12</v>
      </c>
    </row>
    <row r="19150" spans="1:6" ht="25.5">
      <c r="A19150" s="2">
        <v>19147</v>
      </c>
      <c r="B19150" s="2" t="s">
        <v>19217</v>
      </c>
      <c r="C19150" s="2" t="str">
        <f>"1477965X"</f>
        <v>1477965X</v>
      </c>
      <c r="D19150" s="2">
        <v>0</v>
      </c>
      <c r="E19150" s="2">
        <v>1</v>
      </c>
      <c r="F19150" s="2" t="s">
        <v>16</v>
      </c>
    </row>
    <row r="19151" spans="1:6" ht="25.5">
      <c r="A19151" s="2">
        <v>19148</v>
      </c>
      <c r="B19151" s="2" t="s">
        <v>19218</v>
      </c>
      <c r="C19151" s="2" t="str">
        <f>"02118173"</f>
        <v>02118173</v>
      </c>
      <c r="D19151" s="2">
        <v>0.185</v>
      </c>
      <c r="E19151" s="2">
        <v>5</v>
      </c>
      <c r="F19151" s="2" t="s">
        <v>6</v>
      </c>
    </row>
    <row r="19152" spans="1:6" ht="25.5">
      <c r="A19152" s="2">
        <v>19149</v>
      </c>
      <c r="B19152" s="2" t="s">
        <v>19219</v>
      </c>
      <c r="C19152" s="2" t="str">
        <f>"13928619"</f>
        <v>13928619</v>
      </c>
      <c r="D19152" s="2">
        <v>1.044</v>
      </c>
      <c r="E19152" s="2">
        <v>23</v>
      </c>
      <c r="F19152" s="2" t="s">
        <v>426</v>
      </c>
    </row>
    <row r="19153" spans="1:6" ht="25.5">
      <c r="A19153" s="2">
        <v>19150</v>
      </c>
      <c r="B19153" s="2" t="s">
        <v>19220</v>
      </c>
      <c r="C19153" s="2" t="str">
        <f>"00401625"</f>
        <v>00401625</v>
      </c>
      <c r="D19153" s="2">
        <v>1.31</v>
      </c>
      <c r="E19153" s="2">
        <v>46</v>
      </c>
      <c r="F19153" s="2" t="s">
        <v>6</v>
      </c>
    </row>
    <row r="19154" spans="1:6" ht="25.5">
      <c r="A19154" s="2">
        <v>19151</v>
      </c>
      <c r="B19154" s="2" t="s">
        <v>19221</v>
      </c>
      <c r="C19154" s="2" t="str">
        <f>"09537325"</f>
        <v>09537325</v>
      </c>
      <c r="D19154" s="2">
        <v>0.66200000000000003</v>
      </c>
      <c r="E19154" s="2">
        <v>35</v>
      </c>
      <c r="F19154" s="2" t="s">
        <v>16</v>
      </c>
    </row>
    <row r="19155" spans="1:6" ht="25.5">
      <c r="A19155" s="2">
        <v>19152</v>
      </c>
      <c r="B19155" s="2" t="s">
        <v>19222</v>
      </c>
      <c r="C19155" s="2" t="str">
        <f>"10973729"</f>
        <v>10973729</v>
      </c>
      <c r="D19155" s="2">
        <v>0.27500000000000002</v>
      </c>
      <c r="E19155" s="2">
        <v>15</v>
      </c>
      <c r="F19155" s="2" t="s">
        <v>6</v>
      </c>
    </row>
    <row r="19156" spans="1:6" ht="25.5">
      <c r="A19156" s="2">
        <v>19153</v>
      </c>
      <c r="B19156" s="2" t="s">
        <v>19223</v>
      </c>
      <c r="C19156" s="2" t="str">
        <f>"10554181"</f>
        <v>10554181</v>
      </c>
      <c r="D19156" s="2">
        <v>0.17399999999999999</v>
      </c>
      <c r="E19156" s="2">
        <v>20</v>
      </c>
      <c r="F19156" s="2" t="s">
        <v>75</v>
      </c>
    </row>
    <row r="19157" spans="1:6" ht="25.5">
      <c r="A19157" s="2">
        <v>19154</v>
      </c>
      <c r="B19157" s="2" t="s">
        <v>19224</v>
      </c>
      <c r="C19157" s="2" t="str">
        <f>"09287329"</f>
        <v>09287329</v>
      </c>
      <c r="D19157" s="2">
        <v>0.246</v>
      </c>
      <c r="E19157" s="2">
        <v>28</v>
      </c>
      <c r="F19157" s="2" t="s">
        <v>75</v>
      </c>
    </row>
    <row r="19158" spans="1:6" ht="25.5">
      <c r="A19158" s="2">
        <v>19155</v>
      </c>
      <c r="B19158" s="2" t="s">
        <v>19225</v>
      </c>
      <c r="C19158" s="2" t="str">
        <f>"0"</f>
        <v>0</v>
      </c>
      <c r="D19158" s="2">
        <v>0.157</v>
      </c>
      <c r="E19158" s="2">
        <v>4</v>
      </c>
      <c r="F19158" s="2" t="s">
        <v>6</v>
      </c>
    </row>
    <row r="19159" spans="1:6" ht="25.5">
      <c r="A19159" s="2">
        <v>19156</v>
      </c>
      <c r="B19159" s="2" t="s">
        <v>19226</v>
      </c>
      <c r="C19159" s="2" t="str">
        <f>"15330346"</f>
        <v>15330346</v>
      </c>
      <c r="D19159" s="2">
        <v>0.56499999999999995</v>
      </c>
      <c r="E19159" s="2">
        <v>37</v>
      </c>
      <c r="F19159" s="2" t="s">
        <v>6</v>
      </c>
    </row>
    <row r="19160" spans="1:6" ht="25.5">
      <c r="A19160" s="2">
        <v>19157</v>
      </c>
      <c r="B19160" s="2" t="s">
        <v>19227</v>
      </c>
      <c r="C19160" s="2" t="str">
        <f>"0160791X"</f>
        <v>0160791X</v>
      </c>
      <c r="D19160" s="2">
        <v>0.34799999999999998</v>
      </c>
      <c r="E19160" s="2">
        <v>24</v>
      </c>
      <c r="F19160" s="2" t="s">
        <v>16</v>
      </c>
    </row>
    <row r="19161" spans="1:6" ht="25.5">
      <c r="A19161" s="2">
        <v>19158</v>
      </c>
      <c r="B19161" s="2" t="s">
        <v>19228</v>
      </c>
      <c r="C19161" s="2" t="str">
        <f>"17475139"</f>
        <v>17475139</v>
      </c>
      <c r="D19161" s="2">
        <v>0.56499999999999995</v>
      </c>
      <c r="E19161" s="2">
        <v>7</v>
      </c>
      <c r="F19161" s="2" t="s">
        <v>16</v>
      </c>
    </row>
    <row r="19162" spans="1:6" ht="25.5">
      <c r="A19162" s="2">
        <v>19159</v>
      </c>
      <c r="B19162" s="2" t="s">
        <v>19229</v>
      </c>
      <c r="C19162" s="2" t="str">
        <f>"04532198"</f>
        <v>04532198</v>
      </c>
      <c r="D19162" s="2">
        <v>0.10100000000000001</v>
      </c>
      <c r="E19162" s="2">
        <v>2</v>
      </c>
      <c r="F19162" s="2" t="s">
        <v>131</v>
      </c>
    </row>
    <row r="19163" spans="1:6" ht="25.5">
      <c r="A19163" s="2">
        <v>19160</v>
      </c>
      <c r="B19163" s="2" t="s">
        <v>19230</v>
      </c>
      <c r="C19163" s="2" t="str">
        <f>"1099274X"</f>
        <v>1099274X</v>
      </c>
      <c r="D19163" s="2">
        <v>0.125</v>
      </c>
      <c r="E19163" s="2">
        <v>10</v>
      </c>
      <c r="F19163" s="2" t="s">
        <v>6</v>
      </c>
    </row>
    <row r="19164" spans="1:6" ht="25.5">
      <c r="A19164" s="2">
        <v>19161</v>
      </c>
      <c r="B19164" s="2" t="s">
        <v>19231</v>
      </c>
      <c r="C19164" s="2" t="str">
        <f>"15372723"</f>
        <v>15372723</v>
      </c>
      <c r="D19164" s="2">
        <v>1.6910000000000001</v>
      </c>
      <c r="E19164" s="2">
        <v>47</v>
      </c>
      <c r="F19164" s="2" t="s">
        <v>6</v>
      </c>
    </row>
    <row r="19165" spans="1:6" ht="25.5">
      <c r="A19165" s="2">
        <v>19162</v>
      </c>
      <c r="B19165" s="2" t="s">
        <v>19232</v>
      </c>
      <c r="C19165" s="2" t="str">
        <f>"01664972"</f>
        <v>01664972</v>
      </c>
      <c r="D19165" s="2">
        <v>1.6830000000000001</v>
      </c>
      <c r="E19165" s="2">
        <v>51</v>
      </c>
      <c r="F19165" s="2" t="s">
        <v>16</v>
      </c>
    </row>
    <row r="19166" spans="1:6" ht="25.5">
      <c r="A19166" s="2">
        <v>19163</v>
      </c>
      <c r="B19166" s="2" t="s">
        <v>19233</v>
      </c>
      <c r="C19166" s="2" t="str">
        <f>"87563894"</f>
        <v>87563894</v>
      </c>
      <c r="D19166" s="2">
        <v>0.39600000000000002</v>
      </c>
      <c r="E19166" s="2">
        <v>10</v>
      </c>
      <c r="F19166" s="2" t="s">
        <v>6</v>
      </c>
    </row>
    <row r="19167" spans="1:6" ht="25.5">
      <c r="A19167" s="2">
        <v>19164</v>
      </c>
      <c r="B19167" s="2" t="s">
        <v>19234</v>
      </c>
      <c r="C19167" s="2" t="str">
        <f>"00401889"</f>
        <v>00401889</v>
      </c>
      <c r="D19167" s="2">
        <v>0.13100000000000001</v>
      </c>
      <c r="E19167" s="2">
        <v>3</v>
      </c>
      <c r="F19167" s="2" t="s">
        <v>200</v>
      </c>
    </row>
    <row r="19168" spans="1:6" ht="25.5">
      <c r="A19168" s="2">
        <v>19165</v>
      </c>
      <c r="B19168" s="2" t="s">
        <v>19235</v>
      </c>
      <c r="C19168" s="2" t="str">
        <f>"01878336"</f>
        <v>01878336</v>
      </c>
      <c r="D19168" s="2">
        <v>0.113</v>
      </c>
      <c r="E19168" s="2">
        <v>6</v>
      </c>
      <c r="F19168" s="2" t="s">
        <v>200</v>
      </c>
    </row>
    <row r="19169" spans="1:6" ht="25.5">
      <c r="A19169" s="2">
        <v>19166</v>
      </c>
      <c r="B19169" s="2" t="s">
        <v>19236</v>
      </c>
      <c r="C19169" s="2" t="str">
        <f>"02787407"</f>
        <v>02787407</v>
      </c>
      <c r="D19169" s="2">
        <v>2.16</v>
      </c>
      <c r="E19169" s="2">
        <v>79</v>
      </c>
      <c r="F19169" s="2" t="s">
        <v>6</v>
      </c>
    </row>
    <row r="19170" spans="1:6" ht="25.5">
      <c r="A19170" s="2">
        <v>19167</v>
      </c>
      <c r="B19170" s="2" t="s">
        <v>19237</v>
      </c>
      <c r="C19170" s="2" t="str">
        <f>"00401951"</f>
        <v>00401951</v>
      </c>
      <c r="D19170" s="2">
        <v>1.671</v>
      </c>
      <c r="E19170" s="2">
        <v>98</v>
      </c>
      <c r="F19170" s="2" t="s">
        <v>75</v>
      </c>
    </row>
    <row r="19171" spans="1:6" ht="25.5">
      <c r="A19171" s="2">
        <v>19168</v>
      </c>
      <c r="B19171" s="2" t="s">
        <v>19238</v>
      </c>
      <c r="C19171" s="2" t="str">
        <f>"13303651"</f>
        <v>13303651</v>
      </c>
      <c r="D19171" s="2">
        <v>0.27900000000000003</v>
      </c>
      <c r="E19171" s="2">
        <v>5</v>
      </c>
      <c r="F19171" s="2" t="s">
        <v>149</v>
      </c>
    </row>
    <row r="19172" spans="1:6" ht="25.5">
      <c r="A19172" s="2">
        <v>19169</v>
      </c>
      <c r="B19172" s="2" t="s">
        <v>19239</v>
      </c>
      <c r="C19172" s="2" t="str">
        <f>"17357322"</f>
        <v>17357322</v>
      </c>
      <c r="D19172" s="2">
        <v>0.121</v>
      </c>
      <c r="E19172" s="2">
        <v>3</v>
      </c>
      <c r="F19172" s="2" t="s">
        <v>299</v>
      </c>
    </row>
    <row r="19173" spans="1:6" ht="25.5">
      <c r="A19173" s="2">
        <v>19170</v>
      </c>
      <c r="B19173" s="2" t="s">
        <v>19240</v>
      </c>
      <c r="C19173" s="2" t="str">
        <f>"03875547"</f>
        <v>03875547</v>
      </c>
      <c r="D19173" s="2">
        <v>0.1</v>
      </c>
      <c r="E19173" s="2">
        <v>2</v>
      </c>
      <c r="F19173" s="2" t="s">
        <v>131</v>
      </c>
    </row>
    <row r="19174" spans="1:6" ht="25.5">
      <c r="A19174" s="2">
        <v>19171</v>
      </c>
      <c r="B19174" s="2" t="s">
        <v>19241</v>
      </c>
      <c r="C19174" s="2" t="str">
        <f>"13003453"</f>
        <v>13003453</v>
      </c>
      <c r="D19174" s="2">
        <v>0.124</v>
      </c>
      <c r="E19174" s="2">
        <v>3</v>
      </c>
      <c r="F19174" s="2" t="s">
        <v>345</v>
      </c>
    </row>
    <row r="19175" spans="1:6" ht="25.5">
      <c r="A19175" s="2">
        <v>19172</v>
      </c>
      <c r="B19175" s="2" t="s">
        <v>19242</v>
      </c>
      <c r="C19175" s="2" t="str">
        <f>"04925882"</f>
        <v>04925882</v>
      </c>
      <c r="D19175" s="2">
        <v>0.18</v>
      </c>
      <c r="E19175" s="2">
        <v>10</v>
      </c>
      <c r="F19175" s="2" t="s">
        <v>149</v>
      </c>
    </row>
    <row r="19176" spans="1:6" ht="25.5">
      <c r="A19176" s="2">
        <v>19173</v>
      </c>
      <c r="B19176" s="2" t="s">
        <v>19243</v>
      </c>
      <c r="C19176" s="2" t="str">
        <f>"13003356"</f>
        <v>13003356</v>
      </c>
      <c r="D19176" s="2">
        <v>0.28399999999999997</v>
      </c>
      <c r="E19176" s="2">
        <v>5</v>
      </c>
      <c r="F19176" s="2" t="s">
        <v>345</v>
      </c>
    </row>
    <row r="19177" spans="1:6" ht="25.5">
      <c r="A19177" s="2">
        <v>19174</v>
      </c>
      <c r="B19177" s="2" t="s">
        <v>19244</v>
      </c>
      <c r="C19177" s="2" t="str">
        <f>"03344355"</f>
        <v>03344355</v>
      </c>
      <c r="D19177" s="2">
        <v>0.73399999999999999</v>
      </c>
      <c r="E19177" s="2">
        <v>3</v>
      </c>
      <c r="F19177" s="2" t="s">
        <v>16</v>
      </c>
    </row>
    <row r="19178" spans="1:6" ht="25.5">
      <c r="A19178" s="2">
        <v>19175</v>
      </c>
      <c r="B19178" s="2" t="s">
        <v>19245</v>
      </c>
      <c r="C19178" s="2" t="str">
        <f>"00402508"</f>
        <v>00402508</v>
      </c>
      <c r="D19178" s="2">
        <v>0.189</v>
      </c>
      <c r="E19178" s="2">
        <v>9</v>
      </c>
      <c r="F19178" s="2" t="s">
        <v>6</v>
      </c>
    </row>
    <row r="19179" spans="1:6" ht="25.5">
      <c r="A19179" s="2">
        <v>19176</v>
      </c>
      <c r="B19179" s="2" t="s">
        <v>19246</v>
      </c>
      <c r="C19179" s="2" t="str">
        <f>"03085961"</f>
        <v>03085961</v>
      </c>
      <c r="D19179" s="2">
        <v>0.71099999999999997</v>
      </c>
      <c r="E19179" s="2">
        <v>35</v>
      </c>
      <c r="F19179" s="2" t="s">
        <v>16</v>
      </c>
    </row>
    <row r="19180" spans="1:6" ht="25.5">
      <c r="A19180" s="2">
        <v>19177</v>
      </c>
      <c r="B19180" s="2" t="s">
        <v>19247</v>
      </c>
      <c r="C19180" s="2" t="str">
        <f>"15729451"</f>
        <v>15729451</v>
      </c>
      <c r="D19180" s="2">
        <v>0.188</v>
      </c>
      <c r="E19180" s="2">
        <v>24</v>
      </c>
      <c r="F19180" s="2" t="s">
        <v>75</v>
      </c>
    </row>
    <row r="19181" spans="1:6" ht="25.5">
      <c r="A19181" s="2">
        <v>19178</v>
      </c>
      <c r="B19181" s="2" t="s">
        <v>19248</v>
      </c>
      <c r="C19181" s="2" t="str">
        <f>"10287736"</f>
        <v>10287736</v>
      </c>
      <c r="D19181" s="2">
        <v>0</v>
      </c>
      <c r="E19181" s="2">
        <v>0</v>
      </c>
      <c r="F19181" s="2" t="s">
        <v>75</v>
      </c>
    </row>
    <row r="19182" spans="1:6" ht="25.5">
      <c r="A19182" s="2">
        <v>19179</v>
      </c>
      <c r="B19182" s="2" t="s">
        <v>19249</v>
      </c>
      <c r="C19182" s="2" t="str">
        <f>"07365853"</f>
        <v>07365853</v>
      </c>
      <c r="D19182" s="2">
        <v>0.627</v>
      </c>
      <c r="E19182" s="2">
        <v>22</v>
      </c>
      <c r="F19182" s="2" t="s">
        <v>16</v>
      </c>
    </row>
    <row r="19183" spans="1:6" ht="25.5">
      <c r="A19183" s="2">
        <v>19180</v>
      </c>
      <c r="B19183" s="2" t="s">
        <v>19250</v>
      </c>
      <c r="C19183" s="2" t="str">
        <f>"15563669"</f>
        <v>15563669</v>
      </c>
      <c r="D19183" s="2">
        <v>0.373</v>
      </c>
      <c r="E19183" s="2">
        <v>33</v>
      </c>
      <c r="F19183" s="2" t="s">
        <v>6</v>
      </c>
    </row>
    <row r="19184" spans="1:6" ht="25.5">
      <c r="A19184" s="2">
        <v>19181</v>
      </c>
      <c r="B19184" s="2" t="s">
        <v>19251</v>
      </c>
      <c r="C19184" s="2" t="str">
        <f>"15274764"</f>
        <v>15274764</v>
      </c>
      <c r="D19184" s="2">
        <v>0.27800000000000002</v>
      </c>
      <c r="E19184" s="2">
        <v>3</v>
      </c>
      <c r="F19184" s="2" t="s">
        <v>6</v>
      </c>
    </row>
    <row r="19185" spans="1:6" ht="25.5">
      <c r="A19185" s="2">
        <v>19182</v>
      </c>
      <c r="B19185" s="2" t="s">
        <v>19252</v>
      </c>
      <c r="C19185" s="2" t="str">
        <f>"02806495"</f>
        <v>02806495</v>
      </c>
      <c r="D19185" s="2">
        <v>1.889</v>
      </c>
      <c r="E19185" s="2">
        <v>48</v>
      </c>
      <c r="F19185" s="2" t="s">
        <v>163</v>
      </c>
    </row>
    <row r="19186" spans="1:6" ht="25.5">
      <c r="A19186" s="2">
        <v>19183</v>
      </c>
      <c r="B19186" s="2" t="s">
        <v>19253</v>
      </c>
      <c r="C19186" s="2" t="str">
        <f>"02806509"</f>
        <v>02806509</v>
      </c>
      <c r="D19186" s="2">
        <v>2.0310000000000001</v>
      </c>
      <c r="E19186" s="2">
        <v>68</v>
      </c>
      <c r="F19186" s="2" t="s">
        <v>163</v>
      </c>
    </row>
    <row r="19187" spans="1:6" ht="25.5">
      <c r="A19187" s="2">
        <v>19184</v>
      </c>
      <c r="B19187" s="2" t="s">
        <v>19254</v>
      </c>
      <c r="C19187" s="2" t="str">
        <f>"03404927"</f>
        <v>03404927</v>
      </c>
      <c r="D19187" s="2">
        <v>0.123</v>
      </c>
      <c r="E19187" s="2">
        <v>6</v>
      </c>
      <c r="F19187" s="2" t="s">
        <v>12</v>
      </c>
    </row>
    <row r="19188" spans="1:6" ht="25.5">
      <c r="A19188" s="2">
        <v>19185</v>
      </c>
      <c r="B19188" s="2" t="s">
        <v>19255</v>
      </c>
      <c r="C19188" s="2" t="str">
        <f>"03129764"</f>
        <v>03129764</v>
      </c>
      <c r="D19188" s="2">
        <v>0.27400000000000002</v>
      </c>
      <c r="E19188" s="2">
        <v>7</v>
      </c>
      <c r="F19188" s="2" t="s">
        <v>127</v>
      </c>
    </row>
    <row r="19189" spans="1:6" ht="25.5">
      <c r="A19189" s="2">
        <v>19186</v>
      </c>
      <c r="B19189" s="2" t="s">
        <v>19256</v>
      </c>
      <c r="C19189" s="2" t="str">
        <f>"00906514"</f>
        <v>00906514</v>
      </c>
      <c r="D19189" s="2">
        <v>0.111</v>
      </c>
      <c r="E19189" s="2">
        <v>1</v>
      </c>
      <c r="F19189" s="2" t="s">
        <v>6</v>
      </c>
    </row>
    <row r="19190" spans="1:6" ht="25.5">
      <c r="A19190" s="2">
        <v>19187</v>
      </c>
      <c r="B19190" s="2" t="s">
        <v>19257</v>
      </c>
      <c r="C19190" s="2" t="str">
        <f>"19887868"</f>
        <v>19887868</v>
      </c>
      <c r="D19190" s="2">
        <v>0</v>
      </c>
      <c r="E19190" s="2">
        <v>0</v>
      </c>
      <c r="F19190" s="2" t="s">
        <v>351</v>
      </c>
    </row>
    <row r="19191" spans="1:6" ht="25.5">
      <c r="A19191" s="2">
        <v>19188</v>
      </c>
      <c r="B19191" s="2" t="s">
        <v>19258</v>
      </c>
      <c r="C19191" s="2" t="str">
        <f>"08998086"</f>
        <v>08998086</v>
      </c>
      <c r="D19191" s="2">
        <v>0.20699999999999999</v>
      </c>
      <c r="E19191" s="2">
        <v>8</v>
      </c>
      <c r="F19191" s="2" t="s">
        <v>6</v>
      </c>
    </row>
    <row r="19192" spans="1:6">
      <c r="A19192" s="2">
        <v>19189</v>
      </c>
      <c r="B19192" s="2" t="s">
        <v>19259</v>
      </c>
      <c r="C19192" s="2" t="str">
        <f>"0"</f>
        <v>0</v>
      </c>
      <c r="D19192" s="2">
        <v>0</v>
      </c>
      <c r="E19192" s="2">
        <v>0</v>
      </c>
      <c r="F19192" s="2" t="s">
        <v>6</v>
      </c>
    </row>
    <row r="19193" spans="1:6" ht="25.5">
      <c r="A19193" s="2">
        <v>19190</v>
      </c>
      <c r="B19193" s="2" t="s">
        <v>19260</v>
      </c>
      <c r="C19193" s="2" t="str">
        <f>"00402982"</f>
        <v>00402982</v>
      </c>
      <c r="D19193" s="2">
        <v>0.11</v>
      </c>
      <c r="E19193" s="2">
        <v>2</v>
      </c>
      <c r="F19193" s="2" t="s">
        <v>16</v>
      </c>
    </row>
    <row r="19194" spans="1:6" ht="25.5">
      <c r="A19194" s="2">
        <v>19191</v>
      </c>
      <c r="B19194" s="2" t="s">
        <v>19261</v>
      </c>
      <c r="C19194" s="2" t="str">
        <f>"1980542X"</f>
        <v>1980542X</v>
      </c>
      <c r="D19194" s="2">
        <v>0</v>
      </c>
      <c r="E19194" s="2">
        <v>1</v>
      </c>
      <c r="F19194" s="2" t="s">
        <v>159</v>
      </c>
    </row>
    <row r="19195" spans="1:6" ht="25.5">
      <c r="A19195" s="2">
        <v>19192</v>
      </c>
      <c r="B19195" s="2" t="s">
        <v>19262</v>
      </c>
      <c r="C19195" s="2" t="str">
        <f>"21751803"</f>
        <v>21751803</v>
      </c>
      <c r="D19195" s="2">
        <v>0.1</v>
      </c>
      <c r="E19195" s="2">
        <v>1</v>
      </c>
      <c r="F19195" s="2" t="s">
        <v>159</v>
      </c>
    </row>
    <row r="19196" spans="1:6" ht="25.5">
      <c r="A19196" s="2">
        <v>19193</v>
      </c>
      <c r="B19196" s="2" t="s">
        <v>19263</v>
      </c>
      <c r="C19196" s="2" t="str">
        <f>"01014838"</f>
        <v>01014838</v>
      </c>
      <c r="D19196" s="2">
        <v>0.11899999999999999</v>
      </c>
      <c r="E19196" s="2">
        <v>1</v>
      </c>
      <c r="F19196" s="2" t="s">
        <v>159</v>
      </c>
    </row>
    <row r="19197" spans="1:6" ht="25.5">
      <c r="A19197" s="2">
        <v>19194</v>
      </c>
      <c r="B19197" s="2" t="s">
        <v>19264</v>
      </c>
      <c r="C19197" s="2" t="str">
        <f>"01032070"</f>
        <v>01032070</v>
      </c>
      <c r="D19197" s="2">
        <v>0.11</v>
      </c>
      <c r="E19197" s="2">
        <v>3</v>
      </c>
      <c r="F19197" s="2" t="s">
        <v>159</v>
      </c>
    </row>
    <row r="19198" spans="1:6" ht="25.5">
      <c r="A19198" s="2">
        <v>19195</v>
      </c>
      <c r="B19198" s="2" t="s">
        <v>19265</v>
      </c>
      <c r="C19198" s="2" t="str">
        <f>"17642507"</f>
        <v>17642507</v>
      </c>
      <c r="D19198" s="2">
        <v>0.13300000000000001</v>
      </c>
      <c r="E19198" s="2">
        <v>2</v>
      </c>
      <c r="F19198" s="2" t="s">
        <v>66</v>
      </c>
    </row>
    <row r="19199" spans="1:6" ht="25.5">
      <c r="A19199" s="2">
        <v>19196</v>
      </c>
      <c r="B19199" s="2" t="s">
        <v>19266</v>
      </c>
      <c r="C19199" s="2" t="str">
        <f>"00403075"</f>
        <v>00403075</v>
      </c>
      <c r="D19199" s="2">
        <v>0.10199999999999999</v>
      </c>
      <c r="E19199" s="2">
        <v>1</v>
      </c>
      <c r="F19199" s="2" t="s">
        <v>66</v>
      </c>
    </row>
    <row r="19200" spans="1:6" ht="25.5">
      <c r="A19200" s="2">
        <v>19197</v>
      </c>
      <c r="B19200" s="2" t="s">
        <v>19267</v>
      </c>
      <c r="C19200" s="2" t="str">
        <f>"10886222"</f>
        <v>10886222</v>
      </c>
      <c r="D19200" s="2">
        <v>0.105</v>
      </c>
      <c r="E19200" s="2">
        <v>10</v>
      </c>
      <c r="F19200" s="2" t="s">
        <v>6</v>
      </c>
    </row>
    <row r="19201" spans="1:6" ht="25.5">
      <c r="A19201" s="2">
        <v>19198</v>
      </c>
      <c r="B19201" s="2" t="s">
        <v>19268</v>
      </c>
      <c r="C19201" s="2" t="str">
        <f>"10553134"</f>
        <v>10553134</v>
      </c>
      <c r="D19201" s="2">
        <v>0.10100000000000001</v>
      </c>
      <c r="E19201" s="2">
        <v>2</v>
      </c>
      <c r="F19201" s="2" t="s">
        <v>6</v>
      </c>
    </row>
    <row r="19202" spans="1:6">
      <c r="A19202" s="2">
        <v>19199</v>
      </c>
      <c r="B19202" s="2" t="s">
        <v>19269</v>
      </c>
      <c r="C19202" s="2" t="str">
        <f>"0"</f>
        <v>0</v>
      </c>
      <c r="D19202" s="2">
        <v>0</v>
      </c>
      <c r="E19202" s="2">
        <v>0</v>
      </c>
      <c r="F19202" s="2" t="s">
        <v>6</v>
      </c>
    </row>
    <row r="19203" spans="1:6" ht="25.5">
      <c r="A19203" s="2">
        <v>19200</v>
      </c>
      <c r="B19203" s="2" t="s">
        <v>19270</v>
      </c>
      <c r="C19203" s="2" t="str">
        <f>"09323414"</f>
        <v>09323414</v>
      </c>
      <c r="D19203" s="2">
        <v>0.248</v>
      </c>
      <c r="E19203" s="2">
        <v>16</v>
      </c>
      <c r="F19203" s="2" t="s">
        <v>12</v>
      </c>
    </row>
    <row r="19204" spans="1:6" ht="25.5">
      <c r="A19204" s="2">
        <v>19201</v>
      </c>
      <c r="B19204" s="2" t="s">
        <v>19271</v>
      </c>
      <c r="C19204" s="2" t="str">
        <f>"07176295"</f>
        <v>07176295</v>
      </c>
      <c r="D19204" s="2">
        <v>0.1</v>
      </c>
      <c r="E19204" s="2">
        <v>3</v>
      </c>
      <c r="F19204" s="2" t="s">
        <v>182</v>
      </c>
    </row>
    <row r="19205" spans="1:6" ht="25.5">
      <c r="A19205" s="2">
        <v>19202</v>
      </c>
      <c r="B19205" s="2" t="s">
        <v>19272</v>
      </c>
      <c r="C19205" s="2" t="str">
        <f>"02101602"</f>
        <v>02101602</v>
      </c>
      <c r="D19205" s="2">
        <v>0.113</v>
      </c>
      <c r="E19205" s="2">
        <v>2</v>
      </c>
      <c r="F19205" s="2" t="s">
        <v>351</v>
      </c>
    </row>
    <row r="19206" spans="1:6" ht="25.5">
      <c r="A19206" s="2">
        <v>19203</v>
      </c>
      <c r="B19206" s="2" t="s">
        <v>19273</v>
      </c>
      <c r="C19206" s="2" t="str">
        <f>"11221259"</f>
        <v>11221259</v>
      </c>
      <c r="D19206" s="2">
        <v>0.105</v>
      </c>
      <c r="E19206" s="2">
        <v>1</v>
      </c>
      <c r="F19206" s="2" t="s">
        <v>190</v>
      </c>
    </row>
    <row r="19207" spans="1:6" ht="25.5">
      <c r="A19207" s="2">
        <v>19204</v>
      </c>
      <c r="B19207" s="2" t="s">
        <v>19274</v>
      </c>
      <c r="C19207" s="2" t="str">
        <f>"11303743"</f>
        <v>11303743</v>
      </c>
      <c r="D19207" s="2">
        <v>0.10100000000000001</v>
      </c>
      <c r="E19207" s="2">
        <v>2</v>
      </c>
      <c r="F19207" s="2" t="s">
        <v>351</v>
      </c>
    </row>
    <row r="19208" spans="1:6" ht="25.5">
      <c r="A19208" s="2">
        <v>19205</v>
      </c>
      <c r="B19208" s="2" t="s">
        <v>19275</v>
      </c>
      <c r="C19208" s="2" t="str">
        <f>"00403598"</f>
        <v>00403598</v>
      </c>
      <c r="D19208" s="2">
        <v>0.17100000000000001</v>
      </c>
      <c r="E19208" s="2">
        <v>2</v>
      </c>
      <c r="F19208" s="2" t="s">
        <v>154</v>
      </c>
    </row>
    <row r="19209" spans="1:6" ht="25.5">
      <c r="A19209" s="2">
        <v>19206</v>
      </c>
      <c r="B19209" s="2" t="s">
        <v>19276</v>
      </c>
      <c r="C19209" s="2" t="str">
        <f>"00403660"</f>
        <v>00403660</v>
      </c>
      <c r="D19209" s="2">
        <v>0.11700000000000001</v>
      </c>
      <c r="E19209" s="2">
        <v>8</v>
      </c>
      <c r="F19209" s="2" t="s">
        <v>129</v>
      </c>
    </row>
    <row r="19210" spans="1:6" ht="25.5">
      <c r="A19210" s="2">
        <v>19207</v>
      </c>
      <c r="B19210" s="2" t="s">
        <v>19277</v>
      </c>
      <c r="C19210" s="2" t="str">
        <f>"07166184"</f>
        <v>07166184</v>
      </c>
      <c r="D19210" s="2">
        <v>0.47699999999999998</v>
      </c>
      <c r="E19210" s="2">
        <v>5</v>
      </c>
      <c r="F19210" s="2" t="s">
        <v>182</v>
      </c>
    </row>
    <row r="19211" spans="1:6" ht="25.5">
      <c r="A19211" s="2">
        <v>19208</v>
      </c>
      <c r="B19211" s="2" t="s">
        <v>19278</v>
      </c>
      <c r="C19211" s="2" t="str">
        <f>"15699994"</f>
        <v>15699994</v>
      </c>
      <c r="D19211" s="2">
        <v>0.11899999999999999</v>
      </c>
      <c r="E19211" s="2">
        <v>11</v>
      </c>
      <c r="F19211" s="2" t="s">
        <v>75</v>
      </c>
    </row>
    <row r="19212" spans="1:6" ht="25.5">
      <c r="A19212" s="2">
        <v>19209</v>
      </c>
      <c r="B19212" s="2" t="s">
        <v>19279</v>
      </c>
      <c r="C19212" s="2" t="str">
        <f>"00403741"</f>
        <v>00403741</v>
      </c>
      <c r="D19212" s="2">
        <v>0.192</v>
      </c>
      <c r="E19212" s="2">
        <v>6</v>
      </c>
      <c r="F19212" s="2" t="s">
        <v>751</v>
      </c>
    </row>
    <row r="19213" spans="1:6" ht="25.5">
      <c r="A19213" s="2">
        <v>19210</v>
      </c>
      <c r="B19213" s="2" t="s">
        <v>19280</v>
      </c>
      <c r="C19213" s="2" t="str">
        <f>"13653121"</f>
        <v>13653121</v>
      </c>
      <c r="D19213" s="2">
        <v>1.4630000000000001</v>
      </c>
      <c r="E19213" s="2">
        <v>53</v>
      </c>
      <c r="F19213" s="2" t="s">
        <v>16</v>
      </c>
    </row>
    <row r="19214" spans="1:6" ht="25.5">
      <c r="A19214" s="2">
        <v>19211</v>
      </c>
      <c r="B19214" s="2" t="s">
        <v>19281</v>
      </c>
      <c r="C19214" s="2" t="str">
        <f>"20669143"</f>
        <v>20669143</v>
      </c>
      <c r="D19214" s="2">
        <v>0.187</v>
      </c>
      <c r="E19214" s="2">
        <v>2</v>
      </c>
      <c r="F19214" s="2" t="s">
        <v>19</v>
      </c>
    </row>
    <row r="19215" spans="1:6" ht="25.5">
      <c r="A19215" s="2">
        <v>19212</v>
      </c>
      <c r="B19215" s="2" t="s">
        <v>19282</v>
      </c>
      <c r="C19215" s="2" t="str">
        <f>"10170839"</f>
        <v>10170839</v>
      </c>
      <c r="D19215" s="2">
        <v>0.45900000000000002</v>
      </c>
      <c r="E19215" s="2">
        <v>31</v>
      </c>
      <c r="F19215" s="2" t="s">
        <v>165</v>
      </c>
    </row>
    <row r="19216" spans="1:6" ht="25.5">
      <c r="A19216" s="2">
        <v>19213</v>
      </c>
      <c r="B19216" s="2" t="s">
        <v>19283</v>
      </c>
      <c r="C19216" s="2" t="str">
        <f>"19367961"</f>
        <v>19367961</v>
      </c>
      <c r="D19216" s="2">
        <v>0</v>
      </c>
      <c r="E19216" s="2">
        <v>3</v>
      </c>
      <c r="F19216" s="2" t="s">
        <v>6</v>
      </c>
    </row>
    <row r="19217" spans="1:6" ht="25.5">
      <c r="A19217" s="2">
        <v>19214</v>
      </c>
      <c r="B19217" s="2" t="s">
        <v>19284</v>
      </c>
      <c r="C19217" s="2" t="str">
        <f>"19544863"</f>
        <v>19544863</v>
      </c>
      <c r="D19217" s="2">
        <v>0.10199999999999999</v>
      </c>
      <c r="E19217" s="2">
        <v>4</v>
      </c>
      <c r="F19217" s="2" t="s">
        <v>66</v>
      </c>
    </row>
    <row r="19218" spans="1:6" ht="25.5">
      <c r="A19218" s="2">
        <v>19215</v>
      </c>
      <c r="B19218" s="2" t="s">
        <v>19285</v>
      </c>
      <c r="C19218" s="2" t="str">
        <f>"22396330"</f>
        <v>22396330</v>
      </c>
      <c r="D19218" s="2">
        <v>0</v>
      </c>
      <c r="E19218" s="2">
        <v>0</v>
      </c>
      <c r="F19218" s="2" t="s">
        <v>190</v>
      </c>
    </row>
    <row r="19219" spans="1:6" ht="25.5">
      <c r="A19219" s="2">
        <v>19216</v>
      </c>
      <c r="B19219" s="2" t="s">
        <v>19286</v>
      </c>
      <c r="C19219" s="2" t="str">
        <f>"09546553"</f>
        <v>09546553</v>
      </c>
      <c r="D19219" s="2">
        <v>0.748</v>
      </c>
      <c r="E19219" s="2">
        <v>18</v>
      </c>
      <c r="F19219" s="2" t="s">
        <v>16</v>
      </c>
    </row>
    <row r="19220" spans="1:6" ht="25.5">
      <c r="A19220" s="2">
        <v>19217</v>
      </c>
      <c r="B19220" s="2" t="s">
        <v>19287</v>
      </c>
      <c r="C19220" s="2" t="str">
        <f>"13583883"</f>
        <v>13583883</v>
      </c>
      <c r="D19220" s="2">
        <v>0.26200000000000001</v>
      </c>
      <c r="E19220" s="2">
        <v>12</v>
      </c>
      <c r="F19220" s="2" t="s">
        <v>16</v>
      </c>
    </row>
    <row r="19221" spans="1:6" ht="25.5">
      <c r="A19221" s="2">
        <v>19218</v>
      </c>
      <c r="B19221" s="2" t="s">
        <v>19288</v>
      </c>
      <c r="C19221" s="2" t="str">
        <f>"00398322"</f>
        <v>00398322</v>
      </c>
      <c r="D19221" s="2">
        <v>0.60899999999999999</v>
      </c>
      <c r="E19221" s="2">
        <v>39</v>
      </c>
      <c r="F19221" s="2" t="s">
        <v>6</v>
      </c>
    </row>
    <row r="19222" spans="1:6" ht="25.5">
      <c r="A19222" s="2">
        <v>19219</v>
      </c>
      <c r="B19222" s="2" t="s">
        <v>19289</v>
      </c>
      <c r="C19222" s="2" t="str">
        <f>"18638260"</f>
        <v>18638260</v>
      </c>
      <c r="D19222" s="2">
        <v>1.2030000000000001</v>
      </c>
      <c r="E19222" s="2">
        <v>21</v>
      </c>
      <c r="F19222" s="2" t="s">
        <v>6</v>
      </c>
    </row>
    <row r="19223" spans="1:6" ht="25.5">
      <c r="A19223" s="2">
        <v>19220</v>
      </c>
      <c r="B19223" s="2" t="s">
        <v>19290</v>
      </c>
      <c r="C19223" s="2" t="str">
        <f>"00404020"</f>
        <v>00404020</v>
      </c>
      <c r="D19223" s="2">
        <v>1.133</v>
      </c>
      <c r="E19223" s="2">
        <v>158</v>
      </c>
      <c r="F19223" s="2" t="s">
        <v>16</v>
      </c>
    </row>
    <row r="19224" spans="1:6" ht="25.5">
      <c r="A19224" s="2">
        <v>19221</v>
      </c>
      <c r="B19224" s="2" t="s">
        <v>19291</v>
      </c>
      <c r="C19224" s="2" t="str">
        <f>"1362511X"</f>
        <v>1362511X</v>
      </c>
      <c r="D19224" s="2">
        <v>0.89100000000000001</v>
      </c>
      <c r="E19224" s="2">
        <v>81</v>
      </c>
      <c r="F19224" s="2" t="s">
        <v>16</v>
      </c>
    </row>
    <row r="19225" spans="1:6" ht="25.5">
      <c r="A19225" s="2">
        <v>19222</v>
      </c>
      <c r="B19225" s="2" t="s">
        <v>19292</v>
      </c>
      <c r="C19225" s="2" t="str">
        <f>"00404039"</f>
        <v>00404039</v>
      </c>
      <c r="D19225" s="2">
        <v>0.92900000000000005</v>
      </c>
      <c r="E19225" s="2">
        <v>123</v>
      </c>
      <c r="F19225" s="2" t="s">
        <v>16</v>
      </c>
    </row>
    <row r="19226" spans="1:6" ht="25.5">
      <c r="A19226" s="2">
        <v>19223</v>
      </c>
      <c r="B19226" s="2" t="s">
        <v>19293</v>
      </c>
      <c r="C19226" s="2" t="str">
        <f>"00211575"</f>
        <v>00211575</v>
      </c>
      <c r="D19226" s="2">
        <v>0.317</v>
      </c>
      <c r="E19226" s="2">
        <v>23</v>
      </c>
      <c r="F19226" s="2" t="s">
        <v>131</v>
      </c>
    </row>
    <row r="19227" spans="1:6">
      <c r="A19227" s="2">
        <v>19224</v>
      </c>
      <c r="B19227" s="2" t="s">
        <v>19294</v>
      </c>
      <c r="C19227" s="2" t="str">
        <f>"0"</f>
        <v>0</v>
      </c>
      <c r="D19227" s="2">
        <v>0</v>
      </c>
      <c r="E19227" s="2">
        <v>0</v>
      </c>
      <c r="F19227" s="2" t="s">
        <v>6</v>
      </c>
    </row>
    <row r="19228" spans="1:6" ht="25.5">
      <c r="A19228" s="2">
        <v>19225</v>
      </c>
      <c r="B19228" s="2" t="s">
        <v>19295</v>
      </c>
      <c r="C19228" s="2" t="str">
        <f>"00404284"</f>
        <v>00404284</v>
      </c>
      <c r="D19228" s="2">
        <v>0.11899999999999999</v>
      </c>
      <c r="E19228" s="2">
        <v>6</v>
      </c>
      <c r="F19228" s="2" t="s">
        <v>6</v>
      </c>
    </row>
    <row r="19229" spans="1:6" ht="25.5">
      <c r="A19229" s="2">
        <v>19226</v>
      </c>
      <c r="B19229" s="2" t="s">
        <v>19296</v>
      </c>
      <c r="C19229" s="2" t="str">
        <f>"07302347"</f>
        <v>07302347</v>
      </c>
      <c r="D19229" s="2">
        <v>0.36</v>
      </c>
      <c r="E19229" s="2">
        <v>30</v>
      </c>
      <c r="F19229" s="2" t="s">
        <v>6</v>
      </c>
    </row>
    <row r="19230" spans="1:6" ht="25.5">
      <c r="A19230" s="2">
        <v>19227</v>
      </c>
      <c r="B19230" s="2" t="s">
        <v>19297</v>
      </c>
      <c r="C19230" s="2" t="str">
        <f>"00404411"</f>
        <v>00404411</v>
      </c>
      <c r="D19230" s="2">
        <v>0.88900000000000001</v>
      </c>
      <c r="E19230" s="2">
        <v>19</v>
      </c>
      <c r="F19230" s="2" t="s">
        <v>6</v>
      </c>
    </row>
    <row r="19231" spans="1:6" ht="25.5">
      <c r="A19231" s="2">
        <v>19228</v>
      </c>
      <c r="B19231" s="2" t="s">
        <v>19298</v>
      </c>
      <c r="C19231" s="2" t="str">
        <f>"0095036X"</f>
        <v>0095036X</v>
      </c>
      <c r="D19231" s="2">
        <v>0.10199999999999999</v>
      </c>
      <c r="E19231" s="2">
        <v>2</v>
      </c>
      <c r="F19231" s="2" t="s">
        <v>6</v>
      </c>
    </row>
    <row r="19232" spans="1:6" ht="25.5">
      <c r="A19232" s="2">
        <v>19229</v>
      </c>
      <c r="B19232" s="2" t="s">
        <v>19299</v>
      </c>
      <c r="C19232" s="2" t="str">
        <f>"10462937"</f>
        <v>10462937</v>
      </c>
      <c r="D19232" s="2">
        <v>0.13900000000000001</v>
      </c>
      <c r="E19232" s="2">
        <v>3</v>
      </c>
      <c r="F19232" s="2" t="s">
        <v>16</v>
      </c>
    </row>
    <row r="19233" spans="1:6" ht="25.5">
      <c r="A19233" s="2">
        <v>19230</v>
      </c>
      <c r="B19233" s="2" t="s">
        <v>19300</v>
      </c>
      <c r="C19233" s="2" t="str">
        <f>"18607349"</f>
        <v>18607349</v>
      </c>
      <c r="D19233" s="2">
        <v>0.433</v>
      </c>
      <c r="E19233" s="2">
        <v>19</v>
      </c>
      <c r="F19233" s="2" t="s">
        <v>12</v>
      </c>
    </row>
    <row r="19234" spans="1:6" ht="25.5">
      <c r="A19234" s="2">
        <v>19231</v>
      </c>
      <c r="B19234" s="2" t="s">
        <v>19301</v>
      </c>
      <c r="C19234" s="2" t="str">
        <f>"00404969"</f>
        <v>00404969</v>
      </c>
      <c r="D19234" s="2">
        <v>0.121</v>
      </c>
      <c r="E19234" s="2">
        <v>5</v>
      </c>
      <c r="F19234" s="2" t="s">
        <v>16</v>
      </c>
    </row>
    <row r="19235" spans="1:6" ht="25.5">
      <c r="A19235" s="2">
        <v>19232</v>
      </c>
      <c r="B19235" s="2" t="s">
        <v>19302</v>
      </c>
      <c r="C19235" s="2" t="str">
        <f>"16125096"</f>
        <v>16125096</v>
      </c>
      <c r="D19235" s="2">
        <v>0.1</v>
      </c>
      <c r="E19235" s="2">
        <v>2</v>
      </c>
      <c r="F19235" s="2" t="s">
        <v>12</v>
      </c>
    </row>
    <row r="19236" spans="1:6" ht="25.5">
      <c r="A19236" s="2">
        <v>19233</v>
      </c>
      <c r="B19236" s="2" t="s">
        <v>19303</v>
      </c>
      <c r="C19236" s="2" t="str">
        <f>"02684764"</f>
        <v>02684764</v>
      </c>
      <c r="D19236" s="2">
        <v>0.1</v>
      </c>
      <c r="E19236" s="2">
        <v>3</v>
      </c>
      <c r="F19236" s="2" t="s">
        <v>16</v>
      </c>
    </row>
    <row r="19237" spans="1:6" ht="25.5">
      <c r="A19237" s="2">
        <v>19234</v>
      </c>
      <c r="B19237" s="2" t="s">
        <v>19304</v>
      </c>
      <c r="C19237" s="2" t="str">
        <f>"00405175"</f>
        <v>00405175</v>
      </c>
      <c r="D19237" s="2">
        <v>0.67900000000000005</v>
      </c>
      <c r="E19237" s="2">
        <v>45</v>
      </c>
      <c r="F19237" s="2" t="s">
        <v>16</v>
      </c>
    </row>
    <row r="19238" spans="1:6" ht="25.5">
      <c r="A19238" s="2">
        <v>19235</v>
      </c>
      <c r="B19238" s="2" t="s">
        <v>19305</v>
      </c>
      <c r="C19238" s="2" t="str">
        <f>"17433231"</f>
        <v>17433231</v>
      </c>
      <c r="D19238" s="2">
        <v>0.1</v>
      </c>
      <c r="E19238" s="2">
        <v>0</v>
      </c>
      <c r="F19238" s="2" t="s">
        <v>16</v>
      </c>
    </row>
    <row r="19239" spans="1:6" ht="25.5">
      <c r="A19239" s="2">
        <v>19236</v>
      </c>
      <c r="B19239" s="2" t="s">
        <v>19306</v>
      </c>
      <c r="C19239" s="2" t="str">
        <f>"14759756"</f>
        <v>14759756</v>
      </c>
      <c r="D19239" s="2">
        <v>0.1</v>
      </c>
      <c r="E19239" s="2">
        <v>2</v>
      </c>
      <c r="F19239" s="2" t="s">
        <v>6</v>
      </c>
    </row>
    <row r="19240" spans="1:6" ht="25.5">
      <c r="A19240" s="2">
        <v>19237</v>
      </c>
      <c r="B19240" s="2" t="s">
        <v>19307</v>
      </c>
      <c r="C19240" s="2" t="str">
        <f>"18726127"</f>
        <v>18726127</v>
      </c>
      <c r="D19240" s="2">
        <v>0.1</v>
      </c>
      <c r="E19240" s="2">
        <v>0</v>
      </c>
      <c r="F19240" s="2" t="s">
        <v>75</v>
      </c>
    </row>
    <row r="19241" spans="1:6" ht="25.5">
      <c r="A19241" s="2">
        <v>19238</v>
      </c>
      <c r="B19241" s="2" t="s">
        <v>19308</v>
      </c>
      <c r="C19241" s="2" t="str">
        <f>"01040707"</f>
        <v>01040707</v>
      </c>
      <c r="D19241" s="2">
        <v>0.34</v>
      </c>
      <c r="E19241" s="2">
        <v>6</v>
      </c>
      <c r="F19241" s="2" t="s">
        <v>159</v>
      </c>
    </row>
    <row r="19242" spans="1:6" ht="25.5">
      <c r="A19242" s="2">
        <v>19239</v>
      </c>
      <c r="B19242" s="2" t="s">
        <v>19309</v>
      </c>
      <c r="C19242" s="2" t="str">
        <f>"14701308"</f>
        <v>14701308</v>
      </c>
      <c r="D19242" s="2">
        <v>0.16800000000000001</v>
      </c>
      <c r="E19242" s="2">
        <v>9</v>
      </c>
      <c r="F19242" s="2" t="s">
        <v>16</v>
      </c>
    </row>
    <row r="19243" spans="1:6" ht="25.5">
      <c r="A19243" s="2">
        <v>19240</v>
      </c>
      <c r="B19243" s="2" t="s">
        <v>19310</v>
      </c>
      <c r="C19243" s="2" t="str">
        <f>"00405329"</f>
        <v>00405329</v>
      </c>
      <c r="D19243" s="2">
        <v>0.1</v>
      </c>
      <c r="E19243" s="2">
        <v>1</v>
      </c>
      <c r="F19243" s="2" t="s">
        <v>12</v>
      </c>
    </row>
    <row r="19244" spans="1:6" ht="25.5">
      <c r="A19244" s="2">
        <v>19241</v>
      </c>
      <c r="B19244" s="2" t="s">
        <v>19311</v>
      </c>
      <c r="C19244" s="2" t="str">
        <f>"10012249"</f>
        <v>10012249</v>
      </c>
      <c r="D19244" s="2">
        <v>0.11600000000000001</v>
      </c>
      <c r="E19244" s="2">
        <v>5</v>
      </c>
      <c r="F19244" s="2" t="s">
        <v>46</v>
      </c>
    </row>
    <row r="19245" spans="1:6" ht="25.5">
      <c r="A19245" s="2">
        <v>19242</v>
      </c>
      <c r="B19245" s="2" t="s">
        <v>19312</v>
      </c>
      <c r="C19245" s="2" t="str">
        <f>"16860209"</f>
        <v>16860209</v>
      </c>
      <c r="D19245" s="2">
        <v>0.23699999999999999</v>
      </c>
      <c r="E19245" s="2">
        <v>4</v>
      </c>
      <c r="F19245" s="2" t="s">
        <v>1966</v>
      </c>
    </row>
    <row r="19246" spans="1:6" ht="25.5">
      <c r="A19246" s="2">
        <v>19243</v>
      </c>
      <c r="B19246" s="2" t="s">
        <v>19313</v>
      </c>
      <c r="C19246" s="2" t="str">
        <f>"01254685"</f>
        <v>01254685</v>
      </c>
      <c r="D19246" s="2">
        <v>0.24</v>
      </c>
      <c r="E19246" s="2">
        <v>5</v>
      </c>
      <c r="F19246" s="2" t="s">
        <v>1966</v>
      </c>
    </row>
    <row r="19247" spans="1:6" ht="25.5">
      <c r="A19247" s="2">
        <v>19244</v>
      </c>
      <c r="B19247" s="2" t="s">
        <v>19314</v>
      </c>
      <c r="C19247" s="2" t="str">
        <f>"01256491"</f>
        <v>01256491</v>
      </c>
      <c r="D19247" s="2">
        <v>0.14099999999999999</v>
      </c>
      <c r="E19247" s="2">
        <v>4</v>
      </c>
      <c r="F19247" s="2" t="s">
        <v>1966</v>
      </c>
    </row>
    <row r="19248" spans="1:6" ht="25.5">
      <c r="A19248" s="2">
        <v>19245</v>
      </c>
      <c r="B19248" s="2" t="s">
        <v>19315</v>
      </c>
      <c r="C19248" s="2" t="str">
        <f>"12100420"</f>
        <v>12100420</v>
      </c>
      <c r="D19248" s="2">
        <v>0.105</v>
      </c>
      <c r="E19248" s="2">
        <v>2</v>
      </c>
      <c r="F19248" s="2" t="s">
        <v>241</v>
      </c>
    </row>
    <row r="19249" spans="1:6" ht="25.5">
      <c r="A19249" s="2">
        <v>19246</v>
      </c>
      <c r="B19249" s="2" t="s">
        <v>19316</v>
      </c>
      <c r="C19249" s="2" t="str">
        <f>"02125919"</f>
        <v>02125919</v>
      </c>
      <c r="D19249" s="2">
        <v>0.20300000000000001</v>
      </c>
      <c r="E19249" s="2">
        <v>3</v>
      </c>
      <c r="F19249" s="2" t="s">
        <v>351</v>
      </c>
    </row>
    <row r="19250" spans="1:6" ht="25.5">
      <c r="A19250" s="2">
        <v>19247</v>
      </c>
      <c r="B19250" s="2" t="s">
        <v>19317</v>
      </c>
      <c r="C19250" s="2" t="str">
        <f>"1527196X"</f>
        <v>1527196X</v>
      </c>
      <c r="D19250" s="2">
        <v>0.10100000000000001</v>
      </c>
      <c r="E19250" s="2">
        <v>2</v>
      </c>
      <c r="F19250" s="2" t="s">
        <v>6</v>
      </c>
    </row>
    <row r="19251" spans="1:6" ht="25.5">
      <c r="A19251" s="2">
        <v>19248</v>
      </c>
      <c r="B19251" s="2" t="s">
        <v>19318</v>
      </c>
      <c r="C19251" s="2" t="str">
        <f>"00405507"</f>
        <v>00405507</v>
      </c>
      <c r="D19251" s="2">
        <v>0.1</v>
      </c>
      <c r="E19251" s="2">
        <v>0</v>
      </c>
      <c r="F19251" s="2" t="s">
        <v>12</v>
      </c>
    </row>
    <row r="19252" spans="1:6" ht="25.5">
      <c r="A19252" s="2">
        <v>19249</v>
      </c>
      <c r="B19252" s="2" t="s">
        <v>19319</v>
      </c>
      <c r="C19252" s="2" t="str">
        <f>"07332033"</f>
        <v>07332033</v>
      </c>
      <c r="D19252" s="2">
        <v>0.10100000000000001</v>
      </c>
      <c r="E19252" s="2">
        <v>2</v>
      </c>
      <c r="F19252" s="2" t="s">
        <v>6</v>
      </c>
    </row>
    <row r="19253" spans="1:6" ht="25.5">
      <c r="A19253" s="2">
        <v>19250</v>
      </c>
      <c r="B19253" s="2" t="s">
        <v>19320</v>
      </c>
      <c r="C19253" s="2" t="str">
        <f>"01922882"</f>
        <v>01922882</v>
      </c>
      <c r="D19253" s="2">
        <v>0.11899999999999999</v>
      </c>
      <c r="E19253" s="2">
        <v>8</v>
      </c>
      <c r="F19253" s="2" t="s">
        <v>6</v>
      </c>
    </row>
    <row r="19254" spans="1:6" ht="25.5">
      <c r="A19254" s="2">
        <v>19251</v>
      </c>
      <c r="B19254" s="2" t="s">
        <v>19321</v>
      </c>
      <c r="C19254" s="2" t="str">
        <f>"00405523"</f>
        <v>00405523</v>
      </c>
      <c r="D19254" s="2">
        <v>0.10100000000000001</v>
      </c>
      <c r="E19254" s="2">
        <v>2</v>
      </c>
      <c r="F19254" s="2" t="s">
        <v>16</v>
      </c>
    </row>
    <row r="19255" spans="1:6" ht="25.5">
      <c r="A19255" s="2">
        <v>19252</v>
      </c>
      <c r="B19255" s="2" t="s">
        <v>19322</v>
      </c>
      <c r="C19255" s="2" t="str">
        <f>"11961198"</f>
        <v>11961198</v>
      </c>
      <c r="D19255" s="2">
        <v>0.10299999999999999</v>
      </c>
      <c r="E19255" s="2">
        <v>2</v>
      </c>
      <c r="F19255" s="2" t="s">
        <v>64</v>
      </c>
    </row>
    <row r="19256" spans="1:6" ht="25.5">
      <c r="A19256" s="2">
        <v>19253</v>
      </c>
      <c r="B19256" s="2" t="s">
        <v>19323</v>
      </c>
      <c r="C19256" s="2" t="str">
        <f>"14740672"</f>
        <v>14740672</v>
      </c>
      <c r="D19256" s="2">
        <v>0.14099999999999999</v>
      </c>
      <c r="E19256" s="2">
        <v>4</v>
      </c>
      <c r="F19256" s="2" t="s">
        <v>16</v>
      </c>
    </row>
    <row r="19257" spans="1:6" ht="25.5">
      <c r="A19257" s="2">
        <v>19254</v>
      </c>
      <c r="B19257" s="2" t="s">
        <v>19324</v>
      </c>
      <c r="C19257" s="2" t="str">
        <f>"00405574"</f>
        <v>00405574</v>
      </c>
      <c r="D19257" s="2">
        <v>0.10100000000000001</v>
      </c>
      <c r="E19257" s="2">
        <v>2</v>
      </c>
      <c r="F19257" s="2" t="s">
        <v>16</v>
      </c>
    </row>
    <row r="19258" spans="1:6">
      <c r="A19258" s="2">
        <v>19255</v>
      </c>
      <c r="B19258" s="2" t="s">
        <v>19325</v>
      </c>
      <c r="C19258" s="2" t="str">
        <f>"0"</f>
        <v>0</v>
      </c>
      <c r="D19258" s="2">
        <v>0</v>
      </c>
      <c r="E19258" s="2">
        <v>0</v>
      </c>
      <c r="F19258" s="2" t="s">
        <v>6</v>
      </c>
    </row>
    <row r="19259" spans="1:6">
      <c r="A19259" s="2">
        <v>19256</v>
      </c>
      <c r="B19259" s="2" t="s">
        <v>19326</v>
      </c>
      <c r="C19259" s="2" t="str">
        <f>"0"</f>
        <v>0</v>
      </c>
      <c r="D19259" s="2">
        <v>0</v>
      </c>
      <c r="E19259" s="2">
        <v>0</v>
      </c>
      <c r="F19259" s="2" t="s">
        <v>6</v>
      </c>
    </row>
    <row r="19260" spans="1:6">
      <c r="A19260" s="2">
        <v>19257</v>
      </c>
      <c r="B19260" s="2" t="s">
        <v>19327</v>
      </c>
      <c r="C19260" s="2" t="str">
        <f>"0"</f>
        <v>0</v>
      </c>
      <c r="D19260" s="2">
        <v>0</v>
      </c>
      <c r="E19260" s="2">
        <v>0</v>
      </c>
      <c r="F19260" s="2" t="s">
        <v>6</v>
      </c>
    </row>
    <row r="19261" spans="1:6">
      <c r="A19261" s="2">
        <v>19258</v>
      </c>
      <c r="B19261" s="2" t="s">
        <v>19328</v>
      </c>
      <c r="C19261" s="2" t="str">
        <f>"0"</f>
        <v>0</v>
      </c>
      <c r="D19261" s="2">
        <v>0</v>
      </c>
      <c r="E19261" s="2">
        <v>0</v>
      </c>
      <c r="F19261" s="2" t="s">
        <v>6</v>
      </c>
    </row>
    <row r="19262" spans="1:6" ht="25.5">
      <c r="A19262" s="2">
        <v>19259</v>
      </c>
      <c r="B19262" s="2" t="s">
        <v>19329</v>
      </c>
      <c r="C19262" s="2" t="str">
        <f>"00405639"</f>
        <v>00405639</v>
      </c>
      <c r="D19262" s="2">
        <v>0.222</v>
      </c>
      <c r="E19262" s="2">
        <v>6</v>
      </c>
      <c r="F19262" s="2" t="s">
        <v>6</v>
      </c>
    </row>
    <row r="19263" spans="1:6" ht="25.5">
      <c r="A19263" s="2">
        <v>19260</v>
      </c>
      <c r="B19263" s="2" t="s">
        <v>19330</v>
      </c>
      <c r="C19263" s="2" t="str">
        <f>"00405671"</f>
        <v>00405671</v>
      </c>
      <c r="D19263" s="2">
        <v>0.13200000000000001</v>
      </c>
      <c r="E19263" s="2">
        <v>2</v>
      </c>
      <c r="F19263" s="2" t="s">
        <v>12</v>
      </c>
    </row>
    <row r="19264" spans="1:6" ht="25.5">
      <c r="A19264" s="2">
        <v>19261</v>
      </c>
      <c r="B19264" s="2" t="s">
        <v>19331</v>
      </c>
      <c r="C19264" s="2" t="str">
        <f>"00405698"</f>
        <v>00405698</v>
      </c>
      <c r="D19264" s="2">
        <v>0.10100000000000001</v>
      </c>
      <c r="E19264" s="2">
        <v>2</v>
      </c>
      <c r="F19264" s="2" t="s">
        <v>12</v>
      </c>
    </row>
    <row r="19265" spans="1:6" ht="25.5">
      <c r="A19265" s="2">
        <v>19262</v>
      </c>
      <c r="B19265" s="2" t="s">
        <v>19332</v>
      </c>
      <c r="C19265" s="2" t="str">
        <f>"0040571X"</f>
        <v>0040571X</v>
      </c>
      <c r="D19265" s="2">
        <v>0</v>
      </c>
      <c r="E19265" s="2">
        <v>0</v>
      </c>
      <c r="F19265" s="2" t="s">
        <v>16</v>
      </c>
    </row>
    <row r="19266" spans="1:6" ht="25.5">
      <c r="A19266" s="2">
        <v>19263</v>
      </c>
      <c r="B19266" s="2" t="s">
        <v>19333</v>
      </c>
      <c r="C19266" s="2" t="str">
        <f>"14746719"</f>
        <v>14746719</v>
      </c>
      <c r="D19266" s="2">
        <v>0.115</v>
      </c>
      <c r="E19266" s="2">
        <v>2</v>
      </c>
      <c r="F19266" s="2" t="s">
        <v>16</v>
      </c>
    </row>
    <row r="19267" spans="1:6" ht="25.5">
      <c r="A19267" s="2">
        <v>19264</v>
      </c>
      <c r="B19267" s="2" t="s">
        <v>19334</v>
      </c>
      <c r="C19267" s="2" t="str">
        <f>"00405736"</f>
        <v>00405736</v>
      </c>
      <c r="D19267" s="2">
        <v>0.10199999999999999</v>
      </c>
      <c r="E19267" s="2">
        <v>3</v>
      </c>
      <c r="F19267" s="2" t="s">
        <v>6</v>
      </c>
    </row>
    <row r="19268" spans="1:6" ht="25.5">
      <c r="A19268" s="2">
        <v>19265</v>
      </c>
      <c r="B19268" s="2" t="s">
        <v>19335</v>
      </c>
      <c r="C19268" s="2" t="str">
        <f>"14344483"</f>
        <v>14344483</v>
      </c>
      <c r="D19268" s="2">
        <v>1.01</v>
      </c>
      <c r="E19268" s="2">
        <v>46</v>
      </c>
      <c r="F19268" s="2" t="s">
        <v>288</v>
      </c>
    </row>
    <row r="19269" spans="1:6" ht="25.5">
      <c r="A19269" s="2">
        <v>19266</v>
      </c>
      <c r="B19269" s="2" t="s">
        <v>19336</v>
      </c>
      <c r="C19269" s="2" t="str">
        <f>"01678442"</f>
        <v>01678442</v>
      </c>
      <c r="D19269" s="2">
        <v>0.78</v>
      </c>
      <c r="E19269" s="2">
        <v>32</v>
      </c>
      <c r="F19269" s="2" t="s">
        <v>75</v>
      </c>
    </row>
    <row r="19270" spans="1:6" ht="25.5">
      <c r="A19270" s="2">
        <v>19267</v>
      </c>
      <c r="B19270" s="2" t="s">
        <v>19337</v>
      </c>
      <c r="C19270" s="2" t="str">
        <f>"14322242"</f>
        <v>14322242</v>
      </c>
      <c r="D19270" s="2">
        <v>1.73</v>
      </c>
      <c r="E19270" s="2">
        <v>117</v>
      </c>
      <c r="F19270" s="2" t="s">
        <v>12</v>
      </c>
    </row>
    <row r="19271" spans="1:6" ht="25.5">
      <c r="A19271" s="2">
        <v>19268</v>
      </c>
      <c r="B19271" s="2" t="s">
        <v>19338</v>
      </c>
      <c r="C19271" s="2" t="str">
        <f>"13480693"</f>
        <v>13480693</v>
      </c>
      <c r="D19271" s="2">
        <v>0.22</v>
      </c>
      <c r="E19271" s="2">
        <v>7</v>
      </c>
      <c r="F19271" s="2" t="s">
        <v>131</v>
      </c>
    </row>
    <row r="19272" spans="1:6" ht="25.5">
      <c r="A19272" s="2">
        <v>19269</v>
      </c>
      <c r="B19272" s="2" t="s">
        <v>19339</v>
      </c>
      <c r="C19272" s="2" t="str">
        <f>"14322250"</f>
        <v>14322250</v>
      </c>
      <c r="D19272" s="2">
        <v>0.63500000000000001</v>
      </c>
      <c r="E19272" s="2">
        <v>33</v>
      </c>
      <c r="F19272" s="2" t="s">
        <v>6</v>
      </c>
    </row>
    <row r="19273" spans="1:6" ht="25.5">
      <c r="A19273" s="2">
        <v>19270</v>
      </c>
      <c r="B19273" s="2" t="s">
        <v>19340</v>
      </c>
      <c r="C19273" s="2" t="str">
        <f>"20653921"</f>
        <v>20653921</v>
      </c>
      <c r="D19273" s="2">
        <v>0.26</v>
      </c>
      <c r="E19273" s="2">
        <v>3</v>
      </c>
      <c r="F19273" s="2" t="s">
        <v>19</v>
      </c>
    </row>
    <row r="19274" spans="1:6" ht="25.5">
      <c r="A19274" s="2">
        <v>19271</v>
      </c>
      <c r="B19274" s="2" t="s">
        <v>19341</v>
      </c>
      <c r="C19274" s="2" t="str">
        <f>"1573935X"</f>
        <v>1573935X</v>
      </c>
      <c r="D19274" s="2">
        <v>0.19800000000000001</v>
      </c>
      <c r="E19274" s="2">
        <v>10</v>
      </c>
      <c r="F19274" s="2" t="s">
        <v>6</v>
      </c>
    </row>
    <row r="19275" spans="1:6" ht="25.5">
      <c r="A19275" s="2">
        <v>19272</v>
      </c>
      <c r="B19275" s="2" t="s">
        <v>19342</v>
      </c>
      <c r="C19275" s="2" t="str">
        <f>"15739333"</f>
        <v>15739333</v>
      </c>
      <c r="D19275" s="2">
        <v>0.312</v>
      </c>
      <c r="E19275" s="2">
        <v>24</v>
      </c>
      <c r="F19275" s="2" t="s">
        <v>6</v>
      </c>
    </row>
    <row r="19276" spans="1:6" ht="25.5">
      <c r="A19276" s="2">
        <v>19273</v>
      </c>
      <c r="B19276" s="2" t="s">
        <v>19343</v>
      </c>
      <c r="C19276" s="2" t="str">
        <f>"17424682"</f>
        <v>17424682</v>
      </c>
      <c r="D19276" s="2">
        <v>0.49099999999999999</v>
      </c>
      <c r="E19276" s="2">
        <v>25</v>
      </c>
      <c r="F19276" s="2" t="s">
        <v>16</v>
      </c>
    </row>
    <row r="19277" spans="1:6" ht="25.5">
      <c r="A19277" s="2">
        <v>19274</v>
      </c>
      <c r="B19277" s="2" t="s">
        <v>19344</v>
      </c>
      <c r="C19277" s="2" t="str">
        <f>"1432881X"</f>
        <v>1432881X</v>
      </c>
      <c r="D19277" s="2">
        <v>0.86099999999999999</v>
      </c>
      <c r="E19277" s="2">
        <v>66</v>
      </c>
      <c r="F19277" s="2" t="s">
        <v>6</v>
      </c>
    </row>
    <row r="19278" spans="1:6" ht="25.5">
      <c r="A19278" s="2">
        <v>19275</v>
      </c>
      <c r="B19278" s="2" t="s">
        <v>19345</v>
      </c>
      <c r="C19278" s="2" t="str">
        <f>"03043975"</f>
        <v>03043975</v>
      </c>
      <c r="D19278" s="2">
        <v>1.3420000000000001</v>
      </c>
      <c r="E19278" s="2">
        <v>67</v>
      </c>
      <c r="F19278" s="2" t="s">
        <v>75</v>
      </c>
    </row>
    <row r="19279" spans="1:6" ht="25.5">
      <c r="A19279" s="2">
        <v>19276</v>
      </c>
      <c r="B19279" s="2" t="s">
        <v>19346</v>
      </c>
      <c r="C19279" s="2" t="str">
        <f>"14617439"</f>
        <v>14617439</v>
      </c>
      <c r="D19279" s="2">
        <v>1.1950000000000001</v>
      </c>
      <c r="E19279" s="2">
        <v>28</v>
      </c>
      <c r="F19279" s="2" t="s">
        <v>16</v>
      </c>
    </row>
    <row r="19280" spans="1:6" ht="25.5">
      <c r="A19280" s="2">
        <v>19277</v>
      </c>
      <c r="B19280" s="2" t="s">
        <v>19347</v>
      </c>
      <c r="C19280" s="2" t="str">
        <f>"18741738"</f>
        <v>18741738</v>
      </c>
      <c r="D19280" s="2">
        <v>1.37</v>
      </c>
      <c r="E19280" s="2">
        <v>10</v>
      </c>
      <c r="F19280" s="2" t="s">
        <v>75</v>
      </c>
    </row>
    <row r="19281" spans="1:6" ht="25.5">
      <c r="A19281" s="2">
        <v>19278</v>
      </c>
      <c r="B19281" s="2" t="s">
        <v>19348</v>
      </c>
      <c r="C19281" s="2" t="str">
        <f>"15557561"</f>
        <v>15557561</v>
      </c>
      <c r="D19281" s="2">
        <v>3.7509999999999999</v>
      </c>
      <c r="E19281" s="2">
        <v>9</v>
      </c>
      <c r="F19281" s="2" t="s">
        <v>6</v>
      </c>
    </row>
    <row r="19282" spans="1:6" ht="25.5">
      <c r="A19282" s="2">
        <v>19279</v>
      </c>
      <c r="B19282" s="2" t="s">
        <v>19349</v>
      </c>
      <c r="C19282" s="2" t="str">
        <f>"16083431"</f>
        <v>16083431</v>
      </c>
      <c r="D19282" s="2">
        <v>0.221</v>
      </c>
      <c r="E19282" s="2">
        <v>9</v>
      </c>
      <c r="F19282" s="2" t="s">
        <v>129</v>
      </c>
    </row>
    <row r="19283" spans="1:6" ht="25.5">
      <c r="A19283" s="2">
        <v>19280</v>
      </c>
      <c r="B19283" s="2" t="s">
        <v>19350</v>
      </c>
      <c r="C19283" s="2" t="str">
        <f>"15653404"</f>
        <v>15653404</v>
      </c>
      <c r="D19283" s="2">
        <v>0.28699999999999998</v>
      </c>
      <c r="E19283" s="2">
        <v>8</v>
      </c>
      <c r="F19283" s="2" t="s">
        <v>6</v>
      </c>
    </row>
    <row r="19284" spans="1:6" ht="25.5">
      <c r="A19284" s="2">
        <v>19281</v>
      </c>
      <c r="B19284" s="2" t="s">
        <v>19351</v>
      </c>
      <c r="C19284" s="2" t="str">
        <f>"1464536X"</f>
        <v>1464536X</v>
      </c>
      <c r="D19284" s="2">
        <v>0.58699999999999997</v>
      </c>
      <c r="E19284" s="2">
        <v>5</v>
      </c>
      <c r="F19284" s="2" t="s">
        <v>16</v>
      </c>
    </row>
    <row r="19285" spans="1:6" ht="25.5">
      <c r="A19285" s="2">
        <v>19282</v>
      </c>
      <c r="B19285" s="2" t="s">
        <v>19352</v>
      </c>
      <c r="C19285" s="2" t="str">
        <f>"16134060"</f>
        <v>16134060</v>
      </c>
      <c r="D19285" s="2">
        <v>0.59299999999999997</v>
      </c>
      <c r="E19285" s="2">
        <v>9</v>
      </c>
      <c r="F19285" s="2" t="s">
        <v>12</v>
      </c>
    </row>
    <row r="19286" spans="1:6" ht="25.5">
      <c r="A19286" s="2">
        <v>19283</v>
      </c>
      <c r="B19286" s="2" t="s">
        <v>19353</v>
      </c>
      <c r="C19286" s="2" t="str">
        <f>"15731200"</f>
        <v>15731200</v>
      </c>
      <c r="D19286" s="2">
        <v>0.47399999999999998</v>
      </c>
      <c r="E19286" s="2">
        <v>20</v>
      </c>
      <c r="F19286" s="2" t="s">
        <v>75</v>
      </c>
    </row>
    <row r="19287" spans="1:6" ht="25.5">
      <c r="A19287" s="2">
        <v>19284</v>
      </c>
      <c r="B19287" s="2" t="s">
        <v>19354</v>
      </c>
      <c r="C19287" s="2" t="str">
        <f>"10960325"</f>
        <v>10960325</v>
      </c>
      <c r="D19287" s="2">
        <v>0.77600000000000002</v>
      </c>
      <c r="E19287" s="2">
        <v>57</v>
      </c>
      <c r="F19287" s="2" t="s">
        <v>6</v>
      </c>
    </row>
    <row r="19288" spans="1:6" ht="25.5">
      <c r="A19288" s="2">
        <v>19285</v>
      </c>
      <c r="B19288" s="2" t="s">
        <v>19355</v>
      </c>
      <c r="C19288" s="2" t="str">
        <f>"00405825"</f>
        <v>00405825</v>
      </c>
      <c r="D19288" s="2">
        <v>0.156</v>
      </c>
      <c r="E19288" s="2">
        <v>8</v>
      </c>
      <c r="F19288" s="2" t="s">
        <v>151</v>
      </c>
    </row>
    <row r="19289" spans="1:6" ht="25.5">
      <c r="A19289" s="2">
        <v>19286</v>
      </c>
      <c r="B19289" s="2" t="s">
        <v>19356</v>
      </c>
      <c r="C19289" s="2" t="str">
        <f>"04954548"</f>
        <v>04954548</v>
      </c>
      <c r="D19289" s="2">
        <v>0.151</v>
      </c>
      <c r="E19289" s="2">
        <v>6</v>
      </c>
      <c r="F19289" s="2" t="s">
        <v>351</v>
      </c>
    </row>
    <row r="19290" spans="1:6" ht="25.5">
      <c r="A19290" s="2">
        <v>19287</v>
      </c>
      <c r="B19290" s="2" t="s">
        <v>19357</v>
      </c>
      <c r="C19290" s="2" t="str">
        <f>"1201561X"</f>
        <v>1201561X</v>
      </c>
      <c r="D19290" s="2">
        <v>1.3009999999999999</v>
      </c>
      <c r="E19290" s="2">
        <v>18</v>
      </c>
      <c r="F19290" s="2" t="s">
        <v>64</v>
      </c>
    </row>
    <row r="19291" spans="1:6" ht="25.5">
      <c r="A19291" s="2">
        <v>19288</v>
      </c>
      <c r="B19291" s="2" t="s">
        <v>19358</v>
      </c>
      <c r="C19291" s="2" t="str">
        <f>"15737187"</f>
        <v>15737187</v>
      </c>
      <c r="D19291" s="2">
        <v>0.68500000000000005</v>
      </c>
      <c r="E19291" s="2">
        <v>19</v>
      </c>
      <c r="F19291" s="2" t="s">
        <v>75</v>
      </c>
    </row>
    <row r="19292" spans="1:6" ht="25.5">
      <c r="A19292" s="2">
        <v>19289</v>
      </c>
      <c r="B19292" s="2" t="s">
        <v>19359</v>
      </c>
      <c r="C19292" s="2" t="str">
        <f>"14753081"</f>
        <v>14753081</v>
      </c>
      <c r="D19292" s="2">
        <v>0.80600000000000005</v>
      </c>
      <c r="E19292" s="2">
        <v>22</v>
      </c>
      <c r="F19292" s="2" t="s">
        <v>16</v>
      </c>
    </row>
    <row r="19293" spans="1:6" ht="25.5">
      <c r="A19293" s="2">
        <v>19290</v>
      </c>
      <c r="B19293" s="2" t="s">
        <v>19360</v>
      </c>
      <c r="C19293" s="2" t="str">
        <f>"09593543"</f>
        <v>09593543</v>
      </c>
      <c r="D19293" s="2">
        <v>0.45100000000000001</v>
      </c>
      <c r="E19293" s="2">
        <v>27</v>
      </c>
      <c r="F19293" s="2" t="s">
        <v>16</v>
      </c>
    </row>
    <row r="19294" spans="1:6" ht="25.5">
      <c r="A19294" s="2">
        <v>19291</v>
      </c>
      <c r="B19294" s="2" t="s">
        <v>19361</v>
      </c>
      <c r="C19294" s="2" t="str">
        <f>"17413192"</f>
        <v>17413192</v>
      </c>
      <c r="D19294" s="2">
        <v>0.379</v>
      </c>
      <c r="E19294" s="2">
        <v>6</v>
      </c>
      <c r="F19294" s="2" t="s">
        <v>16</v>
      </c>
    </row>
    <row r="19295" spans="1:6" ht="25.5">
      <c r="A19295" s="2">
        <v>19292</v>
      </c>
      <c r="B19295" s="2" t="s">
        <v>19362</v>
      </c>
      <c r="C19295" s="2" t="str">
        <f>"15737853"</f>
        <v>15737853</v>
      </c>
      <c r="D19295" s="2">
        <v>0.77900000000000003</v>
      </c>
      <c r="E19295" s="2">
        <v>35</v>
      </c>
      <c r="F19295" s="2" t="s">
        <v>75</v>
      </c>
    </row>
    <row r="19296" spans="1:6" ht="25.5">
      <c r="A19296" s="2">
        <v>19293</v>
      </c>
      <c r="B19296" s="2" t="s">
        <v>19363</v>
      </c>
      <c r="C19296" s="2" t="str">
        <f>"14603616"</f>
        <v>14603616</v>
      </c>
      <c r="D19296" s="2">
        <v>1.2330000000000001</v>
      </c>
      <c r="E19296" s="2">
        <v>44</v>
      </c>
      <c r="F19296" s="2" t="s">
        <v>16</v>
      </c>
    </row>
    <row r="19297" spans="1:6" ht="25.5">
      <c r="A19297" s="2">
        <v>19294</v>
      </c>
      <c r="B19297" s="2" t="s">
        <v>19364</v>
      </c>
      <c r="C19297" s="2" t="str">
        <f>"14317613"</f>
        <v>14317613</v>
      </c>
      <c r="D19297" s="2">
        <v>0.39400000000000002</v>
      </c>
      <c r="E19297" s="2">
        <v>22</v>
      </c>
      <c r="F19297" s="2" t="s">
        <v>12</v>
      </c>
    </row>
    <row r="19298" spans="1:6" ht="25.5">
      <c r="A19298" s="2">
        <v>19295</v>
      </c>
      <c r="B19298" s="2" t="s">
        <v>19365</v>
      </c>
      <c r="C19298" s="2" t="str">
        <f>"16117530"</f>
        <v>16117530</v>
      </c>
      <c r="D19298" s="2">
        <v>0.126</v>
      </c>
      <c r="E19298" s="2">
        <v>0</v>
      </c>
      <c r="F19298" s="2" t="s">
        <v>12</v>
      </c>
    </row>
    <row r="19299" spans="1:6" ht="25.5">
      <c r="A19299" s="2">
        <v>19296</v>
      </c>
      <c r="B19299" s="2" t="s">
        <v>19366</v>
      </c>
      <c r="C19299" s="2" t="str">
        <f>"15430421"</f>
        <v>15430421</v>
      </c>
      <c r="D19299" s="2">
        <v>0.33400000000000002</v>
      </c>
      <c r="E19299" s="2">
        <v>25</v>
      </c>
      <c r="F19299" s="2" t="s">
        <v>16</v>
      </c>
    </row>
    <row r="19300" spans="1:6" ht="25.5">
      <c r="A19300" s="2">
        <v>19297</v>
      </c>
      <c r="B19300" s="2" t="s">
        <v>19367</v>
      </c>
      <c r="C19300" s="2" t="str">
        <f>"14330490"</f>
        <v>14330490</v>
      </c>
      <c r="D19300" s="2">
        <v>1.339</v>
      </c>
      <c r="E19300" s="2">
        <v>25</v>
      </c>
      <c r="F19300" s="2" t="s">
        <v>6</v>
      </c>
    </row>
    <row r="19301" spans="1:6" ht="25.5">
      <c r="A19301" s="2">
        <v>19298</v>
      </c>
      <c r="B19301" s="2" t="s">
        <v>19368</v>
      </c>
      <c r="C19301" s="2" t="str">
        <f>"10957219"</f>
        <v>10957219</v>
      </c>
      <c r="D19301" s="2">
        <v>0.34300000000000003</v>
      </c>
      <c r="E19301" s="2">
        <v>14</v>
      </c>
      <c r="F19301" s="2" t="s">
        <v>6</v>
      </c>
    </row>
    <row r="19302" spans="1:6">
      <c r="A19302" s="2">
        <v>19299</v>
      </c>
      <c r="B19302" s="2" t="s">
        <v>19369</v>
      </c>
      <c r="C19302" s="2" t="str">
        <f>"0"</f>
        <v>0</v>
      </c>
      <c r="D19302" s="2">
        <v>0</v>
      </c>
      <c r="E19302" s="2">
        <v>0</v>
      </c>
      <c r="F19302" s="2" t="s">
        <v>6</v>
      </c>
    </row>
    <row r="19303" spans="1:6" ht="25.5">
      <c r="A19303" s="2">
        <v>19300</v>
      </c>
      <c r="B19303" s="2" t="s">
        <v>19370</v>
      </c>
      <c r="C19303" s="2" t="str">
        <f>"15525775"</f>
        <v>15525775</v>
      </c>
      <c r="D19303" s="2">
        <v>0</v>
      </c>
      <c r="E19303" s="2">
        <v>1</v>
      </c>
      <c r="F19303" s="2" t="s">
        <v>6</v>
      </c>
    </row>
    <row r="19304" spans="1:6" ht="25.5">
      <c r="A19304" s="2">
        <v>19301</v>
      </c>
      <c r="B19304" s="2" t="s">
        <v>19371</v>
      </c>
      <c r="C19304" s="2" t="str">
        <f>"17539455"</f>
        <v>17539455</v>
      </c>
      <c r="D19304" s="2">
        <v>0.53600000000000003</v>
      </c>
      <c r="E19304" s="2">
        <v>16</v>
      </c>
      <c r="F19304" s="2" t="s">
        <v>16</v>
      </c>
    </row>
    <row r="19305" spans="1:6" ht="25.5">
      <c r="A19305" s="2">
        <v>19302</v>
      </c>
      <c r="B19305" s="2" t="s">
        <v>19372</v>
      </c>
      <c r="C19305" s="2" t="str">
        <f>"20420986"</f>
        <v>20420986</v>
      </c>
      <c r="D19305" s="2">
        <v>0</v>
      </c>
      <c r="E19305" s="2">
        <v>1</v>
      </c>
      <c r="F19305" s="2" t="s">
        <v>16</v>
      </c>
    </row>
    <row r="19306" spans="1:6" ht="25.5">
      <c r="A19306" s="2">
        <v>19303</v>
      </c>
      <c r="B19306" s="2" t="s">
        <v>19373</v>
      </c>
      <c r="C19306" s="2" t="str">
        <f>"17562848"</f>
        <v>17562848</v>
      </c>
      <c r="D19306" s="2">
        <v>0.76800000000000002</v>
      </c>
      <c r="E19306" s="2">
        <v>11</v>
      </c>
      <c r="F19306" s="2" t="s">
        <v>16</v>
      </c>
    </row>
    <row r="19307" spans="1:6" ht="25.5">
      <c r="A19307" s="2">
        <v>19304</v>
      </c>
      <c r="B19307" s="2" t="s">
        <v>19374</v>
      </c>
      <c r="C19307" s="2" t="str">
        <f>"17588359"</f>
        <v>17588359</v>
      </c>
      <c r="D19307" s="2">
        <v>0.88900000000000001</v>
      </c>
      <c r="E19307" s="2">
        <v>6</v>
      </c>
      <c r="F19307" s="2" t="s">
        <v>6</v>
      </c>
    </row>
    <row r="19308" spans="1:6" ht="25.5">
      <c r="A19308" s="2">
        <v>19305</v>
      </c>
      <c r="B19308" s="2" t="s">
        <v>19375</v>
      </c>
      <c r="C19308" s="2" t="str">
        <f>"1759720X"</f>
        <v>1759720X</v>
      </c>
      <c r="D19308" s="2">
        <v>0.128</v>
      </c>
      <c r="E19308" s="2">
        <v>2</v>
      </c>
      <c r="F19308" s="2" t="s">
        <v>6</v>
      </c>
    </row>
    <row r="19309" spans="1:6" ht="25.5">
      <c r="A19309" s="2">
        <v>19306</v>
      </c>
      <c r="B19309" s="2" t="s">
        <v>19376</v>
      </c>
      <c r="C19309" s="2" t="str">
        <f>"17562864"</f>
        <v>17562864</v>
      </c>
      <c r="D19309" s="2">
        <v>0.66</v>
      </c>
      <c r="E19309" s="2">
        <v>9</v>
      </c>
      <c r="F19309" s="2" t="s">
        <v>16</v>
      </c>
    </row>
    <row r="19310" spans="1:6" ht="25.5">
      <c r="A19310" s="2">
        <v>19307</v>
      </c>
      <c r="B19310" s="2" t="s">
        <v>19377</v>
      </c>
      <c r="C19310" s="2" t="str">
        <f>"17534666"</f>
        <v>17534666</v>
      </c>
      <c r="D19310" s="2">
        <v>0.90800000000000003</v>
      </c>
      <c r="E19310" s="2">
        <v>14</v>
      </c>
      <c r="F19310" s="2" t="s">
        <v>16</v>
      </c>
    </row>
    <row r="19311" spans="1:6" ht="25.5">
      <c r="A19311" s="2">
        <v>19308</v>
      </c>
      <c r="B19311" s="2" t="s">
        <v>19378</v>
      </c>
      <c r="C19311" s="2" t="str">
        <f>"17562880"</f>
        <v>17562880</v>
      </c>
      <c r="D19311" s="2">
        <v>0.43</v>
      </c>
      <c r="E19311" s="2">
        <v>4</v>
      </c>
      <c r="F19311" s="2" t="s">
        <v>6</v>
      </c>
    </row>
    <row r="19312" spans="1:6" ht="25.5">
      <c r="A19312" s="2">
        <v>19309</v>
      </c>
      <c r="B19312" s="2" t="s">
        <v>19379</v>
      </c>
      <c r="C19312" s="2" t="str">
        <f>"17449979"</f>
        <v>17449979</v>
      </c>
      <c r="D19312" s="2">
        <v>0.63300000000000001</v>
      </c>
      <c r="E19312" s="2">
        <v>35</v>
      </c>
      <c r="F19312" s="2" t="s">
        <v>16</v>
      </c>
    </row>
    <row r="19313" spans="1:6" ht="25.5">
      <c r="A19313" s="2">
        <v>19310</v>
      </c>
      <c r="B19313" s="2" t="s">
        <v>19380</v>
      </c>
      <c r="C19313" s="2" t="str">
        <f>"09641866"</f>
        <v>09641866</v>
      </c>
      <c r="D19313" s="2">
        <v>0.111</v>
      </c>
      <c r="E19313" s="2">
        <v>9</v>
      </c>
      <c r="F19313" s="2" t="s">
        <v>16</v>
      </c>
    </row>
    <row r="19314" spans="1:6" ht="25.5">
      <c r="A19314" s="2">
        <v>19311</v>
      </c>
      <c r="B19314" s="2" t="s">
        <v>19381</v>
      </c>
      <c r="C19314" s="2" t="str">
        <f>"15363694"</f>
        <v>15363694</v>
      </c>
      <c r="D19314" s="2">
        <v>0.70899999999999996</v>
      </c>
      <c r="E19314" s="2">
        <v>65</v>
      </c>
      <c r="F19314" s="2" t="s">
        <v>6</v>
      </c>
    </row>
    <row r="19315" spans="1:6" ht="25.5">
      <c r="A19315" s="2">
        <v>19312</v>
      </c>
      <c r="B19315" s="2" t="s">
        <v>19382</v>
      </c>
      <c r="C19315" s="2" t="str">
        <f>"02898020"</f>
        <v>02898020</v>
      </c>
      <c r="D19315" s="2">
        <v>0.113</v>
      </c>
      <c r="E19315" s="2">
        <v>5</v>
      </c>
      <c r="F19315" s="2" t="s">
        <v>131</v>
      </c>
    </row>
    <row r="19316" spans="1:6" ht="25.5">
      <c r="A19316" s="2">
        <v>19313</v>
      </c>
      <c r="B19316" s="2" t="s">
        <v>19383</v>
      </c>
      <c r="C19316" s="2" t="str">
        <f>"11766336"</f>
        <v>11766336</v>
      </c>
      <c r="D19316" s="2">
        <v>0.442</v>
      </c>
      <c r="E19316" s="2">
        <v>19</v>
      </c>
      <c r="F19316" s="2" t="s">
        <v>503</v>
      </c>
    </row>
    <row r="19317" spans="1:6" ht="25.5">
      <c r="A19317" s="2">
        <v>19314</v>
      </c>
      <c r="B19317" s="2" t="s">
        <v>19384</v>
      </c>
      <c r="C19317" s="2" t="str">
        <f>"15830012"</f>
        <v>15830012</v>
      </c>
      <c r="D19317" s="2">
        <v>0.10100000000000001</v>
      </c>
      <c r="E19317" s="2">
        <v>1</v>
      </c>
      <c r="F19317" s="2" t="s">
        <v>19</v>
      </c>
    </row>
    <row r="19318" spans="1:6" ht="25.5">
      <c r="A19318" s="2">
        <v>19315</v>
      </c>
      <c r="B19318" s="2" t="s">
        <v>19385</v>
      </c>
      <c r="C19318" s="2" t="str">
        <f>"00405930"</f>
        <v>00405930</v>
      </c>
      <c r="D19318" s="2">
        <v>0.11899999999999999</v>
      </c>
      <c r="E19318" s="2">
        <v>12</v>
      </c>
      <c r="F19318" s="2" t="s">
        <v>31</v>
      </c>
    </row>
    <row r="19319" spans="1:6" ht="25.5">
      <c r="A19319" s="2">
        <v>19316</v>
      </c>
      <c r="B19319" s="2" t="s">
        <v>19386</v>
      </c>
      <c r="C19319" s="2" t="str">
        <f>"00405957"</f>
        <v>00405957</v>
      </c>
      <c r="D19319" s="2">
        <v>0.17599999999999999</v>
      </c>
      <c r="E19319" s="2">
        <v>25</v>
      </c>
      <c r="F19319" s="2" t="s">
        <v>66</v>
      </c>
    </row>
    <row r="19320" spans="1:6" ht="25.5">
      <c r="A19320" s="2">
        <v>19317</v>
      </c>
      <c r="B19320" s="2" t="s">
        <v>19387</v>
      </c>
      <c r="C19320" s="2" t="str">
        <f>"02504952"</f>
        <v>02504952</v>
      </c>
      <c r="D19320" s="2">
        <v>0.13200000000000001</v>
      </c>
      <c r="E19320" s="2">
        <v>7</v>
      </c>
      <c r="F19320" s="2" t="s">
        <v>31</v>
      </c>
    </row>
    <row r="19321" spans="1:6" ht="25.5">
      <c r="A19321" s="2">
        <v>19318</v>
      </c>
      <c r="B19321" s="2" t="s">
        <v>19388</v>
      </c>
      <c r="C19321" s="2" t="str">
        <f>"00824003"</f>
        <v>00824003</v>
      </c>
      <c r="D19321" s="2">
        <v>0.104</v>
      </c>
      <c r="E19321" s="2">
        <v>0</v>
      </c>
      <c r="F19321" s="2" t="s">
        <v>163</v>
      </c>
    </row>
    <row r="19322" spans="1:6" ht="25.5">
      <c r="A19322" s="2">
        <v>19319</v>
      </c>
      <c r="B19322" s="2" t="s">
        <v>19389</v>
      </c>
      <c r="C19322" s="2" t="str">
        <f>"0093691X"</f>
        <v>0093691X</v>
      </c>
      <c r="D19322" s="2">
        <v>0.84599999999999997</v>
      </c>
      <c r="E19322" s="2">
        <v>84</v>
      </c>
      <c r="F19322" s="2" t="s">
        <v>6</v>
      </c>
    </row>
    <row r="19323" spans="1:6" ht="25.5">
      <c r="A19323" s="2">
        <v>19320</v>
      </c>
      <c r="B19323" s="2" t="s">
        <v>19390</v>
      </c>
      <c r="C19323" s="2" t="str">
        <f>"03549836"</f>
        <v>03549836</v>
      </c>
      <c r="D19323" s="2">
        <v>0.39500000000000002</v>
      </c>
      <c r="E19323" s="2">
        <v>12</v>
      </c>
      <c r="F19323" s="2" t="s">
        <v>212</v>
      </c>
    </row>
    <row r="19324" spans="1:6" ht="25.5">
      <c r="A19324" s="2">
        <v>19321</v>
      </c>
      <c r="B19324" s="2" t="s">
        <v>19391</v>
      </c>
      <c r="C19324" s="2" t="str">
        <f>"00406031"</f>
        <v>00406031</v>
      </c>
      <c r="D19324" s="2">
        <v>0.67800000000000005</v>
      </c>
      <c r="E19324" s="2">
        <v>69</v>
      </c>
      <c r="F19324" s="2" t="s">
        <v>75</v>
      </c>
    </row>
    <row r="19325" spans="1:6" ht="25.5">
      <c r="A19325" s="2">
        <v>19322</v>
      </c>
      <c r="B19325" s="2" t="s">
        <v>19392</v>
      </c>
      <c r="C19325" s="2" t="str">
        <f>"1560604X"</f>
        <v>1560604X</v>
      </c>
      <c r="D19325" s="2">
        <v>0.17599999999999999</v>
      </c>
      <c r="E19325" s="2">
        <v>8</v>
      </c>
      <c r="F19325" s="2" t="s">
        <v>288</v>
      </c>
    </row>
    <row r="19326" spans="1:6" ht="25.5">
      <c r="A19326" s="2">
        <v>19323</v>
      </c>
      <c r="B19326" s="2" t="s">
        <v>19393</v>
      </c>
      <c r="C19326" s="2" t="str">
        <f>"08698643"</f>
        <v>08698643</v>
      </c>
      <c r="D19326" s="2">
        <v>0.28399999999999997</v>
      </c>
      <c r="E19326" s="2">
        <v>5</v>
      </c>
      <c r="F19326" s="2" t="s">
        <v>129</v>
      </c>
    </row>
    <row r="19327" spans="1:6" ht="25.5">
      <c r="A19327" s="2">
        <v>19324</v>
      </c>
      <c r="B19327" s="2" t="s">
        <v>19394</v>
      </c>
      <c r="C19327" s="2" t="str">
        <f>"1537744X"</f>
        <v>1537744X</v>
      </c>
      <c r="D19327" s="2">
        <v>0.50600000000000001</v>
      </c>
      <c r="E19327" s="2">
        <v>35</v>
      </c>
      <c r="F19327" s="2" t="s">
        <v>6</v>
      </c>
    </row>
    <row r="19328" spans="1:6" ht="25.5">
      <c r="A19328" s="2">
        <v>19325</v>
      </c>
      <c r="B19328" s="2" t="s">
        <v>19395</v>
      </c>
      <c r="C19328" s="2" t="str">
        <f>"07255136"</f>
        <v>07255136</v>
      </c>
      <c r="D19328" s="2">
        <v>0.111</v>
      </c>
      <c r="E19328" s="2">
        <v>5</v>
      </c>
      <c r="F19328" s="2" t="s">
        <v>16</v>
      </c>
    </row>
    <row r="19329" spans="1:6" ht="25.5">
      <c r="A19329" s="2">
        <v>19326</v>
      </c>
      <c r="B19329" s="2" t="s">
        <v>19396</v>
      </c>
      <c r="C19329" s="2" t="str">
        <f>"13493329"</f>
        <v>13493329</v>
      </c>
      <c r="D19329" s="2">
        <v>0.47899999999999998</v>
      </c>
      <c r="E19329" s="2">
        <v>33</v>
      </c>
      <c r="F19329" s="2" t="s">
        <v>131</v>
      </c>
    </row>
    <row r="19330" spans="1:6">
      <c r="A19330" s="2">
        <v>19327</v>
      </c>
      <c r="B19330" s="2" t="s">
        <v>19397</v>
      </c>
      <c r="C19330" s="2" t="str">
        <f t="shared" ref="C19330:C19341" si="3">"0"</f>
        <v>0</v>
      </c>
      <c r="D19330" s="2">
        <v>0</v>
      </c>
      <c r="E19330" s="2">
        <v>0</v>
      </c>
      <c r="F19330" s="2" t="s">
        <v>6</v>
      </c>
    </row>
    <row r="19331" spans="1:6">
      <c r="A19331" s="2">
        <v>19328</v>
      </c>
      <c r="B19331" s="2" t="s">
        <v>19398</v>
      </c>
      <c r="C19331" s="2" t="str">
        <f t="shared" si="3"/>
        <v>0</v>
      </c>
      <c r="D19331" s="2">
        <v>0</v>
      </c>
      <c r="E19331" s="2">
        <v>0</v>
      </c>
      <c r="F19331" s="2" t="s">
        <v>6</v>
      </c>
    </row>
    <row r="19332" spans="1:6">
      <c r="A19332" s="2">
        <v>19329</v>
      </c>
      <c r="B19332" s="2" t="s">
        <v>19399</v>
      </c>
      <c r="C19332" s="2" t="str">
        <f t="shared" si="3"/>
        <v>0</v>
      </c>
      <c r="D19332" s="2">
        <v>0</v>
      </c>
      <c r="E19332" s="2">
        <v>0</v>
      </c>
      <c r="F19332" s="2" t="s">
        <v>6</v>
      </c>
    </row>
    <row r="19333" spans="1:6">
      <c r="A19333" s="2">
        <v>19330</v>
      </c>
      <c r="B19333" s="2" t="s">
        <v>19400</v>
      </c>
      <c r="C19333" s="2" t="str">
        <f t="shared" si="3"/>
        <v>0</v>
      </c>
      <c r="D19333" s="2">
        <v>0</v>
      </c>
      <c r="E19333" s="2">
        <v>0</v>
      </c>
      <c r="F19333" s="2" t="s">
        <v>6</v>
      </c>
    </row>
    <row r="19334" spans="1:6">
      <c r="A19334" s="2">
        <v>19331</v>
      </c>
      <c r="B19334" s="2" t="s">
        <v>19401</v>
      </c>
      <c r="C19334" s="2" t="str">
        <f t="shared" si="3"/>
        <v>0</v>
      </c>
      <c r="D19334" s="2">
        <v>0</v>
      </c>
      <c r="E19334" s="2">
        <v>0</v>
      </c>
      <c r="F19334" s="2" t="s">
        <v>6</v>
      </c>
    </row>
    <row r="19335" spans="1:6">
      <c r="A19335" s="2">
        <v>19332</v>
      </c>
      <c r="B19335" s="2" t="s">
        <v>19402</v>
      </c>
      <c r="C19335" s="2" t="str">
        <f t="shared" si="3"/>
        <v>0</v>
      </c>
      <c r="D19335" s="2">
        <v>0</v>
      </c>
      <c r="E19335" s="2">
        <v>0</v>
      </c>
      <c r="F19335" s="2" t="s">
        <v>6</v>
      </c>
    </row>
    <row r="19336" spans="1:6">
      <c r="A19336" s="2">
        <v>19333</v>
      </c>
      <c r="B19336" s="2" t="s">
        <v>19403</v>
      </c>
      <c r="C19336" s="2" t="str">
        <f t="shared" si="3"/>
        <v>0</v>
      </c>
      <c r="D19336" s="2">
        <v>0</v>
      </c>
      <c r="E19336" s="2">
        <v>0</v>
      </c>
      <c r="F19336" s="2" t="s">
        <v>6</v>
      </c>
    </row>
    <row r="19337" spans="1:6">
      <c r="A19337" s="2">
        <v>19334</v>
      </c>
      <c r="B19337" s="2" t="s">
        <v>19404</v>
      </c>
      <c r="C19337" s="2" t="str">
        <f t="shared" si="3"/>
        <v>0</v>
      </c>
      <c r="D19337" s="2">
        <v>0</v>
      </c>
      <c r="E19337" s="2">
        <v>0</v>
      </c>
      <c r="F19337" s="2" t="s">
        <v>6</v>
      </c>
    </row>
    <row r="19338" spans="1:6">
      <c r="A19338" s="2">
        <v>19335</v>
      </c>
      <c r="B19338" s="2" t="s">
        <v>19405</v>
      </c>
      <c r="C19338" s="2" t="str">
        <f t="shared" si="3"/>
        <v>0</v>
      </c>
      <c r="D19338" s="2">
        <v>0</v>
      </c>
      <c r="E19338" s="2">
        <v>0</v>
      </c>
      <c r="F19338" s="2" t="s">
        <v>6</v>
      </c>
    </row>
    <row r="19339" spans="1:6">
      <c r="A19339" s="2">
        <v>19336</v>
      </c>
      <c r="B19339" s="2" t="s">
        <v>19406</v>
      </c>
      <c r="C19339" s="2" t="str">
        <f t="shared" si="3"/>
        <v>0</v>
      </c>
      <c r="D19339" s="2">
        <v>0</v>
      </c>
      <c r="E19339" s="2">
        <v>0</v>
      </c>
      <c r="F19339" s="2" t="s">
        <v>6</v>
      </c>
    </row>
    <row r="19340" spans="1:6">
      <c r="A19340" s="2">
        <v>19337</v>
      </c>
      <c r="B19340" s="2" t="s">
        <v>19407</v>
      </c>
      <c r="C19340" s="2" t="str">
        <f t="shared" si="3"/>
        <v>0</v>
      </c>
      <c r="D19340" s="2">
        <v>0</v>
      </c>
      <c r="E19340" s="2">
        <v>0</v>
      </c>
      <c r="F19340" s="2" t="s">
        <v>6</v>
      </c>
    </row>
    <row r="19341" spans="1:6">
      <c r="A19341" s="2">
        <v>19338</v>
      </c>
      <c r="B19341" s="2" t="s">
        <v>19408</v>
      </c>
      <c r="C19341" s="2" t="str">
        <f t="shared" si="3"/>
        <v>0</v>
      </c>
      <c r="D19341" s="2">
        <v>0</v>
      </c>
      <c r="E19341" s="2">
        <v>0</v>
      </c>
      <c r="F19341" s="2" t="s">
        <v>6</v>
      </c>
    </row>
    <row r="19342" spans="1:6" ht="25.5">
      <c r="A19342" s="2">
        <v>19339</v>
      </c>
      <c r="B19342" s="2" t="s">
        <v>19409</v>
      </c>
      <c r="C19342" s="2" t="str">
        <f>"14640708"</f>
        <v>14640708</v>
      </c>
      <c r="D19342" s="2">
        <v>0.69799999999999995</v>
      </c>
      <c r="E19342" s="2">
        <v>17</v>
      </c>
      <c r="F19342" s="2" t="s">
        <v>16</v>
      </c>
    </row>
    <row r="19343" spans="1:6" ht="25.5">
      <c r="A19343" s="2">
        <v>19340</v>
      </c>
      <c r="B19343" s="2" t="s">
        <v>19410</v>
      </c>
      <c r="C19343" s="2" t="str">
        <f>"18711871"</f>
        <v>18711871</v>
      </c>
      <c r="D19343" s="2">
        <v>0.441</v>
      </c>
      <c r="E19343" s="2">
        <v>12</v>
      </c>
      <c r="F19343" s="2" t="s">
        <v>75</v>
      </c>
    </row>
    <row r="19344" spans="1:6" ht="25.5">
      <c r="A19344" s="2">
        <v>19341</v>
      </c>
      <c r="B19344" s="2" t="s">
        <v>19411</v>
      </c>
      <c r="C19344" s="2" t="str">
        <f>"00406090"</f>
        <v>00406090</v>
      </c>
      <c r="D19344" s="2">
        <v>0.81399999999999995</v>
      </c>
      <c r="E19344" s="2">
        <v>115</v>
      </c>
      <c r="F19344" s="2" t="s">
        <v>75</v>
      </c>
    </row>
    <row r="19345" spans="1:6" ht="25.5">
      <c r="A19345" s="2">
        <v>19342</v>
      </c>
      <c r="B19345" s="2" t="s">
        <v>19412</v>
      </c>
      <c r="C19345" s="2" t="str">
        <f>"02638231"</f>
        <v>02638231</v>
      </c>
      <c r="D19345" s="2">
        <v>1.3779999999999999</v>
      </c>
      <c r="E19345" s="2">
        <v>33</v>
      </c>
      <c r="F19345" s="2" t="s">
        <v>16</v>
      </c>
    </row>
    <row r="19346" spans="1:6" ht="25.5">
      <c r="A19346" s="2">
        <v>19343</v>
      </c>
      <c r="B19346" s="2" t="s">
        <v>19413</v>
      </c>
      <c r="C19346" s="2" t="str">
        <f>"14998513"</f>
        <v>14998513</v>
      </c>
      <c r="D19346" s="2">
        <v>0.14699999999999999</v>
      </c>
      <c r="E19346" s="2">
        <v>1</v>
      </c>
      <c r="F19346" s="2" t="s">
        <v>6</v>
      </c>
    </row>
    <row r="19347" spans="1:6" ht="25.5">
      <c r="A19347" s="2">
        <v>19344</v>
      </c>
      <c r="B19347" s="2" t="s">
        <v>19414</v>
      </c>
      <c r="C19347" s="2" t="str">
        <f>"09528822"</f>
        <v>09528822</v>
      </c>
      <c r="D19347" s="2">
        <v>0.17100000000000001</v>
      </c>
      <c r="E19347" s="2">
        <v>6</v>
      </c>
      <c r="F19347" s="2" t="s">
        <v>16</v>
      </c>
    </row>
    <row r="19348" spans="1:6" ht="25.5">
      <c r="A19348" s="2">
        <v>19345</v>
      </c>
      <c r="B19348" s="2" t="s">
        <v>19415</v>
      </c>
      <c r="C19348" s="2" t="str">
        <f>"13602241"</f>
        <v>13602241</v>
      </c>
      <c r="D19348" s="2">
        <v>0.77500000000000002</v>
      </c>
      <c r="E19348" s="2">
        <v>33</v>
      </c>
      <c r="F19348" s="2" t="s">
        <v>16</v>
      </c>
    </row>
    <row r="19349" spans="1:6" ht="25.5">
      <c r="A19349" s="2">
        <v>19346</v>
      </c>
      <c r="B19349" s="2" t="s">
        <v>19416</v>
      </c>
      <c r="C19349" s="2" t="str">
        <f>"02765683"</f>
        <v>02765683</v>
      </c>
      <c r="D19349" s="2">
        <v>0.10100000000000001</v>
      </c>
      <c r="E19349" s="2">
        <v>1</v>
      </c>
      <c r="F19349" s="2" t="s">
        <v>6</v>
      </c>
    </row>
    <row r="19350" spans="1:6" ht="25.5">
      <c r="A19350" s="2">
        <v>19347</v>
      </c>
      <c r="B19350" s="2" t="s">
        <v>19417</v>
      </c>
      <c r="C19350" s="2" t="str">
        <f>"00406325"</f>
        <v>00406325</v>
      </c>
      <c r="D19350" s="2">
        <v>0.121</v>
      </c>
      <c r="E19350" s="2">
        <v>6</v>
      </c>
      <c r="F19350" s="2" t="s">
        <v>6</v>
      </c>
    </row>
    <row r="19351" spans="1:6" ht="25.5">
      <c r="A19351" s="2">
        <v>19348</v>
      </c>
      <c r="B19351" s="2" t="s">
        <v>19418</v>
      </c>
      <c r="C19351" s="2" t="str">
        <f>"14391902"</f>
        <v>14391902</v>
      </c>
      <c r="D19351" s="2">
        <v>0.47099999999999997</v>
      </c>
      <c r="E19351" s="2">
        <v>37</v>
      </c>
      <c r="F19351" s="2" t="s">
        <v>12</v>
      </c>
    </row>
    <row r="19352" spans="1:6" ht="25.5">
      <c r="A19352" s="2">
        <v>19349</v>
      </c>
      <c r="B19352" s="2" t="s">
        <v>19419</v>
      </c>
      <c r="C19352" s="2" t="str">
        <f>"17597714"</f>
        <v>17597714</v>
      </c>
      <c r="D19352" s="2">
        <v>0.152</v>
      </c>
      <c r="E19352" s="2">
        <v>4</v>
      </c>
      <c r="F19352" s="2" t="s">
        <v>127</v>
      </c>
    </row>
    <row r="19353" spans="1:6" ht="25.5">
      <c r="A19353" s="2">
        <v>19350</v>
      </c>
      <c r="B19353" s="2" t="s">
        <v>19420</v>
      </c>
      <c r="C19353" s="2" t="str">
        <f>"15474127"</f>
        <v>15474127</v>
      </c>
      <c r="D19353" s="2">
        <v>0.39</v>
      </c>
      <c r="E19353" s="2">
        <v>31</v>
      </c>
      <c r="F19353" s="2" t="s">
        <v>16</v>
      </c>
    </row>
    <row r="19354" spans="1:6" ht="25.5">
      <c r="A19354" s="2">
        <v>19351</v>
      </c>
      <c r="B19354" s="2" t="s">
        <v>19421</v>
      </c>
      <c r="C19354" s="2" t="str">
        <f>"14683296"</f>
        <v>14683296</v>
      </c>
      <c r="D19354" s="2">
        <v>2.742</v>
      </c>
      <c r="E19354" s="2">
        <v>145</v>
      </c>
      <c r="F19354" s="2" t="s">
        <v>16</v>
      </c>
    </row>
    <row r="19355" spans="1:6" ht="25.5">
      <c r="A19355" s="2">
        <v>19352</v>
      </c>
      <c r="B19355" s="2" t="s">
        <v>19422</v>
      </c>
      <c r="C19355" s="2" t="str">
        <f>"03406245"</f>
        <v>03406245</v>
      </c>
      <c r="D19355" s="2">
        <v>2.077</v>
      </c>
      <c r="E19355" s="2">
        <v>140</v>
      </c>
      <c r="F19355" s="2" t="s">
        <v>12</v>
      </c>
    </row>
    <row r="19356" spans="1:6" ht="25.5">
      <c r="A19356" s="2">
        <v>19353</v>
      </c>
      <c r="B19356" s="2" t="s">
        <v>19423</v>
      </c>
      <c r="C19356" s="2" t="str">
        <f>"14779560"</f>
        <v>14779560</v>
      </c>
      <c r="D19356" s="2">
        <v>0.51500000000000001</v>
      </c>
      <c r="E19356" s="2">
        <v>18</v>
      </c>
      <c r="F19356" s="2" t="s">
        <v>16</v>
      </c>
    </row>
    <row r="19357" spans="1:6" ht="25.5">
      <c r="A19357" s="2">
        <v>19354</v>
      </c>
      <c r="B19357" s="2" t="s">
        <v>19424</v>
      </c>
      <c r="C19357" s="2" t="str">
        <f>"00493848"</f>
        <v>00493848</v>
      </c>
      <c r="D19357" s="2">
        <v>0.95</v>
      </c>
      <c r="E19357" s="2">
        <v>73</v>
      </c>
      <c r="F19357" s="2" t="s">
        <v>16</v>
      </c>
    </row>
    <row r="19358" spans="1:6" ht="25.5">
      <c r="A19358" s="2">
        <v>19355</v>
      </c>
      <c r="B19358" s="2" t="s">
        <v>19425</v>
      </c>
      <c r="C19358" s="2" t="str">
        <f>"10964762"</f>
        <v>10964762</v>
      </c>
      <c r="D19358" s="2">
        <v>0.26800000000000002</v>
      </c>
      <c r="E19358" s="2">
        <v>11</v>
      </c>
      <c r="F19358" s="2" t="s">
        <v>6</v>
      </c>
    </row>
    <row r="19359" spans="1:6" ht="25.5">
      <c r="A19359" s="2">
        <v>19356</v>
      </c>
      <c r="B19359" s="2" t="s">
        <v>19426</v>
      </c>
      <c r="C19359" s="2" t="str">
        <f>"15579077"</f>
        <v>15579077</v>
      </c>
      <c r="D19359" s="2">
        <v>1.641</v>
      </c>
      <c r="E19359" s="2">
        <v>84</v>
      </c>
      <c r="F19359" s="2" t="s">
        <v>6</v>
      </c>
    </row>
    <row r="19360" spans="1:6" ht="25.5">
      <c r="A19360" s="2">
        <v>19357</v>
      </c>
      <c r="B19360" s="2" t="s">
        <v>19427</v>
      </c>
      <c r="C19360" s="2" t="str">
        <f>"16122771"</f>
        <v>16122771</v>
      </c>
      <c r="D19360" s="2">
        <v>0.10199999999999999</v>
      </c>
      <c r="E19360" s="2">
        <v>1</v>
      </c>
      <c r="F19360" s="2" t="s">
        <v>12</v>
      </c>
    </row>
    <row r="19361" spans="1:6" ht="25.5">
      <c r="A19361" s="2">
        <v>19358</v>
      </c>
      <c r="B19361" s="2" t="s">
        <v>19428</v>
      </c>
      <c r="C19361" s="2" t="str">
        <f>"04932137"</f>
        <v>04932137</v>
      </c>
      <c r="D19361" s="2">
        <v>0.188</v>
      </c>
      <c r="E19361" s="2">
        <v>10</v>
      </c>
      <c r="F19361" s="2" t="s">
        <v>46</v>
      </c>
    </row>
    <row r="19362" spans="1:6" ht="25.5">
      <c r="A19362" s="2">
        <v>19359</v>
      </c>
      <c r="B19362" s="2" t="s">
        <v>19429</v>
      </c>
      <c r="C19362" s="2" t="str">
        <f>"10000976"</f>
        <v>10000976</v>
      </c>
      <c r="D19362" s="2">
        <v>0.16300000000000001</v>
      </c>
      <c r="E19362" s="2">
        <v>8</v>
      </c>
      <c r="F19362" s="2" t="s">
        <v>46</v>
      </c>
    </row>
    <row r="19363" spans="1:6" ht="25.5">
      <c r="A19363" s="2">
        <v>19360</v>
      </c>
      <c r="B19363" s="2" t="s">
        <v>19430</v>
      </c>
      <c r="C19363" s="2" t="str">
        <f>"18779603"</f>
        <v>18779603</v>
      </c>
      <c r="D19363" s="2">
        <v>0.60099999999999998</v>
      </c>
      <c r="E19363" s="2">
        <v>8</v>
      </c>
      <c r="F19363" s="2" t="s">
        <v>12</v>
      </c>
    </row>
    <row r="19364" spans="1:6" ht="25.5">
      <c r="A19364" s="2">
        <v>19361</v>
      </c>
      <c r="B19364" s="2" t="s">
        <v>19431</v>
      </c>
      <c r="C19364" s="2" t="str">
        <f>"09726721"</f>
        <v>09726721</v>
      </c>
      <c r="D19364" s="2">
        <v>0.10100000000000001</v>
      </c>
      <c r="E19364" s="2">
        <v>1</v>
      </c>
      <c r="F19364" s="2" t="s">
        <v>488</v>
      </c>
    </row>
    <row r="19365" spans="1:6" ht="25.5">
      <c r="A19365" s="2">
        <v>19362</v>
      </c>
      <c r="B19365" s="2" t="s">
        <v>19432</v>
      </c>
      <c r="C19365" s="2" t="str">
        <f>"18906990"</f>
        <v>18906990</v>
      </c>
      <c r="D19365" s="2">
        <v>0.10299999999999999</v>
      </c>
      <c r="E19365" s="2">
        <v>0</v>
      </c>
      <c r="F19365" s="2" t="s">
        <v>2637</v>
      </c>
    </row>
    <row r="19366" spans="1:6" ht="25.5">
      <c r="A19366" s="2">
        <v>19363</v>
      </c>
      <c r="B19366" s="2" t="s">
        <v>19433</v>
      </c>
      <c r="C19366" s="2" t="str">
        <f>"08077096"</f>
        <v>08077096</v>
      </c>
      <c r="D19366" s="2">
        <v>0.14899999999999999</v>
      </c>
      <c r="E19366" s="2">
        <v>19</v>
      </c>
      <c r="F19366" s="2" t="s">
        <v>2637</v>
      </c>
    </row>
    <row r="19367" spans="1:6" ht="25.5">
      <c r="A19367" s="2">
        <v>19364</v>
      </c>
      <c r="B19367" s="2" t="s">
        <v>19434</v>
      </c>
      <c r="C19367" s="2" t="str">
        <f>"0040716X"</f>
        <v>0040716X</v>
      </c>
      <c r="D19367" s="2">
        <v>0.13200000000000001</v>
      </c>
      <c r="E19367" s="2">
        <v>5</v>
      </c>
      <c r="F19367" s="2" t="s">
        <v>2637</v>
      </c>
    </row>
    <row r="19368" spans="1:6" ht="25.5">
      <c r="A19368" s="2">
        <v>19365</v>
      </c>
      <c r="B19368" s="2" t="s">
        <v>19435</v>
      </c>
      <c r="C19368" s="2" t="str">
        <f>"15042952"</f>
        <v>15042952</v>
      </c>
      <c r="D19368" s="2">
        <v>0.10199999999999999</v>
      </c>
      <c r="E19368" s="2">
        <v>0</v>
      </c>
      <c r="F19368" s="2" t="s">
        <v>2637</v>
      </c>
    </row>
    <row r="19369" spans="1:6" ht="25.5">
      <c r="A19369" s="2">
        <v>19366</v>
      </c>
      <c r="B19369" s="2" t="s">
        <v>19436</v>
      </c>
      <c r="C19369" s="2" t="str">
        <f>"10018360"</f>
        <v>10018360</v>
      </c>
      <c r="D19369" s="2">
        <v>0.40100000000000002</v>
      </c>
      <c r="E19369" s="2">
        <v>13</v>
      </c>
      <c r="F19369" s="2" t="s">
        <v>46</v>
      </c>
    </row>
    <row r="19370" spans="1:6" ht="25.5">
      <c r="A19370" s="2">
        <v>19367</v>
      </c>
      <c r="B19370" s="2" t="s">
        <v>19437</v>
      </c>
      <c r="C19370" s="2" t="str">
        <f>"03722112"</f>
        <v>03722112</v>
      </c>
      <c r="D19370" s="2">
        <v>0.435</v>
      </c>
      <c r="E19370" s="2">
        <v>28</v>
      </c>
      <c r="F19370" s="2" t="s">
        <v>46</v>
      </c>
    </row>
    <row r="19371" spans="1:6" ht="25.5">
      <c r="A19371" s="2">
        <v>19368</v>
      </c>
      <c r="B19371" s="2" t="s">
        <v>19438</v>
      </c>
      <c r="C19371" s="2" t="str">
        <f>"14341220"</f>
        <v>14341220</v>
      </c>
      <c r="D19371" s="2">
        <v>0.161</v>
      </c>
      <c r="E19371" s="2">
        <v>15</v>
      </c>
      <c r="F19371" s="2" t="s">
        <v>12</v>
      </c>
    </row>
    <row r="19372" spans="1:6" ht="25.5">
      <c r="A19372" s="2">
        <v>19369</v>
      </c>
      <c r="B19372" s="2" t="s">
        <v>19439</v>
      </c>
      <c r="C19372" s="2" t="str">
        <f>"14341239"</f>
        <v>14341239</v>
      </c>
      <c r="D19372" s="2">
        <v>0.16</v>
      </c>
      <c r="E19372" s="2">
        <v>12</v>
      </c>
      <c r="F19372" s="2" t="s">
        <v>12</v>
      </c>
    </row>
    <row r="19373" spans="1:6" ht="25.5">
      <c r="A19373" s="2">
        <v>19370</v>
      </c>
      <c r="B19373" s="2" t="s">
        <v>19440</v>
      </c>
      <c r="C19373" s="2" t="str">
        <f>"00493864"</f>
        <v>00493864</v>
      </c>
      <c r="D19373" s="2">
        <v>0.11899999999999999</v>
      </c>
      <c r="E19373" s="2">
        <v>11</v>
      </c>
      <c r="F19373" s="2" t="s">
        <v>12</v>
      </c>
    </row>
    <row r="19374" spans="1:6" ht="25.5">
      <c r="A19374" s="2">
        <v>19371</v>
      </c>
      <c r="B19374" s="2" t="s">
        <v>19441</v>
      </c>
      <c r="C19374" s="2" t="str">
        <f>"13837079"</f>
        <v>13837079</v>
      </c>
      <c r="D19374" s="2">
        <v>0.10100000000000001</v>
      </c>
      <c r="E19374" s="2">
        <v>2</v>
      </c>
      <c r="F19374" s="2" t="s">
        <v>75</v>
      </c>
    </row>
    <row r="19375" spans="1:6" ht="25.5">
      <c r="A19375" s="2">
        <v>19372</v>
      </c>
      <c r="B19375" s="2" t="s">
        <v>19442</v>
      </c>
      <c r="C19375" s="2" t="str">
        <f>"0929600X"</f>
        <v>0929600X</v>
      </c>
      <c r="D19375" s="2">
        <v>0</v>
      </c>
      <c r="E19375" s="2">
        <v>1</v>
      </c>
      <c r="F19375" s="2" t="s">
        <v>75</v>
      </c>
    </row>
    <row r="19376" spans="1:6" ht="25.5">
      <c r="A19376" s="2">
        <v>19373</v>
      </c>
      <c r="B19376" s="2" t="s">
        <v>19443</v>
      </c>
      <c r="C19376" s="2" t="str">
        <f>"13846930"</f>
        <v>13846930</v>
      </c>
      <c r="D19376" s="2">
        <v>0.224</v>
      </c>
      <c r="E19376" s="2">
        <v>3</v>
      </c>
      <c r="F19376" s="2" t="s">
        <v>75</v>
      </c>
    </row>
    <row r="19377" spans="1:6" ht="25.5">
      <c r="A19377" s="2">
        <v>19374</v>
      </c>
      <c r="B19377" s="2" t="s">
        <v>19444</v>
      </c>
      <c r="C19377" s="2" t="str">
        <f>"00407453"</f>
        <v>00407453</v>
      </c>
      <c r="D19377" s="2">
        <v>0.12</v>
      </c>
      <c r="E19377" s="2">
        <v>13</v>
      </c>
      <c r="F19377" s="2" t="s">
        <v>75</v>
      </c>
    </row>
    <row r="19378" spans="1:6" ht="25.5">
      <c r="A19378" s="2">
        <v>19375</v>
      </c>
      <c r="B19378" s="2" t="s">
        <v>19445</v>
      </c>
      <c r="C19378" s="2" t="str">
        <f>"14679663"</f>
        <v>14679663</v>
      </c>
      <c r="D19378" s="2">
        <v>0.88400000000000001</v>
      </c>
      <c r="E19378" s="2">
        <v>25</v>
      </c>
      <c r="F19378" s="2" t="s">
        <v>16</v>
      </c>
    </row>
    <row r="19379" spans="1:6" ht="25.5">
      <c r="A19379" s="2">
        <v>19376</v>
      </c>
      <c r="B19379" s="2" t="s">
        <v>19446</v>
      </c>
      <c r="C19379" s="2" t="str">
        <f>"0040750X"</f>
        <v>0040750X</v>
      </c>
      <c r="D19379" s="2">
        <v>0.1</v>
      </c>
      <c r="E19379" s="2">
        <v>2</v>
      </c>
      <c r="F19379" s="2" t="s">
        <v>161</v>
      </c>
    </row>
    <row r="19380" spans="1:6" ht="25.5">
      <c r="A19380" s="2">
        <v>19377</v>
      </c>
      <c r="B19380" s="2" t="s">
        <v>19447</v>
      </c>
      <c r="C19380" s="2" t="str">
        <f>"0371683X"</f>
        <v>0371683X</v>
      </c>
      <c r="D19380" s="2">
        <v>0.11</v>
      </c>
      <c r="E19380" s="2">
        <v>5</v>
      </c>
      <c r="F19380" s="2" t="s">
        <v>161</v>
      </c>
    </row>
    <row r="19381" spans="1:6" ht="25.5">
      <c r="A19381" s="2">
        <v>19378</v>
      </c>
      <c r="B19381" s="2" t="s">
        <v>19448</v>
      </c>
      <c r="C19381" s="2" t="str">
        <f>"01679228"</f>
        <v>01679228</v>
      </c>
      <c r="D19381" s="2">
        <v>0.188</v>
      </c>
      <c r="E19381" s="2">
        <v>14</v>
      </c>
      <c r="F19381" s="2" t="s">
        <v>75</v>
      </c>
    </row>
    <row r="19382" spans="1:6" ht="25.5">
      <c r="A19382" s="2">
        <v>19379</v>
      </c>
      <c r="B19382" s="2" t="s">
        <v>19449</v>
      </c>
      <c r="C19382" s="2" t="str">
        <f>"00407518"</f>
        <v>00407518</v>
      </c>
      <c r="D19382" s="2">
        <v>0.123</v>
      </c>
      <c r="E19382" s="2">
        <v>3</v>
      </c>
      <c r="F19382" s="2" t="s">
        <v>75</v>
      </c>
    </row>
    <row r="19383" spans="1:6" ht="25.5">
      <c r="A19383" s="2">
        <v>19380</v>
      </c>
      <c r="B19383" s="2" t="s">
        <v>19450</v>
      </c>
      <c r="C19383" s="2" t="str">
        <f>"03767442"</f>
        <v>03767442</v>
      </c>
      <c r="D19383" s="2">
        <v>0.10100000000000001</v>
      </c>
      <c r="E19383" s="2">
        <v>6</v>
      </c>
      <c r="F19383" s="2" t="s">
        <v>75</v>
      </c>
    </row>
    <row r="19384" spans="1:6" ht="25.5">
      <c r="A19384" s="2">
        <v>19381</v>
      </c>
      <c r="B19384" s="2" t="s">
        <v>19451</v>
      </c>
      <c r="C19384" s="2" t="str">
        <f>"00407550"</f>
        <v>00407550</v>
      </c>
      <c r="D19384" s="2">
        <v>0.161</v>
      </c>
      <c r="E19384" s="2">
        <v>5</v>
      </c>
      <c r="F19384" s="2" t="s">
        <v>75</v>
      </c>
    </row>
    <row r="19385" spans="1:6" ht="25.5">
      <c r="A19385" s="2">
        <v>19382</v>
      </c>
      <c r="B19385" s="2" t="s">
        <v>19452</v>
      </c>
      <c r="C19385" s="2" t="str">
        <f>"03037339"</f>
        <v>03037339</v>
      </c>
      <c r="D19385" s="2">
        <v>0.17499999999999999</v>
      </c>
      <c r="E19385" s="2">
        <v>10</v>
      </c>
      <c r="F19385" s="2" t="s">
        <v>75</v>
      </c>
    </row>
    <row r="19386" spans="1:6" ht="25.5">
      <c r="A19386" s="2">
        <v>19383</v>
      </c>
      <c r="B19386" s="2" t="s">
        <v>19453</v>
      </c>
      <c r="C19386" s="2" t="str">
        <f>"15721701"</f>
        <v>15721701</v>
      </c>
      <c r="D19386" s="2">
        <v>0.27</v>
      </c>
      <c r="E19386" s="2">
        <v>5</v>
      </c>
      <c r="F19386" s="2" t="s">
        <v>75</v>
      </c>
    </row>
    <row r="19387" spans="1:6" ht="25.5">
      <c r="A19387" s="2">
        <v>19384</v>
      </c>
      <c r="B19387" s="2" t="s">
        <v>19454</v>
      </c>
      <c r="C19387" s="2" t="str">
        <f>"01689959"</f>
        <v>01689959</v>
      </c>
      <c r="D19387" s="2">
        <v>0.10100000000000001</v>
      </c>
      <c r="E19387" s="2">
        <v>1</v>
      </c>
      <c r="F19387" s="2" t="s">
        <v>75</v>
      </c>
    </row>
    <row r="19388" spans="1:6" ht="25.5">
      <c r="A19388" s="2">
        <v>19385</v>
      </c>
      <c r="B19388" s="2" t="s">
        <v>19455</v>
      </c>
      <c r="C19388" s="2" t="str">
        <f>"0040781X"</f>
        <v>0040781X</v>
      </c>
      <c r="D19388" s="2">
        <v>0</v>
      </c>
      <c r="E19388" s="2">
        <v>10</v>
      </c>
      <c r="F19388" s="2" t="s">
        <v>6</v>
      </c>
    </row>
    <row r="19389" spans="1:6" ht="25.5">
      <c r="A19389" s="2">
        <v>19386</v>
      </c>
      <c r="B19389" s="2" t="s">
        <v>19456</v>
      </c>
      <c r="C19389" s="2" t="str">
        <f>"17516978"</f>
        <v>17516978</v>
      </c>
      <c r="D19389" s="2">
        <v>0.159</v>
      </c>
      <c r="E19389" s="2">
        <v>3</v>
      </c>
      <c r="F19389" s="2" t="s">
        <v>6</v>
      </c>
    </row>
    <row r="19390" spans="1:6" ht="25.5">
      <c r="A19390" s="2">
        <v>19387</v>
      </c>
      <c r="B19390" s="2" t="s">
        <v>19457</v>
      </c>
      <c r="C19390" s="2" t="str">
        <f>"0961463X"</f>
        <v>0961463X</v>
      </c>
      <c r="D19390" s="2">
        <v>0.373</v>
      </c>
      <c r="E19390" s="2">
        <v>20</v>
      </c>
      <c r="F19390" s="2" t="s">
        <v>16</v>
      </c>
    </row>
    <row r="19391" spans="1:6" ht="25.5">
      <c r="A19391" s="2">
        <v>19388</v>
      </c>
      <c r="B19391" s="2" t="s">
        <v>19458</v>
      </c>
      <c r="C19391" s="2" t="str">
        <f>"1583526X"</f>
        <v>1583526X</v>
      </c>
      <c r="D19391" s="2">
        <v>0.104</v>
      </c>
      <c r="E19391" s="2">
        <v>2</v>
      </c>
      <c r="F19391" s="2" t="s">
        <v>19</v>
      </c>
    </row>
    <row r="19392" spans="1:6" ht="25.5">
      <c r="A19392" s="2">
        <v>19389</v>
      </c>
      <c r="B19392" s="2" t="s">
        <v>19459</v>
      </c>
      <c r="C19392" s="2" t="str">
        <f>"00908657"</f>
        <v>00908657</v>
      </c>
      <c r="D19392" s="2">
        <v>0.214</v>
      </c>
      <c r="E19392" s="2">
        <v>15</v>
      </c>
      <c r="F19392" s="2" t="s">
        <v>6</v>
      </c>
    </row>
    <row r="19393" spans="1:6" ht="25.5">
      <c r="A19393" s="2">
        <v>19390</v>
      </c>
      <c r="B19393" s="2" t="s">
        <v>19460</v>
      </c>
      <c r="C19393" s="2" t="str">
        <f>"00408166"</f>
        <v>00408166</v>
      </c>
      <c r="D19393" s="2">
        <v>0.376</v>
      </c>
      <c r="E19393" s="2">
        <v>34</v>
      </c>
      <c r="F19393" s="2" t="s">
        <v>6</v>
      </c>
    </row>
    <row r="19394" spans="1:6" ht="25.5">
      <c r="A19394" s="2">
        <v>19391</v>
      </c>
      <c r="B19394" s="2" t="s">
        <v>19461</v>
      </c>
      <c r="C19394" s="2" t="str">
        <f>"13990039"</f>
        <v>13990039</v>
      </c>
      <c r="D19394" s="2">
        <v>0.55300000000000005</v>
      </c>
      <c r="E19394" s="2">
        <v>73</v>
      </c>
      <c r="F19394" s="2" t="s">
        <v>16</v>
      </c>
    </row>
    <row r="19395" spans="1:6" ht="25.5">
      <c r="A19395" s="2">
        <v>19392</v>
      </c>
      <c r="B19395" s="2" t="s">
        <v>19462</v>
      </c>
      <c r="C19395" s="2" t="str">
        <f>"19373341"</f>
        <v>19373341</v>
      </c>
      <c r="D19395" s="2">
        <v>1.649</v>
      </c>
      <c r="E19395" s="2">
        <v>38</v>
      </c>
      <c r="F19395" s="2" t="s">
        <v>6</v>
      </c>
    </row>
    <row r="19396" spans="1:6" ht="25.5">
      <c r="A19396" s="2">
        <v>19393</v>
      </c>
      <c r="B19396" s="2" t="s">
        <v>19463</v>
      </c>
      <c r="C19396" s="2" t="str">
        <f>"19373368"</f>
        <v>19373368</v>
      </c>
      <c r="D19396" s="2">
        <v>2.4359999999999999</v>
      </c>
      <c r="E19396" s="2">
        <v>28</v>
      </c>
      <c r="F19396" s="2" t="s">
        <v>6</v>
      </c>
    </row>
    <row r="19397" spans="1:6" ht="25.5">
      <c r="A19397" s="2">
        <v>19394</v>
      </c>
      <c r="B19397" s="2" t="s">
        <v>19464</v>
      </c>
      <c r="C19397" s="2" t="str">
        <f>"19373384"</f>
        <v>19373384</v>
      </c>
      <c r="D19397" s="2">
        <v>1.03</v>
      </c>
      <c r="E19397" s="2">
        <v>19</v>
      </c>
      <c r="F19397" s="2" t="s">
        <v>6</v>
      </c>
    </row>
    <row r="19398" spans="1:6" ht="25.5">
      <c r="A19398" s="2">
        <v>19395</v>
      </c>
      <c r="B19398" s="2" t="s">
        <v>19465</v>
      </c>
      <c r="C19398" s="2" t="str">
        <f>"13595474"</f>
        <v>13595474</v>
      </c>
      <c r="D19398" s="2">
        <v>0.22900000000000001</v>
      </c>
      <c r="E19398" s="2">
        <v>3</v>
      </c>
      <c r="F19398" s="2" t="s">
        <v>16</v>
      </c>
    </row>
    <row r="19399" spans="1:6" ht="25.5">
      <c r="A19399" s="2">
        <v>19396</v>
      </c>
      <c r="B19399" s="2" t="s">
        <v>19466</v>
      </c>
      <c r="C19399" s="2" t="str">
        <f>"0307661X"</f>
        <v>0307661X</v>
      </c>
      <c r="D19399" s="2">
        <v>0.1</v>
      </c>
      <c r="E19399" s="2">
        <v>4</v>
      </c>
      <c r="F19399" s="2" t="s">
        <v>16</v>
      </c>
    </row>
    <row r="19400" spans="1:6" ht="25.5">
      <c r="A19400" s="2">
        <v>19397</v>
      </c>
      <c r="B19400" s="2" t="s">
        <v>19467</v>
      </c>
      <c r="C19400" s="2" t="str">
        <f>"01665294"</f>
        <v>01665294</v>
      </c>
      <c r="D19400" s="2">
        <v>0.10100000000000001</v>
      </c>
      <c r="E19400" s="2">
        <v>2</v>
      </c>
      <c r="F19400" s="2" t="s">
        <v>75</v>
      </c>
    </row>
    <row r="19401" spans="1:6">
      <c r="A19401" s="2">
        <v>19398</v>
      </c>
      <c r="B19401" s="2" t="s">
        <v>19468</v>
      </c>
      <c r="C19401" s="2" t="str">
        <f>"0"</f>
        <v>0</v>
      </c>
      <c r="D19401" s="2">
        <v>0.11899999999999999</v>
      </c>
      <c r="E19401" s="2">
        <v>9</v>
      </c>
      <c r="F19401" s="2" t="s">
        <v>6</v>
      </c>
    </row>
    <row r="19402" spans="1:6" ht="25.5">
      <c r="A19402" s="2">
        <v>19399</v>
      </c>
      <c r="B19402" s="2" t="s">
        <v>19469</v>
      </c>
      <c r="C19402" s="2" t="str">
        <f>"01470809"</f>
        <v>01470809</v>
      </c>
      <c r="D19402" s="2">
        <v>0.19900000000000001</v>
      </c>
      <c r="E19402" s="2">
        <v>11</v>
      </c>
      <c r="F19402" s="2" t="s">
        <v>6</v>
      </c>
    </row>
    <row r="19403" spans="1:6" ht="25.5">
      <c r="A19403" s="2">
        <v>19400</v>
      </c>
      <c r="B19403" s="2" t="s">
        <v>19470</v>
      </c>
      <c r="C19403" s="2" t="str">
        <f>"01718096"</f>
        <v>01718096</v>
      </c>
      <c r="D19403" s="2">
        <v>0.20899999999999999</v>
      </c>
      <c r="E19403" s="2">
        <v>13</v>
      </c>
      <c r="F19403" s="2" t="s">
        <v>12</v>
      </c>
    </row>
    <row r="19404" spans="1:6" ht="25.5">
      <c r="A19404" s="2">
        <v>19401</v>
      </c>
      <c r="B19404" s="2" t="s">
        <v>19471</v>
      </c>
      <c r="C19404" s="2" t="str">
        <f>"14683318"</f>
        <v>14683318</v>
      </c>
      <c r="D19404" s="2">
        <v>1.619</v>
      </c>
      <c r="E19404" s="2">
        <v>74</v>
      </c>
      <c r="F19404" s="2" t="s">
        <v>16</v>
      </c>
    </row>
    <row r="19405" spans="1:6" ht="25.5">
      <c r="A19405" s="2">
        <v>19402</v>
      </c>
      <c r="B19405" s="2" t="s">
        <v>19472</v>
      </c>
      <c r="C19405" s="2" t="str">
        <f>"20707266"</f>
        <v>20707266</v>
      </c>
      <c r="D19405" s="2">
        <v>0.84699999999999998</v>
      </c>
      <c r="E19405" s="2">
        <v>8</v>
      </c>
      <c r="F19405" s="2" t="s">
        <v>16</v>
      </c>
    </row>
    <row r="19406" spans="1:6" ht="25.5">
      <c r="A19406" s="2">
        <v>19403</v>
      </c>
      <c r="B19406" s="2" t="s">
        <v>19473</v>
      </c>
      <c r="C19406" s="2" t="str">
        <f>"0730479X"</f>
        <v>0730479X</v>
      </c>
      <c r="D19406" s="2">
        <v>0.124</v>
      </c>
      <c r="E19406" s="2">
        <v>2</v>
      </c>
      <c r="F19406" s="2" t="s">
        <v>6</v>
      </c>
    </row>
    <row r="19407" spans="1:6" ht="25.5">
      <c r="A19407" s="2">
        <v>19404</v>
      </c>
      <c r="B19407" s="2" t="s">
        <v>19474</v>
      </c>
      <c r="C19407" s="2" t="str">
        <f>"10485317"</f>
        <v>10485317</v>
      </c>
      <c r="D19407" s="2">
        <v>0.1</v>
      </c>
      <c r="E19407" s="2">
        <v>3</v>
      </c>
      <c r="F19407" s="2" t="s">
        <v>6</v>
      </c>
    </row>
    <row r="19408" spans="1:6" ht="25.5">
      <c r="A19408" s="2">
        <v>19405</v>
      </c>
      <c r="B19408" s="2" t="s">
        <v>19475</v>
      </c>
      <c r="C19408" s="2" t="str">
        <f>"03850005"</f>
        <v>03850005</v>
      </c>
      <c r="D19408" s="2">
        <v>0.13300000000000001</v>
      </c>
      <c r="E19408" s="2">
        <v>13</v>
      </c>
      <c r="F19408" s="2" t="s">
        <v>131</v>
      </c>
    </row>
    <row r="19409" spans="1:6" ht="25.5">
      <c r="A19409" s="2">
        <v>19406</v>
      </c>
      <c r="B19409" s="2" t="s">
        <v>19476</v>
      </c>
      <c r="C19409" s="2" t="str">
        <f>"03759172"</f>
        <v>03759172</v>
      </c>
      <c r="D19409" s="2">
        <v>0.1</v>
      </c>
      <c r="E19409" s="2">
        <v>3</v>
      </c>
      <c r="F19409" s="2" t="s">
        <v>131</v>
      </c>
    </row>
    <row r="19410" spans="1:6" ht="25.5">
      <c r="A19410" s="2">
        <v>19407</v>
      </c>
      <c r="B19410" s="2" t="s">
        <v>19477</v>
      </c>
      <c r="C19410" s="2" t="str">
        <f>"0253374X"</f>
        <v>0253374X</v>
      </c>
      <c r="D19410" s="2">
        <v>0.23</v>
      </c>
      <c r="E19410" s="2">
        <v>16</v>
      </c>
      <c r="F19410" s="2" t="s">
        <v>46</v>
      </c>
    </row>
    <row r="19411" spans="1:6" ht="25.5">
      <c r="A19411" s="2">
        <v>19408</v>
      </c>
      <c r="B19411" s="2" t="s">
        <v>19478</v>
      </c>
      <c r="C19411" s="2" t="str">
        <f>"1000436X"</f>
        <v>1000436X</v>
      </c>
      <c r="D19411" s="2">
        <v>0.217</v>
      </c>
      <c r="E19411" s="2">
        <v>14</v>
      </c>
      <c r="F19411" s="2" t="s">
        <v>46</v>
      </c>
    </row>
    <row r="19412" spans="1:6" ht="25.5">
      <c r="A19412" s="2">
        <v>19409</v>
      </c>
      <c r="B19412" s="2" t="s">
        <v>19479</v>
      </c>
      <c r="C19412" s="2" t="str">
        <f>"15776921"</f>
        <v>15776921</v>
      </c>
      <c r="D19412" s="2">
        <v>0.10100000000000001</v>
      </c>
      <c r="E19412" s="2">
        <v>0</v>
      </c>
      <c r="F19412" s="2" t="s">
        <v>351</v>
      </c>
    </row>
    <row r="19413" spans="1:6" ht="25.5">
      <c r="A19413" s="2">
        <v>19410</v>
      </c>
      <c r="B19413" s="2" t="s">
        <v>19480</v>
      </c>
      <c r="C19413" s="2" t="str">
        <f>"18638279"</f>
        <v>18638279</v>
      </c>
      <c r="D19413" s="2">
        <v>0.57799999999999996</v>
      </c>
      <c r="E19413" s="2">
        <v>6</v>
      </c>
      <c r="F19413" s="2" t="s">
        <v>12</v>
      </c>
    </row>
    <row r="19414" spans="1:6" ht="25.5">
      <c r="A19414" s="2">
        <v>19411</v>
      </c>
      <c r="B19414" s="2" t="s">
        <v>19481</v>
      </c>
      <c r="C19414" s="2" t="str">
        <f>"1666485X"</f>
        <v>1666485X</v>
      </c>
      <c r="D19414" s="2">
        <v>0.10100000000000001</v>
      </c>
      <c r="E19414" s="2">
        <v>1</v>
      </c>
      <c r="F19414" s="2" t="s">
        <v>192</v>
      </c>
    </row>
    <row r="19415" spans="1:6" ht="25.5">
      <c r="A19415" s="2">
        <v>19412</v>
      </c>
      <c r="B19415" s="2" t="s">
        <v>19482</v>
      </c>
      <c r="C19415" s="2" t="str">
        <f>"15352250"</f>
        <v>15352250</v>
      </c>
      <c r="D19415" s="2">
        <v>0.10100000000000001</v>
      </c>
      <c r="E19415" s="2">
        <v>5</v>
      </c>
      <c r="F19415" s="2" t="s">
        <v>6</v>
      </c>
    </row>
    <row r="19416" spans="1:6" ht="25.5">
      <c r="A19416" s="2">
        <v>19413</v>
      </c>
      <c r="B19416" s="2" t="s">
        <v>19483</v>
      </c>
      <c r="C19416" s="2" t="str">
        <f>"21615853"</f>
        <v>21615853</v>
      </c>
      <c r="D19416" s="2">
        <v>1.8160000000000001</v>
      </c>
      <c r="E19416" s="2">
        <v>29</v>
      </c>
      <c r="F19416" s="2" t="s">
        <v>6</v>
      </c>
    </row>
    <row r="19417" spans="1:6" ht="25.5">
      <c r="A19417" s="2">
        <v>19414</v>
      </c>
      <c r="B19417" s="2" t="s">
        <v>19484</v>
      </c>
      <c r="C19417" s="2" t="str">
        <f>"15729028"</f>
        <v>15729028</v>
      </c>
      <c r="D19417" s="2">
        <v>1.042</v>
      </c>
      <c r="E19417" s="2">
        <v>64</v>
      </c>
      <c r="F19417" s="2" t="s">
        <v>75</v>
      </c>
    </row>
    <row r="19418" spans="1:6" ht="25.5">
      <c r="A19418" s="2">
        <v>19415</v>
      </c>
      <c r="B19418" s="2" t="s">
        <v>19485</v>
      </c>
      <c r="C19418" s="2" t="str">
        <f>"08835691"</f>
        <v>08835691</v>
      </c>
      <c r="D19418" s="2">
        <v>0.125</v>
      </c>
      <c r="E19418" s="2">
        <v>5</v>
      </c>
      <c r="F19418" s="2" t="s">
        <v>6</v>
      </c>
    </row>
    <row r="19419" spans="1:6" ht="25.5">
      <c r="A19419" s="2">
        <v>19416</v>
      </c>
      <c r="B19419" s="2" t="s">
        <v>19486</v>
      </c>
      <c r="C19419" s="2" t="str">
        <f>"17568765"</f>
        <v>17568765</v>
      </c>
      <c r="D19419" s="2">
        <v>1.4590000000000001</v>
      </c>
      <c r="E19419" s="2">
        <v>15</v>
      </c>
      <c r="F19419" s="2" t="s">
        <v>6</v>
      </c>
    </row>
    <row r="19420" spans="1:6" ht="25.5">
      <c r="A19420" s="2">
        <v>19417</v>
      </c>
      <c r="B19420" s="2" t="s">
        <v>19487</v>
      </c>
      <c r="C19420" s="2" t="str">
        <f>"19389736"</f>
        <v>19389736</v>
      </c>
      <c r="D19420" s="2">
        <v>0.43099999999999999</v>
      </c>
      <c r="E19420" s="2">
        <v>24</v>
      </c>
      <c r="F19420" s="2" t="s">
        <v>16</v>
      </c>
    </row>
    <row r="19421" spans="1:6" ht="25.5">
      <c r="A19421" s="2">
        <v>19418</v>
      </c>
      <c r="B19421" s="2" t="s">
        <v>19488</v>
      </c>
      <c r="C19421" s="2" t="str">
        <f>"03401022"</f>
        <v>03401022</v>
      </c>
      <c r="D19421" s="2">
        <v>2.879</v>
      </c>
      <c r="E19421" s="2">
        <v>52</v>
      </c>
      <c r="F19421" s="2" t="s">
        <v>12</v>
      </c>
    </row>
    <row r="19422" spans="1:6" ht="25.5">
      <c r="A19422" s="2">
        <v>19419</v>
      </c>
      <c r="B19422" s="2" t="s">
        <v>19489</v>
      </c>
      <c r="C19422" s="2" t="str">
        <f>"16102096"</f>
        <v>16102096</v>
      </c>
      <c r="D19422" s="2">
        <v>0.27300000000000002</v>
      </c>
      <c r="E19422" s="2">
        <v>10</v>
      </c>
      <c r="F19422" s="2" t="s">
        <v>12</v>
      </c>
    </row>
    <row r="19423" spans="1:6" ht="25.5">
      <c r="A19423" s="2">
        <v>19420</v>
      </c>
      <c r="B19423" s="2" t="s">
        <v>19490</v>
      </c>
      <c r="C19423" s="2" t="str">
        <f>"15384845"</f>
        <v>15384845</v>
      </c>
      <c r="D19423" s="2">
        <v>0.78800000000000003</v>
      </c>
      <c r="E19423" s="2">
        <v>31</v>
      </c>
      <c r="F19423" s="2" t="s">
        <v>6</v>
      </c>
    </row>
    <row r="19424" spans="1:6" ht="25.5">
      <c r="A19424" s="2">
        <v>19421</v>
      </c>
      <c r="B19424" s="2" t="s">
        <v>19491</v>
      </c>
      <c r="C19424" s="2" t="str">
        <f>"15502414"</f>
        <v>15502414</v>
      </c>
      <c r="D19424" s="2">
        <v>0.16600000000000001</v>
      </c>
      <c r="E19424" s="2">
        <v>14</v>
      </c>
      <c r="F19424" s="2" t="s">
        <v>6</v>
      </c>
    </row>
    <row r="19425" spans="1:6" ht="25.5">
      <c r="A19425" s="2">
        <v>19422</v>
      </c>
      <c r="B19425" s="2" t="s">
        <v>19492</v>
      </c>
      <c r="C19425" s="2" t="str">
        <f>"15503259"</f>
        <v>15503259</v>
      </c>
      <c r="D19425" s="2">
        <v>0.32</v>
      </c>
      <c r="E19425" s="2">
        <v>23</v>
      </c>
      <c r="F19425" s="2" t="s">
        <v>6</v>
      </c>
    </row>
    <row r="19426" spans="1:6" ht="25.5">
      <c r="A19426" s="2">
        <v>19423</v>
      </c>
      <c r="B19426" s="2" t="s">
        <v>19493</v>
      </c>
      <c r="C19426" s="2" t="str">
        <f>"08993459"</f>
        <v>08993459</v>
      </c>
      <c r="D19426" s="2">
        <v>0.36299999999999999</v>
      </c>
      <c r="E19426" s="2">
        <v>38</v>
      </c>
      <c r="F19426" s="2" t="s">
        <v>6</v>
      </c>
    </row>
    <row r="19427" spans="1:6" ht="25.5">
      <c r="A19427" s="2">
        <v>19424</v>
      </c>
      <c r="B19427" s="2" t="s">
        <v>19494</v>
      </c>
      <c r="C19427" s="2" t="str">
        <f>"18622461"</f>
        <v>18622461</v>
      </c>
      <c r="D19427" s="2">
        <v>0.22</v>
      </c>
      <c r="E19427" s="2">
        <v>2</v>
      </c>
      <c r="F19427" s="2" t="s">
        <v>12</v>
      </c>
    </row>
    <row r="19428" spans="1:6" ht="25.5">
      <c r="A19428" s="2">
        <v>19425</v>
      </c>
      <c r="B19428" s="2" t="s">
        <v>19495</v>
      </c>
      <c r="C19428" s="2" t="str">
        <f>"16168534"</f>
        <v>16168534</v>
      </c>
      <c r="D19428" s="2">
        <v>2.0529999999999999</v>
      </c>
      <c r="E19428" s="2">
        <v>23</v>
      </c>
      <c r="F19428" s="2" t="s">
        <v>12</v>
      </c>
    </row>
    <row r="19429" spans="1:6" ht="25.5">
      <c r="A19429" s="2">
        <v>19426</v>
      </c>
      <c r="B19429" s="2" t="s">
        <v>19496</v>
      </c>
      <c r="C19429" s="2" t="str">
        <f>"10820744"</f>
        <v>10820744</v>
      </c>
      <c r="D19429" s="2">
        <v>0.442</v>
      </c>
      <c r="E19429" s="2">
        <v>18</v>
      </c>
      <c r="F19429" s="2" t="s">
        <v>6</v>
      </c>
    </row>
    <row r="19430" spans="1:6" ht="25.5">
      <c r="A19430" s="2">
        <v>19427</v>
      </c>
      <c r="B19430" s="2" t="s">
        <v>19497</v>
      </c>
      <c r="C19430" s="2" t="str">
        <f>"10749357"</f>
        <v>10749357</v>
      </c>
      <c r="D19430" s="2">
        <v>0.44700000000000001</v>
      </c>
      <c r="E19430" s="2">
        <v>31</v>
      </c>
      <c r="F19430" s="2" t="s">
        <v>6</v>
      </c>
    </row>
    <row r="19431" spans="1:6" ht="25.5">
      <c r="A19431" s="2">
        <v>19428</v>
      </c>
      <c r="B19431" s="2" t="s">
        <v>19498</v>
      </c>
      <c r="C19431" s="2" t="str">
        <f>"00409375"</f>
        <v>00409375</v>
      </c>
      <c r="D19431" s="2">
        <v>0.114</v>
      </c>
      <c r="E19431" s="2">
        <v>3</v>
      </c>
      <c r="F19431" s="2" t="s">
        <v>66</v>
      </c>
    </row>
    <row r="19432" spans="1:6" ht="25.5">
      <c r="A19432" s="2">
        <v>19429</v>
      </c>
      <c r="B19432" s="2" t="s">
        <v>19499</v>
      </c>
      <c r="C19432" s="2" t="str">
        <f>"15728749"</f>
        <v>15728749</v>
      </c>
      <c r="D19432" s="2">
        <v>0.378</v>
      </c>
      <c r="E19432" s="2">
        <v>9</v>
      </c>
      <c r="F19432" s="2" t="s">
        <v>75</v>
      </c>
    </row>
    <row r="19433" spans="1:6" ht="25.5">
      <c r="A19433" s="2">
        <v>19430</v>
      </c>
      <c r="B19433" s="2" t="s">
        <v>19500</v>
      </c>
      <c r="C19433" s="2" t="str">
        <f>"00409383"</f>
        <v>00409383</v>
      </c>
      <c r="D19433" s="2">
        <v>0.32900000000000001</v>
      </c>
      <c r="E19433" s="2">
        <v>31</v>
      </c>
      <c r="F19433" s="2" t="s">
        <v>16</v>
      </c>
    </row>
    <row r="19434" spans="1:6" ht="25.5">
      <c r="A19434" s="2">
        <v>19431</v>
      </c>
      <c r="B19434" s="2" t="s">
        <v>19501</v>
      </c>
      <c r="C19434" s="2" t="str">
        <f>"01668641"</f>
        <v>01668641</v>
      </c>
      <c r="D19434" s="2">
        <v>0.52</v>
      </c>
      <c r="E19434" s="2">
        <v>25</v>
      </c>
      <c r="F19434" s="2" t="s">
        <v>75</v>
      </c>
    </row>
    <row r="19435" spans="1:6" ht="25.5">
      <c r="A19435" s="2">
        <v>19432</v>
      </c>
      <c r="B19435" s="2" t="s">
        <v>19502</v>
      </c>
      <c r="C19435" s="2" t="str">
        <f>"09151168"</f>
        <v>09151168</v>
      </c>
      <c r="D19435" s="2">
        <v>0.123</v>
      </c>
      <c r="E19435" s="2">
        <v>8</v>
      </c>
      <c r="F19435" s="2" t="s">
        <v>131</v>
      </c>
    </row>
    <row r="19436" spans="1:6" ht="25.5">
      <c r="A19436" s="2">
        <v>19433</v>
      </c>
      <c r="B19436" s="2" t="s">
        <v>19503</v>
      </c>
      <c r="C19436" s="2" t="str">
        <f>"10188185"</f>
        <v>10188185</v>
      </c>
      <c r="D19436" s="2">
        <v>0.191</v>
      </c>
      <c r="E19436" s="2">
        <v>6</v>
      </c>
      <c r="F19436" s="2" t="s">
        <v>163</v>
      </c>
    </row>
    <row r="19437" spans="1:6" ht="25.5">
      <c r="A19437" s="2">
        <v>19434</v>
      </c>
      <c r="B19437" s="2" t="s">
        <v>19504</v>
      </c>
      <c r="C19437" s="2" t="str">
        <f>"14783371"</f>
        <v>14783371</v>
      </c>
      <c r="D19437" s="2">
        <v>0.51200000000000001</v>
      </c>
      <c r="E19437" s="2">
        <v>41</v>
      </c>
      <c r="F19437" s="2" t="s">
        <v>16</v>
      </c>
    </row>
    <row r="19438" spans="1:6" ht="25.5">
      <c r="A19438" s="2">
        <v>19435</v>
      </c>
      <c r="B19438" s="2" t="s">
        <v>19505</v>
      </c>
      <c r="C19438" s="2" t="str">
        <f>"17401267"</f>
        <v>17401267</v>
      </c>
      <c r="D19438" s="2">
        <v>0.1</v>
      </c>
      <c r="E19438" s="2">
        <v>1</v>
      </c>
      <c r="F19438" s="2" t="s">
        <v>16</v>
      </c>
    </row>
    <row r="19439" spans="1:6" ht="25.5">
      <c r="A19439" s="2">
        <v>19436</v>
      </c>
      <c r="B19439" s="2" t="s">
        <v>19506</v>
      </c>
      <c r="C19439" s="2" t="str">
        <f>"15685322"</f>
        <v>15685322</v>
      </c>
      <c r="D19439" s="2">
        <v>0.121</v>
      </c>
      <c r="E19439" s="2">
        <v>2</v>
      </c>
      <c r="F19439" s="2" t="s">
        <v>75</v>
      </c>
    </row>
    <row r="19440" spans="1:6" ht="25.5">
      <c r="A19440" s="2">
        <v>19437</v>
      </c>
      <c r="B19440" s="2" t="s">
        <v>19507</v>
      </c>
      <c r="C19440" s="2" t="str">
        <f>"13327461"</f>
        <v>13327461</v>
      </c>
      <c r="D19440" s="2">
        <v>0.22500000000000001</v>
      </c>
      <c r="E19440" s="2">
        <v>8</v>
      </c>
      <c r="F19440" s="2" t="s">
        <v>149</v>
      </c>
    </row>
    <row r="19441" spans="1:6" ht="25.5">
      <c r="A19441" s="2">
        <v>19438</v>
      </c>
      <c r="B19441" s="2" t="s">
        <v>19508</v>
      </c>
      <c r="C19441" s="2" t="str">
        <f>"17429692"</f>
        <v>17429692</v>
      </c>
      <c r="D19441" s="2">
        <v>0.42799999999999999</v>
      </c>
      <c r="E19441" s="2">
        <v>5</v>
      </c>
      <c r="F19441" s="2" t="s">
        <v>6</v>
      </c>
    </row>
    <row r="19442" spans="1:6" ht="25.5">
      <c r="A19442" s="2">
        <v>19439</v>
      </c>
      <c r="B19442" s="2" t="s">
        <v>19509</v>
      </c>
      <c r="C19442" s="2" t="str">
        <f>"1098304X"</f>
        <v>1098304X</v>
      </c>
      <c r="D19442" s="2">
        <v>0.27900000000000003</v>
      </c>
      <c r="E19442" s="2">
        <v>5</v>
      </c>
      <c r="F19442" s="2" t="s">
        <v>6</v>
      </c>
    </row>
    <row r="19443" spans="1:6" ht="25.5">
      <c r="A19443" s="2">
        <v>19440</v>
      </c>
      <c r="B19443" s="2" t="s">
        <v>19510</v>
      </c>
      <c r="C19443" s="2" t="str">
        <f>"13548166"</f>
        <v>13548166</v>
      </c>
      <c r="D19443" s="2">
        <v>0.63800000000000001</v>
      </c>
      <c r="E19443" s="2">
        <v>26</v>
      </c>
      <c r="F19443" s="2" t="s">
        <v>16</v>
      </c>
    </row>
    <row r="19444" spans="1:6" ht="25.5">
      <c r="A19444" s="2">
        <v>19441</v>
      </c>
      <c r="B19444" s="2" t="s">
        <v>19511</v>
      </c>
      <c r="C19444" s="2" t="str">
        <f>"14701340"</f>
        <v>14701340</v>
      </c>
      <c r="D19444" s="2">
        <v>0.51600000000000001</v>
      </c>
      <c r="E19444" s="2">
        <v>22</v>
      </c>
      <c r="F19444" s="2" t="s">
        <v>6</v>
      </c>
    </row>
    <row r="19445" spans="1:6" ht="25.5">
      <c r="A19445" s="2">
        <v>19442</v>
      </c>
      <c r="B19445" s="2" t="s">
        <v>19512</v>
      </c>
      <c r="C19445" s="2" t="str">
        <f>"1544273X"</f>
        <v>1544273X</v>
      </c>
      <c r="D19445" s="2">
        <v>0.33200000000000002</v>
      </c>
      <c r="E19445" s="2">
        <v>8</v>
      </c>
      <c r="F19445" s="2" t="s">
        <v>6</v>
      </c>
    </row>
    <row r="19446" spans="1:6" ht="25.5">
      <c r="A19446" s="2">
        <v>19443</v>
      </c>
      <c r="B19446" s="2" t="s">
        <v>19513</v>
      </c>
      <c r="C19446" s="2" t="str">
        <f>"02615177"</f>
        <v>02615177</v>
      </c>
      <c r="D19446" s="2">
        <v>1.7030000000000001</v>
      </c>
      <c r="E19446" s="2">
        <v>66</v>
      </c>
      <c r="F19446" s="2" t="s">
        <v>16</v>
      </c>
    </row>
    <row r="19447" spans="1:6" ht="25.5">
      <c r="A19447" s="2">
        <v>19444</v>
      </c>
      <c r="B19447" s="2" t="s">
        <v>19514</v>
      </c>
      <c r="C19447" s="2" t="str">
        <f>"22119736"</f>
        <v>22119736</v>
      </c>
      <c r="D19447" s="2">
        <v>0</v>
      </c>
      <c r="E19447" s="2">
        <v>2</v>
      </c>
      <c r="F19447" s="2" t="s">
        <v>6</v>
      </c>
    </row>
    <row r="19448" spans="1:6" ht="25.5">
      <c r="A19448" s="2">
        <v>19445</v>
      </c>
      <c r="B19448" s="2" t="s">
        <v>19515</v>
      </c>
      <c r="C19448" s="2" t="str">
        <f>"17908418"</f>
        <v>17908418</v>
      </c>
      <c r="D19448" s="2">
        <v>0.24399999999999999</v>
      </c>
      <c r="E19448" s="2">
        <v>6</v>
      </c>
      <c r="F19448" s="2" t="s">
        <v>313</v>
      </c>
    </row>
    <row r="19449" spans="1:6" ht="25.5">
      <c r="A19449" s="2">
        <v>19446</v>
      </c>
      <c r="B19449" s="2" t="s">
        <v>19516</v>
      </c>
      <c r="C19449" s="2" t="str">
        <f>"21568324"</f>
        <v>21568324</v>
      </c>
      <c r="D19449" s="2">
        <v>0.48199999999999998</v>
      </c>
      <c r="E19449" s="2">
        <v>6</v>
      </c>
      <c r="F19449" s="2" t="s">
        <v>16</v>
      </c>
    </row>
    <row r="19450" spans="1:6" ht="25.5">
      <c r="A19450" s="2">
        <v>19447</v>
      </c>
      <c r="B19450" s="2" t="s">
        <v>19517</v>
      </c>
      <c r="C19450" s="2" t="str">
        <f>"17413206"</f>
        <v>17413206</v>
      </c>
      <c r="D19450" s="2">
        <v>0.35799999999999998</v>
      </c>
      <c r="E19450" s="2">
        <v>14</v>
      </c>
      <c r="F19450" s="2" t="s">
        <v>16</v>
      </c>
    </row>
    <row r="19451" spans="1:6" ht="25.5">
      <c r="A19451" s="2">
        <v>19448</v>
      </c>
      <c r="B19451" s="2" t="s">
        <v>19518</v>
      </c>
      <c r="C19451" s="2" t="str">
        <f>"16483537"</f>
        <v>16483537</v>
      </c>
      <c r="D19451" s="2">
        <v>0.1</v>
      </c>
      <c r="E19451" s="2">
        <v>3</v>
      </c>
      <c r="F19451" s="2" t="s">
        <v>426</v>
      </c>
    </row>
    <row r="19452" spans="1:6" ht="25.5">
      <c r="A19452" s="2">
        <v>19449</v>
      </c>
      <c r="B19452" s="2" t="s">
        <v>19519</v>
      </c>
      <c r="C19452" s="2" t="str">
        <f>"00410020"</f>
        <v>00410020</v>
      </c>
      <c r="D19452" s="2">
        <v>0.64200000000000002</v>
      </c>
      <c r="E19452" s="2">
        <v>18</v>
      </c>
      <c r="F19452" s="2" t="s">
        <v>16</v>
      </c>
    </row>
    <row r="19453" spans="1:6" ht="25.5">
      <c r="A19453" s="2">
        <v>19450</v>
      </c>
      <c r="B19453" s="2" t="s">
        <v>19520</v>
      </c>
      <c r="C19453" s="2" t="str">
        <f>"15214621"</f>
        <v>15214621</v>
      </c>
      <c r="D19453" s="2">
        <v>0.129</v>
      </c>
      <c r="E19453" s="2">
        <v>2</v>
      </c>
      <c r="F19453" s="2" t="s">
        <v>6</v>
      </c>
    </row>
    <row r="19454" spans="1:6" ht="25.5">
      <c r="A19454" s="2">
        <v>19451</v>
      </c>
      <c r="B19454" s="2" t="s">
        <v>19521</v>
      </c>
      <c r="C19454" s="2" t="str">
        <f>"02772248"</f>
        <v>02772248</v>
      </c>
      <c r="D19454" s="2">
        <v>0.23300000000000001</v>
      </c>
      <c r="E19454" s="2">
        <v>20</v>
      </c>
      <c r="F19454" s="2" t="s">
        <v>16</v>
      </c>
    </row>
    <row r="19455" spans="1:6" ht="25.5">
      <c r="A19455" s="2">
        <v>19452</v>
      </c>
      <c r="B19455" s="2" t="s">
        <v>19522</v>
      </c>
      <c r="C19455" s="2" t="str">
        <f>"19768257"</f>
        <v>19768257</v>
      </c>
      <c r="D19455" s="2">
        <v>0.126</v>
      </c>
      <c r="E19455" s="2">
        <v>2</v>
      </c>
      <c r="F19455" s="2" t="s">
        <v>274</v>
      </c>
    </row>
    <row r="19456" spans="1:6" ht="25.5">
      <c r="A19456" s="2">
        <v>19453</v>
      </c>
      <c r="B19456" s="2" t="s">
        <v>19523</v>
      </c>
      <c r="C19456" s="2" t="str">
        <f>"10966080"</f>
        <v>10966080</v>
      </c>
      <c r="D19456" s="2">
        <v>1.5149999999999999</v>
      </c>
      <c r="E19456" s="2">
        <v>110</v>
      </c>
      <c r="F19456" s="2" t="s">
        <v>16</v>
      </c>
    </row>
    <row r="19457" spans="1:6" ht="25.5">
      <c r="A19457" s="2">
        <v>19454</v>
      </c>
      <c r="B19457" s="2" t="s">
        <v>19524</v>
      </c>
      <c r="C19457" s="2" t="str">
        <f>"15331601"</f>
        <v>15331601</v>
      </c>
      <c r="D19457" s="2">
        <v>0.71099999999999997</v>
      </c>
      <c r="E19457" s="2">
        <v>60</v>
      </c>
      <c r="F19457" s="2" t="s">
        <v>6</v>
      </c>
    </row>
    <row r="19458" spans="1:6" ht="25.5">
      <c r="A19458" s="2">
        <v>19455</v>
      </c>
      <c r="B19458" s="2" t="s">
        <v>19525</v>
      </c>
      <c r="C19458" s="2" t="str">
        <f>"0300483X"</f>
        <v>0300483X</v>
      </c>
      <c r="D19458" s="2">
        <v>1.0940000000000001</v>
      </c>
      <c r="E19458" s="2">
        <v>93</v>
      </c>
      <c r="F19458" s="2" t="s">
        <v>732</v>
      </c>
    </row>
    <row r="19459" spans="1:6" ht="25.5">
      <c r="A19459" s="2">
        <v>19456</v>
      </c>
      <c r="B19459" s="2" t="s">
        <v>19526</v>
      </c>
      <c r="C19459" s="2" t="str">
        <f>"10960333"</f>
        <v>10960333</v>
      </c>
      <c r="D19459" s="2">
        <v>1.3280000000000001</v>
      </c>
      <c r="E19459" s="2">
        <v>110</v>
      </c>
      <c r="F19459" s="2" t="s">
        <v>6</v>
      </c>
    </row>
    <row r="19460" spans="1:6" ht="25.5">
      <c r="A19460" s="2">
        <v>19457</v>
      </c>
      <c r="B19460" s="2" t="s">
        <v>19527</v>
      </c>
      <c r="C19460" s="2" t="str">
        <f>"20059752"</f>
        <v>20059752</v>
      </c>
      <c r="D19460" s="2">
        <v>0.161</v>
      </c>
      <c r="E19460" s="2">
        <v>4</v>
      </c>
      <c r="F19460" s="2" t="s">
        <v>274</v>
      </c>
    </row>
    <row r="19461" spans="1:6" ht="25.5">
      <c r="A19461" s="2">
        <v>19458</v>
      </c>
      <c r="B19461" s="2" t="s">
        <v>19528</v>
      </c>
      <c r="C19461" s="2" t="str">
        <f>"14770393"</f>
        <v>14770393</v>
      </c>
      <c r="D19461" s="2">
        <v>0.42</v>
      </c>
      <c r="E19461" s="2">
        <v>37</v>
      </c>
      <c r="F19461" s="2" t="s">
        <v>16</v>
      </c>
    </row>
    <row r="19462" spans="1:6" ht="25.5">
      <c r="A19462" s="2">
        <v>19459</v>
      </c>
      <c r="B19462" s="2" t="s">
        <v>19529</v>
      </c>
      <c r="C19462" s="2" t="str">
        <f>"09716580"</f>
        <v>09716580</v>
      </c>
      <c r="D19462" s="2">
        <v>0.223</v>
      </c>
      <c r="E19462" s="2">
        <v>6</v>
      </c>
      <c r="F19462" s="2" t="s">
        <v>488</v>
      </c>
    </row>
    <row r="19463" spans="1:6" ht="25.5">
      <c r="A19463" s="2">
        <v>19460</v>
      </c>
      <c r="B19463" s="2" t="s">
        <v>19530</v>
      </c>
      <c r="C19463" s="2" t="str">
        <f>"08872333"</f>
        <v>08872333</v>
      </c>
      <c r="D19463" s="2">
        <v>0.79200000000000004</v>
      </c>
      <c r="E19463" s="2">
        <v>56</v>
      </c>
      <c r="F19463" s="2" t="s">
        <v>16</v>
      </c>
    </row>
    <row r="19464" spans="1:6" ht="25.5">
      <c r="A19464" s="2">
        <v>19461</v>
      </c>
      <c r="B19464" s="2" t="s">
        <v>19531</v>
      </c>
      <c r="C19464" s="2" t="str">
        <f>"03784274"</f>
        <v>03784274</v>
      </c>
      <c r="D19464" s="2">
        <v>0.92600000000000005</v>
      </c>
      <c r="E19464" s="2">
        <v>92</v>
      </c>
      <c r="F19464" s="2" t="s">
        <v>732</v>
      </c>
    </row>
    <row r="19465" spans="1:6" ht="25.5">
      <c r="A19465" s="2">
        <v>19462</v>
      </c>
      <c r="B19465" s="2" t="s">
        <v>19532</v>
      </c>
      <c r="C19465" s="2" t="str">
        <f>"15376524"</f>
        <v>15376524</v>
      </c>
      <c r="D19465" s="2">
        <v>0.377</v>
      </c>
      <c r="E19465" s="2">
        <v>18</v>
      </c>
      <c r="F19465" s="2" t="s">
        <v>16</v>
      </c>
    </row>
    <row r="19466" spans="1:6" ht="25.5">
      <c r="A19466" s="2">
        <v>19463</v>
      </c>
      <c r="B19466" s="2" t="s">
        <v>19533</v>
      </c>
      <c r="C19466" s="2" t="str">
        <f>"00410101"</f>
        <v>00410101</v>
      </c>
      <c r="D19466" s="2">
        <v>0.88300000000000001</v>
      </c>
      <c r="E19466" s="2">
        <v>81</v>
      </c>
      <c r="F19466" s="2" t="s">
        <v>16</v>
      </c>
    </row>
    <row r="19467" spans="1:6" ht="25.5">
      <c r="A19467" s="2">
        <v>19464</v>
      </c>
      <c r="B19467" s="2" t="s">
        <v>19534</v>
      </c>
      <c r="C19467" s="2" t="str">
        <f>"15569551"</f>
        <v>15569551</v>
      </c>
      <c r="D19467" s="2">
        <v>0.30299999999999999</v>
      </c>
      <c r="E19467" s="2">
        <v>27</v>
      </c>
      <c r="F19467" s="2" t="s">
        <v>16</v>
      </c>
    </row>
    <row r="19468" spans="1:6" ht="25.5">
      <c r="A19468" s="2">
        <v>19465</v>
      </c>
      <c r="B19468" s="2" t="s">
        <v>19535</v>
      </c>
      <c r="C19468" s="2" t="str">
        <f>"20726651"</f>
        <v>20726651</v>
      </c>
      <c r="D19468" s="2">
        <v>0.63300000000000001</v>
      </c>
      <c r="E19468" s="2">
        <v>11</v>
      </c>
      <c r="F19468" s="2" t="s">
        <v>31</v>
      </c>
    </row>
    <row r="19469" spans="1:6" ht="25.5">
      <c r="A19469" s="2">
        <v>19466</v>
      </c>
      <c r="B19469" s="2" t="s">
        <v>19536</v>
      </c>
      <c r="C19469" s="2" t="str">
        <f>"17542731"</f>
        <v>17542731</v>
      </c>
      <c r="D19469" s="2">
        <v>0.63400000000000001</v>
      </c>
      <c r="E19469" s="2">
        <v>31</v>
      </c>
      <c r="F19469" s="2" t="s">
        <v>16</v>
      </c>
    </row>
    <row r="19470" spans="1:6" ht="25.5">
      <c r="A19470" s="2">
        <v>19467</v>
      </c>
      <c r="B19470" s="2" t="s">
        <v>19537</v>
      </c>
      <c r="C19470" s="2" t="str">
        <f>"19883218"</f>
        <v>19883218</v>
      </c>
      <c r="D19470" s="2">
        <v>0.27200000000000002</v>
      </c>
      <c r="E19470" s="2">
        <v>7</v>
      </c>
      <c r="F19470" s="2" t="s">
        <v>351</v>
      </c>
    </row>
    <row r="19471" spans="1:6" ht="25.5">
      <c r="A19471" s="2">
        <v>19468</v>
      </c>
      <c r="B19471" s="2" t="s">
        <v>19538</v>
      </c>
      <c r="C19471" s="2" t="str">
        <f>"09462104"</f>
        <v>09462104</v>
      </c>
      <c r="D19471" s="2">
        <v>0.185</v>
      </c>
      <c r="E19471" s="2">
        <v>15</v>
      </c>
      <c r="F19471" s="2" t="s">
        <v>12</v>
      </c>
    </row>
    <row r="19472" spans="1:6" ht="25.5">
      <c r="A19472" s="2">
        <v>19469</v>
      </c>
      <c r="B19472" s="2" t="s">
        <v>19539</v>
      </c>
      <c r="C19472" s="2" t="str">
        <f>"18751121"</f>
        <v>18751121</v>
      </c>
      <c r="D19472" s="2">
        <v>0.10100000000000001</v>
      </c>
      <c r="E19472" s="2">
        <v>3</v>
      </c>
      <c r="F19472" s="2" t="s">
        <v>75</v>
      </c>
    </row>
    <row r="19473" spans="1:6" ht="25.5">
      <c r="A19473" s="2">
        <v>19470</v>
      </c>
      <c r="B19473" s="2" t="s">
        <v>19540</v>
      </c>
      <c r="C19473" s="2" t="str">
        <f>"15530787"</f>
        <v>15530787</v>
      </c>
      <c r="D19473" s="2">
        <v>0.182</v>
      </c>
      <c r="E19473" s="2">
        <v>7</v>
      </c>
      <c r="F19473" s="2" t="s">
        <v>6</v>
      </c>
    </row>
    <row r="19474" spans="1:6" ht="25.5">
      <c r="A19474" s="2">
        <v>19471</v>
      </c>
      <c r="B19474" s="2" t="s">
        <v>19541</v>
      </c>
      <c r="C19474" s="2" t="str">
        <f>"01659936"</f>
        <v>01659936</v>
      </c>
      <c r="D19474" s="2">
        <v>2.0619999999999998</v>
      </c>
      <c r="E19474" s="2">
        <v>94</v>
      </c>
      <c r="F19474" s="2" t="s">
        <v>75</v>
      </c>
    </row>
    <row r="19475" spans="1:6" ht="25.5">
      <c r="A19475" s="2">
        <v>19472</v>
      </c>
      <c r="B19475" s="2" t="s">
        <v>19542</v>
      </c>
      <c r="C19475" s="2" t="str">
        <f>"03621529"</f>
        <v>03621529</v>
      </c>
      <c r="D19475" s="2">
        <v>0.20300000000000001</v>
      </c>
      <c r="E19475" s="2">
        <v>3</v>
      </c>
      <c r="F19475" s="2" t="s">
        <v>6</v>
      </c>
    </row>
    <row r="19476" spans="1:6" ht="25.5">
      <c r="A19476" s="2">
        <v>19473</v>
      </c>
      <c r="B19476" s="2" t="s">
        <v>19543</v>
      </c>
      <c r="C19476" s="2" t="str">
        <f>"16000854"</f>
        <v>16000854</v>
      </c>
      <c r="D19476" s="2">
        <v>3.1230000000000002</v>
      </c>
      <c r="E19476" s="2">
        <v>88</v>
      </c>
      <c r="F19476" s="2" t="s">
        <v>163</v>
      </c>
    </row>
    <row r="19477" spans="1:6" ht="25.5">
      <c r="A19477" s="2">
        <v>19474</v>
      </c>
      <c r="B19477" s="2" t="s">
        <v>19544</v>
      </c>
      <c r="C19477" s="2" t="str">
        <f>"00410683"</f>
        <v>00410683</v>
      </c>
      <c r="D19477" s="2">
        <v>0.12</v>
      </c>
      <c r="E19477" s="2">
        <v>11</v>
      </c>
      <c r="F19477" s="2" t="s">
        <v>16</v>
      </c>
    </row>
    <row r="19478" spans="1:6" ht="25.5">
      <c r="A19478" s="2">
        <v>19475</v>
      </c>
      <c r="B19478" s="2" t="s">
        <v>19545</v>
      </c>
      <c r="C19478" s="2" t="str">
        <f>"15389588"</f>
        <v>15389588</v>
      </c>
      <c r="D19478" s="2">
        <v>0.746</v>
      </c>
      <c r="E19478" s="2">
        <v>26</v>
      </c>
      <c r="F19478" s="2" t="s">
        <v>16</v>
      </c>
    </row>
    <row r="19479" spans="1:6" ht="25.5">
      <c r="A19479" s="2">
        <v>19476</v>
      </c>
      <c r="B19479" s="2" t="s">
        <v>19546</v>
      </c>
      <c r="C19479" s="2" t="str">
        <f>"19313918"</f>
        <v>19313918</v>
      </c>
      <c r="D19479" s="2">
        <v>0.92800000000000005</v>
      </c>
      <c r="E19479" s="2">
        <v>11</v>
      </c>
      <c r="F19479" s="2" t="s">
        <v>6</v>
      </c>
    </row>
    <row r="19480" spans="1:6" ht="25.5">
      <c r="A19480" s="2">
        <v>19477</v>
      </c>
      <c r="B19480" s="2" t="s">
        <v>19547</v>
      </c>
      <c r="C19480" s="2" t="str">
        <f>"14060922"</f>
        <v>14060922</v>
      </c>
      <c r="D19480" s="2">
        <v>0.14199999999999999</v>
      </c>
      <c r="E19480" s="2">
        <v>4</v>
      </c>
      <c r="F19480" s="2" t="s">
        <v>265</v>
      </c>
    </row>
    <row r="19481" spans="1:6" ht="25.5">
      <c r="A19481" s="2">
        <v>19478</v>
      </c>
      <c r="B19481" s="2" t="s">
        <v>19548</v>
      </c>
      <c r="C19481" s="2" t="str">
        <f>"01935933"</f>
        <v>01935933</v>
      </c>
      <c r="D19481" s="2">
        <v>0.2</v>
      </c>
      <c r="E19481" s="2">
        <v>14</v>
      </c>
      <c r="F19481" s="2" t="s">
        <v>6</v>
      </c>
    </row>
    <row r="19482" spans="1:6" ht="25.5">
      <c r="A19482" s="2">
        <v>19479</v>
      </c>
      <c r="B19482" s="2" t="s">
        <v>19549</v>
      </c>
      <c r="C19482" s="2" t="str">
        <f>"1023697X"</f>
        <v>1023697X</v>
      </c>
      <c r="D19482" s="2">
        <v>0.106</v>
      </c>
      <c r="E19482" s="2">
        <v>9</v>
      </c>
      <c r="F19482" s="2" t="s">
        <v>46</v>
      </c>
    </row>
    <row r="19483" spans="1:6" ht="25.5">
      <c r="A19483" s="2">
        <v>19480</v>
      </c>
      <c r="B19483" s="2" t="s">
        <v>19550</v>
      </c>
      <c r="C19483" s="2" t="str">
        <f>"14679671"</f>
        <v>14679671</v>
      </c>
      <c r="D19483" s="2">
        <v>0.434</v>
      </c>
      <c r="E19483" s="2">
        <v>29</v>
      </c>
      <c r="F19483" s="2" t="s">
        <v>16</v>
      </c>
    </row>
    <row r="19484" spans="1:6" ht="25.5">
      <c r="A19484" s="2">
        <v>19481</v>
      </c>
      <c r="B19484" s="2" t="s">
        <v>19551</v>
      </c>
      <c r="C19484" s="2" t="str">
        <f>"13331124"</f>
        <v>13331124</v>
      </c>
      <c r="D19484" s="2">
        <v>0.222</v>
      </c>
      <c r="E19484" s="2">
        <v>3</v>
      </c>
      <c r="F19484" s="2" t="s">
        <v>149</v>
      </c>
    </row>
    <row r="19485" spans="1:6" ht="25.5">
      <c r="A19485" s="2">
        <v>19482</v>
      </c>
      <c r="B19485" s="2" t="s">
        <v>19552</v>
      </c>
      <c r="C19485" s="2" t="str">
        <f>"18814379"</f>
        <v>18814379</v>
      </c>
      <c r="D19485" s="2">
        <v>0.126</v>
      </c>
      <c r="E19485" s="2">
        <v>2</v>
      </c>
      <c r="F19485" s="2" t="s">
        <v>131</v>
      </c>
    </row>
    <row r="19486" spans="1:6" ht="25.5">
      <c r="A19486" s="2">
        <v>19483</v>
      </c>
      <c r="B19486" s="2" t="s">
        <v>19553</v>
      </c>
      <c r="C19486" s="2" t="str">
        <f>"10051120"</f>
        <v>10051120</v>
      </c>
      <c r="D19486" s="2">
        <v>0.14799999999999999</v>
      </c>
      <c r="E19486" s="2">
        <v>7</v>
      </c>
      <c r="F19486" s="2" t="s">
        <v>46</v>
      </c>
    </row>
    <row r="19487" spans="1:6" ht="25.5">
      <c r="A19487" s="2">
        <v>19484</v>
      </c>
      <c r="B19487" s="2" t="s">
        <v>19554</v>
      </c>
      <c r="C19487" s="2" t="str">
        <f>"10036326"</f>
        <v>10036326</v>
      </c>
      <c r="D19487" s="2">
        <v>0.65400000000000003</v>
      </c>
      <c r="E19487" s="2">
        <v>23</v>
      </c>
      <c r="F19487" s="2" t="s">
        <v>46</v>
      </c>
    </row>
    <row r="19488" spans="1:6" ht="25.5">
      <c r="A19488" s="2">
        <v>19485</v>
      </c>
      <c r="B19488" s="2" t="s">
        <v>19555</v>
      </c>
      <c r="C19488" s="2" t="str">
        <f>"00657778"</f>
        <v>00657778</v>
      </c>
      <c r="D19488" s="2">
        <v>0.55900000000000005</v>
      </c>
      <c r="E19488" s="2">
        <v>18</v>
      </c>
      <c r="F19488" s="2" t="s">
        <v>6</v>
      </c>
    </row>
    <row r="19489" spans="1:6" ht="25.5">
      <c r="A19489" s="2">
        <v>19486</v>
      </c>
      <c r="B19489" s="2" t="s">
        <v>19556</v>
      </c>
      <c r="C19489" s="2" t="str">
        <f>"00028320"</f>
        <v>00028320</v>
      </c>
      <c r="D19489" s="2">
        <v>0.14199999999999999</v>
      </c>
      <c r="E19489" s="2">
        <v>12</v>
      </c>
      <c r="F19489" s="2" t="s">
        <v>6</v>
      </c>
    </row>
    <row r="19490" spans="1:6" ht="25.5">
      <c r="A19490" s="2">
        <v>19487</v>
      </c>
      <c r="B19490" s="2" t="s">
        <v>19557</v>
      </c>
      <c r="C19490" s="2" t="str">
        <f>"15488659"</f>
        <v>15488659</v>
      </c>
      <c r="D19490" s="2">
        <v>0.96199999999999997</v>
      </c>
      <c r="E19490" s="2">
        <v>51</v>
      </c>
      <c r="F19490" s="2" t="s">
        <v>6</v>
      </c>
    </row>
    <row r="19491" spans="1:6" ht="25.5">
      <c r="A19491" s="2">
        <v>19488</v>
      </c>
      <c r="B19491" s="2" t="s">
        <v>19558</v>
      </c>
      <c r="C19491" s="2" t="str">
        <f>"10886850"</f>
        <v>10886850</v>
      </c>
      <c r="D19491" s="2">
        <v>1.8280000000000001</v>
      </c>
      <c r="E19491" s="2">
        <v>50</v>
      </c>
      <c r="F19491" s="2" t="s">
        <v>6</v>
      </c>
    </row>
    <row r="19492" spans="1:6" ht="25.5">
      <c r="A19492" s="2">
        <v>19489</v>
      </c>
      <c r="B19492" s="2" t="s">
        <v>19559</v>
      </c>
      <c r="C19492" s="2" t="str">
        <f>"00659533"</f>
        <v>00659533</v>
      </c>
      <c r="D19492" s="2">
        <v>0.99199999999999999</v>
      </c>
      <c r="E19492" s="2">
        <v>39</v>
      </c>
      <c r="F19492" s="2" t="s">
        <v>6</v>
      </c>
    </row>
    <row r="19493" spans="1:6" ht="25.5">
      <c r="A19493" s="2">
        <v>19490</v>
      </c>
      <c r="B19493" s="2" t="s">
        <v>19560</v>
      </c>
      <c r="C19493" s="2" t="str">
        <f>"15330699"</f>
        <v>15330699</v>
      </c>
      <c r="D19493" s="2">
        <v>0.221</v>
      </c>
      <c r="E19493" s="2">
        <v>6</v>
      </c>
      <c r="F19493" s="2" t="s">
        <v>6</v>
      </c>
    </row>
    <row r="19494" spans="1:6" ht="25.5">
      <c r="A19494" s="2">
        <v>19491</v>
      </c>
      <c r="B19494" s="2" t="s">
        <v>19561</v>
      </c>
      <c r="C19494" s="2" t="str">
        <f>"00659746"</f>
        <v>00659746</v>
      </c>
      <c r="D19494" s="2">
        <v>0.115</v>
      </c>
      <c r="E19494" s="2">
        <v>2</v>
      </c>
      <c r="F19494" s="2" t="s">
        <v>6</v>
      </c>
    </row>
    <row r="19495" spans="1:6" ht="25.5">
      <c r="A19495" s="2">
        <v>19492</v>
      </c>
      <c r="B19495" s="2" t="s">
        <v>19562</v>
      </c>
      <c r="C19495" s="2" t="str">
        <f>"0951001X"</f>
        <v>0951001X</v>
      </c>
      <c r="D19495" s="2">
        <v>0.10199999999999999</v>
      </c>
      <c r="E19495" s="2">
        <v>2</v>
      </c>
      <c r="F19495" s="2" t="s">
        <v>16</v>
      </c>
    </row>
    <row r="19496" spans="1:6" ht="25.5">
      <c r="A19496" s="2">
        <v>19493</v>
      </c>
      <c r="B19496" s="2" t="s">
        <v>19563</v>
      </c>
      <c r="C19496" s="2" t="str">
        <f>"21510040"</f>
        <v>21510040</v>
      </c>
      <c r="D19496" s="2">
        <v>0.55000000000000004</v>
      </c>
      <c r="E19496" s="2">
        <v>60</v>
      </c>
      <c r="F19496" s="2" t="s">
        <v>6</v>
      </c>
    </row>
    <row r="19497" spans="1:6" ht="25.5">
      <c r="A19497" s="2">
        <v>19494</v>
      </c>
      <c r="B19497" s="2" t="s">
        <v>19564</v>
      </c>
      <c r="C19497" s="2" t="str">
        <f>"13472879"</f>
        <v>13472879</v>
      </c>
      <c r="D19497" s="2">
        <v>0.20799999999999999</v>
      </c>
      <c r="E19497" s="2">
        <v>6</v>
      </c>
      <c r="F19497" s="2" t="s">
        <v>131</v>
      </c>
    </row>
    <row r="19498" spans="1:6" ht="25.5">
      <c r="A19498" s="2">
        <v>19495</v>
      </c>
      <c r="B19498" s="2" t="s">
        <v>19565</v>
      </c>
      <c r="C19498" s="2" t="str">
        <f>"03158977"</f>
        <v>03158977</v>
      </c>
      <c r="D19498" s="2">
        <v>0.27900000000000003</v>
      </c>
      <c r="E19498" s="2">
        <v>11</v>
      </c>
      <c r="F19498" s="2" t="s">
        <v>64</v>
      </c>
    </row>
    <row r="19499" spans="1:6" ht="25.5">
      <c r="A19499" s="2">
        <v>19496</v>
      </c>
      <c r="B19499" s="2" t="s">
        <v>19566</v>
      </c>
      <c r="C19499" s="2" t="str">
        <f>"00091774"</f>
        <v>00091774</v>
      </c>
      <c r="D19499" s="2">
        <v>0.185</v>
      </c>
      <c r="E19499" s="2">
        <v>6</v>
      </c>
      <c r="F19499" s="2" t="s">
        <v>6</v>
      </c>
    </row>
    <row r="19500" spans="1:6" ht="25.5">
      <c r="A19500" s="2">
        <v>19497</v>
      </c>
      <c r="B19500" s="2" t="s">
        <v>19567</v>
      </c>
      <c r="C19500" s="2" t="str">
        <f>"0371750X"</f>
        <v>0371750X</v>
      </c>
      <c r="D19500" s="2">
        <v>0.128</v>
      </c>
      <c r="E19500" s="2">
        <v>4</v>
      </c>
      <c r="F19500" s="2" t="s">
        <v>488</v>
      </c>
    </row>
    <row r="19501" spans="1:6" ht="25.5">
      <c r="A19501" s="2">
        <v>19498</v>
      </c>
      <c r="B19501" s="2" t="s">
        <v>19568</v>
      </c>
      <c r="C19501" s="2" t="str">
        <f>"0019493X"</f>
        <v>0019493X</v>
      </c>
      <c r="D19501" s="2">
        <v>0.28299999999999997</v>
      </c>
      <c r="E19501" s="2">
        <v>11</v>
      </c>
      <c r="F19501" s="2" t="s">
        <v>488</v>
      </c>
    </row>
    <row r="19502" spans="1:6" ht="25.5">
      <c r="A19502" s="2">
        <v>19499</v>
      </c>
      <c r="B19502" s="2" t="s">
        <v>19569</v>
      </c>
      <c r="C19502" s="2" t="str">
        <f>"14755661"</f>
        <v>14755661</v>
      </c>
      <c r="D19502" s="2">
        <v>3.5179999999999998</v>
      </c>
      <c r="E19502" s="2">
        <v>55</v>
      </c>
      <c r="F19502" s="2" t="s">
        <v>16</v>
      </c>
    </row>
    <row r="19503" spans="1:6" ht="25.5">
      <c r="A19503" s="2">
        <v>19500</v>
      </c>
      <c r="B19503" s="2" t="s">
        <v>19570</v>
      </c>
      <c r="C19503" s="2" t="str">
        <f>"09709851"</f>
        <v>09709851</v>
      </c>
      <c r="D19503" s="2">
        <v>0.1</v>
      </c>
      <c r="E19503" s="2">
        <v>2</v>
      </c>
      <c r="F19503" s="2" t="s">
        <v>488</v>
      </c>
    </row>
    <row r="19504" spans="1:6" ht="25.5">
      <c r="A19504" s="2">
        <v>19501</v>
      </c>
      <c r="B19504" s="2" t="s">
        <v>19571</v>
      </c>
      <c r="C19504" s="2" t="str">
        <f>"14770369"</f>
        <v>14770369</v>
      </c>
      <c r="D19504" s="2">
        <v>0.57399999999999995</v>
      </c>
      <c r="E19504" s="2">
        <v>19</v>
      </c>
      <c r="F19504" s="2" t="s">
        <v>16</v>
      </c>
    </row>
    <row r="19505" spans="1:6" ht="25.5">
      <c r="A19505" s="2">
        <v>19502</v>
      </c>
      <c r="B19505" s="2" t="s">
        <v>19572</v>
      </c>
      <c r="C19505" s="2" t="str">
        <f>"00202967"</f>
        <v>00202967</v>
      </c>
      <c r="D19505" s="2">
        <v>0.28000000000000003</v>
      </c>
      <c r="E19505" s="2">
        <v>23</v>
      </c>
      <c r="F19505" s="2" t="s">
        <v>16</v>
      </c>
    </row>
    <row r="19506" spans="1:6" ht="25.5">
      <c r="A19506" s="2">
        <v>19503</v>
      </c>
      <c r="B19506" s="2" t="s">
        <v>19573</v>
      </c>
      <c r="C19506" s="2" t="str">
        <f>"14749009"</f>
        <v>14749009</v>
      </c>
      <c r="D19506" s="2">
        <v>0.19700000000000001</v>
      </c>
      <c r="E19506" s="2">
        <v>12</v>
      </c>
      <c r="F19506" s="2" t="s">
        <v>16</v>
      </c>
    </row>
    <row r="19507" spans="1:6" ht="25.5">
      <c r="A19507" s="2">
        <v>19504</v>
      </c>
      <c r="B19507" s="2" t="s">
        <v>19574</v>
      </c>
      <c r="C19507" s="2" t="str">
        <f>"03717453"</f>
        <v>03717453</v>
      </c>
      <c r="D19507" s="2">
        <v>0.26600000000000001</v>
      </c>
      <c r="E19507" s="2">
        <v>15</v>
      </c>
      <c r="F19507" s="2" t="s">
        <v>16</v>
      </c>
    </row>
    <row r="19508" spans="1:6" ht="25.5">
      <c r="A19508" s="2">
        <v>19505</v>
      </c>
      <c r="B19508" s="2" t="s">
        <v>19575</v>
      </c>
      <c r="C19508" s="2" t="str">
        <f>"03719553"</f>
        <v>03719553</v>
      </c>
      <c r="D19508" s="2">
        <v>0.33100000000000002</v>
      </c>
      <c r="E19508" s="2">
        <v>12</v>
      </c>
      <c r="F19508" s="2" t="s">
        <v>16</v>
      </c>
    </row>
    <row r="19509" spans="1:6" ht="25.5">
      <c r="A19509" s="2">
        <v>19506</v>
      </c>
      <c r="B19509" s="2" t="s">
        <v>19576</v>
      </c>
      <c r="C19509" s="2" t="str">
        <f>"13460714"</f>
        <v>13460714</v>
      </c>
      <c r="D19509" s="2">
        <v>0.109</v>
      </c>
      <c r="E19509" s="2">
        <v>10</v>
      </c>
      <c r="F19509" s="2" t="s">
        <v>131</v>
      </c>
    </row>
    <row r="19510" spans="1:6" ht="25.5">
      <c r="A19510" s="2">
        <v>19507</v>
      </c>
      <c r="B19510" s="2" t="s">
        <v>19577</v>
      </c>
      <c r="C19510" s="2" t="str">
        <f>"05493811"</f>
        <v>05493811</v>
      </c>
      <c r="D19510" s="2">
        <v>0.30599999999999999</v>
      </c>
      <c r="E19510" s="2">
        <v>13</v>
      </c>
      <c r="F19510" s="2" t="s">
        <v>131</v>
      </c>
    </row>
    <row r="19511" spans="1:6" ht="25.5">
      <c r="A19511" s="2">
        <v>19508</v>
      </c>
      <c r="B19511" s="2" t="s">
        <v>19578</v>
      </c>
      <c r="C19511" s="2" t="str">
        <f>"19758359"</f>
        <v>19758359</v>
      </c>
      <c r="D19511" s="2">
        <v>0.19900000000000001</v>
      </c>
      <c r="E19511" s="2">
        <v>4</v>
      </c>
      <c r="F19511" s="2" t="s">
        <v>274</v>
      </c>
    </row>
    <row r="19512" spans="1:6" ht="25.5">
      <c r="A19512" s="2">
        <v>19509</v>
      </c>
      <c r="B19512" s="2" t="s">
        <v>19579</v>
      </c>
      <c r="C19512" s="2" t="str">
        <f>"12264873"</f>
        <v>12264873</v>
      </c>
      <c r="D19512" s="2">
        <v>0.20899999999999999</v>
      </c>
      <c r="E19512" s="2">
        <v>6</v>
      </c>
      <c r="F19512" s="2" t="s">
        <v>274</v>
      </c>
    </row>
    <row r="19513" spans="1:6" ht="25.5">
      <c r="A19513" s="2">
        <v>19510</v>
      </c>
      <c r="B19513" s="2" t="s">
        <v>19580</v>
      </c>
      <c r="C19513" s="2" t="str">
        <f>"12264881"</f>
        <v>12264881</v>
      </c>
      <c r="D19513" s="2">
        <v>0.20699999999999999</v>
      </c>
      <c r="E19513" s="2">
        <v>5</v>
      </c>
      <c r="F19513" s="2" t="s">
        <v>274</v>
      </c>
    </row>
    <row r="19514" spans="1:6" ht="25.5">
      <c r="A19514" s="2">
        <v>19511</v>
      </c>
      <c r="B19514" s="2" t="s">
        <v>19581</v>
      </c>
      <c r="C19514" s="2" t="str">
        <f>"10473025"</f>
        <v>10473025</v>
      </c>
      <c r="D19514" s="2">
        <v>0.309</v>
      </c>
      <c r="E19514" s="2">
        <v>15</v>
      </c>
      <c r="F19514" s="2" t="s">
        <v>6</v>
      </c>
    </row>
    <row r="19515" spans="1:6" ht="25.5">
      <c r="A19515" s="2">
        <v>19512</v>
      </c>
      <c r="B19515" s="2" t="s">
        <v>19582</v>
      </c>
      <c r="C19515" s="2" t="str">
        <f>"1467968X"</f>
        <v>1467968X</v>
      </c>
      <c r="D19515" s="2">
        <v>0.183</v>
      </c>
      <c r="E19515" s="2">
        <v>12</v>
      </c>
      <c r="F19515" s="2" t="s">
        <v>16</v>
      </c>
    </row>
    <row r="19516" spans="1:6" ht="25.5">
      <c r="A19516" s="2">
        <v>19513</v>
      </c>
      <c r="B19516" s="2" t="s">
        <v>19583</v>
      </c>
      <c r="C19516" s="2" t="str">
        <f>"14740648"</f>
        <v>14740648</v>
      </c>
      <c r="D19516" s="2">
        <v>0.104</v>
      </c>
      <c r="E19516" s="2">
        <v>10</v>
      </c>
      <c r="F19516" s="2" t="s">
        <v>16</v>
      </c>
    </row>
    <row r="19517" spans="1:6" ht="25.5">
      <c r="A19517" s="2">
        <v>19514</v>
      </c>
      <c r="B19517" s="2" t="s">
        <v>19584</v>
      </c>
      <c r="C19517" s="2" t="str">
        <f>"17400716"</f>
        <v>17400716</v>
      </c>
      <c r="D19517" s="2">
        <v>0.14499999999999999</v>
      </c>
      <c r="E19517" s="2">
        <v>4</v>
      </c>
      <c r="F19517" s="2" t="s">
        <v>16</v>
      </c>
    </row>
    <row r="19518" spans="1:6" ht="25.5">
      <c r="A19518" s="2">
        <v>19515</v>
      </c>
      <c r="B19518" s="2" t="s">
        <v>19585</v>
      </c>
      <c r="C19518" s="2" t="str">
        <f>"17400694"</f>
        <v>17400694</v>
      </c>
      <c r="D19518" s="2">
        <v>0.24299999999999999</v>
      </c>
      <c r="E19518" s="2">
        <v>3</v>
      </c>
      <c r="F19518" s="2" t="s">
        <v>16</v>
      </c>
    </row>
    <row r="19519" spans="1:6" ht="25.5">
      <c r="A19519" s="2">
        <v>19516</v>
      </c>
      <c r="B19519" s="2" t="s">
        <v>19586</v>
      </c>
      <c r="C19519" s="2" t="str">
        <f>"03721426"</f>
        <v>03721426</v>
      </c>
      <c r="D19519" s="2">
        <v>0.191</v>
      </c>
      <c r="E19519" s="2">
        <v>11</v>
      </c>
      <c r="F19519" s="2" t="s">
        <v>127</v>
      </c>
    </row>
    <row r="19520" spans="1:6" ht="25.5">
      <c r="A19520" s="2">
        <v>19517</v>
      </c>
      <c r="B19520" s="2" t="s">
        <v>19587</v>
      </c>
      <c r="C19520" s="2" t="str">
        <f>"00359203"</f>
        <v>00359203</v>
      </c>
      <c r="D19520" s="2">
        <v>0.85199999999999998</v>
      </c>
      <c r="E19520" s="2">
        <v>69</v>
      </c>
      <c r="F19520" s="2" t="s">
        <v>75</v>
      </c>
    </row>
    <row r="19521" spans="1:6" ht="25.5">
      <c r="A19521" s="2">
        <v>19518</v>
      </c>
      <c r="B19521" s="2" t="s">
        <v>19588</v>
      </c>
      <c r="C19521" s="2" t="str">
        <f>"00382221"</f>
        <v>00382221</v>
      </c>
      <c r="D19521" s="2">
        <v>0.121</v>
      </c>
      <c r="E19521" s="2">
        <v>4</v>
      </c>
      <c r="F19521" s="2" t="s">
        <v>410</v>
      </c>
    </row>
    <row r="19522" spans="1:6" ht="25.5">
      <c r="A19522" s="2">
        <v>19519</v>
      </c>
      <c r="B19522" s="2" t="s">
        <v>19589</v>
      </c>
      <c r="C19522" s="2" t="str">
        <f>"10064982"</f>
        <v>10064982</v>
      </c>
      <c r="D19522" s="2">
        <v>0.13200000000000001</v>
      </c>
      <c r="E19522" s="2">
        <v>6</v>
      </c>
      <c r="F19522" s="2" t="s">
        <v>46</v>
      </c>
    </row>
    <row r="19523" spans="1:6" ht="25.5">
      <c r="A19523" s="2">
        <v>19520</v>
      </c>
      <c r="B19523" s="2" t="s">
        <v>19590</v>
      </c>
      <c r="C19523" s="2" t="str">
        <f>"15443973"</f>
        <v>15443973</v>
      </c>
      <c r="D19523" s="2">
        <v>0.46700000000000003</v>
      </c>
      <c r="E19523" s="2">
        <v>8</v>
      </c>
      <c r="F19523" s="2" t="s">
        <v>6</v>
      </c>
    </row>
    <row r="19524" spans="1:6" ht="25.5">
      <c r="A19524" s="2">
        <v>19521</v>
      </c>
      <c r="B19524" s="2" t="s">
        <v>19591</v>
      </c>
      <c r="C19524" s="2" t="str">
        <f>"20131631"</f>
        <v>20131631</v>
      </c>
      <c r="D19524" s="2">
        <v>1.2749999999999999</v>
      </c>
      <c r="E19524" s="2">
        <v>7</v>
      </c>
      <c r="F19524" s="2" t="s">
        <v>351</v>
      </c>
    </row>
    <row r="19525" spans="1:6" ht="25.5">
      <c r="A19525" s="2">
        <v>19522</v>
      </c>
      <c r="B19525" s="2" t="s">
        <v>19592</v>
      </c>
      <c r="C19525" s="2" t="str">
        <f>"20927592"</f>
        <v>20927592</v>
      </c>
      <c r="D19525" s="2">
        <v>0.312</v>
      </c>
      <c r="E19525" s="2">
        <v>5</v>
      </c>
      <c r="F19525" s="2" t="s">
        <v>274</v>
      </c>
    </row>
    <row r="19526" spans="1:6" ht="25.5">
      <c r="A19526" s="2">
        <v>19523</v>
      </c>
      <c r="B19526" s="2" t="s">
        <v>19593</v>
      </c>
      <c r="C19526" s="2" t="str">
        <f>"16859545"</f>
        <v>16859545</v>
      </c>
      <c r="D19526" s="2">
        <v>0.111</v>
      </c>
      <c r="E19526" s="2">
        <v>2</v>
      </c>
      <c r="F19526" s="2" t="s">
        <v>1966</v>
      </c>
    </row>
    <row r="19527" spans="1:6" ht="25.5">
      <c r="A19527" s="2">
        <v>19524</v>
      </c>
      <c r="B19527" s="2" t="s">
        <v>19594</v>
      </c>
      <c r="C19527" s="2" t="str">
        <f>"15399087"</f>
        <v>15399087</v>
      </c>
      <c r="D19527" s="2">
        <v>0.39600000000000002</v>
      </c>
      <c r="E19527" s="2">
        <v>14</v>
      </c>
      <c r="F19527" s="2" t="s">
        <v>6</v>
      </c>
    </row>
    <row r="19528" spans="1:6" ht="25.5">
      <c r="A19528" s="2">
        <v>19525</v>
      </c>
      <c r="B19528" s="2" t="s">
        <v>19595</v>
      </c>
      <c r="C19528" s="2" t="str">
        <f>"00811661"</f>
        <v>00811661</v>
      </c>
      <c r="D19528" s="2">
        <v>0.14099999999999999</v>
      </c>
      <c r="E19528" s="2">
        <v>10</v>
      </c>
      <c r="F19528" s="2" t="s">
        <v>6</v>
      </c>
    </row>
    <row r="19529" spans="1:6" ht="25.5">
      <c r="A19529" s="2">
        <v>19526</v>
      </c>
      <c r="B19529" s="2" t="s">
        <v>19596</v>
      </c>
      <c r="C19529" s="2" t="str">
        <f>"18651682"</f>
        <v>18651682</v>
      </c>
      <c r="D19529" s="2">
        <v>0.71299999999999997</v>
      </c>
      <c r="E19529" s="2">
        <v>29</v>
      </c>
      <c r="F19529" s="2" t="s">
        <v>16</v>
      </c>
    </row>
    <row r="19530" spans="1:6" ht="25.5">
      <c r="A19530" s="2">
        <v>19527</v>
      </c>
      <c r="B19530" s="2" t="s">
        <v>19597</v>
      </c>
      <c r="C19530" s="2" t="str">
        <f>"21541272"</f>
        <v>21541272</v>
      </c>
      <c r="D19530" s="2">
        <v>1.407</v>
      </c>
      <c r="E19530" s="2">
        <v>7</v>
      </c>
      <c r="F19530" s="2" t="s">
        <v>12</v>
      </c>
    </row>
    <row r="19531" spans="1:6" ht="25.5">
      <c r="A19531" s="2">
        <v>19528</v>
      </c>
      <c r="B19531" s="2" t="s">
        <v>19598</v>
      </c>
      <c r="C19531" s="2" t="str">
        <f>"13634615"</f>
        <v>13634615</v>
      </c>
      <c r="D19531" s="2">
        <v>0.47699999999999998</v>
      </c>
      <c r="E19531" s="2">
        <v>24</v>
      </c>
      <c r="F19531" s="2" t="s">
        <v>16</v>
      </c>
    </row>
    <row r="19532" spans="1:6" ht="25.5">
      <c r="A19532" s="2">
        <v>19529</v>
      </c>
      <c r="B19532" s="2" t="s">
        <v>19599</v>
      </c>
      <c r="C19532" s="2" t="str">
        <f>"10242589"</f>
        <v>10242589</v>
      </c>
      <c r="D19532" s="2">
        <v>0.376</v>
      </c>
      <c r="E19532" s="2">
        <v>3</v>
      </c>
      <c r="F19532" s="2" t="s">
        <v>16</v>
      </c>
    </row>
    <row r="19533" spans="1:6" ht="25.5">
      <c r="A19533" s="2">
        <v>19530</v>
      </c>
      <c r="B19533" s="2" t="s">
        <v>19600</v>
      </c>
      <c r="C19533" s="2" t="str">
        <f>"1980539X"</f>
        <v>1980539X</v>
      </c>
      <c r="D19533" s="2">
        <v>0.1</v>
      </c>
      <c r="E19533" s="2">
        <v>1</v>
      </c>
      <c r="F19533" s="2" t="s">
        <v>159</v>
      </c>
    </row>
    <row r="19534" spans="1:6" ht="25.5">
      <c r="A19534" s="2">
        <v>19531</v>
      </c>
      <c r="B19534" s="2" t="s">
        <v>19601</v>
      </c>
      <c r="C19534" s="2" t="str">
        <f>"1531586X"</f>
        <v>1531586X</v>
      </c>
      <c r="D19534" s="2">
        <v>1.0669999999999999</v>
      </c>
      <c r="E19534" s="2">
        <v>18</v>
      </c>
      <c r="F19534" s="2" t="s">
        <v>6</v>
      </c>
    </row>
    <row r="19535" spans="1:6" ht="25.5">
      <c r="A19535" s="2">
        <v>19532</v>
      </c>
      <c r="B19535" s="2" t="s">
        <v>19602</v>
      </c>
      <c r="C19535" s="2" t="str">
        <f>"16484460"</f>
        <v>16484460</v>
      </c>
      <c r="D19535" s="2">
        <v>0.18099999999999999</v>
      </c>
      <c r="E19535" s="2">
        <v>11</v>
      </c>
      <c r="F19535" s="2" t="s">
        <v>426</v>
      </c>
    </row>
    <row r="19536" spans="1:6" ht="25.5">
      <c r="A19536" s="2">
        <v>19533</v>
      </c>
      <c r="B19536" s="2" t="s">
        <v>19603</v>
      </c>
      <c r="C19536" s="2" t="str">
        <f>"10510559"</f>
        <v>10510559</v>
      </c>
      <c r="D19536" s="2">
        <v>0.17399999999999999</v>
      </c>
      <c r="E19536" s="2">
        <v>2</v>
      </c>
      <c r="F19536" s="2" t="s">
        <v>6</v>
      </c>
    </row>
    <row r="19537" spans="1:6" ht="25.5">
      <c r="A19537" s="2">
        <v>19534</v>
      </c>
      <c r="B19537" s="2" t="s">
        <v>19604</v>
      </c>
      <c r="C19537" s="2" t="str">
        <f>"17506166"</f>
        <v>17506166</v>
      </c>
      <c r="D19537" s="2">
        <v>0.495</v>
      </c>
      <c r="E19537" s="2">
        <v>8</v>
      </c>
      <c r="F19537" s="2" t="s">
        <v>16</v>
      </c>
    </row>
    <row r="19538" spans="1:6" ht="25.5">
      <c r="A19538" s="2">
        <v>19535</v>
      </c>
      <c r="B19538" s="2" t="s">
        <v>19605</v>
      </c>
      <c r="C19538" s="2" t="str">
        <f>"15372995"</f>
        <v>15372995</v>
      </c>
      <c r="D19538" s="2">
        <v>1.18</v>
      </c>
      <c r="E19538" s="2">
        <v>89</v>
      </c>
      <c r="F19538" s="2" t="s">
        <v>16</v>
      </c>
    </row>
    <row r="19539" spans="1:6" ht="25.5">
      <c r="A19539" s="2">
        <v>19536</v>
      </c>
      <c r="B19539" s="2" t="s">
        <v>19606</v>
      </c>
      <c r="C19539" s="2" t="str">
        <f>"1778428X"</f>
        <v>1778428X</v>
      </c>
      <c r="D19539" s="2">
        <v>0.11899999999999999</v>
      </c>
      <c r="E19539" s="2">
        <v>4</v>
      </c>
      <c r="F19539" s="2" t="s">
        <v>16</v>
      </c>
    </row>
    <row r="19540" spans="1:6" ht="25.5">
      <c r="A19540" s="2">
        <v>19537</v>
      </c>
      <c r="B19540" s="2" t="s">
        <v>19607</v>
      </c>
      <c r="C19540" s="2" t="str">
        <f>"14730502"</f>
        <v>14730502</v>
      </c>
      <c r="D19540" s="2">
        <v>0.41499999999999998</v>
      </c>
      <c r="E19540" s="2">
        <v>34</v>
      </c>
      <c r="F19540" s="2" t="s">
        <v>16</v>
      </c>
    </row>
    <row r="19541" spans="1:6" ht="25.5">
      <c r="A19541" s="2">
        <v>19538</v>
      </c>
      <c r="B19541" s="2" t="s">
        <v>19608</v>
      </c>
      <c r="C19541" s="2" t="str">
        <f>"12467820"</f>
        <v>12467820</v>
      </c>
      <c r="D19541" s="2">
        <v>0.255</v>
      </c>
      <c r="E19541" s="2">
        <v>29</v>
      </c>
      <c r="F19541" s="2" t="s">
        <v>66</v>
      </c>
    </row>
    <row r="19542" spans="1:6" ht="25.5">
      <c r="A19542" s="2">
        <v>19539</v>
      </c>
      <c r="B19542" s="2" t="s">
        <v>19609</v>
      </c>
      <c r="C19542" s="2" t="str">
        <f>"13653148"</f>
        <v>13653148</v>
      </c>
      <c r="D19542" s="2">
        <v>0.52</v>
      </c>
      <c r="E19542" s="2">
        <v>40</v>
      </c>
      <c r="F19542" s="2" t="s">
        <v>16</v>
      </c>
    </row>
    <row r="19543" spans="1:6" ht="25.5">
      <c r="A19543" s="2">
        <v>19540</v>
      </c>
      <c r="B19543" s="2" t="s">
        <v>19610</v>
      </c>
      <c r="C19543" s="2" t="str">
        <f>"16603796"</f>
        <v>16603796</v>
      </c>
      <c r="D19543" s="2">
        <v>0.36</v>
      </c>
      <c r="E19543" s="2">
        <v>15</v>
      </c>
      <c r="F19543" s="2" t="s">
        <v>31</v>
      </c>
    </row>
    <row r="19544" spans="1:6" ht="25.5">
      <c r="A19544" s="2">
        <v>19541</v>
      </c>
      <c r="B19544" s="2" t="s">
        <v>19611</v>
      </c>
      <c r="C19544" s="2" t="str">
        <f>"08877963"</f>
        <v>08877963</v>
      </c>
      <c r="D19544" s="2">
        <v>0.997</v>
      </c>
      <c r="E19544" s="2">
        <v>44</v>
      </c>
      <c r="F19544" s="2" t="s">
        <v>16</v>
      </c>
    </row>
    <row r="19545" spans="1:6" ht="25.5">
      <c r="A19545" s="2">
        <v>19542</v>
      </c>
      <c r="B19545" s="2" t="s">
        <v>19612</v>
      </c>
      <c r="C19545" s="2" t="str">
        <f>"12135763"</f>
        <v>12135763</v>
      </c>
      <c r="D19545" s="2">
        <v>0.11</v>
      </c>
      <c r="E19545" s="2">
        <v>5</v>
      </c>
      <c r="F19545" s="2" t="s">
        <v>208</v>
      </c>
    </row>
    <row r="19546" spans="1:6" ht="25.5">
      <c r="A19546" s="2">
        <v>19543</v>
      </c>
      <c r="B19546" s="2" t="s">
        <v>19613</v>
      </c>
      <c r="C19546" s="2" t="str">
        <f>"09628819"</f>
        <v>09628819</v>
      </c>
      <c r="D19546" s="2">
        <v>0.70199999999999996</v>
      </c>
      <c r="E19546" s="2">
        <v>52</v>
      </c>
      <c r="F19546" s="2" t="s">
        <v>75</v>
      </c>
    </row>
    <row r="19547" spans="1:6" ht="25.5">
      <c r="A19547" s="2">
        <v>19544</v>
      </c>
      <c r="B19547" s="2" t="s">
        <v>19614</v>
      </c>
      <c r="C19547" s="2" t="str">
        <f>"01033786"</f>
        <v>01033786</v>
      </c>
      <c r="D19547" s="2">
        <v>0.10100000000000001</v>
      </c>
      <c r="E19547" s="2">
        <v>1</v>
      </c>
      <c r="F19547" s="2" t="s">
        <v>159</v>
      </c>
    </row>
    <row r="19548" spans="1:6" ht="25.5">
      <c r="A19548" s="2">
        <v>19545</v>
      </c>
      <c r="B19548" s="2" t="s">
        <v>19615</v>
      </c>
      <c r="C19548" s="2" t="str">
        <f>"1572901X"</f>
        <v>1572901X</v>
      </c>
      <c r="D19548" s="2">
        <v>0.34200000000000003</v>
      </c>
      <c r="E19548" s="2">
        <v>40</v>
      </c>
      <c r="F19548" s="2" t="s">
        <v>75</v>
      </c>
    </row>
    <row r="19549" spans="1:6" ht="25.5">
      <c r="A19549" s="2">
        <v>19546</v>
      </c>
      <c r="B19549" s="2" t="s">
        <v>19616</v>
      </c>
      <c r="C19549" s="2" t="str">
        <f>"16144007"</f>
        <v>16144007</v>
      </c>
      <c r="D19549" s="2">
        <v>0.21199999999999999</v>
      </c>
      <c r="E19549" s="2">
        <v>5</v>
      </c>
      <c r="F19549" s="2" t="s">
        <v>288</v>
      </c>
    </row>
    <row r="19550" spans="1:6" ht="25.5">
      <c r="A19550" s="2">
        <v>19547</v>
      </c>
      <c r="B19550" s="2" t="s">
        <v>19617</v>
      </c>
      <c r="C19550" s="2" t="str">
        <f>"18696716"</f>
        <v>18696716</v>
      </c>
      <c r="D19550" s="2">
        <v>0.33</v>
      </c>
      <c r="E19550" s="2">
        <v>4</v>
      </c>
      <c r="F19550" s="2" t="s">
        <v>6</v>
      </c>
    </row>
    <row r="19551" spans="1:6" ht="25.5">
      <c r="A19551" s="2">
        <v>19548</v>
      </c>
      <c r="B19551" s="2" t="s">
        <v>19618</v>
      </c>
      <c r="C19551" s="2" t="str">
        <f>"21720479"</f>
        <v>21720479</v>
      </c>
      <c r="D19551" s="2">
        <v>0.13200000000000001</v>
      </c>
      <c r="E19551" s="2">
        <v>2</v>
      </c>
      <c r="F19551" s="2" t="s">
        <v>351</v>
      </c>
    </row>
    <row r="19552" spans="1:6" ht="25.5">
      <c r="A19552" s="2">
        <v>19549</v>
      </c>
      <c r="B19552" s="2" t="s">
        <v>19619</v>
      </c>
      <c r="C19552" s="2" t="str">
        <f>"20816936"</f>
        <v>20816936</v>
      </c>
      <c r="D19552" s="2">
        <v>0.26400000000000001</v>
      </c>
      <c r="E19552" s="2">
        <v>4</v>
      </c>
      <c r="F19552" s="2" t="s">
        <v>169</v>
      </c>
    </row>
    <row r="19553" spans="1:6" ht="25.5">
      <c r="A19553" s="2">
        <v>19550</v>
      </c>
      <c r="B19553" s="2" t="s">
        <v>19620</v>
      </c>
      <c r="C19553" s="2" t="str">
        <f>"11772727"</f>
        <v>11772727</v>
      </c>
      <c r="D19553" s="2">
        <v>0.126</v>
      </c>
      <c r="E19553" s="2">
        <v>2</v>
      </c>
      <c r="F19553" s="2" t="s">
        <v>503</v>
      </c>
    </row>
    <row r="19554" spans="1:6" ht="25.5">
      <c r="A19554" s="2">
        <v>19551</v>
      </c>
      <c r="B19554" s="2" t="s">
        <v>19621</v>
      </c>
      <c r="C19554" s="2" t="str">
        <f>"19365233"</f>
        <v>19365233</v>
      </c>
      <c r="D19554" s="2">
        <v>1.1739999999999999</v>
      </c>
      <c r="E19554" s="2">
        <v>18</v>
      </c>
      <c r="F19554" s="2" t="s">
        <v>6</v>
      </c>
    </row>
    <row r="19555" spans="1:6" ht="25.5">
      <c r="A19555" s="2">
        <v>19552</v>
      </c>
      <c r="B19555" s="2" t="s">
        <v>19622</v>
      </c>
      <c r="C19555" s="2" t="str">
        <f>"21583188"</f>
        <v>21583188</v>
      </c>
      <c r="D19555" s="2">
        <v>0.57199999999999995</v>
      </c>
      <c r="E19555" s="2">
        <v>7</v>
      </c>
      <c r="F19555" s="2" t="s">
        <v>16</v>
      </c>
    </row>
    <row r="19556" spans="1:6" ht="25.5">
      <c r="A19556" s="2">
        <v>19553</v>
      </c>
      <c r="B19556" s="2" t="s">
        <v>19623</v>
      </c>
      <c r="C19556" s="2" t="str">
        <f>"19315244"</f>
        <v>19315244</v>
      </c>
      <c r="D19556" s="2">
        <v>1.1459999999999999</v>
      </c>
      <c r="E19556" s="2">
        <v>62</v>
      </c>
      <c r="F19556" s="2" t="s">
        <v>6</v>
      </c>
    </row>
    <row r="19557" spans="1:6" ht="25.5">
      <c r="A19557" s="2">
        <v>19554</v>
      </c>
      <c r="B19557" s="2" t="s">
        <v>19624</v>
      </c>
      <c r="C19557" s="2" t="str">
        <f>"868601X"</f>
        <v>868601X</v>
      </c>
      <c r="D19557" s="2">
        <v>0.499</v>
      </c>
      <c r="E19557" s="2">
        <v>8</v>
      </c>
      <c r="F19557" s="2" t="s">
        <v>6</v>
      </c>
    </row>
    <row r="19558" spans="1:6" ht="25.5">
      <c r="A19558" s="2">
        <v>19555</v>
      </c>
      <c r="B19558" s="2" t="s">
        <v>19625</v>
      </c>
      <c r="C19558" s="2" t="str">
        <f>"17500214"</f>
        <v>17500214</v>
      </c>
      <c r="D19558" s="2">
        <v>0.10100000000000001</v>
      </c>
      <c r="E19558" s="2">
        <v>1</v>
      </c>
      <c r="F19558" s="2" t="s">
        <v>16</v>
      </c>
    </row>
    <row r="19559" spans="1:6" ht="25.5">
      <c r="A19559" s="2">
        <v>19556</v>
      </c>
      <c r="B19559" s="2" t="s">
        <v>19626</v>
      </c>
      <c r="C19559" s="2" t="str">
        <f>"07374836"</f>
        <v>07374836</v>
      </c>
      <c r="D19559" s="2">
        <v>0.10100000000000001</v>
      </c>
      <c r="E19559" s="2">
        <v>2</v>
      </c>
      <c r="F19559" s="2" t="s">
        <v>6</v>
      </c>
    </row>
    <row r="19560" spans="1:6" ht="25.5">
      <c r="A19560" s="2">
        <v>19557</v>
      </c>
      <c r="B19560" s="2" t="s">
        <v>19627</v>
      </c>
      <c r="C19560" s="2" t="str">
        <f>"13556509"</f>
        <v>13556509</v>
      </c>
      <c r="D19560" s="2">
        <v>0.126</v>
      </c>
      <c r="E19560" s="2">
        <v>5</v>
      </c>
      <c r="F19560" s="2" t="s">
        <v>16</v>
      </c>
    </row>
    <row r="19561" spans="1:6" ht="25.5">
      <c r="A19561" s="2">
        <v>19558</v>
      </c>
      <c r="B19561" s="2" t="s">
        <v>19628</v>
      </c>
      <c r="C19561" s="2" t="str">
        <f>"10149562"</f>
        <v>10149562</v>
      </c>
      <c r="D19561" s="2">
        <v>0.14499999999999999</v>
      </c>
      <c r="E19561" s="2">
        <v>9</v>
      </c>
      <c r="F19561" s="2" t="s">
        <v>31</v>
      </c>
    </row>
    <row r="19562" spans="1:6" ht="25.5">
      <c r="A19562" s="2">
        <v>19559</v>
      </c>
      <c r="B19562" s="2" t="s">
        <v>19629</v>
      </c>
      <c r="C19562" s="2" t="str">
        <f>"00411337"</f>
        <v>00411337</v>
      </c>
      <c r="D19562" s="2">
        <v>1.5209999999999999</v>
      </c>
      <c r="E19562" s="2">
        <v>151</v>
      </c>
      <c r="F19562" s="2" t="s">
        <v>6</v>
      </c>
    </row>
    <row r="19563" spans="1:6" ht="25.5">
      <c r="A19563" s="2">
        <v>19560</v>
      </c>
      <c r="B19563" s="2" t="s">
        <v>19630</v>
      </c>
      <c r="C19563" s="2" t="str">
        <f>"00411345"</f>
        <v>00411345</v>
      </c>
      <c r="D19563" s="2">
        <v>0.45600000000000002</v>
      </c>
      <c r="E19563" s="2">
        <v>60</v>
      </c>
      <c r="F19563" s="2" t="s">
        <v>6</v>
      </c>
    </row>
    <row r="19564" spans="1:6" ht="25.5">
      <c r="A19564" s="2">
        <v>19561</v>
      </c>
      <c r="B19564" s="2" t="s">
        <v>19631</v>
      </c>
      <c r="C19564" s="2" t="str">
        <f>"0955470X"</f>
        <v>0955470X</v>
      </c>
      <c r="D19564" s="2">
        <v>0.89500000000000002</v>
      </c>
      <c r="E19564" s="2">
        <v>23</v>
      </c>
      <c r="F19564" s="2" t="s">
        <v>16</v>
      </c>
    </row>
    <row r="19565" spans="1:6" ht="25.5">
      <c r="A19565" s="2">
        <v>19562</v>
      </c>
      <c r="B19565" s="2" t="s">
        <v>19632</v>
      </c>
      <c r="C19565" s="2" t="str">
        <f>"09469648"</f>
        <v>09469648</v>
      </c>
      <c r="D19565" s="2">
        <v>0.104</v>
      </c>
      <c r="E19565" s="2">
        <v>6</v>
      </c>
      <c r="F19565" s="2" t="s">
        <v>12</v>
      </c>
    </row>
    <row r="19566" spans="1:6" ht="25.5">
      <c r="A19566" s="2">
        <v>19563</v>
      </c>
      <c r="B19566" s="2" t="s">
        <v>19633</v>
      </c>
      <c r="C19566" s="2" t="str">
        <f>"09663274"</f>
        <v>09663274</v>
      </c>
      <c r="D19566" s="2">
        <v>0.70099999999999996</v>
      </c>
      <c r="E19566" s="2">
        <v>45</v>
      </c>
      <c r="F19566" s="2" t="s">
        <v>75</v>
      </c>
    </row>
    <row r="19567" spans="1:6" ht="25.5">
      <c r="A19567" s="2">
        <v>19564</v>
      </c>
      <c r="B19567" s="2" t="s">
        <v>19634</v>
      </c>
      <c r="C19567" s="2" t="str">
        <f>"13993062"</f>
        <v>13993062</v>
      </c>
      <c r="D19567" s="2">
        <v>0.71199999999999997</v>
      </c>
      <c r="E19567" s="2">
        <v>42</v>
      </c>
      <c r="F19567" s="2" t="s">
        <v>16</v>
      </c>
    </row>
    <row r="19568" spans="1:6" ht="25.5">
      <c r="A19568" s="2">
        <v>19565</v>
      </c>
      <c r="B19568" s="2" t="s">
        <v>19635</v>
      </c>
      <c r="C19568" s="2" t="str">
        <f>"14322277"</f>
        <v>14322277</v>
      </c>
      <c r="D19568" s="2">
        <v>1.1719999999999999</v>
      </c>
      <c r="E19568" s="2">
        <v>49</v>
      </c>
      <c r="F19568" s="2" t="s">
        <v>16</v>
      </c>
    </row>
    <row r="19569" spans="1:6" ht="25.5">
      <c r="A19569" s="2">
        <v>19566</v>
      </c>
      <c r="B19569" s="2" t="s">
        <v>19636</v>
      </c>
      <c r="C19569" s="2" t="str">
        <f>"13235109"</f>
        <v>13235109</v>
      </c>
      <c r="D19569" s="2">
        <v>0.123</v>
      </c>
      <c r="E19569" s="2">
        <v>1</v>
      </c>
      <c r="F19569" s="2" t="s">
        <v>31</v>
      </c>
    </row>
    <row r="19570" spans="1:6" ht="25.5">
      <c r="A19570" s="2">
        <v>19567</v>
      </c>
      <c r="B19570" s="2" t="s">
        <v>19637</v>
      </c>
      <c r="C19570" s="2" t="str">
        <f>"16484142"</f>
        <v>16484142</v>
      </c>
      <c r="D19570" s="2">
        <v>0.40200000000000002</v>
      </c>
      <c r="E19570" s="2">
        <v>17</v>
      </c>
      <c r="F19570" s="2" t="s">
        <v>426</v>
      </c>
    </row>
    <row r="19571" spans="1:6" ht="25.5">
      <c r="A19571" s="2">
        <v>19568</v>
      </c>
      <c r="B19571" s="2" t="s">
        <v>19638</v>
      </c>
      <c r="C19571" s="2" t="str">
        <f>"14076160"</f>
        <v>14076160</v>
      </c>
      <c r="D19571" s="2">
        <v>0.188</v>
      </c>
      <c r="E19571" s="2">
        <v>2</v>
      </c>
      <c r="F19571" s="2" t="s">
        <v>2275</v>
      </c>
    </row>
    <row r="19572" spans="1:6" ht="25.5">
      <c r="A19572" s="2">
        <v>19569</v>
      </c>
      <c r="B19572" s="2" t="s">
        <v>19639</v>
      </c>
      <c r="C19572" s="2" t="str">
        <f>"15729435"</f>
        <v>15729435</v>
      </c>
      <c r="D19572" s="2">
        <v>1.2589999999999999</v>
      </c>
      <c r="E19572" s="2">
        <v>37</v>
      </c>
      <c r="F19572" s="2" t="s">
        <v>75</v>
      </c>
    </row>
    <row r="19573" spans="1:6" ht="25.5">
      <c r="A19573" s="2">
        <v>19570</v>
      </c>
      <c r="B19573" s="2" t="s">
        <v>19640</v>
      </c>
      <c r="C19573" s="2" t="str">
        <f>"00411612"</f>
        <v>00411612</v>
      </c>
      <c r="D19573" s="2">
        <v>0.254</v>
      </c>
      <c r="E19573" s="2">
        <v>21</v>
      </c>
      <c r="F19573" s="2" t="s">
        <v>6</v>
      </c>
    </row>
    <row r="19574" spans="1:6" ht="25.5">
      <c r="A19574" s="2">
        <v>19571</v>
      </c>
      <c r="B19574" s="2" t="s">
        <v>19641</v>
      </c>
      <c r="C19574" s="2" t="str">
        <f>"10290354"</f>
        <v>10290354</v>
      </c>
      <c r="D19574" s="2">
        <v>0.38100000000000001</v>
      </c>
      <c r="E19574" s="2">
        <v>17</v>
      </c>
      <c r="F19574" s="2" t="s">
        <v>16</v>
      </c>
    </row>
    <row r="19575" spans="1:6" ht="25.5">
      <c r="A19575" s="2">
        <v>19572</v>
      </c>
      <c r="B19575" s="2" t="s">
        <v>19642</v>
      </c>
      <c r="C19575" s="2" t="str">
        <f>"09658564"</f>
        <v>09658564</v>
      </c>
      <c r="D19575" s="2">
        <v>2.3530000000000002</v>
      </c>
      <c r="E19575" s="2">
        <v>55</v>
      </c>
      <c r="F19575" s="2" t="s">
        <v>16</v>
      </c>
    </row>
    <row r="19576" spans="1:6" ht="25.5">
      <c r="A19576" s="2">
        <v>19573</v>
      </c>
      <c r="B19576" s="2" t="s">
        <v>19643</v>
      </c>
      <c r="C19576" s="2" t="str">
        <f>"0968090X"</f>
        <v>0968090X</v>
      </c>
      <c r="D19576" s="2">
        <v>1.605</v>
      </c>
      <c r="E19576" s="2">
        <v>47</v>
      </c>
      <c r="F19576" s="2" t="s">
        <v>16</v>
      </c>
    </row>
    <row r="19577" spans="1:6" ht="25.5">
      <c r="A19577" s="2">
        <v>19574</v>
      </c>
      <c r="B19577" s="2" t="s">
        <v>19644</v>
      </c>
      <c r="C19577" s="2" t="str">
        <f>"13619209"</f>
        <v>13619209</v>
      </c>
      <c r="D19577" s="2">
        <v>1.0149999999999999</v>
      </c>
      <c r="E19577" s="2">
        <v>37</v>
      </c>
      <c r="F19577" s="2" t="s">
        <v>16</v>
      </c>
    </row>
    <row r="19578" spans="1:6" ht="25.5">
      <c r="A19578" s="2">
        <v>19575</v>
      </c>
      <c r="B19578" s="2" t="s">
        <v>19645</v>
      </c>
      <c r="C19578" s="2" t="str">
        <f>"13665545"</f>
        <v>13665545</v>
      </c>
      <c r="D19578" s="2">
        <v>2.1819999999999999</v>
      </c>
      <c r="E19578" s="2">
        <v>45</v>
      </c>
      <c r="F19578" s="2" t="s">
        <v>16</v>
      </c>
    </row>
    <row r="19579" spans="1:6" ht="25.5">
      <c r="A19579" s="2">
        <v>19576</v>
      </c>
      <c r="B19579" s="2" t="s">
        <v>19646</v>
      </c>
      <c r="C19579" s="2" t="str">
        <f>"13698478"</f>
        <v>13698478</v>
      </c>
      <c r="D19579" s="2">
        <v>1.581</v>
      </c>
      <c r="E19579" s="2">
        <v>36</v>
      </c>
      <c r="F19579" s="2" t="s">
        <v>16</v>
      </c>
    </row>
    <row r="19580" spans="1:6" ht="25.5">
      <c r="A19580" s="2">
        <v>19577</v>
      </c>
      <c r="B19580" s="2" t="s">
        <v>19647</v>
      </c>
      <c r="C19580" s="2" t="str">
        <f>"03611981"</f>
        <v>03611981</v>
      </c>
      <c r="D19580" s="2">
        <v>0.50600000000000001</v>
      </c>
      <c r="E19580" s="2">
        <v>44</v>
      </c>
      <c r="F19580" s="2" t="s">
        <v>6</v>
      </c>
    </row>
    <row r="19581" spans="1:6" ht="25.5">
      <c r="A19581" s="2">
        <v>19578</v>
      </c>
      <c r="B19581" s="2" t="s">
        <v>19648</v>
      </c>
      <c r="C19581" s="2" t="str">
        <f>"01912615"</f>
        <v>01912615</v>
      </c>
      <c r="D19581" s="2">
        <v>3.08</v>
      </c>
      <c r="E19581" s="2">
        <v>60</v>
      </c>
      <c r="F19581" s="2" t="s">
        <v>16</v>
      </c>
    </row>
    <row r="19582" spans="1:6" ht="25.5">
      <c r="A19582" s="2">
        <v>19579</v>
      </c>
      <c r="B19582" s="2" t="s">
        <v>19649</v>
      </c>
      <c r="C19582" s="2" t="str">
        <f>"15265447"</f>
        <v>15265447</v>
      </c>
      <c r="D19582" s="2">
        <v>2.9929999999999999</v>
      </c>
      <c r="E19582" s="2">
        <v>53</v>
      </c>
      <c r="F19582" s="2" t="s">
        <v>6</v>
      </c>
    </row>
    <row r="19583" spans="1:6" ht="25.5">
      <c r="A19583" s="2">
        <v>19580</v>
      </c>
      <c r="B19583" s="2" t="s">
        <v>19650</v>
      </c>
      <c r="C19583" s="2" t="str">
        <f>"15731634"</f>
        <v>15731634</v>
      </c>
      <c r="D19583" s="2">
        <v>0.90400000000000003</v>
      </c>
      <c r="E19583" s="2">
        <v>42</v>
      </c>
      <c r="F19583" s="2" t="s">
        <v>75</v>
      </c>
    </row>
    <row r="19584" spans="1:6" ht="25.5">
      <c r="A19584" s="2">
        <v>19581</v>
      </c>
      <c r="B19584" s="2" t="s">
        <v>19651</v>
      </c>
      <c r="C19584" s="2" t="str">
        <f>"18128602"</f>
        <v>18128602</v>
      </c>
      <c r="D19584" s="2">
        <v>0.99</v>
      </c>
      <c r="E19584" s="2">
        <v>9</v>
      </c>
      <c r="F19584" s="2" t="s">
        <v>16</v>
      </c>
    </row>
    <row r="19585" spans="1:6" ht="25.5">
      <c r="A19585" s="2">
        <v>19582</v>
      </c>
      <c r="B19585" s="2" t="s">
        <v>19652</v>
      </c>
      <c r="C19585" s="2" t="str">
        <f>"0967070X"</f>
        <v>0967070X</v>
      </c>
      <c r="D19585" s="2">
        <v>1.1299999999999999</v>
      </c>
      <c r="E19585" s="2">
        <v>34</v>
      </c>
      <c r="F19585" s="2" t="s">
        <v>16</v>
      </c>
    </row>
    <row r="19586" spans="1:6" ht="25.5">
      <c r="A19586" s="2">
        <v>19583</v>
      </c>
      <c r="B19586" s="2" t="s">
        <v>19653</v>
      </c>
      <c r="C19586" s="2" t="str">
        <f>"18960596"</f>
        <v>18960596</v>
      </c>
      <c r="D19586" s="2">
        <v>0</v>
      </c>
      <c r="E19586" s="2">
        <v>1</v>
      </c>
      <c r="F19586" s="2" t="s">
        <v>169</v>
      </c>
    </row>
    <row r="19587" spans="1:6" ht="25.5">
      <c r="A19587" s="2">
        <v>19584</v>
      </c>
      <c r="B19587" s="2" t="s">
        <v>19654</v>
      </c>
      <c r="C19587" s="2" t="str">
        <f>"14645327"</f>
        <v>14645327</v>
      </c>
      <c r="D19587" s="2">
        <v>1.4330000000000001</v>
      </c>
      <c r="E19587" s="2">
        <v>28</v>
      </c>
      <c r="F19587" s="2" t="s">
        <v>16</v>
      </c>
    </row>
    <row r="19588" spans="1:6" ht="25.5">
      <c r="A19588" s="2">
        <v>19585</v>
      </c>
      <c r="B19588" s="2" t="s">
        <v>19655</v>
      </c>
      <c r="C19588" s="2" t="str">
        <f>"15322424"</f>
        <v>15322424</v>
      </c>
      <c r="D19588" s="2">
        <v>0.23</v>
      </c>
      <c r="E19588" s="2">
        <v>18</v>
      </c>
      <c r="F19588" s="2" t="s">
        <v>16</v>
      </c>
    </row>
    <row r="19589" spans="1:6" ht="25.5">
      <c r="A19589" s="2">
        <v>19586</v>
      </c>
      <c r="B19589" s="2" t="s">
        <v>19656</v>
      </c>
      <c r="C19589" s="2" t="str">
        <f>"15849422"</f>
        <v>15849422</v>
      </c>
      <c r="D19589" s="2">
        <v>0.21</v>
      </c>
      <c r="E19589" s="2">
        <v>4</v>
      </c>
      <c r="F19589" s="2" t="s">
        <v>19</v>
      </c>
    </row>
    <row r="19590" spans="1:6" ht="25.5">
      <c r="A19590" s="2">
        <v>19587</v>
      </c>
      <c r="B19590" s="2" t="s">
        <v>19657</v>
      </c>
      <c r="C19590" s="2" t="str">
        <f>"18422845"</f>
        <v>18422845</v>
      </c>
      <c r="D19590" s="2">
        <v>0.26</v>
      </c>
      <c r="E19590" s="2">
        <v>5</v>
      </c>
      <c r="F19590" s="2" t="s">
        <v>19</v>
      </c>
    </row>
    <row r="19591" spans="1:6" ht="25.5">
      <c r="A19591" s="2">
        <v>19588</v>
      </c>
      <c r="B19591" s="2" t="s">
        <v>19658</v>
      </c>
      <c r="C19591" s="2" t="str">
        <f>"15750973"</f>
        <v>15750973</v>
      </c>
      <c r="D19591" s="2">
        <v>0.13</v>
      </c>
      <c r="E19591" s="2">
        <v>4</v>
      </c>
      <c r="F19591" s="2" t="s">
        <v>351</v>
      </c>
    </row>
    <row r="19592" spans="1:6" ht="25.5">
      <c r="A19592" s="2">
        <v>19589</v>
      </c>
      <c r="B19592" s="2" t="s">
        <v>19659</v>
      </c>
      <c r="C19592" s="2" t="str">
        <f>"14770350"</f>
        <v>14770350</v>
      </c>
      <c r="D19592" s="2">
        <v>0.14000000000000001</v>
      </c>
      <c r="E19592" s="2">
        <v>7</v>
      </c>
      <c r="F19592" s="2" t="s">
        <v>16</v>
      </c>
    </row>
    <row r="19593" spans="1:6" ht="25.5">
      <c r="A19593" s="2">
        <v>19590</v>
      </c>
      <c r="B19593" s="2" t="s">
        <v>19660</v>
      </c>
      <c r="C19593" s="2" t="str">
        <f>"22517472"</f>
        <v>22517472</v>
      </c>
      <c r="D19593" s="2">
        <v>0.10199999999999999</v>
      </c>
      <c r="E19593" s="2">
        <v>1</v>
      </c>
      <c r="F19593" s="2" t="s">
        <v>75</v>
      </c>
    </row>
    <row r="19594" spans="1:6" ht="25.5">
      <c r="A19594" s="2">
        <v>19591</v>
      </c>
      <c r="B19594" s="2" t="s">
        <v>19661</v>
      </c>
      <c r="C19594" s="2" t="str">
        <f>"15347656"</f>
        <v>15347656</v>
      </c>
      <c r="D19594" s="2">
        <v>0.27600000000000002</v>
      </c>
      <c r="E19594" s="2">
        <v>8</v>
      </c>
      <c r="F19594" s="2" t="s">
        <v>16</v>
      </c>
    </row>
    <row r="19595" spans="1:6" ht="25.5">
      <c r="A19595" s="2">
        <v>19592</v>
      </c>
      <c r="B19595" s="2" t="s">
        <v>19662</v>
      </c>
      <c r="C19595" s="2" t="str">
        <f>"14366274"</f>
        <v>14366274</v>
      </c>
      <c r="D19595" s="2">
        <v>0.13100000000000001</v>
      </c>
      <c r="E19595" s="2">
        <v>5</v>
      </c>
      <c r="F19595" s="2" t="s">
        <v>12</v>
      </c>
    </row>
    <row r="19596" spans="1:6" ht="25.5">
      <c r="A19596" s="2">
        <v>19593</v>
      </c>
      <c r="B19596" s="2" t="s">
        <v>19663</v>
      </c>
      <c r="C19596" s="2" t="str">
        <f>"15248380"</f>
        <v>15248380</v>
      </c>
      <c r="D19596" s="2">
        <v>1.5640000000000001</v>
      </c>
      <c r="E19596" s="2">
        <v>31</v>
      </c>
      <c r="F19596" s="2" t="s">
        <v>16</v>
      </c>
    </row>
    <row r="19597" spans="1:6" ht="25.5">
      <c r="A19597" s="2">
        <v>19594</v>
      </c>
      <c r="B19597" s="2" t="s">
        <v>19664</v>
      </c>
      <c r="C19597" s="2" t="str">
        <f>"02244365"</f>
        <v>02244365</v>
      </c>
      <c r="D19597" s="2">
        <v>0.16900000000000001</v>
      </c>
      <c r="E19597" s="2">
        <v>2</v>
      </c>
      <c r="F19597" s="2" t="s">
        <v>66</v>
      </c>
    </row>
    <row r="19598" spans="1:6" ht="25.5">
      <c r="A19598" s="2">
        <v>19595</v>
      </c>
      <c r="B19598" s="2" t="s">
        <v>19665</v>
      </c>
      <c r="C19598" s="2" t="str">
        <f>"12946303"</f>
        <v>12946303</v>
      </c>
      <c r="D19598" s="2">
        <v>0.13700000000000001</v>
      </c>
      <c r="E19598" s="2">
        <v>5</v>
      </c>
      <c r="F19598" s="2" t="s">
        <v>66</v>
      </c>
    </row>
    <row r="19599" spans="1:6" ht="25.5">
      <c r="A19599" s="2">
        <v>19596</v>
      </c>
      <c r="B19599" s="2" t="s">
        <v>19666</v>
      </c>
      <c r="C19599" s="2" t="str">
        <f>"00411868"</f>
        <v>00411868</v>
      </c>
      <c r="D19599" s="2">
        <v>0.25800000000000001</v>
      </c>
      <c r="E19599" s="2">
        <v>12</v>
      </c>
      <c r="F19599" s="2" t="s">
        <v>66</v>
      </c>
    </row>
    <row r="19600" spans="1:6" ht="25.5">
      <c r="A19600" s="2">
        <v>19597</v>
      </c>
      <c r="B19600" s="2" t="s">
        <v>19667</v>
      </c>
      <c r="C19600" s="2" t="str">
        <f>"16205340"</f>
        <v>16205340</v>
      </c>
      <c r="D19600" s="2">
        <v>0.16</v>
      </c>
      <c r="E19600" s="2">
        <v>7</v>
      </c>
      <c r="F19600" s="2" t="s">
        <v>66</v>
      </c>
    </row>
    <row r="19601" spans="1:6" ht="25.5">
      <c r="A19601" s="2">
        <v>19598</v>
      </c>
      <c r="B19601" s="2" t="s">
        <v>19668</v>
      </c>
      <c r="C19601" s="2" t="str">
        <f>"00826049"</f>
        <v>00826049</v>
      </c>
      <c r="D19601" s="2">
        <v>0.128</v>
      </c>
      <c r="E19601" s="2">
        <v>3</v>
      </c>
      <c r="F19601" s="2" t="s">
        <v>161</v>
      </c>
    </row>
    <row r="19602" spans="1:6" ht="25.5">
      <c r="A19602" s="2">
        <v>19599</v>
      </c>
      <c r="B19602" s="2" t="s">
        <v>19669</v>
      </c>
      <c r="C19602" s="2" t="str">
        <f>"09956794"</f>
        <v>09956794</v>
      </c>
      <c r="D19602" s="2">
        <v>0.10100000000000001</v>
      </c>
      <c r="E19602" s="2">
        <v>1</v>
      </c>
      <c r="F19602" s="2" t="s">
        <v>66</v>
      </c>
    </row>
    <row r="19603" spans="1:6" ht="25.5">
      <c r="A19603" s="2">
        <v>19600</v>
      </c>
      <c r="B19603" s="2" t="s">
        <v>19670</v>
      </c>
      <c r="C19603" s="2" t="str">
        <f>"14778939"</f>
        <v>14778939</v>
      </c>
      <c r="D19603" s="2">
        <v>0.71499999999999997</v>
      </c>
      <c r="E19603" s="2">
        <v>21</v>
      </c>
      <c r="F19603" s="2" t="s">
        <v>6</v>
      </c>
    </row>
    <row r="19604" spans="1:6" ht="25.5">
      <c r="A19604" s="2">
        <v>19601</v>
      </c>
      <c r="B19604" s="2" t="s">
        <v>19671</v>
      </c>
      <c r="C19604" s="2" t="str">
        <f>"15412792"</f>
        <v>15412792</v>
      </c>
      <c r="D19604" s="2">
        <v>0.17</v>
      </c>
      <c r="E19604" s="2">
        <v>6</v>
      </c>
      <c r="F19604" s="2" t="s">
        <v>6</v>
      </c>
    </row>
    <row r="19605" spans="1:6" ht="25.5">
      <c r="A19605" s="2">
        <v>19602</v>
      </c>
      <c r="B19605" s="2" t="s">
        <v>19672</v>
      </c>
      <c r="C19605" s="2" t="str">
        <f>"16142950"</f>
        <v>16142950</v>
      </c>
      <c r="D19605" s="2">
        <v>0.874</v>
      </c>
      <c r="E19605" s="2">
        <v>25</v>
      </c>
      <c r="F19605" s="2" t="s">
        <v>12</v>
      </c>
    </row>
    <row r="19606" spans="1:6" ht="25.5">
      <c r="A19606" s="2">
        <v>19603</v>
      </c>
      <c r="B19606" s="2" t="s">
        <v>19673</v>
      </c>
      <c r="C19606" s="2" t="str">
        <f>"0829318X"</f>
        <v>0829318X</v>
      </c>
      <c r="D19606" s="2">
        <v>1.208</v>
      </c>
      <c r="E19606" s="2">
        <v>80</v>
      </c>
      <c r="F19606" s="2" t="s">
        <v>16</v>
      </c>
    </row>
    <row r="19607" spans="1:6" ht="25.5">
      <c r="A19607" s="2">
        <v>19604</v>
      </c>
      <c r="B19607" s="2" t="s">
        <v>19674</v>
      </c>
      <c r="C19607" s="2" t="str">
        <f>"15361098"</f>
        <v>15361098</v>
      </c>
      <c r="D19607" s="2">
        <v>0.51900000000000002</v>
      </c>
      <c r="E19607" s="2">
        <v>8</v>
      </c>
      <c r="F19607" s="2" t="s">
        <v>6</v>
      </c>
    </row>
    <row r="19608" spans="1:6" ht="25.5">
      <c r="A19608" s="2">
        <v>19605</v>
      </c>
      <c r="B19608" s="2" t="s">
        <v>19675</v>
      </c>
      <c r="C19608" s="2" t="str">
        <f>"14322285"</f>
        <v>14322285</v>
      </c>
      <c r="D19608" s="2">
        <v>0.70299999999999996</v>
      </c>
      <c r="E19608" s="2">
        <v>48</v>
      </c>
      <c r="F19608" s="2" t="s">
        <v>12</v>
      </c>
    </row>
    <row r="19609" spans="1:6" ht="25.5">
      <c r="A19609" s="2">
        <v>19606</v>
      </c>
      <c r="B19609" s="2" t="s">
        <v>19676</v>
      </c>
      <c r="C19609" s="2" t="str">
        <f>"10847138"</f>
        <v>10847138</v>
      </c>
      <c r="D19609" s="2">
        <v>0.86599999999999999</v>
      </c>
      <c r="E19609" s="2">
        <v>25</v>
      </c>
      <c r="F19609" s="2" t="s">
        <v>6</v>
      </c>
    </row>
    <row r="19610" spans="1:6" ht="25.5">
      <c r="A19610" s="2">
        <v>19607</v>
      </c>
      <c r="B19610" s="2" t="s">
        <v>19677</v>
      </c>
      <c r="C19610" s="2" t="str">
        <f>"09680004"</f>
        <v>09680004</v>
      </c>
      <c r="D19610" s="2">
        <v>7.6929999999999996</v>
      </c>
      <c r="E19610" s="2">
        <v>200</v>
      </c>
      <c r="F19610" s="2" t="s">
        <v>16</v>
      </c>
    </row>
    <row r="19611" spans="1:6" ht="25.5">
      <c r="A19611" s="2">
        <v>19608</v>
      </c>
      <c r="B19611" s="2" t="s">
        <v>19678</v>
      </c>
      <c r="C19611" s="2" t="str">
        <f>"20772254"</f>
        <v>20772254</v>
      </c>
      <c r="D19611" s="2">
        <v>0.19800000000000001</v>
      </c>
      <c r="E19611" s="2">
        <v>2</v>
      </c>
      <c r="F19611" s="2" t="s">
        <v>43</v>
      </c>
    </row>
    <row r="19612" spans="1:6" ht="25.5">
      <c r="A19612" s="2">
        <v>19609</v>
      </c>
      <c r="B19612" s="2" t="s">
        <v>19679</v>
      </c>
      <c r="C19612" s="2" t="str">
        <f>"09711198"</f>
        <v>09711198</v>
      </c>
      <c r="D19612" s="2">
        <v>0.25600000000000001</v>
      </c>
      <c r="E19612" s="2">
        <v>15</v>
      </c>
      <c r="F19612" s="2" t="s">
        <v>488</v>
      </c>
    </row>
    <row r="19613" spans="1:6" ht="25.5">
      <c r="A19613" s="2">
        <v>19610</v>
      </c>
      <c r="B19613" s="2" t="s">
        <v>19680</v>
      </c>
      <c r="C19613" s="2" t="str">
        <f>"01677799"</f>
        <v>01677799</v>
      </c>
      <c r="D19613" s="2">
        <v>2.8050000000000002</v>
      </c>
      <c r="E19613" s="2">
        <v>128</v>
      </c>
      <c r="F19613" s="2" t="s">
        <v>16</v>
      </c>
    </row>
    <row r="19614" spans="1:6" ht="25.5">
      <c r="A19614" s="2">
        <v>19611</v>
      </c>
      <c r="B19614" s="2" t="s">
        <v>19681</v>
      </c>
      <c r="C19614" s="2" t="str">
        <f>"09750304"</f>
        <v>09750304</v>
      </c>
      <c r="D19614" s="2">
        <v>0.14599999999999999</v>
      </c>
      <c r="E19614" s="2">
        <v>2</v>
      </c>
      <c r="F19614" s="2" t="s">
        <v>488</v>
      </c>
    </row>
    <row r="19615" spans="1:6" ht="25.5">
      <c r="A19615" s="2">
        <v>19612</v>
      </c>
      <c r="B19615" s="2" t="s">
        <v>19682</v>
      </c>
      <c r="C19615" s="2" t="str">
        <f>"10501738"</f>
        <v>10501738</v>
      </c>
      <c r="D19615" s="2">
        <v>0.84199999999999997</v>
      </c>
      <c r="E19615" s="2">
        <v>70</v>
      </c>
      <c r="F19615" s="2" t="s">
        <v>6</v>
      </c>
    </row>
    <row r="19616" spans="1:6" ht="25.5">
      <c r="A19616" s="2">
        <v>19613</v>
      </c>
      <c r="B19616" s="2" t="s">
        <v>19683</v>
      </c>
      <c r="C19616" s="2" t="str">
        <f>"09628924"</f>
        <v>09628924</v>
      </c>
      <c r="D19616" s="2">
        <v>8.66</v>
      </c>
      <c r="E19616" s="2">
        <v>168</v>
      </c>
      <c r="F19616" s="2" t="s">
        <v>16</v>
      </c>
    </row>
    <row r="19617" spans="1:6" ht="25.5">
      <c r="A19617" s="2">
        <v>19614</v>
      </c>
      <c r="B19617" s="2" t="s">
        <v>19684</v>
      </c>
      <c r="C19617" s="2" t="str">
        <f>"13646613"</f>
        <v>13646613</v>
      </c>
      <c r="D19617" s="2">
        <v>8.7799999999999994</v>
      </c>
      <c r="E19617" s="2">
        <v>160</v>
      </c>
      <c r="F19617" s="2" t="s">
        <v>16</v>
      </c>
    </row>
    <row r="19618" spans="1:6" ht="25.5">
      <c r="A19618" s="2">
        <v>19615</v>
      </c>
      <c r="B19618" s="2" t="s">
        <v>19685</v>
      </c>
      <c r="C19618" s="2" t="str">
        <f>"01695347"</f>
        <v>01695347</v>
      </c>
      <c r="D19618" s="2">
        <v>8.4120000000000008</v>
      </c>
      <c r="E19618" s="2">
        <v>199</v>
      </c>
      <c r="F19618" s="2" t="s">
        <v>16</v>
      </c>
    </row>
    <row r="19619" spans="1:6" ht="25.5">
      <c r="A19619" s="2">
        <v>19616</v>
      </c>
      <c r="B19619" s="2" t="s">
        <v>19686</v>
      </c>
      <c r="C19619" s="2" t="str">
        <f>"10432760"</f>
        <v>10432760</v>
      </c>
      <c r="D19619" s="2">
        <v>3.8490000000000002</v>
      </c>
      <c r="E19619" s="2">
        <v>98</v>
      </c>
      <c r="F19619" s="2" t="s">
        <v>6</v>
      </c>
    </row>
    <row r="19620" spans="1:6" ht="25.5">
      <c r="A19620" s="2">
        <v>19617</v>
      </c>
      <c r="B19620" s="2" t="s">
        <v>19687</v>
      </c>
      <c r="C19620" s="2" t="str">
        <f>"2036265X"</f>
        <v>2036265X</v>
      </c>
      <c r="D19620" s="2">
        <v>0.97099999999999997</v>
      </c>
      <c r="E19620" s="2">
        <v>4</v>
      </c>
      <c r="F19620" s="2" t="s">
        <v>190</v>
      </c>
    </row>
    <row r="19621" spans="1:6" ht="25.5">
      <c r="A19621" s="2">
        <v>19618</v>
      </c>
      <c r="B19621" s="2" t="s">
        <v>19688</v>
      </c>
      <c r="C19621" s="2" t="str">
        <f>"09242244"</f>
        <v>09242244</v>
      </c>
      <c r="D19621" s="2">
        <v>1.8240000000000001</v>
      </c>
      <c r="E19621" s="2">
        <v>92</v>
      </c>
      <c r="F19621" s="2" t="s">
        <v>16</v>
      </c>
    </row>
    <row r="19622" spans="1:6" ht="25.5">
      <c r="A19622" s="2">
        <v>19619</v>
      </c>
      <c r="B19622" s="2" t="s">
        <v>19689</v>
      </c>
      <c r="C19622" s="2" t="str">
        <f>"01689525"</f>
        <v>01689525</v>
      </c>
      <c r="D19622" s="2">
        <v>6.58</v>
      </c>
      <c r="E19622" s="2">
        <v>160</v>
      </c>
      <c r="F19622" s="2" t="s">
        <v>16</v>
      </c>
    </row>
    <row r="19623" spans="1:6" ht="25.5">
      <c r="A19623" s="2">
        <v>19620</v>
      </c>
      <c r="B19623" s="2" t="s">
        <v>19690</v>
      </c>
      <c r="C19623" s="2" t="str">
        <f>"09157352"</f>
        <v>09157352</v>
      </c>
      <c r="D19623" s="2">
        <v>0.20799999999999999</v>
      </c>
      <c r="E19623" s="2">
        <v>27</v>
      </c>
      <c r="F19623" s="2" t="s">
        <v>131</v>
      </c>
    </row>
    <row r="19624" spans="1:6" ht="25.5">
      <c r="A19624" s="2">
        <v>19621</v>
      </c>
      <c r="B19624" s="2" t="s">
        <v>19691</v>
      </c>
      <c r="C19624" s="2" t="str">
        <f>"14714981"</f>
        <v>14714981</v>
      </c>
      <c r="D19624" s="2">
        <v>5.8419999999999996</v>
      </c>
      <c r="E19624" s="2">
        <v>163</v>
      </c>
      <c r="F19624" s="2" t="s">
        <v>16</v>
      </c>
    </row>
    <row r="19625" spans="1:6" ht="25.5">
      <c r="A19625" s="2">
        <v>19622</v>
      </c>
      <c r="B19625" s="2" t="s">
        <v>19692</v>
      </c>
      <c r="C19625" s="2" t="str">
        <f>"18193587"</f>
        <v>18193587</v>
      </c>
      <c r="D19625" s="2">
        <v>0.13400000000000001</v>
      </c>
      <c r="E19625" s="2">
        <v>3</v>
      </c>
      <c r="F19625" s="2" t="s">
        <v>6</v>
      </c>
    </row>
    <row r="19626" spans="1:6" ht="25.5">
      <c r="A19626" s="2">
        <v>19623</v>
      </c>
      <c r="B19626" s="2" t="s">
        <v>19693</v>
      </c>
      <c r="C19626" s="2" t="str">
        <f>"15942848"</f>
        <v>15942848</v>
      </c>
      <c r="D19626" s="2">
        <v>0.10199999999999999</v>
      </c>
      <c r="E19626" s="2">
        <v>2</v>
      </c>
      <c r="F19626" s="2" t="s">
        <v>6</v>
      </c>
    </row>
    <row r="19627" spans="1:6" ht="25.5">
      <c r="A19627" s="2">
        <v>19624</v>
      </c>
      <c r="B19627" s="2" t="s">
        <v>19694</v>
      </c>
      <c r="C19627" s="2" t="str">
        <f>"0966842X"</f>
        <v>0966842X</v>
      </c>
      <c r="D19627" s="2">
        <v>3.65</v>
      </c>
      <c r="E19627" s="2">
        <v>122</v>
      </c>
      <c r="F19627" s="2" t="s">
        <v>16</v>
      </c>
    </row>
    <row r="19628" spans="1:6" ht="25.5">
      <c r="A19628" s="2">
        <v>19625</v>
      </c>
      <c r="B19628" s="2" t="s">
        <v>19695</v>
      </c>
      <c r="C19628" s="2" t="str">
        <f>"14714914"</f>
        <v>14714914</v>
      </c>
      <c r="D19628" s="2">
        <v>4.4930000000000003</v>
      </c>
      <c r="E19628" s="2">
        <v>112</v>
      </c>
      <c r="F19628" s="2" t="s">
        <v>16</v>
      </c>
    </row>
    <row r="19629" spans="1:6" ht="25.5">
      <c r="A19629" s="2">
        <v>19626</v>
      </c>
      <c r="B19629" s="2" t="s">
        <v>19696</v>
      </c>
      <c r="C19629" s="2" t="str">
        <f>"22119493"</f>
        <v>22119493</v>
      </c>
      <c r="D19629" s="2">
        <v>0</v>
      </c>
      <c r="E19629" s="2">
        <v>0</v>
      </c>
      <c r="F19629" s="2" t="s">
        <v>12</v>
      </c>
    </row>
    <row r="19630" spans="1:6" ht="25.5">
      <c r="A19630" s="2">
        <v>19627</v>
      </c>
      <c r="B19630" s="2" t="s">
        <v>19697</v>
      </c>
      <c r="C19630" s="2" t="str">
        <f>"01662236"</f>
        <v>01662236</v>
      </c>
      <c r="D19630" s="2">
        <v>8.4380000000000006</v>
      </c>
      <c r="E19630" s="2">
        <v>203</v>
      </c>
      <c r="F19630" s="2" t="s">
        <v>16</v>
      </c>
    </row>
    <row r="19631" spans="1:6" ht="25.5">
      <c r="A19631" s="2">
        <v>19628</v>
      </c>
      <c r="B19631" s="2" t="s">
        <v>19698</v>
      </c>
      <c r="C19631" s="2" t="str">
        <f>"10844791"</f>
        <v>10844791</v>
      </c>
      <c r="D19631" s="2">
        <v>0.48199999999999998</v>
      </c>
      <c r="E19631" s="2">
        <v>8</v>
      </c>
      <c r="F19631" s="2" t="s">
        <v>6</v>
      </c>
    </row>
    <row r="19632" spans="1:6" ht="25.5">
      <c r="A19632" s="2">
        <v>19629</v>
      </c>
      <c r="B19632" s="2" t="s">
        <v>19699</v>
      </c>
      <c r="C19632" s="2" t="str">
        <f>"14714922"</f>
        <v>14714922</v>
      </c>
      <c r="D19632" s="2">
        <v>1.8660000000000001</v>
      </c>
      <c r="E19632" s="2">
        <v>95</v>
      </c>
      <c r="F19632" s="2" t="s">
        <v>16</v>
      </c>
    </row>
    <row r="19633" spans="1:6" ht="25.5">
      <c r="A19633" s="2">
        <v>19630</v>
      </c>
      <c r="B19633" s="2" t="s">
        <v>19700</v>
      </c>
      <c r="C19633" s="2" t="str">
        <f>"01656147"</f>
        <v>01656147</v>
      </c>
      <c r="D19633" s="2">
        <v>4.0910000000000002</v>
      </c>
      <c r="E19633" s="2">
        <v>152</v>
      </c>
      <c r="F19633" s="2" t="s">
        <v>16</v>
      </c>
    </row>
    <row r="19634" spans="1:6" ht="25.5">
      <c r="A19634" s="2">
        <v>19631</v>
      </c>
      <c r="B19634" s="2" t="s">
        <v>19701</v>
      </c>
      <c r="C19634" s="2" t="str">
        <f>"13601385"</f>
        <v>13601385</v>
      </c>
      <c r="D19634" s="2">
        <v>5.1470000000000002</v>
      </c>
      <c r="E19634" s="2">
        <v>147</v>
      </c>
      <c r="F19634" s="2" t="s">
        <v>16</v>
      </c>
    </row>
    <row r="19635" spans="1:6" ht="25.5">
      <c r="A19635" s="2">
        <v>19632</v>
      </c>
      <c r="B19635" s="2" t="s">
        <v>19702</v>
      </c>
      <c r="C19635" s="2" t="str">
        <f>"22376089"</f>
        <v>22376089</v>
      </c>
      <c r="D19635" s="2">
        <v>0.104</v>
      </c>
      <c r="E19635" s="2">
        <v>1</v>
      </c>
      <c r="F19635" s="2" t="s">
        <v>159</v>
      </c>
    </row>
    <row r="19636" spans="1:6" ht="25.5">
      <c r="A19636" s="2">
        <v>19633</v>
      </c>
      <c r="B19636" s="2" t="s">
        <v>19703</v>
      </c>
      <c r="C19636" s="2" t="str">
        <f>"17456215"</f>
        <v>17456215</v>
      </c>
      <c r="D19636" s="2">
        <v>1.075</v>
      </c>
      <c r="E19636" s="2">
        <v>32</v>
      </c>
      <c r="F19636" s="2" t="s">
        <v>16</v>
      </c>
    </row>
    <row r="19637" spans="1:6" ht="25.5">
      <c r="A19637" s="2">
        <v>19634</v>
      </c>
      <c r="B19637" s="2" t="s">
        <v>19704</v>
      </c>
      <c r="C19637" s="2" t="str">
        <f>"02087774"</f>
        <v>02087774</v>
      </c>
      <c r="D19637" s="2">
        <v>0.22600000000000001</v>
      </c>
      <c r="E19637" s="2">
        <v>6</v>
      </c>
      <c r="F19637" s="2" t="s">
        <v>169</v>
      </c>
    </row>
    <row r="19638" spans="1:6" ht="25.5">
      <c r="A19638" s="2">
        <v>19635</v>
      </c>
      <c r="B19638" s="2" t="s">
        <v>19705</v>
      </c>
      <c r="C19638" s="2" t="str">
        <f>"07243472"</f>
        <v>07243472</v>
      </c>
      <c r="D19638" s="2">
        <v>0.13600000000000001</v>
      </c>
      <c r="E19638" s="2">
        <v>6</v>
      </c>
      <c r="F19638" s="2" t="s">
        <v>12</v>
      </c>
    </row>
    <row r="19639" spans="1:6" ht="25.5">
      <c r="A19639" s="2">
        <v>19636</v>
      </c>
      <c r="B19639" s="2" t="s">
        <v>19706</v>
      </c>
      <c r="C19639" s="2" t="str">
        <f>"03548996"</f>
        <v>03548996</v>
      </c>
      <c r="D19639" s="2">
        <v>0.35799999999999998</v>
      </c>
      <c r="E19639" s="2">
        <v>5</v>
      </c>
      <c r="F19639" s="2" t="s">
        <v>212</v>
      </c>
    </row>
    <row r="19640" spans="1:6" ht="25.5">
      <c r="A19640" s="2">
        <v>19637</v>
      </c>
      <c r="B19640" s="2" t="s">
        <v>19707</v>
      </c>
      <c r="C19640" s="2" t="str">
        <f>"0301679X"</f>
        <v>0301679X</v>
      </c>
      <c r="D19640" s="2">
        <v>1.25</v>
      </c>
      <c r="E19640" s="2">
        <v>56</v>
      </c>
      <c r="F19640" s="2" t="s">
        <v>6</v>
      </c>
    </row>
    <row r="19641" spans="1:6" ht="25.5">
      <c r="A19641" s="2">
        <v>19638</v>
      </c>
      <c r="B19641" s="2" t="s">
        <v>19708</v>
      </c>
      <c r="C19641" s="2" t="str">
        <f>"15732711"</f>
        <v>15732711</v>
      </c>
      <c r="D19641" s="2">
        <v>1.119</v>
      </c>
      <c r="E19641" s="2">
        <v>51</v>
      </c>
      <c r="F19641" s="2" t="s">
        <v>6</v>
      </c>
    </row>
    <row r="19642" spans="1:6" ht="25.5">
      <c r="A19642" s="2">
        <v>19639</v>
      </c>
      <c r="B19642" s="2" t="s">
        <v>19709</v>
      </c>
      <c r="C19642" s="2" t="str">
        <f>"1751584X"</f>
        <v>1751584X</v>
      </c>
      <c r="D19642" s="2">
        <v>0.27700000000000002</v>
      </c>
      <c r="E19642" s="2">
        <v>5</v>
      </c>
      <c r="F19642" s="2" t="s">
        <v>16</v>
      </c>
    </row>
    <row r="19643" spans="1:6" ht="25.5">
      <c r="A19643" s="2">
        <v>19640</v>
      </c>
      <c r="B19643" s="2" t="s">
        <v>19710</v>
      </c>
      <c r="C19643" s="2" t="str">
        <f>"10402004"</f>
        <v>10402004</v>
      </c>
      <c r="D19643" s="2">
        <v>0.65500000000000003</v>
      </c>
      <c r="E19643" s="2">
        <v>38</v>
      </c>
      <c r="F19643" s="2" t="s">
        <v>16</v>
      </c>
    </row>
    <row r="19644" spans="1:6" ht="25.5">
      <c r="A19644" s="2">
        <v>19641</v>
      </c>
      <c r="B19644" s="2" t="s">
        <v>19711</v>
      </c>
      <c r="C19644" s="2" t="str">
        <f>"17658888"</f>
        <v>17658888</v>
      </c>
      <c r="D19644" s="2">
        <v>0.13200000000000001</v>
      </c>
      <c r="E19644" s="2">
        <v>2</v>
      </c>
      <c r="F19644" s="2" t="s">
        <v>66</v>
      </c>
    </row>
    <row r="19645" spans="1:6" ht="25.5">
      <c r="A19645" s="2">
        <v>19642</v>
      </c>
      <c r="B19645" s="2" t="s">
        <v>19712</v>
      </c>
      <c r="C19645" s="2" t="str">
        <f>"1726670X"</f>
        <v>1726670X</v>
      </c>
      <c r="D19645" s="2">
        <v>0.155</v>
      </c>
      <c r="E19645" s="2">
        <v>3</v>
      </c>
      <c r="F19645" s="2" t="s">
        <v>288</v>
      </c>
    </row>
    <row r="19646" spans="1:6" ht="25.5">
      <c r="A19646" s="2">
        <v>19643</v>
      </c>
      <c r="B19646" s="2" t="s">
        <v>19713</v>
      </c>
      <c r="C19646" s="2" t="str">
        <f>"00413097"</f>
        <v>00413097</v>
      </c>
      <c r="D19646" s="2">
        <v>0.1</v>
      </c>
      <c r="E19646" s="2">
        <v>1</v>
      </c>
      <c r="F19646" s="2" t="s">
        <v>6</v>
      </c>
    </row>
    <row r="19647" spans="1:6" ht="25.5">
      <c r="A19647" s="2">
        <v>19644</v>
      </c>
      <c r="B19647" s="2" t="s">
        <v>19714</v>
      </c>
      <c r="C19647" s="2" t="str">
        <f>"00413216"</f>
        <v>00413216</v>
      </c>
      <c r="D19647" s="2">
        <v>0.1</v>
      </c>
      <c r="E19647" s="2">
        <v>12</v>
      </c>
      <c r="F19647" s="2" t="s">
        <v>3283</v>
      </c>
    </row>
    <row r="19648" spans="1:6" ht="25.5">
      <c r="A19648" s="2">
        <v>19645</v>
      </c>
      <c r="B19648" s="2" t="s">
        <v>19715</v>
      </c>
      <c r="C19648" s="2" t="str">
        <f>"18700462"</f>
        <v>18700462</v>
      </c>
      <c r="D19648" s="2">
        <v>0.156</v>
      </c>
      <c r="E19648" s="2">
        <v>3</v>
      </c>
      <c r="F19648" s="2" t="s">
        <v>200</v>
      </c>
    </row>
    <row r="19649" spans="1:6" ht="25.5">
      <c r="A19649" s="2">
        <v>19646</v>
      </c>
      <c r="B19649" s="2" t="s">
        <v>19716</v>
      </c>
      <c r="C19649" s="2" t="str">
        <f>"15737438"</f>
        <v>15737438</v>
      </c>
      <c r="D19649" s="2">
        <v>0.55500000000000005</v>
      </c>
      <c r="E19649" s="2">
        <v>23</v>
      </c>
      <c r="F19649" s="2" t="s">
        <v>75</v>
      </c>
    </row>
    <row r="19650" spans="1:6" ht="25.5">
      <c r="A19650" s="2">
        <v>19647</v>
      </c>
      <c r="B19650" s="2" t="s">
        <v>19717</v>
      </c>
      <c r="C19650" s="2" t="str">
        <f>"01275720"</f>
        <v>01275720</v>
      </c>
      <c r="D19650" s="2">
        <v>0.378</v>
      </c>
      <c r="E19650" s="2">
        <v>14</v>
      </c>
      <c r="F19650" s="2" t="s">
        <v>37</v>
      </c>
    </row>
    <row r="19651" spans="1:6" ht="25.5">
      <c r="A19651" s="2">
        <v>19648</v>
      </c>
      <c r="B19651" s="2" t="s">
        <v>19718</v>
      </c>
      <c r="C19651" s="2" t="str">
        <f>"17581133"</f>
        <v>17581133</v>
      </c>
      <c r="D19651" s="2">
        <v>0.32700000000000001</v>
      </c>
      <c r="E19651" s="2">
        <v>21</v>
      </c>
      <c r="F19651" s="2" t="s">
        <v>16</v>
      </c>
    </row>
    <row r="19652" spans="1:6" ht="25.5">
      <c r="A19652" s="2">
        <v>19649</v>
      </c>
      <c r="B19652" s="2" t="s">
        <v>19719</v>
      </c>
      <c r="C19652" s="2" t="str">
        <f>"05643295"</f>
        <v>05643295</v>
      </c>
      <c r="D19652" s="2">
        <v>0.52700000000000002</v>
      </c>
      <c r="E19652" s="2">
        <v>14</v>
      </c>
      <c r="F19652" s="2" t="s">
        <v>488</v>
      </c>
    </row>
    <row r="19653" spans="1:6" ht="25.5">
      <c r="A19653" s="2">
        <v>19650</v>
      </c>
      <c r="B19653" s="2" t="s">
        <v>19720</v>
      </c>
      <c r="C19653" s="2" t="str">
        <f>"0250636X"</f>
        <v>0250636X</v>
      </c>
      <c r="D19653" s="2">
        <v>0.16800000000000001</v>
      </c>
      <c r="E19653" s="2">
        <v>18</v>
      </c>
      <c r="F19653" s="2" t="s">
        <v>488</v>
      </c>
    </row>
    <row r="19654" spans="1:6" ht="25.5">
      <c r="A19654" s="2">
        <v>19651</v>
      </c>
      <c r="B19654" s="2" t="s">
        <v>19721</v>
      </c>
      <c r="C19654" s="2" t="str">
        <f>"15965996"</f>
        <v>15965996</v>
      </c>
      <c r="D19654" s="2">
        <v>0.36</v>
      </c>
      <c r="E19654" s="2">
        <v>10</v>
      </c>
      <c r="F19654" s="2" t="s">
        <v>692</v>
      </c>
    </row>
    <row r="19655" spans="1:6" ht="25.5">
      <c r="A19655" s="2">
        <v>19652</v>
      </c>
      <c r="B19655" s="2" t="s">
        <v>19722</v>
      </c>
      <c r="C19655" s="2" t="str">
        <f>"19858345"</f>
        <v>19858345</v>
      </c>
      <c r="D19655" s="2">
        <v>0.111</v>
      </c>
      <c r="E19655" s="2">
        <v>3</v>
      </c>
      <c r="F19655" s="2" t="s">
        <v>37</v>
      </c>
    </row>
    <row r="19656" spans="1:6" ht="25.5">
      <c r="A19656" s="2">
        <v>19653</v>
      </c>
      <c r="B19656" s="2" t="s">
        <v>19723</v>
      </c>
      <c r="C19656" s="2" t="str">
        <f>"13494147"</f>
        <v>13494147</v>
      </c>
      <c r="D19656" s="2">
        <v>0.159</v>
      </c>
      <c r="E19656" s="2">
        <v>3</v>
      </c>
      <c r="F19656" s="2" t="s">
        <v>131</v>
      </c>
    </row>
    <row r="19657" spans="1:6" ht="25.5">
      <c r="A19657" s="2">
        <v>19654</v>
      </c>
      <c r="B19657" s="2" t="s">
        <v>19724</v>
      </c>
      <c r="C19657" s="2" t="str">
        <f>"13653156"</f>
        <v>13653156</v>
      </c>
      <c r="D19657" s="2">
        <v>1.276</v>
      </c>
      <c r="E19657" s="2">
        <v>68</v>
      </c>
      <c r="F19657" s="2" t="s">
        <v>16</v>
      </c>
    </row>
    <row r="19658" spans="1:6" ht="25.5">
      <c r="A19658" s="2">
        <v>19655</v>
      </c>
      <c r="B19658" s="2" t="s">
        <v>19725</v>
      </c>
      <c r="C19658" s="2" t="str">
        <f>"19359764"</f>
        <v>19359764</v>
      </c>
      <c r="D19658" s="2">
        <v>0.49199999999999999</v>
      </c>
      <c r="E19658" s="2">
        <v>7</v>
      </c>
      <c r="F19658" s="2" t="s">
        <v>6</v>
      </c>
    </row>
    <row r="19659" spans="1:6" ht="25.5">
      <c r="A19659" s="2">
        <v>19656</v>
      </c>
      <c r="B19659" s="2" t="s">
        <v>19726</v>
      </c>
      <c r="C19659" s="2" t="str">
        <f>"19825676"</f>
        <v>19825676</v>
      </c>
      <c r="D19659" s="2">
        <v>0.39</v>
      </c>
      <c r="E19659" s="2">
        <v>6</v>
      </c>
      <c r="F19659" s="2" t="s">
        <v>159</v>
      </c>
    </row>
    <row r="19660" spans="1:6" ht="25.5">
      <c r="A19660" s="2">
        <v>19657</v>
      </c>
      <c r="B19660" s="2" t="s">
        <v>19727</v>
      </c>
      <c r="C19660" s="2" t="str">
        <f>"03946975"</f>
        <v>03946975</v>
      </c>
      <c r="D19660" s="2">
        <v>0.249</v>
      </c>
      <c r="E19660" s="2">
        <v>13</v>
      </c>
      <c r="F19660" s="2" t="s">
        <v>190</v>
      </c>
    </row>
    <row r="19661" spans="1:6" ht="25.5">
      <c r="A19661" s="2">
        <v>19658</v>
      </c>
      <c r="B19661" s="2" t="s">
        <v>19728</v>
      </c>
      <c r="C19661" s="2" t="str">
        <f>"00413674"</f>
        <v>00413674</v>
      </c>
      <c r="D19661" s="2">
        <v>0.10299999999999999</v>
      </c>
      <c r="E19661" s="2">
        <v>5</v>
      </c>
      <c r="F19661" s="2" t="s">
        <v>6</v>
      </c>
    </row>
    <row r="19662" spans="1:6" ht="25.5">
      <c r="A19662" s="2">
        <v>19659</v>
      </c>
      <c r="B19662" s="2" t="s">
        <v>19729</v>
      </c>
      <c r="C19662" s="2" t="str">
        <f>"03534790"</f>
        <v>03534790</v>
      </c>
      <c r="D19662" s="2">
        <v>0.124</v>
      </c>
      <c r="E19662" s="2">
        <v>1</v>
      </c>
      <c r="F19662" s="2" t="s">
        <v>149</v>
      </c>
    </row>
    <row r="19663" spans="1:6" ht="25.5">
      <c r="A19663" s="2">
        <v>19660</v>
      </c>
      <c r="B19663" s="2" t="s">
        <v>19730</v>
      </c>
      <c r="C19663" s="2" t="str">
        <f>"10070214"</f>
        <v>10070214</v>
      </c>
      <c r="D19663" s="2">
        <v>0.17299999999999999</v>
      </c>
      <c r="E19663" s="2">
        <v>16</v>
      </c>
      <c r="F19663" s="2" t="s">
        <v>46</v>
      </c>
    </row>
    <row r="19664" spans="1:6" ht="25.5">
      <c r="A19664" s="2">
        <v>19661</v>
      </c>
      <c r="B19664" s="2" t="s">
        <v>19731</v>
      </c>
      <c r="C19664" s="2" t="str">
        <f>"00413771"</f>
        <v>00413771</v>
      </c>
      <c r="D19664" s="2">
        <v>0.13700000000000001</v>
      </c>
      <c r="E19664" s="2">
        <v>12</v>
      </c>
      <c r="F19664" s="2" t="s">
        <v>129</v>
      </c>
    </row>
    <row r="19665" spans="1:6" ht="25.5">
      <c r="A19665" s="2">
        <v>19662</v>
      </c>
      <c r="B19665" s="2" t="s">
        <v>19732</v>
      </c>
      <c r="C19665" s="2" t="str">
        <f>"05643783"</f>
        <v>05643783</v>
      </c>
      <c r="D19665" s="2">
        <v>0.13700000000000001</v>
      </c>
      <c r="E19665" s="2">
        <v>8</v>
      </c>
      <c r="F19665" s="2" t="s">
        <v>438</v>
      </c>
    </row>
    <row r="19666" spans="1:6" ht="25.5">
      <c r="A19666" s="2">
        <v>19663</v>
      </c>
      <c r="B19666" s="2" t="s">
        <v>19733</v>
      </c>
      <c r="C19666" s="2" t="str">
        <f>"08358443"</f>
        <v>08358443</v>
      </c>
      <c r="D19666" s="2">
        <v>0.10100000000000001</v>
      </c>
      <c r="E19666" s="2">
        <v>3</v>
      </c>
      <c r="F19666" s="2" t="s">
        <v>64</v>
      </c>
    </row>
    <row r="19667" spans="1:6" ht="25.5">
      <c r="A19667" s="2">
        <v>19664</v>
      </c>
      <c r="B19667" s="2" t="s">
        <v>19734</v>
      </c>
      <c r="C19667" s="2" t="str">
        <f>"14729792"</f>
        <v>14729792</v>
      </c>
      <c r="D19667" s="2">
        <v>1.077</v>
      </c>
      <c r="E19667" s="2">
        <v>59</v>
      </c>
      <c r="F19667" s="2" t="s">
        <v>6</v>
      </c>
    </row>
    <row r="19668" spans="1:6" ht="25.5">
      <c r="A19668" s="2">
        <v>19665</v>
      </c>
      <c r="B19668" s="2" t="s">
        <v>19735</v>
      </c>
      <c r="C19668" s="2" t="str">
        <f>"03780066"</f>
        <v>03780066</v>
      </c>
      <c r="D19668" s="2">
        <v>0.13300000000000001</v>
      </c>
      <c r="E19668" s="2">
        <v>8</v>
      </c>
      <c r="F19668" s="2" t="s">
        <v>274</v>
      </c>
    </row>
    <row r="19669" spans="1:6" ht="25.5">
      <c r="A19669" s="2">
        <v>19666</v>
      </c>
      <c r="B19669" s="2" t="s">
        <v>19736</v>
      </c>
      <c r="C19669" s="2" t="str">
        <f>"04941373"</f>
        <v>04941373</v>
      </c>
      <c r="D19669" s="2">
        <v>0.17499999999999999</v>
      </c>
      <c r="E19669" s="2">
        <v>10</v>
      </c>
      <c r="F19669" s="2" t="s">
        <v>345</v>
      </c>
    </row>
    <row r="19670" spans="1:6">
      <c r="A19670" s="2">
        <v>19667</v>
      </c>
      <c r="B19670" s="2" t="s">
        <v>19737</v>
      </c>
      <c r="C19670" s="2" t="str">
        <f>"0"</f>
        <v>0</v>
      </c>
      <c r="D19670" s="2">
        <v>0</v>
      </c>
      <c r="E19670" s="2">
        <v>0</v>
      </c>
      <c r="F19670" s="2" t="s">
        <v>6</v>
      </c>
    </row>
    <row r="19671" spans="1:6" ht="25.5">
      <c r="A19671" s="2">
        <v>19668</v>
      </c>
      <c r="B19671" s="2" t="s">
        <v>19738</v>
      </c>
      <c r="C19671" s="2" t="str">
        <f>"10014055"</f>
        <v>10014055</v>
      </c>
      <c r="D19671" s="2">
        <v>0.29299999999999998</v>
      </c>
      <c r="E19671" s="2">
        <v>12</v>
      </c>
      <c r="F19671" s="2" t="s">
        <v>46</v>
      </c>
    </row>
    <row r="19672" spans="1:6">
      <c r="A19672" s="2">
        <v>19669</v>
      </c>
      <c r="B19672" s="2" t="s">
        <v>19739</v>
      </c>
      <c r="C19672" s="2" t="str">
        <f>"0"</f>
        <v>0</v>
      </c>
      <c r="D19672" s="2">
        <v>0</v>
      </c>
      <c r="E19672" s="2">
        <v>0</v>
      </c>
      <c r="F19672" s="2" t="s">
        <v>6</v>
      </c>
    </row>
    <row r="19673" spans="1:6" ht="25.5">
      <c r="A19673" s="2">
        <v>19670</v>
      </c>
      <c r="B19673" s="2" t="s">
        <v>19740</v>
      </c>
      <c r="C19673" s="2" t="str">
        <f>"19361645"</f>
        <v>19361645</v>
      </c>
      <c r="D19673" s="2">
        <v>0.113</v>
      </c>
      <c r="E19673" s="2">
        <v>4</v>
      </c>
      <c r="F19673" s="2" t="s">
        <v>6</v>
      </c>
    </row>
    <row r="19674" spans="1:6" ht="25.5">
      <c r="A19674" s="2">
        <v>19671</v>
      </c>
      <c r="B19674" s="2" t="s">
        <v>19741</v>
      </c>
      <c r="C19674" s="2" t="str">
        <f>"10007431"</f>
        <v>10007431</v>
      </c>
      <c r="D19674" s="2">
        <v>0.105</v>
      </c>
      <c r="E19674" s="2">
        <v>3</v>
      </c>
      <c r="F19674" s="2" t="s">
        <v>46</v>
      </c>
    </row>
    <row r="19675" spans="1:6" ht="25.5">
      <c r="A19675" s="2">
        <v>19672</v>
      </c>
      <c r="B19675" s="2" t="s">
        <v>19742</v>
      </c>
      <c r="C19675" s="2" t="str">
        <f>"14230380"</f>
        <v>14230380</v>
      </c>
      <c r="D19675" s="2">
        <v>0.81299999999999994</v>
      </c>
      <c r="E19675" s="2">
        <v>40</v>
      </c>
      <c r="F19675" s="2" t="s">
        <v>75</v>
      </c>
    </row>
    <row r="19676" spans="1:6" ht="25.5">
      <c r="A19676" s="2">
        <v>19673</v>
      </c>
      <c r="B19676" s="2" t="s">
        <v>19743</v>
      </c>
      <c r="C19676" s="2" t="str">
        <f>"14391279"</f>
        <v>14391279</v>
      </c>
      <c r="D19676" s="2">
        <v>0.1</v>
      </c>
      <c r="E19676" s="2">
        <v>6</v>
      </c>
      <c r="F19676" s="2" t="s">
        <v>12</v>
      </c>
    </row>
    <row r="19677" spans="1:6" ht="25.5">
      <c r="A19677" s="2">
        <v>19674</v>
      </c>
      <c r="B19677" s="2" t="s">
        <v>19744</v>
      </c>
      <c r="C19677" s="2" t="str">
        <f>"03008916"</f>
        <v>03008916</v>
      </c>
      <c r="D19677" s="2">
        <v>0.35</v>
      </c>
      <c r="E19677" s="2">
        <v>34</v>
      </c>
      <c r="F19677" s="2" t="s">
        <v>190</v>
      </c>
    </row>
    <row r="19678" spans="1:6" ht="25.5">
      <c r="A19678" s="2">
        <v>19675</v>
      </c>
      <c r="B19678" s="2" t="s">
        <v>19745</v>
      </c>
      <c r="C19678" s="2" t="str">
        <f>"1000131X"</f>
        <v>1000131X</v>
      </c>
      <c r="D19678" s="2">
        <v>0.47</v>
      </c>
      <c r="E19678" s="2">
        <v>14</v>
      </c>
      <c r="F19678" s="2" t="s">
        <v>46</v>
      </c>
    </row>
    <row r="19679" spans="1:6" ht="25.5">
      <c r="A19679" s="2">
        <v>19676</v>
      </c>
      <c r="B19679" s="2" t="s">
        <v>19746</v>
      </c>
      <c r="C19679" s="2" t="str">
        <f>"16744764"</f>
        <v>16744764</v>
      </c>
      <c r="D19679" s="2">
        <v>0.252</v>
      </c>
      <c r="E19679" s="2">
        <v>5</v>
      </c>
      <c r="F19679" s="2" t="s">
        <v>46</v>
      </c>
    </row>
    <row r="19680" spans="1:6" ht="25.5">
      <c r="A19680" s="2">
        <v>19677</v>
      </c>
      <c r="B19680" s="2" t="s">
        <v>19747</v>
      </c>
      <c r="C19680" s="2" t="str">
        <f>"14064030"</f>
        <v>14064030</v>
      </c>
      <c r="D19680" s="2">
        <v>0.1</v>
      </c>
      <c r="E19680" s="2">
        <v>0</v>
      </c>
      <c r="F19680" s="2" t="s">
        <v>265</v>
      </c>
    </row>
    <row r="19681" spans="1:6" ht="25.5">
      <c r="A19681" s="2">
        <v>19678</v>
      </c>
      <c r="B19681" s="2" t="s">
        <v>19748</v>
      </c>
      <c r="C19681" s="2" t="str">
        <f>"08867798"</f>
        <v>08867798</v>
      </c>
      <c r="D19681" s="2">
        <v>1.208</v>
      </c>
      <c r="E19681" s="2">
        <v>35</v>
      </c>
      <c r="F19681" s="2" t="s">
        <v>16</v>
      </c>
    </row>
    <row r="19682" spans="1:6" ht="25.5">
      <c r="A19682" s="2">
        <v>19679</v>
      </c>
      <c r="B19682" s="2" t="s">
        <v>19749</v>
      </c>
      <c r="C19682" s="2" t="str">
        <f>"10165150"</f>
        <v>10165150</v>
      </c>
      <c r="D19682" s="2">
        <v>0.10199999999999999</v>
      </c>
      <c r="E19682" s="2">
        <v>4</v>
      </c>
      <c r="F19682" s="2" t="s">
        <v>345</v>
      </c>
    </row>
    <row r="19683" spans="1:6" ht="25.5">
      <c r="A19683" s="2">
        <v>19680</v>
      </c>
      <c r="B19683" s="2" t="s">
        <v>19750</v>
      </c>
      <c r="C19683" s="2" t="str">
        <f>"13085255"</f>
        <v>13085255</v>
      </c>
      <c r="D19683" s="2">
        <v>0.112</v>
      </c>
      <c r="E19683" s="2">
        <v>2</v>
      </c>
      <c r="F19683" s="2" t="s">
        <v>345</v>
      </c>
    </row>
    <row r="19684" spans="1:6" ht="25.5">
      <c r="A19684" s="2">
        <v>19681</v>
      </c>
      <c r="B19684" s="2" t="s">
        <v>19751</v>
      </c>
      <c r="C19684" s="2" t="str">
        <f>"13042947"</f>
        <v>13042947</v>
      </c>
      <c r="D19684" s="2">
        <v>0.2</v>
      </c>
      <c r="E19684" s="2">
        <v>9</v>
      </c>
      <c r="F19684" s="2" t="s">
        <v>345</v>
      </c>
    </row>
    <row r="19685" spans="1:6" ht="25.5">
      <c r="A19685" s="2">
        <v>19682</v>
      </c>
      <c r="B19685" s="2" t="s">
        <v>19752</v>
      </c>
      <c r="C19685" s="2" t="str">
        <f>"1303829X"</f>
        <v>1303829X</v>
      </c>
      <c r="D19685" s="2">
        <v>0.16</v>
      </c>
      <c r="E19685" s="2">
        <v>4</v>
      </c>
      <c r="F19685" s="2" t="s">
        <v>345</v>
      </c>
    </row>
    <row r="19686" spans="1:6" ht="25.5">
      <c r="A19686" s="2">
        <v>19683</v>
      </c>
      <c r="B19686" s="2" t="s">
        <v>19753</v>
      </c>
      <c r="C19686" s="2" t="str">
        <f>"13000152"</f>
        <v>13000152</v>
      </c>
      <c r="D19686" s="2">
        <v>0.38800000000000001</v>
      </c>
      <c r="E19686" s="2">
        <v>16</v>
      </c>
      <c r="F19686" s="2" t="s">
        <v>345</v>
      </c>
    </row>
    <row r="19687" spans="1:6" ht="25.5">
      <c r="A19687" s="2">
        <v>19684</v>
      </c>
      <c r="B19687" s="2" t="s">
        <v>19754</v>
      </c>
      <c r="C19687" s="2" t="str">
        <f>"13036130"</f>
        <v>13036130</v>
      </c>
      <c r="D19687" s="2">
        <v>0.25900000000000001</v>
      </c>
      <c r="E19687" s="2">
        <v>27</v>
      </c>
      <c r="F19687" s="2" t="s">
        <v>345</v>
      </c>
    </row>
    <row r="19688" spans="1:6" ht="25.5">
      <c r="A19688" s="2">
        <v>19685</v>
      </c>
      <c r="B19688" s="2" t="s">
        <v>19755</v>
      </c>
      <c r="C19688" s="2" t="str">
        <f>"13000985"</f>
        <v>13000985</v>
      </c>
      <c r="D19688" s="2">
        <v>0.53400000000000003</v>
      </c>
      <c r="E19688" s="2">
        <v>20</v>
      </c>
      <c r="F19688" s="2" t="s">
        <v>345</v>
      </c>
    </row>
    <row r="19689" spans="1:6" ht="25.5">
      <c r="A19689" s="2">
        <v>19686</v>
      </c>
      <c r="B19689" s="2" t="s">
        <v>19756</v>
      </c>
      <c r="C19689" s="2" t="str">
        <f>"13036203"</f>
        <v>13036203</v>
      </c>
      <c r="D19689" s="2">
        <v>0.316</v>
      </c>
      <c r="E19689" s="2">
        <v>12</v>
      </c>
      <c r="F19689" s="2" t="s">
        <v>345</v>
      </c>
    </row>
    <row r="19690" spans="1:6" ht="25.5">
      <c r="A19690" s="2">
        <v>19687</v>
      </c>
      <c r="B19690" s="2" t="s">
        <v>19757</v>
      </c>
      <c r="C19690" s="2" t="str">
        <f>"13012193"</f>
        <v>13012193</v>
      </c>
      <c r="D19690" s="2">
        <v>0.1</v>
      </c>
      <c r="E19690" s="2">
        <v>1</v>
      </c>
      <c r="F19690" s="2" t="s">
        <v>345</v>
      </c>
    </row>
    <row r="19691" spans="1:6" ht="25.5">
      <c r="A19691" s="2">
        <v>19688</v>
      </c>
      <c r="B19691" s="2" t="s">
        <v>19758</v>
      </c>
      <c r="C19691" s="2" t="str">
        <f>"13036157"</f>
        <v>13036157</v>
      </c>
      <c r="D19691" s="2">
        <v>0.16600000000000001</v>
      </c>
      <c r="E19691" s="2">
        <v>17</v>
      </c>
      <c r="F19691" s="2" t="s">
        <v>345</v>
      </c>
    </row>
    <row r="19692" spans="1:6" ht="25.5">
      <c r="A19692" s="2">
        <v>19689</v>
      </c>
      <c r="B19692" s="2" t="s">
        <v>19759</v>
      </c>
      <c r="C19692" s="2" t="str">
        <f>"13011111"</f>
        <v>13011111</v>
      </c>
      <c r="D19692" s="2">
        <v>0.36599999999999999</v>
      </c>
      <c r="E19692" s="2">
        <v>4</v>
      </c>
      <c r="F19692" s="2" t="s">
        <v>345</v>
      </c>
    </row>
    <row r="19693" spans="1:6" ht="25.5">
      <c r="A19693" s="2">
        <v>19690</v>
      </c>
      <c r="B19693" s="2" t="s">
        <v>19760</v>
      </c>
      <c r="C19693" s="2" t="str">
        <f>"13032712"</f>
        <v>13032712</v>
      </c>
      <c r="D19693" s="2">
        <v>0.24199999999999999</v>
      </c>
      <c r="E19693" s="2">
        <v>7</v>
      </c>
      <c r="F19693" s="2" t="s">
        <v>345</v>
      </c>
    </row>
    <row r="19694" spans="1:6" ht="25.5">
      <c r="A19694" s="2">
        <v>19691</v>
      </c>
      <c r="B19694" s="2" t="s">
        <v>19761</v>
      </c>
      <c r="C19694" s="2" t="str">
        <f>"13004948"</f>
        <v>13004948</v>
      </c>
      <c r="D19694" s="2">
        <v>0.20499999999999999</v>
      </c>
      <c r="E19694" s="2">
        <v>16</v>
      </c>
      <c r="F19694" s="2" t="s">
        <v>345</v>
      </c>
    </row>
    <row r="19695" spans="1:6" ht="25.5">
      <c r="A19695" s="2">
        <v>19692</v>
      </c>
      <c r="B19695" s="2" t="s">
        <v>19762</v>
      </c>
      <c r="C19695" s="2" t="str">
        <f>"13007777"</f>
        <v>13007777</v>
      </c>
      <c r="D19695" s="2">
        <v>0.14399999999999999</v>
      </c>
      <c r="E19695" s="2">
        <v>9</v>
      </c>
      <c r="F19695" s="2" t="s">
        <v>345</v>
      </c>
    </row>
    <row r="19696" spans="1:6" ht="25.5">
      <c r="A19696" s="2">
        <v>19693</v>
      </c>
      <c r="B19696" s="2" t="s">
        <v>19763</v>
      </c>
      <c r="C19696" s="2" t="str">
        <f>"1301109X"</f>
        <v>1301109X</v>
      </c>
      <c r="D19696" s="2">
        <v>0.10299999999999999</v>
      </c>
      <c r="E19696" s="2">
        <v>2</v>
      </c>
      <c r="F19696" s="2" t="s">
        <v>345</v>
      </c>
    </row>
    <row r="19697" spans="1:6" ht="25.5">
      <c r="A19697" s="2">
        <v>19694</v>
      </c>
      <c r="B19697" s="2" t="s">
        <v>19764</v>
      </c>
      <c r="C19697" s="2" t="str">
        <f>"13000098"</f>
        <v>13000098</v>
      </c>
      <c r="D19697" s="2">
        <v>0.56699999999999995</v>
      </c>
      <c r="E19697" s="2">
        <v>13</v>
      </c>
      <c r="F19697" s="2" t="s">
        <v>345</v>
      </c>
    </row>
    <row r="19698" spans="1:6" ht="25.5">
      <c r="A19698" s="2">
        <v>19695</v>
      </c>
      <c r="B19698" s="2" t="s">
        <v>19765</v>
      </c>
      <c r="C19698" s="2" t="str">
        <f>"13036165"</f>
        <v>13036165</v>
      </c>
      <c r="D19698" s="2">
        <v>0.223</v>
      </c>
      <c r="E19698" s="2">
        <v>13</v>
      </c>
      <c r="F19698" s="2" t="s">
        <v>345</v>
      </c>
    </row>
    <row r="19699" spans="1:6" ht="25.5">
      <c r="A19699" s="2">
        <v>19696</v>
      </c>
      <c r="B19699" s="2" t="s">
        <v>19766</v>
      </c>
      <c r="C19699" s="2" t="str">
        <f>"00414301"</f>
        <v>00414301</v>
      </c>
      <c r="D19699" s="2">
        <v>0.23200000000000001</v>
      </c>
      <c r="E19699" s="2">
        <v>23</v>
      </c>
      <c r="F19699" s="2" t="s">
        <v>345</v>
      </c>
    </row>
    <row r="19700" spans="1:6" ht="25.5">
      <c r="A19700" s="2">
        <v>19697</v>
      </c>
      <c r="B19700" s="2" t="s">
        <v>19767</v>
      </c>
      <c r="C19700" s="2" t="str">
        <f>"1304530X"</f>
        <v>1304530X</v>
      </c>
      <c r="D19700" s="2">
        <v>0.16500000000000001</v>
      </c>
      <c r="E19700" s="2">
        <v>5</v>
      </c>
      <c r="F19700" s="2" t="s">
        <v>345</v>
      </c>
    </row>
    <row r="19701" spans="1:6" ht="25.5">
      <c r="A19701" s="2">
        <v>19698</v>
      </c>
      <c r="B19701" s="2" t="s">
        <v>19768</v>
      </c>
      <c r="C19701" s="2" t="str">
        <f>"13036122"</f>
        <v>13036122</v>
      </c>
      <c r="D19701" s="2">
        <v>0.125</v>
      </c>
      <c r="E19701" s="2">
        <v>14</v>
      </c>
      <c r="F19701" s="2" t="s">
        <v>345</v>
      </c>
    </row>
    <row r="19702" spans="1:6" ht="25.5">
      <c r="A19702" s="2">
        <v>19699</v>
      </c>
      <c r="B19702" s="2" t="s">
        <v>19769</v>
      </c>
      <c r="C19702" s="2" t="str">
        <f>"13090291"</f>
        <v>13090291</v>
      </c>
      <c r="D19702" s="2">
        <v>0.13600000000000001</v>
      </c>
      <c r="E19702" s="2">
        <v>3</v>
      </c>
      <c r="F19702" s="2" t="s">
        <v>345</v>
      </c>
    </row>
    <row r="19703" spans="1:6" ht="25.5">
      <c r="A19703" s="2">
        <v>19700</v>
      </c>
      <c r="B19703" s="2" t="s">
        <v>19770</v>
      </c>
      <c r="C19703" s="2" t="str">
        <f>"13000705"</f>
        <v>13000705</v>
      </c>
      <c r="D19703" s="2">
        <v>0.11</v>
      </c>
      <c r="E19703" s="2">
        <v>2</v>
      </c>
      <c r="F19703" s="2" t="s">
        <v>345</v>
      </c>
    </row>
    <row r="19704" spans="1:6" ht="25.5">
      <c r="A19704" s="2">
        <v>19701</v>
      </c>
      <c r="B19704" s="2" t="s">
        <v>19771</v>
      </c>
      <c r="C19704" s="2" t="str">
        <f>"13015680"</f>
        <v>13015680</v>
      </c>
      <c r="D19704" s="2">
        <v>0.11899999999999999</v>
      </c>
      <c r="E19704" s="2">
        <v>3</v>
      </c>
      <c r="F19704" s="2" t="s">
        <v>345</v>
      </c>
    </row>
    <row r="19705" spans="1:6" ht="25.5">
      <c r="A19705" s="2">
        <v>19702</v>
      </c>
      <c r="B19705" s="2" t="s">
        <v>19772</v>
      </c>
      <c r="C19705" s="2" t="str">
        <f>"13036181"</f>
        <v>13036181</v>
      </c>
      <c r="D19705" s="2">
        <v>0.19800000000000001</v>
      </c>
      <c r="E19705" s="2">
        <v>17</v>
      </c>
      <c r="F19705" s="2" t="s">
        <v>345</v>
      </c>
    </row>
    <row r="19706" spans="1:6" ht="25.5">
      <c r="A19706" s="2">
        <v>19703</v>
      </c>
      <c r="B19706" s="2" t="s">
        <v>19773</v>
      </c>
      <c r="C19706" s="2" t="str">
        <f>"13036114"</f>
        <v>13036114</v>
      </c>
      <c r="D19706" s="2">
        <v>0.245</v>
      </c>
      <c r="E19706" s="2">
        <v>16</v>
      </c>
      <c r="F19706" s="2" t="s">
        <v>345</v>
      </c>
    </row>
    <row r="19707" spans="1:6" ht="25.5">
      <c r="A19707" s="2">
        <v>19704</v>
      </c>
      <c r="B19707" s="2" t="s">
        <v>19774</v>
      </c>
      <c r="C19707" s="2" t="str">
        <f>"13007718"</f>
        <v>13007718</v>
      </c>
      <c r="D19707" s="2">
        <v>0.13900000000000001</v>
      </c>
      <c r="E19707" s="2">
        <v>1</v>
      </c>
      <c r="F19707" s="2" t="s">
        <v>345</v>
      </c>
    </row>
    <row r="19708" spans="1:6" ht="25.5">
      <c r="A19708" s="2">
        <v>19705</v>
      </c>
      <c r="B19708" s="2" t="s">
        <v>19775</v>
      </c>
      <c r="C19708" s="2" t="str">
        <f>"10195157"</f>
        <v>10195157</v>
      </c>
      <c r="D19708" s="2">
        <v>0.28199999999999997</v>
      </c>
      <c r="E19708" s="2">
        <v>9</v>
      </c>
      <c r="F19708" s="2" t="s">
        <v>345</v>
      </c>
    </row>
    <row r="19709" spans="1:6" ht="25.5">
      <c r="A19709" s="2">
        <v>19706</v>
      </c>
      <c r="B19709" s="2" t="s">
        <v>19776</v>
      </c>
      <c r="C19709" s="2" t="str">
        <f>"13026488"</f>
        <v>13026488</v>
      </c>
      <c r="D19709" s="2">
        <v>0.11799999999999999</v>
      </c>
      <c r="E19709" s="2">
        <v>8</v>
      </c>
      <c r="F19709" s="2" t="s">
        <v>345</v>
      </c>
    </row>
    <row r="19710" spans="1:6" ht="25.5">
      <c r="A19710" s="2">
        <v>19707</v>
      </c>
      <c r="B19710" s="2" t="s">
        <v>19777</v>
      </c>
      <c r="C19710" s="2" t="str">
        <f>"13036521"</f>
        <v>13036521</v>
      </c>
      <c r="D19710" s="2">
        <v>0.53700000000000003</v>
      </c>
      <c r="E19710" s="2">
        <v>10</v>
      </c>
      <c r="F19710" s="2" t="s">
        <v>345</v>
      </c>
    </row>
    <row r="19711" spans="1:6" ht="25.5">
      <c r="A19711" s="2">
        <v>19708</v>
      </c>
      <c r="B19711" s="2" t="s">
        <v>19778</v>
      </c>
      <c r="C19711" s="2" t="str">
        <f>"14683849"</f>
        <v>14683849</v>
      </c>
      <c r="D19711" s="2">
        <v>0.69399999999999995</v>
      </c>
      <c r="E19711" s="2">
        <v>5</v>
      </c>
      <c r="F19711" s="2" t="s">
        <v>16</v>
      </c>
    </row>
    <row r="19712" spans="1:6" ht="25.5">
      <c r="A19712" s="2">
        <v>19709</v>
      </c>
      <c r="B19712" s="2" t="s">
        <v>19779</v>
      </c>
      <c r="C19712" s="2" t="str">
        <f>"13047361"</f>
        <v>13047361</v>
      </c>
      <c r="D19712" s="2">
        <v>0.10100000000000001</v>
      </c>
      <c r="E19712" s="2">
        <v>0</v>
      </c>
      <c r="F19712" s="2" t="s">
        <v>345</v>
      </c>
    </row>
    <row r="19713" spans="1:6" ht="25.5">
      <c r="A19713" s="2">
        <v>19710</v>
      </c>
      <c r="B19713" s="2" t="s">
        <v>19780</v>
      </c>
      <c r="C19713" s="2" t="str">
        <f>"10106960"</f>
        <v>10106960</v>
      </c>
      <c r="D19713" s="2">
        <v>0.151</v>
      </c>
      <c r="E19713" s="2">
        <v>2</v>
      </c>
      <c r="F19713" s="2" t="s">
        <v>345</v>
      </c>
    </row>
    <row r="19714" spans="1:6" ht="25.5">
      <c r="A19714" s="2">
        <v>19711</v>
      </c>
      <c r="B19714" s="2" t="s">
        <v>19781</v>
      </c>
      <c r="C19714" s="2" t="str">
        <f>"13067656"</f>
        <v>13067656</v>
      </c>
      <c r="D19714" s="2">
        <v>0.13100000000000001</v>
      </c>
      <c r="E19714" s="2">
        <v>2</v>
      </c>
      <c r="F19714" s="2" t="s">
        <v>345</v>
      </c>
    </row>
    <row r="19715" spans="1:6" ht="25.5">
      <c r="A19715" s="2">
        <v>19712</v>
      </c>
      <c r="B19715" s="2" t="s">
        <v>19782</v>
      </c>
      <c r="C19715" s="2" t="str">
        <f>"13000330"</f>
        <v>13000330</v>
      </c>
      <c r="D19715" s="2">
        <v>0.104</v>
      </c>
      <c r="E19715" s="2">
        <v>1</v>
      </c>
      <c r="F19715" s="2" t="s">
        <v>345</v>
      </c>
    </row>
    <row r="19716" spans="1:6" ht="25.5">
      <c r="A19716" s="2">
        <v>19713</v>
      </c>
      <c r="B19716" s="2" t="s">
        <v>19783</v>
      </c>
      <c r="C19716" s="2" t="str">
        <f>"13000306"</f>
        <v>13000306</v>
      </c>
      <c r="D19716" s="2">
        <v>0.13900000000000001</v>
      </c>
      <c r="E19716" s="2">
        <v>2</v>
      </c>
      <c r="F19716" s="2" t="s">
        <v>345</v>
      </c>
    </row>
    <row r="19717" spans="1:6" ht="25.5">
      <c r="A19717" s="2">
        <v>19714</v>
      </c>
      <c r="B19717" s="2" t="s">
        <v>19784</v>
      </c>
      <c r="C19717" s="2" t="str">
        <f>"13000292"</f>
        <v>13000292</v>
      </c>
      <c r="D19717" s="2">
        <v>0.187</v>
      </c>
      <c r="E19717" s="2">
        <v>7</v>
      </c>
      <c r="F19717" s="2" t="s">
        <v>345</v>
      </c>
    </row>
    <row r="19718" spans="1:6" ht="25.5">
      <c r="A19718" s="2">
        <v>19715</v>
      </c>
      <c r="B19718" s="2" t="s">
        <v>19785</v>
      </c>
      <c r="C19718" s="2" t="str">
        <f>"13000381"</f>
        <v>13000381</v>
      </c>
      <c r="D19718" s="2">
        <v>0.122</v>
      </c>
      <c r="E19718" s="2">
        <v>2</v>
      </c>
      <c r="F19718" s="2" t="s">
        <v>345</v>
      </c>
    </row>
    <row r="19719" spans="1:6" ht="25.5">
      <c r="A19719" s="2">
        <v>19716</v>
      </c>
      <c r="B19719" s="2" t="s">
        <v>19786</v>
      </c>
      <c r="C19719" s="2" t="str">
        <f>"13006320"</f>
        <v>13006320</v>
      </c>
      <c r="D19719" s="2">
        <v>0.13500000000000001</v>
      </c>
      <c r="E19719" s="2">
        <v>9</v>
      </c>
      <c r="F19719" s="2" t="s">
        <v>345</v>
      </c>
    </row>
    <row r="19720" spans="1:6" ht="25.5">
      <c r="A19720" s="2">
        <v>19717</v>
      </c>
      <c r="B19720" s="2" t="s">
        <v>19787</v>
      </c>
      <c r="C19720" s="2" t="str">
        <f>"13018841"</f>
        <v>13018841</v>
      </c>
      <c r="D19720" s="2">
        <v>0.1</v>
      </c>
      <c r="E19720" s="2">
        <v>1</v>
      </c>
      <c r="F19720" s="2" t="s">
        <v>345</v>
      </c>
    </row>
    <row r="19721" spans="1:6" ht="25.5">
      <c r="A19721" s="2">
        <v>19718</v>
      </c>
      <c r="B19721" s="2" t="s">
        <v>19788</v>
      </c>
      <c r="C19721" s="2" t="str">
        <f>"13054252"</f>
        <v>13054252</v>
      </c>
      <c r="D19721" s="2">
        <v>0.105</v>
      </c>
      <c r="E19721" s="2">
        <v>2</v>
      </c>
      <c r="F19721" s="2" t="s">
        <v>345</v>
      </c>
    </row>
    <row r="19722" spans="1:6" ht="25.5">
      <c r="A19722" s="2">
        <v>19719</v>
      </c>
      <c r="B19722" s="2" t="s">
        <v>19789</v>
      </c>
      <c r="C19722" s="2" t="str">
        <f>"10165169"</f>
        <v>10165169</v>
      </c>
      <c r="D19722" s="2">
        <v>0.14499999999999999</v>
      </c>
      <c r="E19722" s="2">
        <v>8</v>
      </c>
      <c r="F19722" s="2" t="s">
        <v>345</v>
      </c>
    </row>
    <row r="19723" spans="1:6" ht="25.5">
      <c r="A19723" s="2">
        <v>19720</v>
      </c>
      <c r="B19723" s="2" t="s">
        <v>19790</v>
      </c>
      <c r="C19723" s="2" t="str">
        <f>"13068253"</f>
        <v>13068253</v>
      </c>
      <c r="D19723" s="2">
        <v>0.13800000000000001</v>
      </c>
      <c r="E19723" s="2">
        <v>3</v>
      </c>
      <c r="F19723" s="2" t="s">
        <v>345</v>
      </c>
    </row>
    <row r="19724" spans="1:6" ht="25.5">
      <c r="A19724" s="2">
        <v>19721</v>
      </c>
      <c r="B19724" s="2" t="s">
        <v>19791</v>
      </c>
      <c r="C19724" s="2" t="str">
        <f>"1301062X"</f>
        <v>1301062X</v>
      </c>
      <c r="D19724" s="2">
        <v>0.104</v>
      </c>
      <c r="E19724" s="2">
        <v>1</v>
      </c>
      <c r="F19724" s="2" t="s">
        <v>345</v>
      </c>
    </row>
    <row r="19725" spans="1:6" ht="25.5">
      <c r="A19725" s="2">
        <v>19722</v>
      </c>
      <c r="B19725" s="2" t="s">
        <v>19792</v>
      </c>
      <c r="C19725" s="2" t="str">
        <f>"13000659"</f>
        <v>13000659</v>
      </c>
      <c r="D19725" s="2">
        <v>0.107</v>
      </c>
      <c r="E19725" s="2">
        <v>1</v>
      </c>
      <c r="F19725" s="2" t="s">
        <v>345</v>
      </c>
    </row>
    <row r="19726" spans="1:6" ht="25.5">
      <c r="A19726" s="2">
        <v>19723</v>
      </c>
      <c r="B19726" s="2" t="s">
        <v>19793</v>
      </c>
      <c r="C19726" s="2" t="str">
        <f>"13007467"</f>
        <v>13007467</v>
      </c>
      <c r="D19726" s="2">
        <v>0.105</v>
      </c>
      <c r="E19726" s="2">
        <v>2</v>
      </c>
      <c r="F19726" s="2" t="s">
        <v>345</v>
      </c>
    </row>
    <row r="19727" spans="1:6" ht="25.5">
      <c r="A19727" s="2">
        <v>19724</v>
      </c>
      <c r="B19727" s="2" t="s">
        <v>19794</v>
      </c>
      <c r="C19727" s="2" t="str">
        <f>"21463816"</f>
        <v>21463816</v>
      </c>
      <c r="D19727" s="2">
        <v>0.15</v>
      </c>
      <c r="E19727" s="2">
        <v>1</v>
      </c>
      <c r="F19727" s="2" t="s">
        <v>345</v>
      </c>
    </row>
    <row r="19728" spans="1:6" ht="25.5">
      <c r="A19728" s="2">
        <v>19725</v>
      </c>
      <c r="B19728" s="2" t="s">
        <v>19795</v>
      </c>
      <c r="C19728" s="2" t="str">
        <f>"10185615"</f>
        <v>10185615</v>
      </c>
      <c r="D19728" s="2">
        <v>0.11899999999999999</v>
      </c>
      <c r="E19728" s="2">
        <v>2</v>
      </c>
      <c r="F19728" s="2" t="s">
        <v>345</v>
      </c>
    </row>
    <row r="19729" spans="1:6" ht="25.5">
      <c r="A19729" s="2">
        <v>19726</v>
      </c>
      <c r="B19729" s="2" t="s">
        <v>19796</v>
      </c>
      <c r="C19729" s="2" t="str">
        <f>"13060015"</f>
        <v>13060015</v>
      </c>
      <c r="D19729" s="2">
        <v>0.11700000000000001</v>
      </c>
      <c r="E19729" s="2">
        <v>3</v>
      </c>
      <c r="F19729" s="2" t="s">
        <v>345</v>
      </c>
    </row>
    <row r="19730" spans="1:6" ht="25.5">
      <c r="A19730" s="2">
        <v>19727</v>
      </c>
      <c r="B19730" s="2" t="s">
        <v>19797</v>
      </c>
      <c r="C19730" s="2" t="str">
        <f>"13006878"</f>
        <v>13006878</v>
      </c>
      <c r="D19730" s="2">
        <v>0.10100000000000001</v>
      </c>
      <c r="E19730" s="2">
        <v>0</v>
      </c>
      <c r="F19730" s="2" t="s">
        <v>345</v>
      </c>
    </row>
    <row r="19731" spans="1:6" ht="25.5">
      <c r="A19731" s="2">
        <v>19728</v>
      </c>
      <c r="B19731" s="2" t="s">
        <v>19798</v>
      </c>
      <c r="C19731" s="2" t="str">
        <f>"13002163"</f>
        <v>13002163</v>
      </c>
      <c r="D19731" s="2">
        <v>0.21099999999999999</v>
      </c>
      <c r="E19731" s="2">
        <v>12</v>
      </c>
      <c r="F19731" s="2" t="s">
        <v>345</v>
      </c>
    </row>
    <row r="19732" spans="1:6" ht="25.5">
      <c r="A19732" s="2">
        <v>19729</v>
      </c>
      <c r="B19732" s="2" t="s">
        <v>19799</v>
      </c>
      <c r="C19732" s="2" t="str">
        <f>"13004433"</f>
        <v>13004433</v>
      </c>
      <c r="D19732" s="2">
        <v>0.11</v>
      </c>
      <c r="E19732" s="2">
        <v>7</v>
      </c>
      <c r="F19732" s="2" t="s">
        <v>345</v>
      </c>
    </row>
    <row r="19733" spans="1:6" ht="25.5">
      <c r="A19733" s="2">
        <v>19730</v>
      </c>
      <c r="B19733" s="2" t="s">
        <v>19800</v>
      </c>
      <c r="C19733" s="2" t="str">
        <f>"13011375"</f>
        <v>13011375</v>
      </c>
      <c r="D19733" s="2">
        <v>0.1</v>
      </c>
      <c r="E19733" s="2">
        <v>2</v>
      </c>
      <c r="F19733" s="2" t="s">
        <v>345</v>
      </c>
    </row>
    <row r="19734" spans="1:6" ht="25.5">
      <c r="A19734" s="2">
        <v>19731</v>
      </c>
      <c r="B19734" s="2" t="s">
        <v>19801</v>
      </c>
      <c r="C19734" s="2" t="str">
        <f>"13036173"</f>
        <v>13036173</v>
      </c>
      <c r="D19734" s="2">
        <v>0.35299999999999998</v>
      </c>
      <c r="E19734" s="2">
        <v>20</v>
      </c>
      <c r="F19734" s="2" t="s">
        <v>345</v>
      </c>
    </row>
    <row r="19735" spans="1:6" ht="25.5">
      <c r="A19735" s="2">
        <v>19732</v>
      </c>
      <c r="B19735" s="2" t="s">
        <v>19802</v>
      </c>
      <c r="C19735" s="2" t="str">
        <f>"13085387"</f>
        <v>13085387</v>
      </c>
      <c r="D19735" s="2">
        <v>0.10199999999999999</v>
      </c>
      <c r="E19735" s="2">
        <v>2</v>
      </c>
      <c r="F19735" s="2" t="s">
        <v>345</v>
      </c>
    </row>
    <row r="19736" spans="1:6" ht="25.5">
      <c r="A19736" s="2">
        <v>19733</v>
      </c>
      <c r="B19736" s="2" t="s">
        <v>19803</v>
      </c>
      <c r="C19736" s="2" t="str">
        <f>"13005804"</f>
        <v>13005804</v>
      </c>
      <c r="D19736" s="2">
        <v>0.127</v>
      </c>
      <c r="E19736" s="2">
        <v>5</v>
      </c>
      <c r="F19736" s="2" t="s">
        <v>345</v>
      </c>
    </row>
    <row r="19737" spans="1:6" ht="25.5">
      <c r="A19737" s="2">
        <v>19734</v>
      </c>
      <c r="B19737" s="2" t="s">
        <v>19804</v>
      </c>
      <c r="C19737" s="2" t="str">
        <f>"07814240"</f>
        <v>07814240</v>
      </c>
      <c r="D19737" s="2">
        <v>0.10100000000000001</v>
      </c>
      <c r="E19737" s="2">
        <v>3</v>
      </c>
      <c r="F19737" s="2" t="s">
        <v>751</v>
      </c>
    </row>
    <row r="19738" spans="1:6" ht="25.5">
      <c r="A19738" s="2">
        <v>19735</v>
      </c>
      <c r="B19738" s="2" t="s">
        <v>19805</v>
      </c>
      <c r="C19738" s="2" t="str">
        <f>"14774674"</f>
        <v>14774674</v>
      </c>
      <c r="D19738" s="2">
        <v>0.38600000000000001</v>
      </c>
      <c r="E19738" s="2">
        <v>7</v>
      </c>
      <c r="F19738" s="2" t="s">
        <v>6</v>
      </c>
    </row>
    <row r="19739" spans="1:6" ht="25.5">
      <c r="A19739" s="2">
        <v>19736</v>
      </c>
      <c r="B19739" s="2" t="s">
        <v>19806</v>
      </c>
      <c r="C19739" s="2" t="str">
        <f>"19405065"</f>
        <v>19405065</v>
      </c>
      <c r="D19739" s="2">
        <v>0</v>
      </c>
      <c r="E19739" s="2">
        <v>0</v>
      </c>
      <c r="F19739" s="2" t="s">
        <v>16</v>
      </c>
    </row>
    <row r="19740" spans="1:6" ht="25.5">
      <c r="A19740" s="2">
        <v>19737</v>
      </c>
      <c r="B19740" s="2" t="s">
        <v>19807</v>
      </c>
      <c r="C19740" s="2" t="str">
        <f>"0041462X"</f>
        <v>0041462X</v>
      </c>
      <c r="D19740" s="2">
        <v>0.114</v>
      </c>
      <c r="E19740" s="2">
        <v>5</v>
      </c>
      <c r="F19740" s="2" t="s">
        <v>6</v>
      </c>
    </row>
    <row r="19741" spans="1:6" ht="25.5">
      <c r="A19741" s="2">
        <v>19738</v>
      </c>
      <c r="B19741" s="2" t="s">
        <v>19808</v>
      </c>
      <c r="C19741" s="2" t="str">
        <f>"17450152"</f>
        <v>17450152</v>
      </c>
      <c r="D19741" s="2">
        <v>0.245</v>
      </c>
      <c r="E19741" s="2">
        <v>6</v>
      </c>
      <c r="F19741" s="2" t="s">
        <v>16</v>
      </c>
    </row>
    <row r="19742" spans="1:6" ht="25.5">
      <c r="A19742" s="2">
        <v>19739</v>
      </c>
      <c r="B19742" s="2" t="s">
        <v>19809</v>
      </c>
      <c r="C19742" s="2" t="str">
        <f>"18324274"</f>
        <v>18324274</v>
      </c>
      <c r="D19742" s="2">
        <v>0.76800000000000002</v>
      </c>
      <c r="E19742" s="2">
        <v>51</v>
      </c>
      <c r="F19742" s="2" t="s">
        <v>127</v>
      </c>
    </row>
    <row r="19743" spans="1:6" ht="25.5">
      <c r="A19743" s="2">
        <v>19740</v>
      </c>
      <c r="B19743" s="2" t="s">
        <v>19810</v>
      </c>
      <c r="C19743" s="2" t="str">
        <f>"00414751"</f>
        <v>00414751</v>
      </c>
      <c r="D19743" s="2">
        <v>0.19400000000000001</v>
      </c>
      <c r="E19743" s="2">
        <v>3</v>
      </c>
      <c r="F19743" s="2" t="s">
        <v>410</v>
      </c>
    </row>
    <row r="19744" spans="1:6" ht="25.5">
      <c r="A19744" s="2">
        <v>19741</v>
      </c>
      <c r="B19744" s="2" t="s">
        <v>19811</v>
      </c>
      <c r="C19744" s="2" t="str">
        <f>"19962207"</f>
        <v>19962207</v>
      </c>
      <c r="D19744" s="2">
        <v>0.123</v>
      </c>
      <c r="E19744" s="2">
        <v>2</v>
      </c>
      <c r="F19744" s="2" t="s">
        <v>410</v>
      </c>
    </row>
    <row r="19745" spans="1:6" ht="25.5">
      <c r="A19745" s="2">
        <v>19742</v>
      </c>
      <c r="B19745" s="2" t="s">
        <v>19812</v>
      </c>
      <c r="C19745" s="2" t="str">
        <f>"0041476X"</f>
        <v>0041476X</v>
      </c>
      <c r="D19745" s="2">
        <v>0.10100000000000001</v>
      </c>
      <c r="E19745" s="2">
        <v>1</v>
      </c>
      <c r="F19745" s="2" t="s">
        <v>410</v>
      </c>
    </row>
    <row r="19746" spans="1:6" ht="25.5">
      <c r="A19746" s="2">
        <v>19743</v>
      </c>
      <c r="B19746" s="2" t="s">
        <v>19813</v>
      </c>
      <c r="C19746" s="2" t="str">
        <f>"1870719X"</f>
        <v>1870719X</v>
      </c>
      <c r="D19746" s="2">
        <v>0</v>
      </c>
      <c r="E19746" s="2">
        <v>0</v>
      </c>
      <c r="F19746" s="2" t="s">
        <v>200</v>
      </c>
    </row>
    <row r="19747" spans="1:6" ht="25.5">
      <c r="A19747" s="2">
        <v>19744</v>
      </c>
      <c r="B19747" s="2" t="s">
        <v>19814</v>
      </c>
      <c r="C19747" s="2" t="str">
        <f>"10163190"</f>
        <v>10163190</v>
      </c>
      <c r="D19747" s="2">
        <v>0.106</v>
      </c>
      <c r="E19747" s="2">
        <v>6</v>
      </c>
      <c r="F19747" s="2" t="s">
        <v>543</v>
      </c>
    </row>
    <row r="19748" spans="1:6" ht="25.5">
      <c r="A19748" s="2">
        <v>19745</v>
      </c>
      <c r="B19748" s="2" t="s">
        <v>19815</v>
      </c>
      <c r="C19748" s="2" t="str">
        <f>"00415650"</f>
        <v>00415650</v>
      </c>
      <c r="D19748" s="2">
        <v>0.99399999999999999</v>
      </c>
      <c r="E19748" s="2">
        <v>18</v>
      </c>
      <c r="F19748" s="2" t="s">
        <v>6</v>
      </c>
    </row>
    <row r="19749" spans="1:6" ht="25.5">
      <c r="A19749" s="2">
        <v>19746</v>
      </c>
      <c r="B19749" s="2" t="s">
        <v>19816</v>
      </c>
      <c r="C19749" s="2" t="str">
        <f>"15056740"</f>
        <v>15056740</v>
      </c>
      <c r="D19749" s="2">
        <v>0.10100000000000001</v>
      </c>
      <c r="E19749" s="2">
        <v>3</v>
      </c>
      <c r="F19749" s="2" t="s">
        <v>169</v>
      </c>
    </row>
    <row r="19750" spans="1:6" ht="25.5">
      <c r="A19750" s="2">
        <v>19747</v>
      </c>
      <c r="B19750" s="2" t="s">
        <v>19817</v>
      </c>
      <c r="C19750" s="2" t="str">
        <f>"00415782"</f>
        <v>00415782</v>
      </c>
      <c r="D19750" s="2">
        <v>0.14099999999999999</v>
      </c>
      <c r="E19750" s="2">
        <v>21</v>
      </c>
      <c r="F19750" s="2" t="s">
        <v>163</v>
      </c>
    </row>
    <row r="19751" spans="1:6" ht="25.5">
      <c r="A19751" s="2">
        <v>19748</v>
      </c>
      <c r="B19751" s="2" t="s">
        <v>19818</v>
      </c>
      <c r="C19751" s="2" t="str">
        <f>"1306133X"</f>
        <v>1306133X</v>
      </c>
      <c r="D19751" s="2">
        <v>0.216</v>
      </c>
      <c r="E19751" s="2">
        <v>6</v>
      </c>
      <c r="F19751" s="2" t="s">
        <v>345</v>
      </c>
    </row>
    <row r="19752" spans="1:6" ht="25.5">
      <c r="A19752" s="2">
        <v>19749</v>
      </c>
      <c r="B19752" s="2" t="s">
        <v>19819</v>
      </c>
      <c r="C19752" s="2" t="str">
        <f>"00426857"</f>
        <v>00426857</v>
      </c>
      <c r="D19752" s="2">
        <v>0.114</v>
      </c>
      <c r="E19752" s="2">
        <v>7</v>
      </c>
      <c r="F19752" s="2" t="s">
        <v>131</v>
      </c>
    </row>
    <row r="19753" spans="1:6" ht="25.5">
      <c r="A19753" s="2">
        <v>19750</v>
      </c>
      <c r="B19753" s="2" t="s">
        <v>19820</v>
      </c>
      <c r="C19753" s="2" t="str">
        <f>"1225505X"</f>
        <v>1225505X</v>
      </c>
      <c r="D19753" s="2">
        <v>0.1</v>
      </c>
      <c r="E19753" s="2">
        <v>3</v>
      </c>
      <c r="F19753" s="2" t="s">
        <v>274</v>
      </c>
    </row>
    <row r="19754" spans="1:6" ht="25.5">
      <c r="A19754" s="2">
        <v>19751</v>
      </c>
      <c r="B19754" s="2" t="s">
        <v>19821</v>
      </c>
      <c r="C19754" s="2" t="str">
        <f>"16091833"</f>
        <v>16091833</v>
      </c>
      <c r="D19754" s="2">
        <v>0.33400000000000002</v>
      </c>
      <c r="E19754" s="2">
        <v>5</v>
      </c>
      <c r="F19754" s="2" t="s">
        <v>438</v>
      </c>
    </row>
    <row r="19755" spans="1:6" ht="25.5">
      <c r="A19755" s="2">
        <v>19752</v>
      </c>
      <c r="B19755" s="2" t="s">
        <v>19822</v>
      </c>
      <c r="C19755" s="2" t="str">
        <f>"05031265"</f>
        <v>05031265</v>
      </c>
      <c r="D19755" s="2">
        <v>0.152</v>
      </c>
      <c r="E19755" s="2">
        <v>6</v>
      </c>
      <c r="F19755" s="2" t="s">
        <v>438</v>
      </c>
    </row>
    <row r="19756" spans="1:6" ht="25.5">
      <c r="A19756" s="2">
        <v>19753</v>
      </c>
      <c r="B19756" s="2" t="s">
        <v>19823</v>
      </c>
      <c r="C19756" s="2" t="str">
        <f>"15739376"</f>
        <v>15739376</v>
      </c>
      <c r="D19756" s="2">
        <v>0.27200000000000002</v>
      </c>
      <c r="E19756" s="2">
        <v>9</v>
      </c>
      <c r="F19756" s="2" t="s">
        <v>6</v>
      </c>
    </row>
    <row r="19757" spans="1:6" ht="25.5">
      <c r="A19757" s="2">
        <v>19754</v>
      </c>
      <c r="B19757" s="2" t="s">
        <v>19824</v>
      </c>
      <c r="C19757" s="2" t="str">
        <f>"02018470"</f>
        <v>02018470</v>
      </c>
      <c r="D19757" s="2">
        <v>0.11799999999999999</v>
      </c>
      <c r="E19757" s="2">
        <v>9</v>
      </c>
      <c r="F19757" s="2" t="s">
        <v>438</v>
      </c>
    </row>
    <row r="19758" spans="1:6" ht="25.5">
      <c r="A19758" s="2">
        <v>19755</v>
      </c>
      <c r="B19758" s="2" t="s">
        <v>19825</v>
      </c>
      <c r="C19758" s="2" t="str">
        <f>"00827347"</f>
        <v>00827347</v>
      </c>
      <c r="D19758" s="2">
        <v>0.10199999999999999</v>
      </c>
      <c r="E19758" s="2">
        <v>1</v>
      </c>
      <c r="F19758" s="2" t="s">
        <v>732</v>
      </c>
    </row>
    <row r="19759" spans="1:6" ht="25.5">
      <c r="A19759" s="2">
        <v>19756</v>
      </c>
      <c r="B19759" s="2" t="s">
        <v>19826</v>
      </c>
      <c r="C19759" s="2" t="str">
        <f>"00416193"</f>
        <v>00416193</v>
      </c>
      <c r="D19759" s="2">
        <v>0.17</v>
      </c>
      <c r="E19759" s="2">
        <v>14</v>
      </c>
      <c r="F19759" s="2" t="s">
        <v>16</v>
      </c>
    </row>
    <row r="19760" spans="1:6" ht="25.5">
      <c r="A19760" s="2">
        <v>19757</v>
      </c>
      <c r="B19760" s="2" t="s">
        <v>19827</v>
      </c>
      <c r="C19760" s="2" t="str">
        <f>"03043991"</f>
        <v>03043991</v>
      </c>
      <c r="D19760" s="2">
        <v>1.603</v>
      </c>
      <c r="E19760" s="2">
        <v>71</v>
      </c>
      <c r="F19760" s="2" t="s">
        <v>75</v>
      </c>
    </row>
    <row r="19761" spans="1:6" ht="25.5">
      <c r="A19761" s="2">
        <v>19758</v>
      </c>
      <c r="B19761" s="2" t="s">
        <v>19828</v>
      </c>
      <c r="C19761" s="2" t="str">
        <f>"14388782"</f>
        <v>14388782</v>
      </c>
      <c r="D19761" s="2">
        <v>0.57499999999999996</v>
      </c>
      <c r="E19761" s="2">
        <v>30</v>
      </c>
      <c r="F19761" s="2" t="s">
        <v>12</v>
      </c>
    </row>
    <row r="19762" spans="1:6" ht="25.5">
      <c r="A19762" s="2">
        <v>19759</v>
      </c>
      <c r="B19762" s="2" t="s">
        <v>19829</v>
      </c>
      <c r="C19762" s="2" t="str">
        <f>"10960910"</f>
        <v>10960910</v>
      </c>
      <c r="D19762" s="2">
        <v>0.65100000000000002</v>
      </c>
      <c r="E19762" s="2">
        <v>33</v>
      </c>
      <c r="F19762" s="2" t="s">
        <v>6</v>
      </c>
    </row>
    <row r="19763" spans="1:6" ht="25.5">
      <c r="A19763" s="2">
        <v>19760</v>
      </c>
      <c r="B19763" s="2" t="s">
        <v>19830</v>
      </c>
      <c r="C19763" s="2" t="str">
        <f>"0041624X"</f>
        <v>0041624X</v>
      </c>
      <c r="D19763" s="2">
        <v>0.63900000000000001</v>
      </c>
      <c r="E19763" s="2">
        <v>51</v>
      </c>
      <c r="F19763" s="2" t="s">
        <v>75</v>
      </c>
    </row>
    <row r="19764" spans="1:6" ht="25.5">
      <c r="A19764" s="2">
        <v>19761</v>
      </c>
      <c r="B19764" s="2" t="s">
        <v>19831</v>
      </c>
      <c r="C19764" s="2" t="str">
        <f>"13504177"</f>
        <v>13504177</v>
      </c>
      <c r="D19764" s="2">
        <v>1.2669999999999999</v>
      </c>
      <c r="E19764" s="2">
        <v>60</v>
      </c>
      <c r="F19764" s="2" t="s">
        <v>75</v>
      </c>
    </row>
    <row r="19765" spans="1:6" ht="25.5">
      <c r="A19765" s="2">
        <v>19762</v>
      </c>
      <c r="B19765" s="2" t="s">
        <v>19832</v>
      </c>
      <c r="C19765" s="2" t="str">
        <f>"1742271X"</f>
        <v>1742271X</v>
      </c>
      <c r="D19765" s="2">
        <v>0.20200000000000001</v>
      </c>
      <c r="E19765" s="2">
        <v>4</v>
      </c>
      <c r="F19765" s="2" t="s">
        <v>16</v>
      </c>
    </row>
    <row r="19766" spans="1:6" ht="25.5">
      <c r="A19766" s="2">
        <v>19763</v>
      </c>
      <c r="B19766" s="2" t="s">
        <v>19833</v>
      </c>
      <c r="C19766" s="2" t="str">
        <f>"1556858X"</f>
        <v>1556858X</v>
      </c>
      <c r="D19766" s="2">
        <v>0.16200000000000001</v>
      </c>
      <c r="E19766" s="2">
        <v>5</v>
      </c>
      <c r="F19766" s="2" t="s">
        <v>16</v>
      </c>
    </row>
    <row r="19767" spans="1:6" ht="25.5">
      <c r="A19767" s="2">
        <v>19764</v>
      </c>
      <c r="B19767" s="2" t="s">
        <v>19834</v>
      </c>
      <c r="C19767" s="2" t="str">
        <f>"03015629"</f>
        <v>03015629</v>
      </c>
      <c r="D19767" s="2">
        <v>0.86399999999999999</v>
      </c>
      <c r="E19767" s="2">
        <v>85</v>
      </c>
      <c r="F19767" s="2" t="s">
        <v>6</v>
      </c>
    </row>
    <row r="19768" spans="1:6" ht="25.5">
      <c r="A19768" s="2">
        <v>19765</v>
      </c>
      <c r="B19768" s="2" t="s">
        <v>19835</v>
      </c>
      <c r="C19768" s="2" t="str">
        <f>"14690705"</f>
        <v>14690705</v>
      </c>
      <c r="D19768" s="2">
        <v>1.639</v>
      </c>
      <c r="E19768" s="2">
        <v>86</v>
      </c>
      <c r="F19768" s="2" t="s">
        <v>16</v>
      </c>
    </row>
    <row r="19769" spans="1:6" ht="25.5">
      <c r="A19769" s="2">
        <v>19766</v>
      </c>
      <c r="B19769" s="2" t="s">
        <v>19836</v>
      </c>
      <c r="C19769" s="2" t="str">
        <f>"08948771"</f>
        <v>08948771</v>
      </c>
      <c r="D19769" s="2">
        <v>0.44500000000000001</v>
      </c>
      <c r="E19769" s="2">
        <v>21</v>
      </c>
      <c r="F19769" s="2" t="s">
        <v>6</v>
      </c>
    </row>
    <row r="19770" spans="1:6" ht="25.5">
      <c r="A19770" s="2">
        <v>19767</v>
      </c>
      <c r="B19770" s="2" t="s">
        <v>19837</v>
      </c>
      <c r="C19770" s="2" t="str">
        <f>"15210758"</f>
        <v>15210758</v>
      </c>
      <c r="D19770" s="2">
        <v>0.30099999999999999</v>
      </c>
      <c r="E19770" s="2">
        <v>29</v>
      </c>
      <c r="F19770" s="2" t="s">
        <v>16</v>
      </c>
    </row>
    <row r="19771" spans="1:6" ht="25.5">
      <c r="A19771" s="2">
        <v>19768</v>
      </c>
      <c r="B19771" s="2" t="s">
        <v>19838</v>
      </c>
      <c r="C19771" s="2" t="str">
        <f>"1306696X"</f>
        <v>1306696X</v>
      </c>
      <c r="D19771" s="2">
        <v>0.23599999999999999</v>
      </c>
      <c r="E19771" s="2">
        <v>10</v>
      </c>
      <c r="F19771" s="2" t="s">
        <v>345</v>
      </c>
    </row>
    <row r="19772" spans="1:6" ht="25.5">
      <c r="A19772" s="2">
        <v>19769</v>
      </c>
      <c r="B19772" s="2" t="s">
        <v>19839</v>
      </c>
      <c r="C19772" s="2" t="str">
        <f>"13047310"</f>
        <v>13047310</v>
      </c>
      <c r="D19772" s="2">
        <v>0.11600000000000001</v>
      </c>
      <c r="E19772" s="2">
        <v>3</v>
      </c>
      <c r="F19772" s="2" t="s">
        <v>345</v>
      </c>
    </row>
    <row r="19773" spans="1:6" ht="25.5">
      <c r="A19773" s="2">
        <v>19770</v>
      </c>
      <c r="B19773" s="2" t="s">
        <v>19840</v>
      </c>
      <c r="C19773" s="2" t="str">
        <f>"00495123"</f>
        <v>00495123</v>
      </c>
      <c r="D19773" s="2">
        <v>0.13800000000000001</v>
      </c>
      <c r="E19773" s="2">
        <v>2</v>
      </c>
      <c r="F19773" s="2" t="s">
        <v>208</v>
      </c>
    </row>
    <row r="19774" spans="1:6" ht="25.5">
      <c r="A19774" s="2">
        <v>19771</v>
      </c>
      <c r="B19774" s="2" t="s">
        <v>19841</v>
      </c>
      <c r="C19774" s="2" t="str">
        <f>"14308681"</f>
        <v>14308681</v>
      </c>
      <c r="D19774" s="2">
        <v>0.189</v>
      </c>
      <c r="E19774" s="2">
        <v>13</v>
      </c>
      <c r="F19774" s="2" t="s">
        <v>12</v>
      </c>
    </row>
    <row r="19775" spans="1:6" ht="25.5">
      <c r="A19775" s="2">
        <v>19772</v>
      </c>
      <c r="B19775" s="2" t="s">
        <v>19842</v>
      </c>
      <c r="C19775" s="2" t="str">
        <f>"00416436"</f>
        <v>00416436</v>
      </c>
      <c r="D19775" s="2">
        <v>0.214</v>
      </c>
      <c r="E19775" s="2">
        <v>15</v>
      </c>
      <c r="F19775" s="2" t="s">
        <v>190</v>
      </c>
    </row>
    <row r="19776" spans="1:6" ht="25.5">
      <c r="A19776" s="2">
        <v>19773</v>
      </c>
      <c r="B19776" s="2" t="s">
        <v>19843</v>
      </c>
      <c r="C19776" s="2" t="str">
        <f>"10662936"</f>
        <v>10662936</v>
      </c>
      <c r="D19776" s="2">
        <v>0.30299999999999999</v>
      </c>
      <c r="E19776" s="2">
        <v>27</v>
      </c>
      <c r="F19776" s="2" t="s">
        <v>6</v>
      </c>
    </row>
    <row r="19777" spans="1:6" ht="25.5">
      <c r="A19777" s="2">
        <v>19774</v>
      </c>
      <c r="B19777" s="2" t="s">
        <v>19844</v>
      </c>
      <c r="C19777" s="2" t="str">
        <f>"18600840"</f>
        <v>18600840</v>
      </c>
      <c r="D19777" s="2">
        <v>0.114</v>
      </c>
      <c r="E19777" s="2">
        <v>4</v>
      </c>
      <c r="F19777" s="2" t="s">
        <v>12</v>
      </c>
    </row>
    <row r="19778" spans="1:6" ht="25.5">
      <c r="A19778" s="2">
        <v>19775</v>
      </c>
      <c r="B19778" s="2" t="s">
        <v>19845</v>
      </c>
      <c r="C19778" s="2" t="str">
        <f>"17560543"</f>
        <v>17560543</v>
      </c>
      <c r="D19778" s="2">
        <v>0.22</v>
      </c>
      <c r="E19778" s="2">
        <v>9</v>
      </c>
      <c r="F19778" s="2" t="s">
        <v>16</v>
      </c>
    </row>
    <row r="19779" spans="1:6" ht="25.5">
      <c r="A19779" s="2">
        <v>19776</v>
      </c>
      <c r="B19779" s="2" t="s">
        <v>19846</v>
      </c>
      <c r="C19779" s="2" t="str">
        <f>"16962206"</f>
        <v>16962206</v>
      </c>
      <c r="D19779" s="2">
        <v>0</v>
      </c>
      <c r="E19779" s="2">
        <v>0</v>
      </c>
      <c r="F19779" s="2" t="s">
        <v>351</v>
      </c>
    </row>
    <row r="19780" spans="1:6" ht="25.5">
      <c r="A19780" s="2">
        <v>19777</v>
      </c>
      <c r="B19780" s="2" t="s">
        <v>19847</v>
      </c>
      <c r="C19780" s="2" t="str">
        <f>"16155297"</f>
        <v>16155297</v>
      </c>
      <c r="D19780" s="2">
        <v>0.54200000000000004</v>
      </c>
      <c r="E19780" s="2">
        <v>16</v>
      </c>
      <c r="F19780" s="2" t="s">
        <v>12</v>
      </c>
    </row>
    <row r="19781" spans="1:6" ht="25.5">
      <c r="A19781" s="2">
        <v>19778</v>
      </c>
      <c r="B19781" s="2" t="s">
        <v>19848</v>
      </c>
      <c r="C19781" s="2" t="str">
        <f>"16985117"</f>
        <v>16985117</v>
      </c>
      <c r="D19781" s="2">
        <v>0.193</v>
      </c>
      <c r="E19781" s="2">
        <v>3</v>
      </c>
      <c r="F19781" s="2" t="s">
        <v>351</v>
      </c>
    </row>
    <row r="19782" spans="1:6" ht="25.5">
      <c r="A19782" s="2">
        <v>19779</v>
      </c>
      <c r="B19782" s="2" t="s">
        <v>19849</v>
      </c>
      <c r="C19782" s="2" t="str">
        <f>"03410129"</f>
        <v>03410129</v>
      </c>
      <c r="D19782" s="2">
        <v>0.10199999999999999</v>
      </c>
      <c r="E19782" s="2">
        <v>0</v>
      </c>
      <c r="F19782" s="2" t="s">
        <v>12</v>
      </c>
    </row>
    <row r="19783" spans="1:6" ht="25.5">
      <c r="A19783" s="2">
        <v>19780</v>
      </c>
      <c r="B19783" s="2" t="s">
        <v>19850</v>
      </c>
      <c r="C19783" s="2" t="str">
        <f>"16579267"</f>
        <v>16579267</v>
      </c>
      <c r="D19783" s="2">
        <v>0.377</v>
      </c>
      <c r="E19783" s="2">
        <v>7</v>
      </c>
      <c r="F19783" s="2" t="s">
        <v>184</v>
      </c>
    </row>
    <row r="19784" spans="1:6" ht="25.5">
      <c r="A19784" s="2">
        <v>19781</v>
      </c>
      <c r="B19784" s="2" t="s">
        <v>19851</v>
      </c>
      <c r="C19784" s="2" t="str">
        <f>"01227483"</f>
        <v>01227483</v>
      </c>
      <c r="D19784" s="2">
        <v>0.123</v>
      </c>
      <c r="E19784" s="2">
        <v>2</v>
      </c>
      <c r="F19784" s="2" t="s">
        <v>184</v>
      </c>
    </row>
    <row r="19785" spans="1:6">
      <c r="A19785" s="2">
        <v>19782</v>
      </c>
      <c r="B19785" s="2" t="s">
        <v>19852</v>
      </c>
      <c r="C19785" s="2" t="str">
        <f t="shared" ref="C19785:C19796" si="4">"0"</f>
        <v>0</v>
      </c>
      <c r="D19785" s="2">
        <v>0</v>
      </c>
      <c r="E19785" s="2">
        <v>0</v>
      </c>
      <c r="F19785" s="2" t="s">
        <v>6</v>
      </c>
    </row>
    <row r="19786" spans="1:6">
      <c r="A19786" s="2">
        <v>19783</v>
      </c>
      <c r="B19786" s="2" t="s">
        <v>19853</v>
      </c>
      <c r="C19786" s="2" t="str">
        <f t="shared" si="4"/>
        <v>0</v>
      </c>
      <c r="D19786" s="2">
        <v>0</v>
      </c>
      <c r="E19786" s="2">
        <v>0</v>
      </c>
      <c r="F19786" s="2" t="s">
        <v>6</v>
      </c>
    </row>
    <row r="19787" spans="1:6">
      <c r="A19787" s="2">
        <v>19784</v>
      </c>
      <c r="B19787" s="2" t="s">
        <v>19854</v>
      </c>
      <c r="C19787" s="2" t="str">
        <f t="shared" si="4"/>
        <v>0</v>
      </c>
      <c r="D19787" s="2">
        <v>0</v>
      </c>
      <c r="E19787" s="2">
        <v>0</v>
      </c>
      <c r="F19787" s="2" t="s">
        <v>6</v>
      </c>
    </row>
    <row r="19788" spans="1:6">
      <c r="A19788" s="2">
        <v>19785</v>
      </c>
      <c r="B19788" s="2" t="s">
        <v>19855</v>
      </c>
      <c r="C19788" s="2" t="str">
        <f t="shared" si="4"/>
        <v>0</v>
      </c>
      <c r="D19788" s="2">
        <v>0</v>
      </c>
      <c r="E19788" s="2">
        <v>0</v>
      </c>
      <c r="F19788" s="2" t="s">
        <v>6</v>
      </c>
    </row>
    <row r="19789" spans="1:6">
      <c r="A19789" s="2">
        <v>19786</v>
      </c>
      <c r="B19789" s="2" t="s">
        <v>19856</v>
      </c>
      <c r="C19789" s="2" t="str">
        <f t="shared" si="4"/>
        <v>0</v>
      </c>
      <c r="D19789" s="2">
        <v>0</v>
      </c>
      <c r="E19789" s="2">
        <v>0</v>
      </c>
      <c r="F19789" s="2" t="s">
        <v>6</v>
      </c>
    </row>
    <row r="19790" spans="1:6">
      <c r="A19790" s="2">
        <v>19787</v>
      </c>
      <c r="B19790" s="2" t="s">
        <v>19857</v>
      </c>
      <c r="C19790" s="2" t="str">
        <f t="shared" si="4"/>
        <v>0</v>
      </c>
      <c r="D19790" s="2">
        <v>0</v>
      </c>
      <c r="E19790" s="2">
        <v>0</v>
      </c>
      <c r="F19790" s="2" t="s">
        <v>6</v>
      </c>
    </row>
    <row r="19791" spans="1:6">
      <c r="A19791" s="2">
        <v>19788</v>
      </c>
      <c r="B19791" s="2" t="s">
        <v>19858</v>
      </c>
      <c r="C19791" s="2" t="str">
        <f t="shared" si="4"/>
        <v>0</v>
      </c>
      <c r="D19791" s="2">
        <v>0</v>
      </c>
      <c r="E19791" s="2">
        <v>0</v>
      </c>
      <c r="F19791" s="2" t="s">
        <v>6</v>
      </c>
    </row>
    <row r="19792" spans="1:6">
      <c r="A19792" s="2">
        <v>19789</v>
      </c>
      <c r="B19792" s="2" t="s">
        <v>19859</v>
      </c>
      <c r="C19792" s="2" t="str">
        <f t="shared" si="4"/>
        <v>0</v>
      </c>
      <c r="D19792" s="2">
        <v>0</v>
      </c>
      <c r="E19792" s="2">
        <v>0</v>
      </c>
      <c r="F19792" s="2" t="s">
        <v>6</v>
      </c>
    </row>
    <row r="19793" spans="1:6">
      <c r="A19793" s="2">
        <v>19790</v>
      </c>
      <c r="B19793" s="2" t="s">
        <v>19860</v>
      </c>
      <c r="C19793" s="2" t="str">
        <f t="shared" si="4"/>
        <v>0</v>
      </c>
      <c r="D19793" s="2">
        <v>0</v>
      </c>
      <c r="E19793" s="2">
        <v>0</v>
      </c>
      <c r="F19793" s="2" t="s">
        <v>6</v>
      </c>
    </row>
    <row r="19794" spans="1:6">
      <c r="A19794" s="2">
        <v>19791</v>
      </c>
      <c r="B19794" s="2" t="s">
        <v>19861</v>
      </c>
      <c r="C19794" s="2" t="str">
        <f t="shared" si="4"/>
        <v>0</v>
      </c>
      <c r="D19794" s="2">
        <v>0</v>
      </c>
      <c r="E19794" s="2">
        <v>0</v>
      </c>
      <c r="F19794" s="2" t="s">
        <v>6</v>
      </c>
    </row>
    <row r="19795" spans="1:6">
      <c r="A19795" s="2">
        <v>19792</v>
      </c>
      <c r="B19795" s="2" t="s">
        <v>19862</v>
      </c>
      <c r="C19795" s="2" t="str">
        <f t="shared" si="4"/>
        <v>0</v>
      </c>
      <c r="D19795" s="2">
        <v>0</v>
      </c>
      <c r="E19795" s="2">
        <v>0</v>
      </c>
      <c r="F19795" s="2" t="s">
        <v>6</v>
      </c>
    </row>
    <row r="19796" spans="1:6">
      <c r="A19796" s="2">
        <v>19793</v>
      </c>
      <c r="B19796" s="2" t="s">
        <v>19863</v>
      </c>
      <c r="C19796" s="2" t="str">
        <f t="shared" si="4"/>
        <v>0</v>
      </c>
      <c r="D19796" s="2">
        <v>0</v>
      </c>
      <c r="E19796" s="2">
        <v>0</v>
      </c>
      <c r="F19796" s="2" t="s">
        <v>6</v>
      </c>
    </row>
    <row r="19797" spans="1:6" ht="25.5">
      <c r="A19797" s="2">
        <v>19794</v>
      </c>
      <c r="B19797" s="2" t="s">
        <v>19864</v>
      </c>
      <c r="C19797" s="2" t="str">
        <f>"00419494"</f>
        <v>00419494</v>
      </c>
      <c r="D19797" s="2">
        <v>1.258</v>
      </c>
      <c r="E19797" s="2">
        <v>26</v>
      </c>
      <c r="F19797" s="2" t="s">
        <v>6</v>
      </c>
    </row>
    <row r="19798" spans="1:6" ht="25.5">
      <c r="A19798" s="2">
        <v>19795</v>
      </c>
      <c r="B19798" s="2" t="s">
        <v>19865</v>
      </c>
      <c r="C19798" s="2" t="str">
        <f>"00096881"</f>
        <v>00096881</v>
      </c>
      <c r="D19798" s="2">
        <v>0.17899999999999999</v>
      </c>
      <c r="E19798" s="2">
        <v>10</v>
      </c>
      <c r="F19798" s="2" t="s">
        <v>6</v>
      </c>
    </row>
    <row r="19799" spans="1:6">
      <c r="A19799" s="2">
        <v>19796</v>
      </c>
      <c r="B19799" s="2" t="s">
        <v>19866</v>
      </c>
      <c r="C19799" s="2" t="str">
        <f t="shared" ref="C19799:C19806" si="5">"0"</f>
        <v>0</v>
      </c>
      <c r="D19799" s="2">
        <v>0</v>
      </c>
      <c r="E19799" s="2">
        <v>0</v>
      </c>
      <c r="F19799" s="2" t="s">
        <v>6</v>
      </c>
    </row>
    <row r="19800" spans="1:6">
      <c r="A19800" s="2">
        <v>19797</v>
      </c>
      <c r="B19800" s="2" t="s">
        <v>19867</v>
      </c>
      <c r="C19800" s="2" t="str">
        <f t="shared" si="5"/>
        <v>0</v>
      </c>
      <c r="D19800" s="2">
        <v>0</v>
      </c>
      <c r="E19800" s="2">
        <v>0</v>
      </c>
      <c r="F19800" s="2" t="s">
        <v>6</v>
      </c>
    </row>
    <row r="19801" spans="1:6">
      <c r="A19801" s="2">
        <v>19798</v>
      </c>
      <c r="B19801" s="2" t="s">
        <v>19868</v>
      </c>
      <c r="C19801" s="2" t="str">
        <f t="shared" si="5"/>
        <v>0</v>
      </c>
      <c r="D19801" s="2">
        <v>0</v>
      </c>
      <c r="E19801" s="2">
        <v>0</v>
      </c>
      <c r="F19801" s="2" t="s">
        <v>6</v>
      </c>
    </row>
    <row r="19802" spans="1:6">
      <c r="A19802" s="2">
        <v>19799</v>
      </c>
      <c r="B19802" s="2" t="s">
        <v>19869</v>
      </c>
      <c r="C19802" s="2" t="str">
        <f t="shared" si="5"/>
        <v>0</v>
      </c>
      <c r="D19802" s="2">
        <v>0</v>
      </c>
      <c r="E19802" s="2">
        <v>0</v>
      </c>
      <c r="F19802" s="2" t="s">
        <v>6</v>
      </c>
    </row>
    <row r="19803" spans="1:6">
      <c r="A19803" s="2">
        <v>19800</v>
      </c>
      <c r="B19803" s="2" t="s">
        <v>19870</v>
      </c>
      <c r="C19803" s="2" t="str">
        <f t="shared" si="5"/>
        <v>0</v>
      </c>
      <c r="D19803" s="2">
        <v>0</v>
      </c>
      <c r="E19803" s="2">
        <v>0</v>
      </c>
      <c r="F19803" s="2" t="s">
        <v>6</v>
      </c>
    </row>
    <row r="19804" spans="1:6">
      <c r="A19804" s="2">
        <v>19801</v>
      </c>
      <c r="B19804" s="2" t="s">
        <v>19871</v>
      </c>
      <c r="C19804" s="2" t="str">
        <f t="shared" si="5"/>
        <v>0</v>
      </c>
      <c r="D19804" s="2">
        <v>0</v>
      </c>
      <c r="E19804" s="2">
        <v>0</v>
      </c>
      <c r="F19804" s="2" t="s">
        <v>6</v>
      </c>
    </row>
    <row r="19805" spans="1:6">
      <c r="A19805" s="2">
        <v>19802</v>
      </c>
      <c r="B19805" s="2" t="s">
        <v>19872</v>
      </c>
      <c r="C19805" s="2" t="str">
        <f t="shared" si="5"/>
        <v>0</v>
      </c>
      <c r="D19805" s="2">
        <v>0</v>
      </c>
      <c r="E19805" s="2">
        <v>0</v>
      </c>
      <c r="F19805" s="2" t="s">
        <v>6</v>
      </c>
    </row>
    <row r="19806" spans="1:6">
      <c r="A19806" s="2">
        <v>19803</v>
      </c>
      <c r="B19806" s="2" t="s">
        <v>19873</v>
      </c>
      <c r="C19806" s="2" t="str">
        <f t="shared" si="5"/>
        <v>0</v>
      </c>
      <c r="D19806" s="2">
        <v>0</v>
      </c>
      <c r="E19806" s="2">
        <v>0</v>
      </c>
      <c r="F19806" s="2" t="s">
        <v>6</v>
      </c>
    </row>
    <row r="19807" spans="1:6" ht="25.5">
      <c r="A19807" s="2">
        <v>19804</v>
      </c>
      <c r="B19807" s="2" t="s">
        <v>19874</v>
      </c>
      <c r="C19807" s="2" t="str">
        <f>"02769948"</f>
        <v>02769948</v>
      </c>
      <c r="D19807" s="2">
        <v>0.29299999999999998</v>
      </c>
      <c r="E19807" s="2">
        <v>12</v>
      </c>
      <c r="F19807" s="2" t="s">
        <v>6</v>
      </c>
    </row>
    <row r="19808" spans="1:6">
      <c r="A19808" s="2">
        <v>19805</v>
      </c>
      <c r="B19808" s="2" t="s">
        <v>19875</v>
      </c>
      <c r="C19808" s="2" t="str">
        <f t="shared" ref="C19808:C19818" si="6">"0"</f>
        <v>0</v>
      </c>
      <c r="D19808" s="2">
        <v>0</v>
      </c>
      <c r="E19808" s="2">
        <v>0</v>
      </c>
      <c r="F19808" s="2" t="s">
        <v>6</v>
      </c>
    </row>
    <row r="19809" spans="1:6">
      <c r="A19809" s="2">
        <v>19806</v>
      </c>
      <c r="B19809" s="2" t="s">
        <v>19876</v>
      </c>
      <c r="C19809" s="2" t="str">
        <f t="shared" si="6"/>
        <v>0</v>
      </c>
      <c r="D19809" s="2">
        <v>0</v>
      </c>
      <c r="E19809" s="2">
        <v>0</v>
      </c>
      <c r="F19809" s="2" t="s">
        <v>6</v>
      </c>
    </row>
    <row r="19810" spans="1:6">
      <c r="A19810" s="2">
        <v>19807</v>
      </c>
      <c r="B19810" s="2" t="s">
        <v>19877</v>
      </c>
      <c r="C19810" s="2" t="str">
        <f t="shared" si="6"/>
        <v>0</v>
      </c>
      <c r="D19810" s="2">
        <v>0</v>
      </c>
      <c r="E19810" s="2">
        <v>0</v>
      </c>
      <c r="F19810" s="2" t="s">
        <v>6</v>
      </c>
    </row>
    <row r="19811" spans="1:6">
      <c r="A19811" s="2">
        <v>19808</v>
      </c>
      <c r="B19811" s="2" t="s">
        <v>19878</v>
      </c>
      <c r="C19811" s="2" t="str">
        <f t="shared" si="6"/>
        <v>0</v>
      </c>
      <c r="D19811" s="2">
        <v>0</v>
      </c>
      <c r="E19811" s="2">
        <v>0</v>
      </c>
      <c r="F19811" s="2" t="s">
        <v>6</v>
      </c>
    </row>
    <row r="19812" spans="1:6">
      <c r="A19812" s="2">
        <v>19809</v>
      </c>
      <c r="B19812" s="2" t="s">
        <v>19879</v>
      </c>
      <c r="C19812" s="2" t="str">
        <f t="shared" si="6"/>
        <v>0</v>
      </c>
      <c r="D19812" s="2">
        <v>0</v>
      </c>
      <c r="E19812" s="2">
        <v>0</v>
      </c>
      <c r="F19812" s="2" t="s">
        <v>6</v>
      </c>
    </row>
    <row r="19813" spans="1:6">
      <c r="A19813" s="2">
        <v>19810</v>
      </c>
      <c r="B19813" s="2" t="s">
        <v>19880</v>
      </c>
      <c r="C19813" s="2" t="str">
        <f t="shared" si="6"/>
        <v>0</v>
      </c>
      <c r="D19813" s="2">
        <v>0</v>
      </c>
      <c r="E19813" s="2">
        <v>0</v>
      </c>
      <c r="F19813" s="2" t="s">
        <v>6</v>
      </c>
    </row>
    <row r="19814" spans="1:6">
      <c r="A19814" s="2">
        <v>19811</v>
      </c>
      <c r="B19814" s="2" t="s">
        <v>19881</v>
      </c>
      <c r="C19814" s="2" t="str">
        <f t="shared" si="6"/>
        <v>0</v>
      </c>
      <c r="D19814" s="2">
        <v>0</v>
      </c>
      <c r="E19814" s="2">
        <v>0</v>
      </c>
      <c r="F19814" s="2" t="s">
        <v>6</v>
      </c>
    </row>
    <row r="19815" spans="1:6">
      <c r="A19815" s="2">
        <v>19812</v>
      </c>
      <c r="B19815" s="2" t="s">
        <v>19882</v>
      </c>
      <c r="C19815" s="2" t="str">
        <f t="shared" si="6"/>
        <v>0</v>
      </c>
      <c r="D19815" s="2">
        <v>0</v>
      </c>
      <c r="E19815" s="2">
        <v>0</v>
      </c>
      <c r="F19815" s="2" t="s">
        <v>6</v>
      </c>
    </row>
    <row r="19816" spans="1:6">
      <c r="A19816" s="2">
        <v>19813</v>
      </c>
      <c r="B19816" s="2" t="s">
        <v>19883</v>
      </c>
      <c r="C19816" s="2" t="str">
        <f t="shared" si="6"/>
        <v>0</v>
      </c>
      <c r="D19816" s="2">
        <v>0</v>
      </c>
      <c r="E19816" s="2">
        <v>0</v>
      </c>
      <c r="F19816" s="2" t="s">
        <v>6</v>
      </c>
    </row>
    <row r="19817" spans="1:6">
      <c r="A19817" s="2">
        <v>19814</v>
      </c>
      <c r="B19817" s="2" t="s">
        <v>19884</v>
      </c>
      <c r="C19817" s="2" t="str">
        <f t="shared" si="6"/>
        <v>0</v>
      </c>
      <c r="D19817" s="2">
        <v>0</v>
      </c>
      <c r="E19817" s="2">
        <v>0</v>
      </c>
      <c r="F19817" s="2" t="s">
        <v>6</v>
      </c>
    </row>
    <row r="19818" spans="1:6">
      <c r="A19818" s="2">
        <v>19815</v>
      </c>
      <c r="B19818" s="2" t="s">
        <v>19885</v>
      </c>
      <c r="C19818" s="2" t="str">
        <f t="shared" si="6"/>
        <v>0</v>
      </c>
      <c r="D19818" s="2">
        <v>0</v>
      </c>
      <c r="E19818" s="2">
        <v>0</v>
      </c>
      <c r="F19818" s="2" t="s">
        <v>6</v>
      </c>
    </row>
    <row r="19819" spans="1:6" ht="25.5">
      <c r="A19819" s="2">
        <v>19816</v>
      </c>
      <c r="B19819" s="2" t="s">
        <v>19886</v>
      </c>
      <c r="C19819" s="2" t="str">
        <f>"10867872"</f>
        <v>10867872</v>
      </c>
      <c r="D19819" s="2">
        <v>0.188</v>
      </c>
      <c r="E19819" s="2">
        <v>8</v>
      </c>
      <c r="F19819" s="2" t="s">
        <v>6</v>
      </c>
    </row>
    <row r="19820" spans="1:6" ht="25.5">
      <c r="A19820" s="2">
        <v>19817</v>
      </c>
      <c r="B19820" s="2" t="s">
        <v>19887</v>
      </c>
      <c r="C19820" s="2" t="str">
        <f>"00419907"</f>
        <v>00419907</v>
      </c>
      <c r="D19820" s="2">
        <v>1.5109999999999999</v>
      </c>
      <c r="E19820" s="2">
        <v>25</v>
      </c>
      <c r="F19820" s="2" t="s">
        <v>6</v>
      </c>
    </row>
    <row r="19821" spans="1:6">
      <c r="A19821" s="2">
        <v>19818</v>
      </c>
      <c r="B19821" s="2" t="s">
        <v>19888</v>
      </c>
      <c r="C19821" s="2" t="str">
        <f>"0"</f>
        <v>0</v>
      </c>
      <c r="D19821" s="2">
        <v>0</v>
      </c>
      <c r="E19821" s="2">
        <v>0</v>
      </c>
      <c r="F19821" s="2" t="s">
        <v>6</v>
      </c>
    </row>
    <row r="19822" spans="1:6" ht="25.5">
      <c r="A19822" s="2">
        <v>19819</v>
      </c>
      <c r="B19822" s="2" t="s">
        <v>19889</v>
      </c>
      <c r="C19822" s="2" t="str">
        <f>"00419915"</f>
        <v>00419915</v>
      </c>
      <c r="D19822" s="2">
        <v>0.157</v>
      </c>
      <c r="E19822" s="2">
        <v>8</v>
      </c>
      <c r="F19822" s="2" t="s">
        <v>6</v>
      </c>
    </row>
    <row r="19823" spans="1:6">
      <c r="A19823" s="2">
        <v>19820</v>
      </c>
      <c r="B19823" s="2" t="s">
        <v>19890</v>
      </c>
      <c r="C19823" s="2" t="str">
        <f>"0"</f>
        <v>0</v>
      </c>
      <c r="D19823" s="2">
        <v>0</v>
      </c>
      <c r="E19823" s="2">
        <v>0</v>
      </c>
      <c r="F19823" s="2" t="s">
        <v>6</v>
      </c>
    </row>
    <row r="19824" spans="1:6">
      <c r="A19824" s="2">
        <v>19821</v>
      </c>
      <c r="B19824" s="2" t="s">
        <v>19891</v>
      </c>
      <c r="C19824" s="2" t="str">
        <f>"0"</f>
        <v>0</v>
      </c>
      <c r="D19824" s="2">
        <v>0</v>
      </c>
      <c r="E19824" s="2">
        <v>0</v>
      </c>
      <c r="F19824" s="2" t="s">
        <v>6</v>
      </c>
    </row>
    <row r="19825" spans="1:6">
      <c r="A19825" s="2">
        <v>19822</v>
      </c>
      <c r="B19825" s="2" t="s">
        <v>19892</v>
      </c>
      <c r="C19825" s="2" t="str">
        <f>"0"</f>
        <v>0</v>
      </c>
      <c r="D19825" s="2">
        <v>0</v>
      </c>
      <c r="E19825" s="2">
        <v>0</v>
      </c>
      <c r="F19825" s="2" t="s">
        <v>6</v>
      </c>
    </row>
    <row r="19826" spans="1:6">
      <c r="A19826" s="2">
        <v>19823</v>
      </c>
      <c r="B19826" s="2" t="s">
        <v>19893</v>
      </c>
      <c r="C19826" s="2" t="str">
        <f>"0"</f>
        <v>0</v>
      </c>
      <c r="D19826" s="2">
        <v>0</v>
      </c>
      <c r="E19826" s="2">
        <v>0</v>
      </c>
      <c r="F19826" s="2" t="s">
        <v>6</v>
      </c>
    </row>
    <row r="19827" spans="1:6" ht="25.5">
      <c r="A19827" s="2">
        <v>19824</v>
      </c>
      <c r="B19827" s="2" t="s">
        <v>19894</v>
      </c>
      <c r="C19827" s="2" t="str">
        <f>"00420220"</f>
        <v>00420220</v>
      </c>
      <c r="D19827" s="2">
        <v>0.17499999999999999</v>
      </c>
      <c r="E19827" s="2">
        <v>4</v>
      </c>
      <c r="F19827" s="2" t="s">
        <v>64</v>
      </c>
    </row>
    <row r="19828" spans="1:6" ht="25.5">
      <c r="A19828" s="2">
        <v>19825</v>
      </c>
      <c r="B19828" s="2" t="s">
        <v>19895</v>
      </c>
      <c r="C19828" s="2" t="str">
        <f>"00420239"</f>
        <v>00420239</v>
      </c>
      <c r="D19828" s="2">
        <v>0.10199999999999999</v>
      </c>
      <c r="E19828" s="2">
        <v>1</v>
      </c>
      <c r="F19828" s="2" t="s">
        <v>64</v>
      </c>
    </row>
    <row r="19829" spans="1:6" ht="25.5">
      <c r="A19829" s="2">
        <v>19826</v>
      </c>
      <c r="B19829" s="2" t="s">
        <v>19896</v>
      </c>
      <c r="C19829" s="2" t="str">
        <f>"00420247"</f>
        <v>00420247</v>
      </c>
      <c r="D19829" s="2">
        <v>0.123</v>
      </c>
      <c r="E19829" s="2">
        <v>4</v>
      </c>
      <c r="F19829" s="2" t="s">
        <v>64</v>
      </c>
    </row>
    <row r="19830" spans="1:6">
      <c r="A19830" s="2">
        <v>19827</v>
      </c>
      <c r="B19830" s="2" t="s">
        <v>19897</v>
      </c>
      <c r="C19830" s="2" t="str">
        <f>"0"</f>
        <v>0</v>
      </c>
      <c r="D19830" s="2">
        <v>0</v>
      </c>
      <c r="E19830" s="2">
        <v>0</v>
      </c>
      <c r="F19830" s="2" t="s">
        <v>6</v>
      </c>
    </row>
    <row r="19831" spans="1:6">
      <c r="A19831" s="2">
        <v>19828</v>
      </c>
      <c r="B19831" s="2" t="s">
        <v>19898</v>
      </c>
      <c r="C19831" s="2" t="str">
        <f>"0"</f>
        <v>0</v>
      </c>
      <c r="D19831" s="2">
        <v>0</v>
      </c>
      <c r="E19831" s="2">
        <v>0</v>
      </c>
      <c r="F19831" s="2" t="s">
        <v>6</v>
      </c>
    </row>
    <row r="19832" spans="1:6">
      <c r="A19832" s="2">
        <v>19829</v>
      </c>
      <c r="B19832" s="2" t="s">
        <v>19899</v>
      </c>
      <c r="C19832" s="2" t="str">
        <f>"0"</f>
        <v>0</v>
      </c>
      <c r="D19832" s="2">
        <v>0</v>
      </c>
      <c r="E19832" s="2">
        <v>0</v>
      </c>
      <c r="F19832" s="2" t="s">
        <v>6</v>
      </c>
    </row>
    <row r="19833" spans="1:6" ht="25.5">
      <c r="A19833" s="2">
        <v>19830</v>
      </c>
      <c r="B19833" s="2" t="s">
        <v>19900</v>
      </c>
      <c r="C19833" s="2" t="str">
        <f>"0716498X"</f>
        <v>0716498X</v>
      </c>
      <c r="D19833" s="2">
        <v>0.10199999999999999</v>
      </c>
      <c r="E19833" s="2">
        <v>2</v>
      </c>
      <c r="F19833" s="2" t="s">
        <v>182</v>
      </c>
    </row>
    <row r="19834" spans="1:6" ht="25.5">
      <c r="A19834" s="2">
        <v>19831</v>
      </c>
      <c r="B19834" s="2" t="s">
        <v>19901</v>
      </c>
      <c r="C19834" s="2" t="str">
        <f>"12237027"</f>
        <v>12237027</v>
      </c>
      <c r="D19834" s="2">
        <v>0.19</v>
      </c>
      <c r="E19834" s="2">
        <v>5</v>
      </c>
      <c r="F19834" s="2" t="s">
        <v>19</v>
      </c>
    </row>
    <row r="19835" spans="1:6" ht="25.5">
      <c r="A19835" s="2">
        <v>19832</v>
      </c>
      <c r="B19835" s="2" t="s">
        <v>19902</v>
      </c>
      <c r="C19835" s="2" t="str">
        <f>"14542331"</f>
        <v>14542331</v>
      </c>
      <c r="D19835" s="2">
        <v>0.14399999999999999</v>
      </c>
      <c r="E19835" s="2">
        <v>5</v>
      </c>
      <c r="F19835" s="2" t="s">
        <v>19</v>
      </c>
    </row>
    <row r="19836" spans="1:6" ht="25.5">
      <c r="A19836" s="2">
        <v>19833</v>
      </c>
      <c r="B19836" s="2" t="s">
        <v>19903</v>
      </c>
      <c r="C19836" s="2" t="str">
        <f>"1454234X"</f>
        <v>1454234X</v>
      </c>
      <c r="D19836" s="2">
        <v>0.17799999999999999</v>
      </c>
      <c r="E19836" s="2">
        <v>3</v>
      </c>
      <c r="F19836" s="2" t="s">
        <v>19</v>
      </c>
    </row>
    <row r="19837" spans="1:6" ht="25.5">
      <c r="A19837" s="2">
        <v>19834</v>
      </c>
      <c r="B19837" s="2" t="s">
        <v>19904</v>
      </c>
      <c r="C19837" s="2" t="str">
        <f>"14542358"</f>
        <v>14542358</v>
      </c>
      <c r="D19837" s="2">
        <v>0.16800000000000001</v>
      </c>
      <c r="E19837" s="2">
        <v>3</v>
      </c>
      <c r="F19837" s="2" t="s">
        <v>19</v>
      </c>
    </row>
    <row r="19838" spans="1:6" ht="25.5">
      <c r="A19838" s="2">
        <v>19835</v>
      </c>
      <c r="B19838" s="2" t="s">
        <v>19905</v>
      </c>
      <c r="C19838" s="2" t="str">
        <f>"13534882"</f>
        <v>13534882</v>
      </c>
      <c r="D19838" s="2">
        <v>0.112</v>
      </c>
      <c r="E19838" s="2">
        <v>4</v>
      </c>
      <c r="F19838" s="2" t="s">
        <v>16</v>
      </c>
    </row>
    <row r="19839" spans="1:6" ht="25.5">
      <c r="A19839" s="2">
        <v>19836</v>
      </c>
      <c r="B19839" s="2" t="s">
        <v>19906</v>
      </c>
      <c r="C19839" s="2" t="str">
        <f>"2039131X"</f>
        <v>2039131X</v>
      </c>
      <c r="D19839" s="2">
        <v>0.44</v>
      </c>
      <c r="E19839" s="2">
        <v>6</v>
      </c>
      <c r="F19839" s="2" t="s">
        <v>190</v>
      </c>
    </row>
    <row r="19840" spans="1:6" ht="25.5">
      <c r="A19840" s="2">
        <v>19837</v>
      </c>
      <c r="B19840" s="2" t="s">
        <v>19907</v>
      </c>
      <c r="C19840" s="2" t="str">
        <f>"20001967"</f>
        <v>20001967</v>
      </c>
      <c r="D19840" s="2">
        <v>0.36799999999999999</v>
      </c>
      <c r="E19840" s="2">
        <v>17</v>
      </c>
      <c r="F19840" s="2" t="s">
        <v>16</v>
      </c>
    </row>
    <row r="19841" spans="1:6" ht="25.5">
      <c r="A19841" s="2">
        <v>19838</v>
      </c>
      <c r="B19841" s="2" t="s">
        <v>19908</v>
      </c>
      <c r="C19841" s="2" t="str">
        <f>"10780874"</f>
        <v>10780874</v>
      </c>
      <c r="D19841" s="2">
        <v>1.0149999999999999</v>
      </c>
      <c r="E19841" s="2">
        <v>35</v>
      </c>
      <c r="F19841" s="2" t="s">
        <v>6</v>
      </c>
    </row>
    <row r="19842" spans="1:6" ht="25.5">
      <c r="A19842" s="2">
        <v>19839</v>
      </c>
      <c r="B19842" s="2" t="s">
        <v>19909</v>
      </c>
      <c r="C19842" s="2" t="str">
        <f>"08946019"</f>
        <v>08946019</v>
      </c>
      <c r="D19842" s="2">
        <v>0.10100000000000001</v>
      </c>
      <c r="E19842" s="2">
        <v>8</v>
      </c>
      <c r="F19842" s="2" t="s">
        <v>6</v>
      </c>
    </row>
    <row r="19843" spans="1:6" ht="25.5">
      <c r="A19843" s="2">
        <v>19840</v>
      </c>
      <c r="B19843" s="2" t="s">
        <v>19910</v>
      </c>
      <c r="C19843" s="2" t="str">
        <f>"22120955"</f>
        <v>22120955</v>
      </c>
      <c r="D19843" s="2">
        <v>0</v>
      </c>
      <c r="E19843" s="2">
        <v>0</v>
      </c>
      <c r="F19843" s="2" t="s">
        <v>75</v>
      </c>
    </row>
    <row r="19844" spans="1:6" ht="25.5">
      <c r="A19844" s="2">
        <v>19841</v>
      </c>
      <c r="B19844" s="2" t="s">
        <v>19911</v>
      </c>
      <c r="C19844" s="2" t="str">
        <f>"14684519"</f>
        <v>14684519</v>
      </c>
      <c r="D19844" s="2">
        <v>0.30399999999999999</v>
      </c>
      <c r="E19844" s="2">
        <v>9</v>
      </c>
      <c r="F19844" s="2" t="s">
        <v>16</v>
      </c>
    </row>
    <row r="19845" spans="1:6" ht="25.5">
      <c r="A19845" s="2">
        <v>19842</v>
      </c>
      <c r="B19845" s="2" t="s">
        <v>19912</v>
      </c>
      <c r="C19845" s="2" t="str">
        <f>"15731642"</f>
        <v>15731642</v>
      </c>
      <c r="D19845" s="2">
        <v>0.57299999999999995</v>
      </c>
      <c r="E19845" s="2">
        <v>18</v>
      </c>
      <c r="F19845" s="2" t="s">
        <v>75</v>
      </c>
    </row>
    <row r="19846" spans="1:6" ht="25.5">
      <c r="A19846" s="2">
        <v>19843</v>
      </c>
      <c r="B19846" s="2" t="s">
        <v>19913</v>
      </c>
      <c r="C19846" s="2" t="str">
        <f>"00420859"</f>
        <v>00420859</v>
      </c>
      <c r="D19846" s="2">
        <v>0.49299999999999999</v>
      </c>
      <c r="E19846" s="2">
        <v>24</v>
      </c>
      <c r="F19846" s="2" t="s">
        <v>6</v>
      </c>
    </row>
    <row r="19847" spans="1:6" ht="25.5">
      <c r="A19847" s="2">
        <v>19844</v>
      </c>
      <c r="B19847" s="2" t="s">
        <v>19914</v>
      </c>
      <c r="C19847" s="2" t="str">
        <f>"16188667"</f>
        <v>16188667</v>
      </c>
      <c r="D19847" s="2">
        <v>0.755</v>
      </c>
      <c r="E19847" s="2">
        <v>22</v>
      </c>
      <c r="F19847" s="2" t="s">
        <v>12</v>
      </c>
    </row>
    <row r="19848" spans="1:6" ht="25.5">
      <c r="A19848" s="2">
        <v>19845</v>
      </c>
      <c r="B19848" s="2" t="s">
        <v>19915</v>
      </c>
      <c r="C19848" s="2" t="str">
        <f>"10153802"</f>
        <v>10153802</v>
      </c>
      <c r="D19848" s="2">
        <v>0.627</v>
      </c>
      <c r="E19848" s="2">
        <v>7</v>
      </c>
      <c r="F19848" s="2" t="s">
        <v>75</v>
      </c>
    </row>
    <row r="19849" spans="1:6" ht="25.5">
      <c r="A19849" s="2">
        <v>19846</v>
      </c>
      <c r="B19849" s="2" t="s">
        <v>19916</v>
      </c>
      <c r="C19849" s="2" t="str">
        <f>"02723638"</f>
        <v>02723638</v>
      </c>
      <c r="D19849" s="2">
        <v>1.123</v>
      </c>
      <c r="E19849" s="2">
        <v>32</v>
      </c>
      <c r="F19849" s="2" t="s">
        <v>6</v>
      </c>
    </row>
    <row r="19850" spans="1:6" ht="25.5">
      <c r="A19850" s="2">
        <v>19847</v>
      </c>
      <c r="B19850" s="2" t="s">
        <v>19917</v>
      </c>
      <c r="C19850" s="2" t="str">
        <f>"15417115"</f>
        <v>15417115</v>
      </c>
      <c r="D19850" s="2">
        <v>0.108</v>
      </c>
      <c r="E19850" s="2">
        <v>1</v>
      </c>
      <c r="F19850" s="2" t="s">
        <v>6</v>
      </c>
    </row>
    <row r="19851" spans="1:6" ht="25.5">
      <c r="A19851" s="2">
        <v>19848</v>
      </c>
      <c r="B19851" s="2" t="s">
        <v>19918</v>
      </c>
      <c r="C19851" s="2" t="str">
        <f>"14698706"</f>
        <v>14698706</v>
      </c>
      <c r="D19851" s="2">
        <v>0.443</v>
      </c>
      <c r="E19851" s="2">
        <v>11</v>
      </c>
      <c r="F19851" s="2" t="s">
        <v>16</v>
      </c>
    </row>
    <row r="19852" spans="1:6" ht="25.5">
      <c r="A19852" s="2">
        <v>19849</v>
      </c>
      <c r="B19852" s="2" t="s">
        <v>19919</v>
      </c>
      <c r="C19852" s="2" t="str">
        <f>"07030428"</f>
        <v>07030428</v>
      </c>
      <c r="D19852" s="2">
        <v>0.115</v>
      </c>
      <c r="E19852" s="2">
        <v>6</v>
      </c>
      <c r="F19852" s="2" t="s">
        <v>64</v>
      </c>
    </row>
    <row r="19853" spans="1:6" ht="25.5">
      <c r="A19853" s="2">
        <v>19850</v>
      </c>
      <c r="B19853" s="2" t="s">
        <v>19920</v>
      </c>
      <c r="C19853" s="2" t="str">
        <f>"18558399"</f>
        <v>18558399</v>
      </c>
      <c r="D19853" s="2">
        <v>0.16400000000000001</v>
      </c>
      <c r="E19853" s="2">
        <v>1</v>
      </c>
      <c r="F19853" s="2" t="s">
        <v>154</v>
      </c>
    </row>
    <row r="19854" spans="1:6" ht="25.5">
      <c r="A19854" s="2">
        <v>19851</v>
      </c>
      <c r="B19854" s="2" t="s">
        <v>19921</v>
      </c>
      <c r="C19854" s="2" t="str">
        <f>"00420905"</f>
        <v>00420905</v>
      </c>
      <c r="D19854" s="2">
        <v>0.14699999999999999</v>
      </c>
      <c r="E19854" s="2">
        <v>7</v>
      </c>
      <c r="F19854" s="2" t="s">
        <v>6</v>
      </c>
    </row>
    <row r="19855" spans="1:6" ht="25.5">
      <c r="A19855" s="2">
        <v>19852</v>
      </c>
      <c r="B19855" s="2" t="s">
        <v>19922</v>
      </c>
      <c r="C19855" s="2" t="str">
        <f>"10274278"</f>
        <v>10274278</v>
      </c>
      <c r="D19855" s="2">
        <v>0.22</v>
      </c>
      <c r="E19855" s="2">
        <v>10</v>
      </c>
      <c r="F19855" s="2" t="s">
        <v>66</v>
      </c>
    </row>
    <row r="19856" spans="1:6" ht="25.5">
      <c r="A19856" s="2">
        <v>19853</v>
      </c>
      <c r="B19856" s="2" t="s">
        <v>19923</v>
      </c>
      <c r="C19856" s="2" t="str">
        <f>"14767244"</f>
        <v>14767244</v>
      </c>
      <c r="D19856" s="2">
        <v>0.39</v>
      </c>
      <c r="E19856" s="2">
        <v>5</v>
      </c>
      <c r="F19856" s="2" t="s">
        <v>16</v>
      </c>
    </row>
    <row r="19857" spans="1:6" ht="25.5">
      <c r="A19857" s="2">
        <v>19854</v>
      </c>
      <c r="B19857" s="2" t="s">
        <v>19924</v>
      </c>
      <c r="C19857" s="2" t="str">
        <f>"00420972"</f>
        <v>00420972</v>
      </c>
      <c r="D19857" s="2">
        <v>0.41599999999999998</v>
      </c>
      <c r="E19857" s="2">
        <v>17</v>
      </c>
      <c r="F19857" s="2" t="s">
        <v>75</v>
      </c>
    </row>
    <row r="19858" spans="1:6" ht="25.5">
      <c r="A19858" s="2">
        <v>19855</v>
      </c>
      <c r="B19858" s="2" t="s">
        <v>19925</v>
      </c>
      <c r="C19858" s="2" t="str">
        <f>"1360063X"</f>
        <v>1360063X</v>
      </c>
      <c r="D19858" s="2">
        <v>1.1479999999999999</v>
      </c>
      <c r="E19858" s="2">
        <v>70</v>
      </c>
      <c r="F19858" s="2" t="s">
        <v>16</v>
      </c>
    </row>
    <row r="19859" spans="1:6" ht="25.5">
      <c r="A19859" s="2">
        <v>19856</v>
      </c>
      <c r="B19859" s="2" t="s">
        <v>19926</v>
      </c>
      <c r="C19859" s="2" t="str">
        <f>"17449006"</f>
        <v>17449006</v>
      </c>
      <c r="D19859" s="2">
        <v>0.6</v>
      </c>
      <c r="E19859" s="2">
        <v>10</v>
      </c>
      <c r="F19859" s="2" t="s">
        <v>16</v>
      </c>
    </row>
    <row r="19860" spans="1:6" ht="25.5">
      <c r="A19860" s="2">
        <v>19857</v>
      </c>
      <c r="B19860" s="2" t="s">
        <v>19927</v>
      </c>
      <c r="C19860" s="2" t="str">
        <f>"10458077"</f>
        <v>10458077</v>
      </c>
      <c r="D19860" s="2">
        <v>0.13600000000000001</v>
      </c>
      <c r="E19860" s="2">
        <v>9</v>
      </c>
      <c r="F19860" s="2" t="s">
        <v>6</v>
      </c>
    </row>
    <row r="19861" spans="1:6" ht="25.5">
      <c r="A19861" s="2">
        <v>19858</v>
      </c>
      <c r="B19861" s="2" t="s">
        <v>19928</v>
      </c>
      <c r="C19861" s="2" t="str">
        <f>"11213086"</f>
        <v>11213086</v>
      </c>
      <c r="D19861" s="2">
        <v>0.10299999999999999</v>
      </c>
      <c r="E19861" s="2">
        <v>4</v>
      </c>
      <c r="F19861" s="2" t="s">
        <v>190</v>
      </c>
    </row>
    <row r="19862" spans="1:6" ht="25.5">
      <c r="A19862" s="2">
        <v>19859</v>
      </c>
      <c r="B19862" s="2" t="s">
        <v>19929</v>
      </c>
      <c r="C19862" s="2" t="str">
        <f>"21947236"</f>
        <v>21947236</v>
      </c>
      <c r="D19862" s="2">
        <v>0.55000000000000004</v>
      </c>
      <c r="E19862" s="2">
        <v>38</v>
      </c>
      <c r="F19862" s="2" t="s">
        <v>12</v>
      </c>
    </row>
    <row r="19863" spans="1:6" ht="25.5">
      <c r="A19863" s="2">
        <v>19860</v>
      </c>
      <c r="B19863" s="2" t="s">
        <v>19930</v>
      </c>
      <c r="C19863" s="2" t="str">
        <f>"03402592"</f>
        <v>03402592</v>
      </c>
      <c r="D19863" s="2">
        <v>0.182</v>
      </c>
      <c r="E19863" s="2">
        <v>19</v>
      </c>
      <c r="F19863" s="2" t="s">
        <v>12</v>
      </c>
    </row>
    <row r="19864" spans="1:6" ht="25.5">
      <c r="A19864" s="2">
        <v>19861</v>
      </c>
      <c r="B19864" s="2" t="s">
        <v>19931</v>
      </c>
      <c r="C19864" s="2" t="str">
        <f>"03915603"</f>
        <v>03915603</v>
      </c>
      <c r="D19864" s="2">
        <v>0.13100000000000001</v>
      </c>
      <c r="E19864" s="2">
        <v>2</v>
      </c>
      <c r="F19864" s="2" t="s">
        <v>190</v>
      </c>
    </row>
    <row r="19865" spans="1:6" ht="25.5">
      <c r="A19865" s="2">
        <v>19862</v>
      </c>
      <c r="B19865" s="2" t="s">
        <v>19932</v>
      </c>
      <c r="C19865" s="2" t="str">
        <f>"14230399"</f>
        <v>14230399</v>
      </c>
      <c r="D19865" s="2">
        <v>0.47599999999999998</v>
      </c>
      <c r="E19865" s="2">
        <v>34</v>
      </c>
      <c r="F19865" s="2" t="s">
        <v>31</v>
      </c>
    </row>
    <row r="19866" spans="1:6" ht="25.5">
      <c r="A19866" s="2">
        <v>19863</v>
      </c>
      <c r="B19866" s="2" t="s">
        <v>19933</v>
      </c>
      <c r="C19866" s="2" t="str">
        <f>"18795226"</f>
        <v>18795226</v>
      </c>
      <c r="D19866" s="2">
        <v>0.109</v>
      </c>
      <c r="E19866" s="2">
        <v>1</v>
      </c>
      <c r="F19866" s="2" t="s">
        <v>75</v>
      </c>
    </row>
    <row r="19867" spans="1:6" ht="25.5">
      <c r="A19867" s="2">
        <v>19864</v>
      </c>
      <c r="B19867" s="2" t="s">
        <v>19934</v>
      </c>
      <c r="C19867" s="2" t="str">
        <f>"00940143"</f>
        <v>00940143</v>
      </c>
      <c r="D19867" s="2">
        <v>0.626</v>
      </c>
      <c r="E19867" s="2">
        <v>57</v>
      </c>
      <c r="F19867" s="2" t="s">
        <v>16</v>
      </c>
    </row>
    <row r="19868" spans="1:6" ht="25.5">
      <c r="A19868" s="2">
        <v>19865</v>
      </c>
      <c r="B19868" s="2" t="s">
        <v>19935</v>
      </c>
      <c r="C19868" s="2" t="str">
        <f>"1053816X"</f>
        <v>1053816X</v>
      </c>
      <c r="D19868" s="2">
        <v>0.17799999999999999</v>
      </c>
      <c r="E19868" s="2">
        <v>14</v>
      </c>
      <c r="F19868" s="2" t="s">
        <v>6</v>
      </c>
    </row>
    <row r="19869" spans="1:6" ht="25.5">
      <c r="A19869" s="2">
        <v>19866</v>
      </c>
      <c r="B19869" s="2" t="s">
        <v>19936</v>
      </c>
      <c r="C19869" s="2" t="str">
        <f>"18732496"</f>
        <v>18732496</v>
      </c>
      <c r="D19869" s="2">
        <v>0.69699999999999995</v>
      </c>
      <c r="E19869" s="2">
        <v>39</v>
      </c>
      <c r="F19869" s="2" t="s">
        <v>6</v>
      </c>
    </row>
    <row r="19870" spans="1:6" ht="25.5">
      <c r="A19870" s="2">
        <v>19867</v>
      </c>
      <c r="B19870" s="2" t="s">
        <v>19937</v>
      </c>
      <c r="C19870" s="2" t="str">
        <f>"17282985"</f>
        <v>17282985</v>
      </c>
      <c r="D19870" s="2">
        <v>0.10299999999999999</v>
      </c>
      <c r="E19870" s="2">
        <v>6</v>
      </c>
      <c r="F19870" s="2" t="s">
        <v>129</v>
      </c>
    </row>
    <row r="19871" spans="1:6" ht="25.5">
      <c r="A19871" s="2">
        <v>19868</v>
      </c>
      <c r="B19871" s="2" t="s">
        <v>19938</v>
      </c>
      <c r="C19871" s="2" t="str">
        <f>"15279995"</f>
        <v>15279995</v>
      </c>
      <c r="D19871" s="2">
        <v>1.036</v>
      </c>
      <c r="E19871" s="2">
        <v>129</v>
      </c>
      <c r="F19871" s="2" t="s">
        <v>6</v>
      </c>
    </row>
    <row r="19872" spans="1:6" ht="25.5">
      <c r="A19872" s="2">
        <v>19869</v>
      </c>
      <c r="B19872" s="2" t="s">
        <v>19939</v>
      </c>
      <c r="C19872" s="2" t="str">
        <f>"1735546X"</f>
        <v>1735546X</v>
      </c>
      <c r="D19872" s="2">
        <v>0.29699999999999999</v>
      </c>
      <c r="E19872" s="2">
        <v>10</v>
      </c>
      <c r="F19872" s="2" t="s">
        <v>299</v>
      </c>
    </row>
    <row r="19873" spans="1:6" ht="25.5">
      <c r="A19873" s="2">
        <v>19870</v>
      </c>
      <c r="B19873" s="2" t="s">
        <v>19940</v>
      </c>
      <c r="C19873" s="2" t="str">
        <f>"19394810"</f>
        <v>19394810</v>
      </c>
      <c r="D19873" s="2">
        <v>0.114</v>
      </c>
      <c r="E19873" s="2">
        <v>3</v>
      </c>
      <c r="F19873" s="2" t="s">
        <v>6</v>
      </c>
    </row>
    <row r="19874" spans="1:6" ht="25.5">
      <c r="A19874" s="2">
        <v>19871</v>
      </c>
      <c r="B19874" s="2" t="s">
        <v>19941</v>
      </c>
      <c r="C19874" s="2" t="str">
        <f>"15376176"</f>
        <v>15376176</v>
      </c>
      <c r="D19874" s="2">
        <v>0.41599999999999998</v>
      </c>
      <c r="E19874" s="2">
        <v>22</v>
      </c>
      <c r="F19874" s="2" t="s">
        <v>6</v>
      </c>
    </row>
    <row r="19875" spans="1:6" ht="25.5">
      <c r="A19875" s="2">
        <v>19872</v>
      </c>
      <c r="B19875" s="2" t="s">
        <v>19942</v>
      </c>
      <c r="C19875" s="2" t="str">
        <f>"19461968"</f>
        <v>19461968</v>
      </c>
      <c r="D19875" s="2">
        <v>0.17499999999999999</v>
      </c>
      <c r="E19875" s="2">
        <v>4</v>
      </c>
      <c r="F19875" s="2" t="s">
        <v>6</v>
      </c>
    </row>
    <row r="19876" spans="1:6" ht="25.5">
      <c r="A19876" s="2">
        <v>19873</v>
      </c>
      <c r="B19876" s="2" t="s">
        <v>19943</v>
      </c>
      <c r="C19876" s="2" t="str">
        <f>"17583896"</f>
        <v>17583896</v>
      </c>
      <c r="D19876" s="2">
        <v>0.11899999999999999</v>
      </c>
      <c r="E19876" s="2">
        <v>1</v>
      </c>
      <c r="F19876" s="2" t="s">
        <v>16</v>
      </c>
    </row>
    <row r="19877" spans="1:6" ht="25.5">
      <c r="A19877" s="2">
        <v>19874</v>
      </c>
      <c r="B19877" s="2" t="s">
        <v>19944</v>
      </c>
      <c r="C19877" s="2" t="str">
        <f>"08874840"</f>
        <v>08874840</v>
      </c>
      <c r="D19877" s="2">
        <v>0.1</v>
      </c>
      <c r="E19877" s="2">
        <v>1</v>
      </c>
      <c r="F19877" s="2" t="s">
        <v>6</v>
      </c>
    </row>
    <row r="19878" spans="1:6">
      <c r="A19878" s="2">
        <v>19875</v>
      </c>
      <c r="B19878" s="2" t="s">
        <v>19945</v>
      </c>
      <c r="C19878" s="2" t="str">
        <f>"0"</f>
        <v>0</v>
      </c>
      <c r="D19878" s="2">
        <v>0.10100000000000001</v>
      </c>
      <c r="E19878" s="2">
        <v>5</v>
      </c>
      <c r="F19878" s="2" t="s">
        <v>6</v>
      </c>
    </row>
    <row r="19879" spans="1:6" ht="25.5">
      <c r="A19879" s="2">
        <v>19876</v>
      </c>
      <c r="B19879" s="2" t="s">
        <v>19946</v>
      </c>
      <c r="C19879" s="2" t="str">
        <f>"08877262"</f>
        <v>08877262</v>
      </c>
      <c r="D19879" s="2">
        <v>0.105</v>
      </c>
      <c r="E19879" s="2">
        <v>1</v>
      </c>
      <c r="F19879" s="2" t="s">
        <v>6</v>
      </c>
    </row>
    <row r="19880" spans="1:6" ht="25.5">
      <c r="A19880" s="2">
        <v>19877</v>
      </c>
      <c r="B19880" s="2" t="s">
        <v>19947</v>
      </c>
      <c r="C19880" s="2" t="str">
        <f>"05024994"</f>
        <v>05024994</v>
      </c>
      <c r="D19880" s="2">
        <v>0.10299999999999999</v>
      </c>
      <c r="E19880" s="2">
        <v>1</v>
      </c>
      <c r="F19880" s="2" t="s">
        <v>6</v>
      </c>
    </row>
    <row r="19881" spans="1:6" ht="25.5">
      <c r="A19881" s="2">
        <v>19878</v>
      </c>
      <c r="B19881" s="2" t="s">
        <v>19948</v>
      </c>
      <c r="C19881" s="2" t="str">
        <f>"08825165"</f>
        <v>08825165</v>
      </c>
      <c r="D19881" s="2">
        <v>0.10199999999999999</v>
      </c>
      <c r="E19881" s="2">
        <v>1</v>
      </c>
      <c r="F19881" s="2" t="s">
        <v>6</v>
      </c>
    </row>
    <row r="19882" spans="1:6" ht="25.5">
      <c r="A19882" s="2">
        <v>19879</v>
      </c>
      <c r="B19882" s="2" t="s">
        <v>19949</v>
      </c>
      <c r="C19882" s="2" t="str">
        <f>"05025001"</f>
        <v>05025001</v>
      </c>
      <c r="D19882" s="2">
        <v>0.10199999999999999</v>
      </c>
      <c r="E19882" s="2">
        <v>3</v>
      </c>
      <c r="F19882" s="2" t="s">
        <v>6</v>
      </c>
    </row>
    <row r="19883" spans="1:6" ht="25.5">
      <c r="A19883" s="2">
        <v>19880</v>
      </c>
      <c r="B19883" s="2" t="s">
        <v>19950</v>
      </c>
      <c r="C19883" s="2" t="str">
        <f>"07481284"</f>
        <v>07481284</v>
      </c>
      <c r="D19883" s="2">
        <v>0.105</v>
      </c>
      <c r="E19883" s="2">
        <v>1</v>
      </c>
      <c r="F19883" s="2" t="s">
        <v>6</v>
      </c>
    </row>
    <row r="19884" spans="1:6" ht="25.5">
      <c r="A19884" s="2">
        <v>19881</v>
      </c>
      <c r="B19884" s="2" t="s">
        <v>19951</v>
      </c>
      <c r="C19884" s="2" t="str">
        <f>"08889708"</f>
        <v>08889708</v>
      </c>
      <c r="D19884" s="2">
        <v>0.109</v>
      </c>
      <c r="E19884" s="2">
        <v>2</v>
      </c>
      <c r="F19884" s="2" t="s">
        <v>6</v>
      </c>
    </row>
    <row r="19885" spans="1:6" ht="25.5">
      <c r="A19885" s="2">
        <v>19882</v>
      </c>
      <c r="B19885" s="2" t="s">
        <v>19952</v>
      </c>
      <c r="C19885" s="2" t="str">
        <f>"17583926"</f>
        <v>17583926</v>
      </c>
      <c r="D19885" s="2">
        <v>0.13</v>
      </c>
      <c r="E19885" s="2">
        <v>2</v>
      </c>
      <c r="F19885" s="2" t="s">
        <v>16</v>
      </c>
    </row>
    <row r="19886" spans="1:6" ht="25.5">
      <c r="A19886" s="2">
        <v>19883</v>
      </c>
      <c r="B19886" s="2" t="s">
        <v>19953</v>
      </c>
      <c r="C19886" s="2" t="str">
        <f>"15731391"</f>
        <v>15731391</v>
      </c>
      <c r="D19886" s="2">
        <v>2.2440000000000002</v>
      </c>
      <c r="E19886" s="2">
        <v>39</v>
      </c>
      <c r="F19886" s="2" t="s">
        <v>75</v>
      </c>
    </row>
    <row r="19887" spans="1:6" ht="25.5">
      <c r="A19887" s="2">
        <v>19884</v>
      </c>
      <c r="B19887" s="2" t="s">
        <v>19954</v>
      </c>
      <c r="C19887" s="2" t="str">
        <f>"10449612"</f>
        <v>10449612</v>
      </c>
      <c r="D19887" s="2">
        <v>0.26600000000000001</v>
      </c>
      <c r="E19887" s="2">
        <v>17</v>
      </c>
      <c r="F19887" s="2" t="s">
        <v>6</v>
      </c>
    </row>
    <row r="19888" spans="1:6" ht="25.5">
      <c r="A19888" s="2">
        <v>19885</v>
      </c>
      <c r="B19888" s="2" t="s">
        <v>19955</v>
      </c>
      <c r="C19888" s="2" t="str">
        <f>"17534143"</f>
        <v>17534143</v>
      </c>
      <c r="D19888" s="2">
        <v>0</v>
      </c>
      <c r="E19888" s="2">
        <v>0</v>
      </c>
      <c r="F19888" s="2" t="s">
        <v>16</v>
      </c>
    </row>
    <row r="19889" spans="1:6" ht="25.5">
      <c r="A19889" s="2">
        <v>19886</v>
      </c>
      <c r="B19889" s="2" t="s">
        <v>19956</v>
      </c>
      <c r="C19889" s="2" t="str">
        <f>"17546168"</f>
        <v>17546168</v>
      </c>
      <c r="D19889" s="2">
        <v>0.112</v>
      </c>
      <c r="E19889" s="2">
        <v>1</v>
      </c>
      <c r="F19889" s="2" t="s">
        <v>16</v>
      </c>
    </row>
    <row r="19890" spans="1:6" ht="25.5">
      <c r="A19890" s="2">
        <v>19887</v>
      </c>
      <c r="B19890" s="2" t="s">
        <v>19957</v>
      </c>
      <c r="C19890" s="2" t="str">
        <f>"03011798"</f>
        <v>03011798</v>
      </c>
      <c r="D19890" s="2">
        <v>0.14799999999999999</v>
      </c>
      <c r="E19890" s="2">
        <v>10</v>
      </c>
      <c r="F19890" s="2" t="s">
        <v>129</v>
      </c>
    </row>
    <row r="19891" spans="1:6" ht="25.5">
      <c r="A19891" s="2">
        <v>19888</v>
      </c>
      <c r="B19891" s="2" t="s">
        <v>19958</v>
      </c>
      <c r="C19891" s="2" t="str">
        <f>"14066564"</f>
        <v>14066564</v>
      </c>
      <c r="D19891" s="2">
        <v>0.104</v>
      </c>
      <c r="E19891" s="2">
        <v>1</v>
      </c>
      <c r="F19891" s="2" t="s">
        <v>265</v>
      </c>
    </row>
    <row r="19892" spans="1:6" ht="25.5">
      <c r="A19892" s="2">
        <v>19889</v>
      </c>
      <c r="B19892" s="2" t="s">
        <v>19959</v>
      </c>
      <c r="C19892" s="2" t="str">
        <f>"17416183"</f>
        <v>17416183</v>
      </c>
      <c r="D19892" s="2">
        <v>0.16500000000000001</v>
      </c>
      <c r="E19892" s="2">
        <v>2</v>
      </c>
      <c r="F19892" s="2" t="s">
        <v>16</v>
      </c>
    </row>
    <row r="19893" spans="1:6" ht="25.5">
      <c r="A19893" s="2">
        <v>19890</v>
      </c>
      <c r="B19893" s="2" t="s">
        <v>19960</v>
      </c>
      <c r="C19893" s="2" t="str">
        <f>"03153681"</f>
        <v>03153681</v>
      </c>
      <c r="D19893" s="2">
        <v>0.34699999999999998</v>
      </c>
      <c r="E19893" s="2">
        <v>15</v>
      </c>
      <c r="F19893" s="2" t="s">
        <v>64</v>
      </c>
    </row>
    <row r="19894" spans="1:6" ht="25.5">
      <c r="A19894" s="2">
        <v>19891</v>
      </c>
      <c r="B19894" s="2" t="s">
        <v>19961</v>
      </c>
      <c r="C19894" s="2" t="str">
        <f>"09571787"</f>
        <v>09571787</v>
      </c>
      <c r="D19894" s="2">
        <v>0.71899999999999997</v>
      </c>
      <c r="E19894" s="2">
        <v>22</v>
      </c>
      <c r="F19894" s="2" t="s">
        <v>75</v>
      </c>
    </row>
    <row r="19895" spans="1:6" ht="25.5">
      <c r="A19895" s="2">
        <v>19892</v>
      </c>
      <c r="B19895" s="2" t="s">
        <v>19962</v>
      </c>
      <c r="C19895" s="2" t="str">
        <f>"13155216"</f>
        <v>13155216</v>
      </c>
      <c r="D19895" s="2">
        <v>0.1</v>
      </c>
      <c r="E19895" s="2">
        <v>2</v>
      </c>
      <c r="F19895" s="2" t="s">
        <v>40</v>
      </c>
    </row>
    <row r="19896" spans="1:6" ht="25.5">
      <c r="A19896" s="2">
        <v>19893</v>
      </c>
      <c r="B19896" s="2" t="s">
        <v>19963</v>
      </c>
      <c r="C19896" s="2" t="str">
        <f>"13588745"</f>
        <v>13588745</v>
      </c>
      <c r="D19896" s="2">
        <v>1.36</v>
      </c>
      <c r="E19896" s="2">
        <v>117</v>
      </c>
      <c r="F19896" s="2" t="s">
        <v>75</v>
      </c>
    </row>
    <row r="19897" spans="1:6" ht="25.5">
      <c r="A19897" s="2">
        <v>19894</v>
      </c>
      <c r="B19897" s="2" t="s">
        <v>19964</v>
      </c>
      <c r="C19897" s="2" t="str">
        <f>"15769887"</f>
        <v>15769887</v>
      </c>
      <c r="D19897" s="2">
        <v>0.13500000000000001</v>
      </c>
      <c r="E19897" s="2">
        <v>5</v>
      </c>
      <c r="F19897" s="2" t="s">
        <v>351</v>
      </c>
    </row>
    <row r="19898" spans="1:6" ht="25.5">
      <c r="A19898" s="2">
        <v>19895</v>
      </c>
      <c r="B19898" s="2" t="s">
        <v>19965</v>
      </c>
      <c r="C19898" s="2" t="str">
        <f>"0042207X"</f>
        <v>0042207X</v>
      </c>
      <c r="D19898" s="2">
        <v>0.495</v>
      </c>
      <c r="E19898" s="2">
        <v>49</v>
      </c>
      <c r="F19898" s="2" t="s">
        <v>16</v>
      </c>
    </row>
    <row r="19899" spans="1:6" ht="25.5">
      <c r="A19899" s="2">
        <v>19896</v>
      </c>
      <c r="B19899" s="2" t="s">
        <v>19966</v>
      </c>
      <c r="C19899" s="2" t="str">
        <f>"15391663"</f>
        <v>15391663</v>
      </c>
      <c r="D19899" s="2">
        <v>1.008</v>
      </c>
      <c r="E19899" s="2">
        <v>41</v>
      </c>
      <c r="F19899" s="2" t="s">
        <v>6</v>
      </c>
    </row>
    <row r="19900" spans="1:6" ht="25.5">
      <c r="A19900" s="2">
        <v>19897</v>
      </c>
      <c r="B19900" s="2" t="s">
        <v>19967</v>
      </c>
      <c r="C19900" s="2" t="str">
        <f>"18023150"</f>
        <v>18023150</v>
      </c>
      <c r="D19900" s="2">
        <v>0.111</v>
      </c>
      <c r="E19900" s="2">
        <v>2</v>
      </c>
      <c r="F19900" s="2" t="s">
        <v>208</v>
      </c>
    </row>
    <row r="19901" spans="1:6" ht="25.5">
      <c r="A19901" s="2">
        <v>19898</v>
      </c>
      <c r="B19901" s="2" t="s">
        <v>19968</v>
      </c>
      <c r="C19901" s="2" t="str">
        <f>"15222454"</f>
        <v>15222454</v>
      </c>
      <c r="D19901" s="2">
        <v>0.223</v>
      </c>
      <c r="E19901" s="2">
        <v>7</v>
      </c>
      <c r="F19901" s="2" t="s">
        <v>12</v>
      </c>
    </row>
    <row r="19902" spans="1:6" ht="25.5">
      <c r="A19902" s="2">
        <v>19899</v>
      </c>
      <c r="B19902" s="2" t="s">
        <v>19969</v>
      </c>
      <c r="C19902" s="2" t="str">
        <f>"15244733"</f>
        <v>15244733</v>
      </c>
      <c r="D19902" s="2">
        <v>1.1379999999999999</v>
      </c>
      <c r="E19902" s="2">
        <v>47</v>
      </c>
      <c r="F19902" s="2" t="s">
        <v>16</v>
      </c>
    </row>
    <row r="19903" spans="1:6" ht="25.5">
      <c r="A19903" s="2">
        <v>19900</v>
      </c>
      <c r="B19903" s="2" t="s">
        <v>19970</v>
      </c>
      <c r="C19903" s="2" t="str">
        <f>"22121102"</f>
        <v>22121102</v>
      </c>
      <c r="D19903" s="2">
        <v>0</v>
      </c>
      <c r="E19903" s="2">
        <v>0</v>
      </c>
      <c r="F19903" s="2" t="s">
        <v>6</v>
      </c>
    </row>
    <row r="19904" spans="1:6" ht="25.5">
      <c r="A19904" s="2">
        <v>19901</v>
      </c>
      <c r="B19904" s="2" t="s">
        <v>19971</v>
      </c>
      <c r="C19904" s="2" t="str">
        <f>"00422533"</f>
        <v>00422533</v>
      </c>
      <c r="D19904" s="2">
        <v>0.71399999999999997</v>
      </c>
      <c r="E19904" s="2">
        <v>18</v>
      </c>
      <c r="F19904" s="2" t="s">
        <v>6</v>
      </c>
    </row>
    <row r="19905" spans="1:6" ht="25.5">
      <c r="A19905" s="2">
        <v>19902</v>
      </c>
      <c r="B19905" s="2" t="s">
        <v>19972</v>
      </c>
      <c r="C19905" s="2" t="str">
        <f>"03011526"</f>
        <v>03011526</v>
      </c>
      <c r="D19905" s="2">
        <v>0.30099999999999999</v>
      </c>
      <c r="E19905" s="2">
        <v>27</v>
      </c>
      <c r="F19905" s="2" t="s">
        <v>31</v>
      </c>
    </row>
    <row r="19906" spans="1:6" ht="25.5">
      <c r="A19906" s="2">
        <v>19903</v>
      </c>
      <c r="B19906" s="2" t="s">
        <v>19973</v>
      </c>
      <c r="C19906" s="2" t="str">
        <f>"1708539X"</f>
        <v>1708539X</v>
      </c>
      <c r="D19906" s="2">
        <v>0.38900000000000001</v>
      </c>
      <c r="E19906" s="2">
        <v>40</v>
      </c>
      <c r="F19906" s="2" t="s">
        <v>16</v>
      </c>
    </row>
    <row r="19907" spans="1:6" ht="25.5">
      <c r="A19907" s="2">
        <v>19904</v>
      </c>
      <c r="B19907" s="2" t="s">
        <v>19974</v>
      </c>
      <c r="C19907" s="2" t="str">
        <f>"15385744"</f>
        <v>15385744</v>
      </c>
      <c r="D19907" s="2">
        <v>0.45700000000000002</v>
      </c>
      <c r="E19907" s="2">
        <v>29</v>
      </c>
      <c r="F19907" s="2" t="s">
        <v>6</v>
      </c>
    </row>
    <row r="19908" spans="1:6" ht="25.5">
      <c r="A19908" s="2">
        <v>19905</v>
      </c>
      <c r="B19908" s="2" t="s">
        <v>19975</v>
      </c>
      <c r="C19908" s="2" t="str">
        <f>"2045824X"</f>
        <v>2045824X</v>
      </c>
      <c r="D19908" s="2">
        <v>0.97199999999999998</v>
      </c>
      <c r="E19908" s="2">
        <v>9</v>
      </c>
      <c r="F19908" s="2" t="s">
        <v>16</v>
      </c>
    </row>
    <row r="19909" spans="1:6" ht="25.5">
      <c r="A19909" s="2">
        <v>19906</v>
      </c>
      <c r="B19909" s="2" t="s">
        <v>19976</v>
      </c>
      <c r="C19909" s="2" t="str">
        <f>"15538036"</f>
        <v>15538036</v>
      </c>
      <c r="D19909" s="2">
        <v>0.124</v>
      </c>
      <c r="E19909" s="2">
        <v>5</v>
      </c>
      <c r="F19909" s="2" t="s">
        <v>6</v>
      </c>
    </row>
    <row r="19910" spans="1:6" ht="25.5">
      <c r="A19910" s="2">
        <v>19907</v>
      </c>
      <c r="B19910" s="2" t="s">
        <v>19977</v>
      </c>
      <c r="C19910" s="2" t="str">
        <f>"11766344"</f>
        <v>11766344</v>
      </c>
      <c r="D19910" s="2">
        <v>0.66700000000000004</v>
      </c>
      <c r="E19910" s="2">
        <v>29</v>
      </c>
      <c r="F19910" s="2" t="s">
        <v>503</v>
      </c>
    </row>
    <row r="19911" spans="1:6" ht="25.5">
      <c r="A19911" s="2">
        <v>19908</v>
      </c>
      <c r="B19911" s="2" t="s">
        <v>19978</v>
      </c>
      <c r="C19911" s="2" t="str">
        <f>"14770377"</f>
        <v>14770377</v>
      </c>
      <c r="D19911" s="2">
        <v>0.6</v>
      </c>
      <c r="E19911" s="2">
        <v>49</v>
      </c>
      <c r="F19911" s="2" t="s">
        <v>16</v>
      </c>
    </row>
    <row r="19912" spans="1:6" ht="25.5">
      <c r="A19912" s="2">
        <v>19909</v>
      </c>
      <c r="B19912" s="2" t="s">
        <v>19979</v>
      </c>
      <c r="C19912" s="2" t="str">
        <f>"15371891"</f>
        <v>15371891</v>
      </c>
      <c r="D19912" s="2">
        <v>0.92300000000000004</v>
      </c>
      <c r="E19912" s="2">
        <v>65</v>
      </c>
      <c r="F19912" s="2" t="s">
        <v>6</v>
      </c>
    </row>
    <row r="19913" spans="1:6" ht="25.5">
      <c r="A19913" s="2">
        <v>19910</v>
      </c>
      <c r="B19913" s="2" t="s">
        <v>19980</v>
      </c>
      <c r="C19913" s="2" t="str">
        <f>"09421181"</f>
        <v>09421181</v>
      </c>
      <c r="D19913" s="2">
        <v>0.115</v>
      </c>
      <c r="E19913" s="2">
        <v>6</v>
      </c>
      <c r="F19913" s="2" t="s">
        <v>12</v>
      </c>
    </row>
    <row r="19914" spans="1:6" ht="25.5">
      <c r="A19914" s="2">
        <v>19911</v>
      </c>
      <c r="B19914" s="2" t="s">
        <v>19981</v>
      </c>
      <c r="C19914" s="2" t="str">
        <f>"03417255"</f>
        <v>03417255</v>
      </c>
      <c r="D19914" s="2">
        <v>0.128</v>
      </c>
      <c r="E19914" s="2">
        <v>2</v>
      </c>
      <c r="F19914" s="2" t="s">
        <v>12</v>
      </c>
    </row>
    <row r="19915" spans="1:6" ht="25.5">
      <c r="A19915" s="2">
        <v>19912</v>
      </c>
      <c r="B19915" s="2" t="s">
        <v>19982</v>
      </c>
      <c r="C19915" s="2" t="str">
        <f>"15303667"</f>
        <v>15303667</v>
      </c>
      <c r="D19915" s="2">
        <v>0.81399999999999995</v>
      </c>
      <c r="E19915" s="2">
        <v>36</v>
      </c>
      <c r="F19915" s="2" t="s">
        <v>6</v>
      </c>
    </row>
    <row r="19916" spans="1:6" ht="25.5">
      <c r="A19916" s="2">
        <v>19913</v>
      </c>
      <c r="B19916" s="2" t="s">
        <v>19983</v>
      </c>
      <c r="C19916" s="2" t="str">
        <f>"18987761"</f>
        <v>18987761</v>
      </c>
      <c r="D19916" s="2">
        <v>0.27300000000000002</v>
      </c>
      <c r="E19916" s="2">
        <v>3</v>
      </c>
      <c r="F19916" s="2" t="s">
        <v>169</v>
      </c>
    </row>
    <row r="19917" spans="1:6" ht="25.5">
      <c r="A19917" s="2">
        <v>19914</v>
      </c>
      <c r="B19917" s="2" t="s">
        <v>19984</v>
      </c>
      <c r="C19917" s="2" t="str">
        <f>"16176278"</f>
        <v>16176278</v>
      </c>
      <c r="D19917" s="2">
        <v>0.86099999999999999</v>
      </c>
      <c r="E19917" s="2">
        <v>33</v>
      </c>
      <c r="F19917" s="2" t="s">
        <v>6</v>
      </c>
    </row>
    <row r="19918" spans="1:6" ht="25.5">
      <c r="A19918" s="2">
        <v>19915</v>
      </c>
      <c r="B19918" s="2" t="s">
        <v>19985</v>
      </c>
      <c r="C19918" s="2" t="str">
        <f>"09704078"</f>
        <v>09704078</v>
      </c>
      <c r="D19918" s="2">
        <v>0.113</v>
      </c>
      <c r="E19918" s="2">
        <v>1</v>
      </c>
      <c r="F19918" s="2" t="s">
        <v>488</v>
      </c>
    </row>
    <row r="19919" spans="1:6" ht="25.5">
      <c r="A19919" s="2">
        <v>19916</v>
      </c>
      <c r="B19919" s="2" t="s">
        <v>19986</v>
      </c>
      <c r="C19919" s="2" t="str">
        <f>"17445159"</f>
        <v>17445159</v>
      </c>
      <c r="D19919" s="2">
        <v>0.72799999999999998</v>
      </c>
      <c r="E19919" s="2">
        <v>44</v>
      </c>
      <c r="F19919" s="2" t="s">
        <v>16</v>
      </c>
    </row>
    <row r="19920" spans="1:6" ht="25.5">
      <c r="A19920" s="2">
        <v>19917</v>
      </c>
      <c r="B19920" s="2" t="s">
        <v>19987</v>
      </c>
      <c r="C19920" s="2" t="str">
        <f>"00423211"</f>
        <v>00423211</v>
      </c>
      <c r="D19920" s="2">
        <v>0.41899999999999998</v>
      </c>
      <c r="E19920" s="2">
        <v>17</v>
      </c>
      <c r="F19920" s="2" t="s">
        <v>6</v>
      </c>
    </row>
    <row r="19921" spans="1:6" ht="25.5">
      <c r="A19921" s="2">
        <v>19918</v>
      </c>
      <c r="B19921" s="2" t="s">
        <v>19988</v>
      </c>
      <c r="C19921" s="2" t="str">
        <f>"14645343"</f>
        <v>14645343</v>
      </c>
      <c r="D19921" s="2">
        <v>0.35299999999999998</v>
      </c>
      <c r="E19921" s="2">
        <v>15</v>
      </c>
      <c r="F19921" s="2" t="s">
        <v>16</v>
      </c>
    </row>
    <row r="19922" spans="1:6" ht="25.5">
      <c r="A19922" s="2">
        <v>19919</v>
      </c>
      <c r="B19922" s="2" t="s">
        <v>19989</v>
      </c>
      <c r="C19922" s="2" t="str">
        <f>"0174738X"</f>
        <v>0174738X</v>
      </c>
      <c r="D19922" s="2">
        <v>0.105</v>
      </c>
      <c r="E19922" s="2">
        <v>5</v>
      </c>
      <c r="F19922" s="2" t="s">
        <v>12</v>
      </c>
    </row>
    <row r="19923" spans="1:6" ht="25.5">
      <c r="A19923" s="2">
        <v>19920</v>
      </c>
      <c r="B19923" s="2" t="s">
        <v>19990</v>
      </c>
      <c r="C19923" s="2" t="str">
        <f>"14230402"</f>
        <v>14230402</v>
      </c>
      <c r="D19923" s="2">
        <v>0.14299999999999999</v>
      </c>
      <c r="E19923" s="2">
        <v>14</v>
      </c>
      <c r="F19923" s="2" t="s">
        <v>31</v>
      </c>
    </row>
    <row r="19924" spans="1:6" ht="25.5">
      <c r="A19924" s="2">
        <v>19921</v>
      </c>
      <c r="B19924" s="2" t="s">
        <v>19991</v>
      </c>
      <c r="C19924" s="2" t="str">
        <f>"10131973"</f>
        <v>10131973</v>
      </c>
      <c r="D19924" s="2">
        <v>0.12</v>
      </c>
      <c r="E19924" s="2">
        <v>1</v>
      </c>
      <c r="F19924" s="2" t="s">
        <v>12</v>
      </c>
    </row>
    <row r="19925" spans="1:6" ht="25.5">
      <c r="A19925" s="2">
        <v>19922</v>
      </c>
      <c r="B19925" s="2" t="s">
        <v>19992</v>
      </c>
      <c r="C19925" s="2" t="str">
        <f>"03026469"</f>
        <v>03026469</v>
      </c>
      <c r="D19925" s="2">
        <v>0.115</v>
      </c>
      <c r="E19925" s="2">
        <v>13</v>
      </c>
      <c r="F19925" s="2" t="s">
        <v>161</v>
      </c>
    </row>
    <row r="19926" spans="1:6" ht="38.25">
      <c r="A19926" s="2">
        <v>19923</v>
      </c>
      <c r="B19926" s="2" t="s">
        <v>19993</v>
      </c>
      <c r="C19926" s="2" t="str">
        <f>"09334548"</f>
        <v>09334548</v>
      </c>
      <c r="D19926" s="2">
        <v>0.128</v>
      </c>
      <c r="E19926" s="2">
        <v>9</v>
      </c>
      <c r="F19926" s="2" t="s">
        <v>12</v>
      </c>
    </row>
    <row r="19927" spans="1:6" ht="25.5">
      <c r="A19927" s="2">
        <v>19924</v>
      </c>
      <c r="B19927" s="2" t="s">
        <v>19994</v>
      </c>
      <c r="C19927" s="2" t="str">
        <f>"03276139"</f>
        <v>03276139</v>
      </c>
      <c r="D19927" s="2">
        <v>0.10299999999999999</v>
      </c>
      <c r="E19927" s="2">
        <v>6</v>
      </c>
      <c r="F19927" s="2" t="s">
        <v>192</v>
      </c>
    </row>
    <row r="19928" spans="1:6" ht="25.5">
      <c r="A19928" s="2">
        <v>19925</v>
      </c>
      <c r="B19928" s="2" t="s">
        <v>19995</v>
      </c>
      <c r="C19928" s="2" t="str">
        <f>"00424455"</f>
        <v>00424455</v>
      </c>
      <c r="D19928" s="2">
        <v>0.1</v>
      </c>
      <c r="E19928" s="2">
        <v>4</v>
      </c>
      <c r="F19928" s="2" t="s">
        <v>6</v>
      </c>
    </row>
    <row r="19929" spans="1:6">
      <c r="A19929" s="2">
        <v>19926</v>
      </c>
      <c r="B19929" s="2" t="s">
        <v>19996</v>
      </c>
      <c r="C19929" s="2" t="str">
        <f>"0"</f>
        <v>0</v>
      </c>
      <c r="D19929" s="2">
        <v>0.10100000000000001</v>
      </c>
      <c r="E19929" s="2">
        <v>3</v>
      </c>
      <c r="F19929" s="2" t="s">
        <v>161</v>
      </c>
    </row>
    <row r="19930" spans="1:6" ht="25.5">
      <c r="A19930" s="2">
        <v>19927</v>
      </c>
      <c r="B19930" s="2" t="s">
        <v>19997</v>
      </c>
      <c r="C19930" s="2" t="str">
        <f>"00424625"</f>
        <v>00424625</v>
      </c>
      <c r="D19930" s="2">
        <v>0.10299999999999999</v>
      </c>
      <c r="E19930" s="2">
        <v>5</v>
      </c>
      <c r="F19930" s="2" t="s">
        <v>129</v>
      </c>
    </row>
    <row r="19931" spans="1:6" ht="25.5">
      <c r="A19931" s="2">
        <v>19928</v>
      </c>
      <c r="B19931" s="2" t="s">
        <v>19998</v>
      </c>
      <c r="C19931" s="2" t="str">
        <f>"05799414"</f>
        <v>05799414</v>
      </c>
      <c r="D19931" s="2">
        <v>0.124</v>
      </c>
      <c r="E19931" s="2">
        <v>3</v>
      </c>
      <c r="F19931" s="2" t="s">
        <v>129</v>
      </c>
    </row>
    <row r="19932" spans="1:6" ht="25.5">
      <c r="A19932" s="2">
        <v>19929</v>
      </c>
      <c r="B19932" s="2" t="s">
        <v>19999</v>
      </c>
      <c r="C19932" s="2" t="str">
        <f>"0042465X"</f>
        <v>0042465X</v>
      </c>
      <c r="D19932" s="2">
        <v>0.109</v>
      </c>
      <c r="E19932" s="2">
        <v>7</v>
      </c>
      <c r="F19932" s="2" t="s">
        <v>129</v>
      </c>
    </row>
    <row r="19933" spans="1:6" ht="25.5">
      <c r="A19933" s="2">
        <v>19930</v>
      </c>
      <c r="B19933" s="2" t="s">
        <v>20000</v>
      </c>
      <c r="C19933" s="2" t="str">
        <f>"00424668"</f>
        <v>00424668</v>
      </c>
      <c r="D19933" s="2">
        <v>0.104</v>
      </c>
      <c r="E19933" s="2">
        <v>4</v>
      </c>
      <c r="F19933" s="2" t="s">
        <v>129</v>
      </c>
    </row>
    <row r="19934" spans="1:6" ht="25.5">
      <c r="A19934" s="2">
        <v>19931</v>
      </c>
      <c r="B19934" s="2" t="s">
        <v>20001</v>
      </c>
      <c r="C19934" s="2" t="str">
        <f>"00424676"</f>
        <v>00424676</v>
      </c>
      <c r="D19934" s="2">
        <v>0.10100000000000001</v>
      </c>
      <c r="E19934" s="2">
        <v>3</v>
      </c>
      <c r="F19934" s="2" t="s">
        <v>129</v>
      </c>
    </row>
    <row r="19935" spans="1:6" ht="25.5">
      <c r="A19935" s="2">
        <v>19932</v>
      </c>
      <c r="B19935" s="2" t="s">
        <v>20002</v>
      </c>
      <c r="C19935" s="2" t="str">
        <f>"08696047"</f>
        <v>08696047</v>
      </c>
      <c r="D19935" s="2">
        <v>0.105</v>
      </c>
      <c r="E19935" s="2">
        <v>10</v>
      </c>
      <c r="F19935" s="2" t="s">
        <v>129</v>
      </c>
    </row>
    <row r="19936" spans="1:6" ht="25.5">
      <c r="A19936" s="2">
        <v>19933</v>
      </c>
      <c r="B19936" s="2" t="s">
        <v>20003</v>
      </c>
      <c r="C19936" s="2" t="str">
        <f>"18142680"</f>
        <v>18142680</v>
      </c>
      <c r="D19936" s="2">
        <v>0.1</v>
      </c>
      <c r="E19936" s="2">
        <v>4</v>
      </c>
      <c r="F19936" s="2" t="s">
        <v>129</v>
      </c>
    </row>
    <row r="19937" spans="1:6" ht="25.5">
      <c r="A19937" s="2">
        <v>19934</v>
      </c>
      <c r="B19937" s="2" t="s">
        <v>20004</v>
      </c>
      <c r="C19937" s="2" t="str">
        <f>"19347855"</f>
        <v>19347855</v>
      </c>
      <c r="D19937" s="2">
        <v>0.21099999999999999</v>
      </c>
      <c r="E19937" s="2">
        <v>3</v>
      </c>
      <c r="F19937" s="2" t="s">
        <v>12</v>
      </c>
    </row>
    <row r="19938" spans="1:6" ht="25.5">
      <c r="A19938" s="2">
        <v>19935</v>
      </c>
      <c r="B19938" s="2" t="s">
        <v>20005</v>
      </c>
      <c r="C19938" s="2" t="str">
        <f>"00845604"</f>
        <v>00845604</v>
      </c>
      <c r="D19938" s="2">
        <v>0.14399999999999999</v>
      </c>
      <c r="E19938" s="2">
        <v>2</v>
      </c>
      <c r="F19938" s="2" t="s">
        <v>438</v>
      </c>
    </row>
    <row r="19939" spans="1:6" ht="25.5">
      <c r="A19939" s="2">
        <v>19936</v>
      </c>
      <c r="B19939" s="2" t="s">
        <v>20006</v>
      </c>
      <c r="C19939" s="2" t="str">
        <f>"03015092"</f>
        <v>03015092</v>
      </c>
      <c r="D19939" s="2">
        <v>0.19500000000000001</v>
      </c>
      <c r="E19939" s="2">
        <v>4</v>
      </c>
      <c r="F19939" s="2" t="s">
        <v>200</v>
      </c>
    </row>
    <row r="19940" spans="1:6" ht="25.5">
      <c r="A19940" s="2">
        <v>19937</v>
      </c>
      <c r="B19940" s="2" t="s">
        <v>20007</v>
      </c>
      <c r="C19940" s="2" t="str">
        <f>"13922130"</f>
        <v>13922130</v>
      </c>
      <c r="D19940" s="2">
        <v>0.14499999999999999</v>
      </c>
      <c r="E19940" s="2">
        <v>3</v>
      </c>
      <c r="F19940" s="2" t="s">
        <v>426</v>
      </c>
    </row>
    <row r="19941" spans="1:6" ht="25.5">
      <c r="A19941" s="2">
        <v>19938</v>
      </c>
      <c r="B19941" s="2" t="s">
        <v>20008</v>
      </c>
      <c r="C19941" s="2" t="str">
        <f>"03758427"</f>
        <v>03758427</v>
      </c>
      <c r="D19941" s="2">
        <v>0.29499999999999998</v>
      </c>
      <c r="E19941" s="2">
        <v>24</v>
      </c>
      <c r="F19941" s="2" t="s">
        <v>208</v>
      </c>
    </row>
    <row r="19942" spans="1:6" ht="25.5">
      <c r="A19942" s="2">
        <v>19939</v>
      </c>
      <c r="B19942" s="2" t="s">
        <v>20009</v>
      </c>
      <c r="C19942" s="2" t="str">
        <f>"13318055"</f>
        <v>13318055</v>
      </c>
      <c r="D19942" s="2">
        <v>0.17899999999999999</v>
      </c>
      <c r="E19942" s="2">
        <v>13</v>
      </c>
      <c r="F19942" s="2" t="s">
        <v>149</v>
      </c>
    </row>
    <row r="19943" spans="1:6" ht="25.5">
      <c r="A19943" s="2">
        <v>19940</v>
      </c>
      <c r="B19943" s="2" t="s">
        <v>20010</v>
      </c>
      <c r="C19943" s="2" t="str">
        <f>"14672995"</f>
        <v>14672995</v>
      </c>
      <c r="D19943" s="2">
        <v>0.71599999999999997</v>
      </c>
      <c r="E19943" s="2">
        <v>25</v>
      </c>
      <c r="F19943" s="2" t="s">
        <v>16</v>
      </c>
    </row>
    <row r="19944" spans="1:6" ht="25.5">
      <c r="A19944" s="2">
        <v>19941</v>
      </c>
      <c r="B19944" s="2" t="s">
        <v>20011</v>
      </c>
      <c r="C19944" s="2" t="str">
        <f>"14765829"</f>
        <v>14765829</v>
      </c>
      <c r="D19944" s="2">
        <v>0.67700000000000005</v>
      </c>
      <c r="E19944" s="2">
        <v>10</v>
      </c>
      <c r="F19944" s="2" t="s">
        <v>16</v>
      </c>
    </row>
    <row r="19945" spans="1:6" ht="25.5">
      <c r="A19945" s="2">
        <v>19942</v>
      </c>
      <c r="B19945" s="2" t="s">
        <v>20012</v>
      </c>
      <c r="C19945" s="2" t="str">
        <f>"09320814"</f>
        <v>09320814</v>
      </c>
      <c r="D19945" s="2">
        <v>0.92900000000000005</v>
      </c>
      <c r="E19945" s="2">
        <v>26</v>
      </c>
      <c r="F19945" s="2" t="s">
        <v>12</v>
      </c>
    </row>
    <row r="19946" spans="1:6" ht="25.5">
      <c r="A19946" s="2">
        <v>19943</v>
      </c>
      <c r="B19946" s="2" t="s">
        <v>20013</v>
      </c>
      <c r="C19946" s="2" t="str">
        <f>"02756382"</f>
        <v>02756382</v>
      </c>
      <c r="D19946" s="2">
        <v>0.72199999999999998</v>
      </c>
      <c r="E19946" s="2">
        <v>27</v>
      </c>
      <c r="F19946" s="2" t="s">
        <v>6</v>
      </c>
    </row>
    <row r="19947" spans="1:6" ht="25.5">
      <c r="A19947" s="2">
        <v>19944</v>
      </c>
      <c r="B19947" s="2" t="s">
        <v>20014</v>
      </c>
      <c r="C19947" s="2" t="str">
        <f>"15584224"</f>
        <v>15584224</v>
      </c>
      <c r="D19947" s="2">
        <v>0.54900000000000004</v>
      </c>
      <c r="E19947" s="2">
        <v>28</v>
      </c>
      <c r="F19947" s="2" t="s">
        <v>16</v>
      </c>
    </row>
    <row r="19948" spans="1:6" ht="25.5">
      <c r="A19948" s="2">
        <v>19945</v>
      </c>
      <c r="B19948" s="2" t="s">
        <v>20015</v>
      </c>
      <c r="C19948" s="2" t="str">
        <f>"10949194"</f>
        <v>10949194</v>
      </c>
      <c r="D19948" s="2">
        <v>0.22600000000000001</v>
      </c>
      <c r="E19948" s="2">
        <v>18</v>
      </c>
      <c r="F19948" s="2" t="s">
        <v>16</v>
      </c>
    </row>
    <row r="19949" spans="1:6" ht="25.5">
      <c r="A19949" s="2">
        <v>19946</v>
      </c>
      <c r="B19949" s="2" t="s">
        <v>20016</v>
      </c>
      <c r="C19949" s="2" t="str">
        <f>"07490720"</f>
        <v>07490720</v>
      </c>
      <c r="D19949" s="2">
        <v>1.139</v>
      </c>
      <c r="E19949" s="2">
        <v>37</v>
      </c>
      <c r="F19949" s="2" t="s">
        <v>16</v>
      </c>
    </row>
    <row r="19950" spans="1:6" ht="25.5">
      <c r="A19950" s="2">
        <v>19947</v>
      </c>
      <c r="B19950" s="2" t="s">
        <v>20017</v>
      </c>
      <c r="C19950" s="2" t="str">
        <f>"01955616"</f>
        <v>01955616</v>
      </c>
      <c r="D19950" s="2">
        <v>0.78500000000000003</v>
      </c>
      <c r="E19950" s="2">
        <v>38</v>
      </c>
      <c r="F19950" s="2" t="s">
        <v>16</v>
      </c>
    </row>
    <row r="19951" spans="1:6" ht="25.5">
      <c r="A19951" s="2">
        <v>19948</v>
      </c>
      <c r="B19951" s="2" t="s">
        <v>20018</v>
      </c>
      <c r="C19951" s="2" t="str">
        <f>"13653164"</f>
        <v>13653164</v>
      </c>
      <c r="D19951" s="2">
        <v>0.88700000000000001</v>
      </c>
      <c r="E19951" s="2">
        <v>31</v>
      </c>
      <c r="F19951" s="2" t="s">
        <v>16</v>
      </c>
    </row>
    <row r="19952" spans="1:6" ht="25.5">
      <c r="A19952" s="2">
        <v>19949</v>
      </c>
      <c r="B19952" s="2" t="s">
        <v>20019</v>
      </c>
      <c r="C19952" s="2" t="str">
        <f>"00424862"</f>
        <v>00424862</v>
      </c>
      <c r="D19952" s="2">
        <v>0.1</v>
      </c>
      <c r="E19952" s="2">
        <v>2</v>
      </c>
      <c r="F19952" s="2" t="s">
        <v>6</v>
      </c>
    </row>
    <row r="19953" spans="1:6" ht="25.5">
      <c r="A19953" s="2">
        <v>19950</v>
      </c>
      <c r="B19953" s="2" t="s">
        <v>20020</v>
      </c>
      <c r="C19953" s="2" t="str">
        <f>"0"</f>
        <v>0</v>
      </c>
      <c r="D19953" s="2">
        <v>0.10100000000000001</v>
      </c>
      <c r="E19953" s="2">
        <v>1</v>
      </c>
      <c r="F19953" s="2" t="s">
        <v>6</v>
      </c>
    </row>
    <row r="19954" spans="1:6" ht="25.5">
      <c r="A19954" s="2">
        <v>19951</v>
      </c>
      <c r="B19954" s="2" t="s">
        <v>20021</v>
      </c>
      <c r="C19954" s="2" t="str">
        <f>"01652427"</f>
        <v>01652427</v>
      </c>
      <c r="D19954" s="2">
        <v>0.71299999999999997</v>
      </c>
      <c r="E19954" s="2">
        <v>61</v>
      </c>
      <c r="F19954" s="2" t="s">
        <v>75</v>
      </c>
    </row>
    <row r="19955" spans="1:6" ht="25.5">
      <c r="A19955" s="2">
        <v>19952</v>
      </c>
      <c r="B19955" s="2" t="s">
        <v>20022</v>
      </c>
      <c r="C19955" s="2" t="str">
        <f>"10900233"</f>
        <v>10900233</v>
      </c>
      <c r="D19955" s="2">
        <v>0.90800000000000003</v>
      </c>
      <c r="E19955" s="2">
        <v>55</v>
      </c>
      <c r="F19955" s="2" t="s">
        <v>16</v>
      </c>
    </row>
    <row r="19956" spans="1:6" ht="25.5">
      <c r="A19956" s="2">
        <v>19953</v>
      </c>
      <c r="B19956" s="2" t="s">
        <v>20023</v>
      </c>
      <c r="C19956" s="2" t="str">
        <f>"87507943"</f>
        <v>87507943</v>
      </c>
      <c r="D19956" s="2">
        <v>0.114</v>
      </c>
      <c r="E19956" s="2">
        <v>14</v>
      </c>
      <c r="F19956" s="2" t="s">
        <v>6</v>
      </c>
    </row>
    <row r="19957" spans="1:6" ht="25.5">
      <c r="A19957" s="2">
        <v>19954</v>
      </c>
      <c r="B19957" s="2" t="s">
        <v>20024</v>
      </c>
      <c r="C19957" s="2" t="str">
        <f>"20908113"</f>
        <v>20908113</v>
      </c>
      <c r="D19957" s="2">
        <v>0.372</v>
      </c>
      <c r="E19957" s="2">
        <v>7</v>
      </c>
      <c r="F19957" s="2" t="s">
        <v>523</v>
      </c>
    </row>
    <row r="19958" spans="1:6" ht="25.5">
      <c r="A19958" s="2">
        <v>19955</v>
      </c>
      <c r="B19958" s="2" t="s">
        <v>20025</v>
      </c>
      <c r="C19958" s="2" t="str">
        <f>"03781135"</f>
        <v>03781135</v>
      </c>
      <c r="D19958" s="2">
        <v>1.2210000000000001</v>
      </c>
      <c r="E19958" s="2">
        <v>75</v>
      </c>
      <c r="F19958" s="2" t="s">
        <v>75</v>
      </c>
    </row>
    <row r="19959" spans="1:6" ht="25.5">
      <c r="A19959" s="2">
        <v>19956</v>
      </c>
      <c r="B19959" s="2" t="s">
        <v>20026</v>
      </c>
      <c r="C19959" s="2" t="str">
        <f>"14635224"</f>
        <v>14635224</v>
      </c>
      <c r="D19959" s="2">
        <v>0.40699999999999997</v>
      </c>
      <c r="E19959" s="2">
        <v>25</v>
      </c>
      <c r="F19959" s="2" t="s">
        <v>16</v>
      </c>
    </row>
    <row r="19960" spans="1:6" ht="25.5">
      <c r="A19960" s="2">
        <v>19957</v>
      </c>
      <c r="B19960" s="2" t="s">
        <v>20027</v>
      </c>
      <c r="C19960" s="2" t="str">
        <f>"03044017"</f>
        <v>03044017</v>
      </c>
      <c r="D19960" s="2">
        <v>0.996</v>
      </c>
      <c r="E19960" s="2">
        <v>74</v>
      </c>
      <c r="F19960" s="2" t="s">
        <v>75</v>
      </c>
    </row>
    <row r="19961" spans="1:6" ht="25.5">
      <c r="A19961" s="2">
        <v>19958</v>
      </c>
      <c r="B19961" s="2" t="s">
        <v>20028</v>
      </c>
      <c r="C19961" s="2" t="str">
        <f>"15442217"</f>
        <v>15442217</v>
      </c>
      <c r="D19961" s="2">
        <v>0.70599999999999996</v>
      </c>
      <c r="E19961" s="2">
        <v>53</v>
      </c>
      <c r="F19961" s="2" t="s">
        <v>16</v>
      </c>
    </row>
    <row r="19962" spans="1:6" ht="25.5">
      <c r="A19962" s="2">
        <v>19959</v>
      </c>
      <c r="B19962" s="2" t="s">
        <v>20029</v>
      </c>
      <c r="C19962" s="2" t="str">
        <f>"09724036"</f>
        <v>09724036</v>
      </c>
      <c r="D19962" s="2">
        <v>0.13100000000000001</v>
      </c>
      <c r="E19962" s="2">
        <v>2</v>
      </c>
      <c r="F19962" s="2" t="s">
        <v>488</v>
      </c>
    </row>
    <row r="19963" spans="1:6" ht="25.5">
      <c r="A19963" s="2">
        <v>19960</v>
      </c>
      <c r="B19963" s="2" t="s">
        <v>20030</v>
      </c>
      <c r="C19963" s="2" t="str">
        <f>"01652176"</f>
        <v>01652176</v>
      </c>
      <c r="D19963" s="2">
        <v>0.22500000000000001</v>
      </c>
      <c r="E19963" s="2">
        <v>29</v>
      </c>
      <c r="F19963" s="2" t="s">
        <v>75</v>
      </c>
    </row>
    <row r="19964" spans="1:6" ht="25.5">
      <c r="A19964" s="2">
        <v>19961</v>
      </c>
      <c r="B19964" s="2" t="s">
        <v>20031</v>
      </c>
      <c r="C19964" s="2" t="str">
        <f>"17408261"</f>
        <v>17408261</v>
      </c>
      <c r="D19964" s="2">
        <v>1.075</v>
      </c>
      <c r="E19964" s="2">
        <v>35</v>
      </c>
      <c r="F19964" s="2" t="s">
        <v>16</v>
      </c>
    </row>
    <row r="19965" spans="1:6" ht="25.5">
      <c r="A19965" s="2">
        <v>19962</v>
      </c>
      <c r="B19965" s="2" t="s">
        <v>20032</v>
      </c>
      <c r="C19965" s="2" t="str">
        <f>"00424900"</f>
        <v>00424900</v>
      </c>
      <c r="D19965" s="2">
        <v>0.434</v>
      </c>
      <c r="E19965" s="2">
        <v>69</v>
      </c>
      <c r="F19965" s="2" t="s">
        <v>16</v>
      </c>
    </row>
    <row r="19966" spans="1:6" ht="25.5">
      <c r="A19966" s="2">
        <v>19963</v>
      </c>
      <c r="B19966" s="2" t="s">
        <v>20033</v>
      </c>
      <c r="C19966" s="2" t="str">
        <f>"12979716"</f>
        <v>12979716</v>
      </c>
      <c r="D19966" s="2">
        <v>1.0649999999999999</v>
      </c>
      <c r="E19966" s="2">
        <v>61</v>
      </c>
      <c r="F19966" s="2" t="s">
        <v>16</v>
      </c>
    </row>
    <row r="19967" spans="1:6" ht="25.5">
      <c r="A19967" s="2">
        <v>19964</v>
      </c>
      <c r="B19967" s="2" t="s">
        <v>20034</v>
      </c>
      <c r="C19967" s="2" t="str">
        <f>"01657380"</f>
        <v>01657380</v>
      </c>
      <c r="D19967" s="2">
        <v>0.436</v>
      </c>
      <c r="E19967" s="2">
        <v>30</v>
      </c>
      <c r="F19967" s="2" t="s">
        <v>75</v>
      </c>
    </row>
    <row r="19968" spans="1:6" ht="25.5">
      <c r="A19968" s="2">
        <v>19965</v>
      </c>
      <c r="B19968" s="2" t="s">
        <v>20035</v>
      </c>
      <c r="C19968" s="2" t="str">
        <f>"1532950X"</f>
        <v>1532950X</v>
      </c>
      <c r="D19968" s="2">
        <v>1.1080000000000001</v>
      </c>
      <c r="E19968" s="2">
        <v>44</v>
      </c>
      <c r="F19968" s="2" t="s">
        <v>16</v>
      </c>
    </row>
    <row r="19969" spans="1:6" ht="25.5">
      <c r="A19969" s="2">
        <v>19966</v>
      </c>
      <c r="B19969" s="2" t="s">
        <v>20036</v>
      </c>
      <c r="C19969" s="2" t="str">
        <f>"87508990"</f>
        <v>87508990</v>
      </c>
      <c r="D19969" s="2">
        <v>0.1</v>
      </c>
      <c r="E19969" s="2">
        <v>4</v>
      </c>
      <c r="F19969" s="2" t="s">
        <v>6</v>
      </c>
    </row>
    <row r="19970" spans="1:6" ht="25.5">
      <c r="A19970" s="2">
        <v>19967</v>
      </c>
      <c r="B19970" s="2" t="s">
        <v>20037</v>
      </c>
      <c r="C19970" s="2" t="str">
        <f>"22310916"</f>
        <v>22310916</v>
      </c>
      <c r="D19970" s="2">
        <v>0.19400000000000001</v>
      </c>
      <c r="E19970" s="2">
        <v>2</v>
      </c>
      <c r="F19970" s="2" t="s">
        <v>488</v>
      </c>
    </row>
    <row r="19971" spans="1:6" ht="25.5">
      <c r="A19971" s="2">
        <v>19968</v>
      </c>
      <c r="B19971" s="2" t="s">
        <v>20038</v>
      </c>
      <c r="C19971" s="2" t="str">
        <f>"15685330"</f>
        <v>15685330</v>
      </c>
      <c r="D19971" s="2">
        <v>0.309</v>
      </c>
      <c r="E19971" s="2">
        <v>4</v>
      </c>
      <c r="F19971" s="2" t="s">
        <v>75</v>
      </c>
    </row>
    <row r="19972" spans="1:6" ht="25.5">
      <c r="A19972" s="2">
        <v>19969</v>
      </c>
      <c r="B19972" s="2" t="s">
        <v>20039</v>
      </c>
      <c r="C19972" s="2" t="str">
        <f>"16970381"</f>
        <v>16970381</v>
      </c>
      <c r="D19972" s="2">
        <v>0.182</v>
      </c>
      <c r="E19972" s="2">
        <v>2</v>
      </c>
      <c r="F19972" s="2" t="s">
        <v>351</v>
      </c>
    </row>
    <row r="19973" spans="1:6" ht="25.5">
      <c r="A19973" s="2">
        <v>19970</v>
      </c>
      <c r="B19973" s="2" t="s">
        <v>20040</v>
      </c>
      <c r="C19973" s="2" t="str">
        <f>"00835897"</f>
        <v>00835897</v>
      </c>
      <c r="D19973" s="2">
        <v>0.123</v>
      </c>
      <c r="E19973" s="2">
        <v>5</v>
      </c>
      <c r="F19973" s="2" t="s">
        <v>161</v>
      </c>
    </row>
    <row r="19974" spans="1:6" ht="25.5">
      <c r="A19974" s="2">
        <v>19971</v>
      </c>
      <c r="B19974" s="2" t="s">
        <v>20041</v>
      </c>
      <c r="C19974" s="2" t="str">
        <f>"09242031"</f>
        <v>09242031</v>
      </c>
      <c r="D19974" s="2">
        <v>0.49199999999999999</v>
      </c>
      <c r="E19974" s="2">
        <v>42</v>
      </c>
      <c r="F19974" s="2" t="s">
        <v>75</v>
      </c>
    </row>
    <row r="19975" spans="1:6" ht="25.5">
      <c r="A19975" s="2">
        <v>19972</v>
      </c>
      <c r="B19975" s="2" t="s">
        <v>20042</v>
      </c>
      <c r="C19975" s="2" t="str">
        <f>"08606897"</f>
        <v>08606897</v>
      </c>
      <c r="D19975" s="2">
        <v>0</v>
      </c>
      <c r="E19975" s="2">
        <v>0</v>
      </c>
      <c r="F19975" s="2" t="s">
        <v>169</v>
      </c>
    </row>
    <row r="19976" spans="1:6" ht="25.5">
      <c r="A19976" s="2">
        <v>19973</v>
      </c>
      <c r="B19976" s="2" t="s">
        <v>20043</v>
      </c>
      <c r="C19976" s="2" t="str">
        <f>"15564991"</f>
        <v>15564991</v>
      </c>
      <c r="D19976" s="2">
        <v>0.52200000000000002</v>
      </c>
      <c r="E19976" s="2">
        <v>10</v>
      </c>
      <c r="F19976" s="2" t="s">
        <v>16</v>
      </c>
    </row>
    <row r="19977" spans="1:6" ht="25.5">
      <c r="A19977" s="2">
        <v>19974</v>
      </c>
      <c r="B19977" s="2" t="s">
        <v>20044</v>
      </c>
      <c r="C19977" s="2" t="str">
        <f>"14701553"</f>
        <v>14701553</v>
      </c>
      <c r="D19977" s="2">
        <v>0.159</v>
      </c>
      <c r="E19977" s="2">
        <v>5</v>
      </c>
      <c r="F19977" s="2" t="s">
        <v>6</v>
      </c>
    </row>
    <row r="19978" spans="1:6" ht="25.5">
      <c r="A19978" s="2">
        <v>19975</v>
      </c>
      <c r="B19978" s="2" t="s">
        <v>20045</v>
      </c>
      <c r="C19978" s="2" t="str">
        <f>"00425184"</f>
        <v>00425184</v>
      </c>
      <c r="D19978" s="2">
        <v>0.193</v>
      </c>
      <c r="E19978" s="2">
        <v>3</v>
      </c>
      <c r="F19978" s="2" t="s">
        <v>127</v>
      </c>
    </row>
    <row r="19979" spans="1:6" ht="25.5">
      <c r="A19979" s="2">
        <v>19976</v>
      </c>
      <c r="B19979" s="2" t="s">
        <v>20046</v>
      </c>
      <c r="C19979" s="2" t="str">
        <f>"00425192"</f>
        <v>00425192</v>
      </c>
      <c r="D19979" s="2">
        <v>0.10100000000000001</v>
      </c>
      <c r="E19979" s="2">
        <v>2</v>
      </c>
      <c r="F19979" s="2" t="s">
        <v>6</v>
      </c>
    </row>
    <row r="19980" spans="1:6" ht="25.5">
      <c r="A19980" s="2">
        <v>19977</v>
      </c>
      <c r="B19980" s="2" t="s">
        <v>20047</v>
      </c>
      <c r="C19980" s="2" t="str">
        <f>"1712526X"</f>
        <v>1712526X</v>
      </c>
      <c r="D19980" s="2">
        <v>0.123</v>
      </c>
      <c r="E19980" s="2">
        <v>3</v>
      </c>
      <c r="F19980" s="2" t="s">
        <v>6</v>
      </c>
    </row>
    <row r="19981" spans="1:6" ht="25.5">
      <c r="A19981" s="2">
        <v>19978</v>
      </c>
      <c r="B19981" s="2" t="s">
        <v>20048</v>
      </c>
      <c r="C19981" s="2" t="str">
        <f>"15307190"</f>
        <v>15307190</v>
      </c>
      <c r="D19981" s="2">
        <v>0.11899999999999999</v>
      </c>
      <c r="E19981" s="2">
        <v>6</v>
      </c>
      <c r="F19981" s="2" t="s">
        <v>6</v>
      </c>
    </row>
    <row r="19982" spans="1:6" ht="25.5">
      <c r="A19982" s="2">
        <v>19979</v>
      </c>
      <c r="B19982" s="2" t="s">
        <v>20049</v>
      </c>
      <c r="C19982" s="2" t="str">
        <f>"15272052"</f>
        <v>15272052</v>
      </c>
      <c r="D19982" s="2">
        <v>0.12</v>
      </c>
      <c r="E19982" s="2">
        <v>8</v>
      </c>
      <c r="F19982" s="2" t="s">
        <v>6</v>
      </c>
    </row>
    <row r="19983" spans="1:6" ht="25.5">
      <c r="A19983" s="2">
        <v>19980</v>
      </c>
      <c r="B19983" s="2" t="s">
        <v>20050</v>
      </c>
      <c r="C19983" s="2" t="str">
        <f>"02408759"</f>
        <v>02408759</v>
      </c>
      <c r="D19983" s="2">
        <v>0.217</v>
      </c>
      <c r="E19983" s="2">
        <v>22</v>
      </c>
      <c r="F19983" s="2" t="s">
        <v>66</v>
      </c>
    </row>
    <row r="19984" spans="1:6" ht="25.5">
      <c r="A19984" s="2">
        <v>19981</v>
      </c>
      <c r="B19984" s="2" t="s">
        <v>20051</v>
      </c>
      <c r="C19984" s="2" t="str">
        <f>"17285305"</f>
        <v>17285305</v>
      </c>
      <c r="D19984" s="2">
        <v>0.48499999999999999</v>
      </c>
      <c r="E19984" s="2">
        <v>8</v>
      </c>
      <c r="F19984" s="2" t="s">
        <v>288</v>
      </c>
    </row>
    <row r="19985" spans="1:6" ht="25.5">
      <c r="A19985" s="2">
        <v>19982</v>
      </c>
      <c r="B19985" s="2" t="s">
        <v>20052</v>
      </c>
      <c r="C19985" s="2" t="str">
        <f>"03408728"</f>
        <v>03408728</v>
      </c>
      <c r="D19985" s="2">
        <v>0.109</v>
      </c>
      <c r="E19985" s="2">
        <v>3</v>
      </c>
      <c r="F19985" s="2" t="s">
        <v>12</v>
      </c>
    </row>
    <row r="19986" spans="1:6" ht="25.5">
      <c r="A19986" s="2">
        <v>19983</v>
      </c>
      <c r="B19986" s="2" t="s">
        <v>20053</v>
      </c>
      <c r="C19986" s="2" t="str">
        <f>"00425702"</f>
        <v>00425702</v>
      </c>
      <c r="D19986" s="2">
        <v>0.25800000000000001</v>
      </c>
      <c r="E19986" s="2">
        <v>7</v>
      </c>
      <c r="F19986" s="2" t="s">
        <v>12</v>
      </c>
    </row>
    <row r="19987" spans="1:6" ht="25.5">
      <c r="A19987" s="2">
        <v>19984</v>
      </c>
      <c r="B19987" s="2" t="s">
        <v>20054</v>
      </c>
      <c r="C19987" s="2" t="str">
        <f>"15700720"</f>
        <v>15700720</v>
      </c>
      <c r="D19987" s="2">
        <v>0.19400000000000001</v>
      </c>
      <c r="E19987" s="2">
        <v>6</v>
      </c>
      <c r="F19987" s="2" t="s">
        <v>75</v>
      </c>
    </row>
    <row r="19988" spans="1:6" ht="25.5">
      <c r="A19988" s="2">
        <v>19985</v>
      </c>
      <c r="B19988" s="2" t="s">
        <v>20055</v>
      </c>
      <c r="C19988" s="2" t="str">
        <f>"14741032"</f>
        <v>14741032</v>
      </c>
      <c r="D19988" s="2">
        <v>0.22500000000000001</v>
      </c>
      <c r="E19988" s="2">
        <v>10</v>
      </c>
      <c r="F19988" s="2" t="s">
        <v>16</v>
      </c>
    </row>
    <row r="19989" spans="1:6" ht="25.5">
      <c r="A19989" s="2">
        <v>19986</v>
      </c>
      <c r="B19989" s="2" t="s">
        <v>20056</v>
      </c>
      <c r="C19989" s="2" t="str">
        <f>"02941759"</f>
        <v>02941759</v>
      </c>
      <c r="D19989" s="2">
        <v>0.115</v>
      </c>
      <c r="E19989" s="2">
        <v>5</v>
      </c>
      <c r="F19989" s="2" t="s">
        <v>66</v>
      </c>
    </row>
    <row r="19990" spans="1:6" ht="25.5">
      <c r="A19990" s="2">
        <v>19987</v>
      </c>
      <c r="B19990" s="2" t="s">
        <v>20057</v>
      </c>
      <c r="C19990" s="2" t="str">
        <f>"15528448"</f>
        <v>15528448</v>
      </c>
      <c r="D19990" s="2">
        <v>0.67</v>
      </c>
      <c r="E19990" s="2">
        <v>47</v>
      </c>
      <c r="F19990" s="2" t="s">
        <v>6</v>
      </c>
    </row>
    <row r="19991" spans="1:6" ht="25.5">
      <c r="A19991" s="2">
        <v>19988</v>
      </c>
      <c r="B19991" s="2" t="s">
        <v>20058</v>
      </c>
      <c r="C19991" s="2" t="str">
        <f>"08866708"</f>
        <v>08866708</v>
      </c>
      <c r="D19991" s="2">
        <v>0.63200000000000001</v>
      </c>
      <c r="E19991" s="2">
        <v>48</v>
      </c>
      <c r="F19991" s="2" t="s">
        <v>6</v>
      </c>
    </row>
    <row r="19992" spans="1:6" ht="25.5">
      <c r="A19992" s="2">
        <v>19989</v>
      </c>
      <c r="B19992" s="2" t="s">
        <v>20059</v>
      </c>
      <c r="C19992" s="2" t="str">
        <f>"15578976"</f>
        <v>15578976</v>
      </c>
      <c r="D19992" s="2">
        <v>0.70799999999999996</v>
      </c>
      <c r="E19992" s="2">
        <v>42</v>
      </c>
      <c r="F19992" s="2" t="s">
        <v>6</v>
      </c>
    </row>
    <row r="19993" spans="1:6" ht="25.5">
      <c r="A19993" s="2">
        <v>19990</v>
      </c>
      <c r="B19993" s="2" t="s">
        <v>20060</v>
      </c>
      <c r="C19993" s="2" t="str">
        <f>"14322307"</f>
        <v>14322307</v>
      </c>
      <c r="D19993" s="2">
        <v>0.97599999999999998</v>
      </c>
      <c r="E19993" s="2">
        <v>69</v>
      </c>
      <c r="F19993" s="2" t="s">
        <v>12</v>
      </c>
    </row>
    <row r="19994" spans="1:6">
      <c r="A19994" s="2">
        <v>19991</v>
      </c>
      <c r="B19994" s="2" t="s">
        <v>20061</v>
      </c>
      <c r="C19994" s="2" t="str">
        <f>"0"</f>
        <v>0</v>
      </c>
      <c r="D19994" s="2">
        <v>0</v>
      </c>
      <c r="E19994" s="2">
        <v>0</v>
      </c>
      <c r="F19994" s="2" t="s">
        <v>6</v>
      </c>
    </row>
    <row r="19995" spans="1:6" ht="25.5">
      <c r="A19995" s="2">
        <v>19992</v>
      </c>
      <c r="B19995" s="2" t="s">
        <v>20062</v>
      </c>
      <c r="C19995" s="2" t="str">
        <f>"00426601"</f>
        <v>00426601</v>
      </c>
      <c r="D19995" s="2">
        <v>1.452</v>
      </c>
      <c r="E19995" s="2">
        <v>26</v>
      </c>
      <c r="F19995" s="2" t="s">
        <v>6</v>
      </c>
    </row>
    <row r="19996" spans="1:6" ht="25.5">
      <c r="A19996" s="2">
        <v>19993</v>
      </c>
      <c r="B19996" s="2" t="s">
        <v>20063</v>
      </c>
      <c r="C19996" s="2" t="str">
        <f>"0042675X"</f>
        <v>0042675X</v>
      </c>
      <c r="D19996" s="2">
        <v>0.10100000000000001</v>
      </c>
      <c r="E19996" s="2">
        <v>2</v>
      </c>
      <c r="F19996" s="2" t="s">
        <v>6</v>
      </c>
    </row>
    <row r="19997" spans="1:6" ht="25.5">
      <c r="A19997" s="2">
        <v>19994</v>
      </c>
      <c r="B19997" s="2" t="s">
        <v>20064</v>
      </c>
      <c r="C19997" s="2" t="str">
        <f>"00426806"</f>
        <v>00426806</v>
      </c>
      <c r="D19997" s="2">
        <v>0.10100000000000001</v>
      </c>
      <c r="E19997" s="2">
        <v>1</v>
      </c>
      <c r="F19997" s="2" t="s">
        <v>751</v>
      </c>
    </row>
    <row r="19998" spans="1:6" ht="25.5">
      <c r="A19998" s="2">
        <v>19995</v>
      </c>
      <c r="B19998" s="2" t="s">
        <v>20065</v>
      </c>
      <c r="C19998" s="2" t="str">
        <f>"10035125"</f>
        <v>10035125</v>
      </c>
      <c r="D19998" s="2">
        <v>0.26100000000000001</v>
      </c>
      <c r="E19998" s="2">
        <v>7</v>
      </c>
      <c r="F19998" s="2" t="s">
        <v>46</v>
      </c>
    </row>
    <row r="19999" spans="1:6" ht="25.5">
      <c r="A19999" s="2">
        <v>19996</v>
      </c>
      <c r="B19999" s="2" t="s">
        <v>20066</v>
      </c>
      <c r="C19999" s="2" t="str">
        <f>"12678694"</f>
        <v>12678694</v>
      </c>
      <c r="D19999" s="2">
        <v>0.121</v>
      </c>
      <c r="E19999" s="2">
        <v>10</v>
      </c>
      <c r="F19999" s="2" t="s">
        <v>66</v>
      </c>
    </row>
    <row r="20000" spans="1:6" ht="25.5">
      <c r="A20000" s="2">
        <v>19997</v>
      </c>
      <c r="B20000" s="2" t="s">
        <v>20067</v>
      </c>
      <c r="C20000" s="2" t="str">
        <f>"1089862X"</f>
        <v>1089862X</v>
      </c>
      <c r="D20000" s="2">
        <v>1.4279999999999999</v>
      </c>
      <c r="E20000" s="2">
        <v>126</v>
      </c>
      <c r="F20000" s="2" t="s">
        <v>6</v>
      </c>
    </row>
    <row r="20001" spans="1:6" ht="25.5">
      <c r="A20001" s="2">
        <v>19998</v>
      </c>
      <c r="B20001" s="2" t="s">
        <v>20068</v>
      </c>
      <c r="C20001" s="2" t="str">
        <f>"1743422X"</f>
        <v>1743422X</v>
      </c>
      <c r="D20001" s="2">
        <v>0.79800000000000004</v>
      </c>
      <c r="E20001" s="2">
        <v>35</v>
      </c>
      <c r="F20001" s="2" t="s">
        <v>16</v>
      </c>
    </row>
    <row r="20002" spans="1:6" ht="25.5">
      <c r="A20002" s="2">
        <v>19999</v>
      </c>
      <c r="B20002" s="2" t="s">
        <v>20069</v>
      </c>
      <c r="C20002" s="2" t="str">
        <f>"17452767"</f>
        <v>17452767</v>
      </c>
      <c r="D20002" s="2">
        <v>0.223</v>
      </c>
      <c r="E20002" s="2">
        <v>10</v>
      </c>
      <c r="F20002" s="2" t="s">
        <v>16</v>
      </c>
    </row>
    <row r="20003" spans="1:6" ht="25.5">
      <c r="A20003" s="2">
        <v>20000</v>
      </c>
      <c r="B20003" s="2" t="s">
        <v>20070</v>
      </c>
      <c r="C20003" s="2" t="str">
        <f>"13594338"</f>
        <v>13594338</v>
      </c>
      <c r="D20003" s="2">
        <v>0.39400000000000002</v>
      </c>
      <c r="E20003" s="2">
        <v>21</v>
      </c>
      <c r="F20003" s="2" t="s">
        <v>16</v>
      </c>
    </row>
    <row r="20004" spans="1:6" ht="25.5">
      <c r="A20004" s="2">
        <v>20001</v>
      </c>
      <c r="B20004" s="2" t="s">
        <v>20071</v>
      </c>
      <c r="C20004" s="2" t="str">
        <f>"21505608"</f>
        <v>21505608</v>
      </c>
      <c r="D20004" s="2">
        <v>0.90300000000000002</v>
      </c>
      <c r="E20004" s="2">
        <v>11</v>
      </c>
      <c r="F20004" s="2" t="s">
        <v>6</v>
      </c>
    </row>
    <row r="20005" spans="1:6" ht="25.5">
      <c r="A20005" s="2">
        <v>20002</v>
      </c>
      <c r="B20005" s="2" t="s">
        <v>20072</v>
      </c>
      <c r="C20005" s="2" t="str">
        <f>"11791624"</f>
        <v>11791624</v>
      </c>
      <c r="D20005" s="2">
        <v>0.23599999999999999</v>
      </c>
      <c r="E20005" s="2">
        <v>3</v>
      </c>
      <c r="F20005" s="2" t="s">
        <v>503</v>
      </c>
    </row>
    <row r="20006" spans="1:6" ht="25.5">
      <c r="A20006" s="2">
        <v>20003</v>
      </c>
      <c r="B20006" s="2" t="s">
        <v>20073</v>
      </c>
      <c r="C20006" s="2" t="str">
        <f>"19994915"</f>
        <v>19994915</v>
      </c>
      <c r="D20006" s="2">
        <v>0.96299999999999997</v>
      </c>
      <c r="E20006" s="2">
        <v>11</v>
      </c>
      <c r="F20006" s="2" t="s">
        <v>31</v>
      </c>
    </row>
    <row r="20007" spans="1:6" ht="25.5">
      <c r="A20007" s="2">
        <v>20004</v>
      </c>
      <c r="B20007" s="2" t="s">
        <v>20074</v>
      </c>
      <c r="C20007" s="2" t="str">
        <f>"1572994X"</f>
        <v>1572994X</v>
      </c>
      <c r="D20007" s="2">
        <v>0.64900000000000002</v>
      </c>
      <c r="E20007" s="2">
        <v>40</v>
      </c>
      <c r="F20007" s="2" t="s">
        <v>75</v>
      </c>
    </row>
    <row r="20008" spans="1:6" ht="25.5">
      <c r="A20008" s="2">
        <v>20005</v>
      </c>
      <c r="B20008" s="2" t="s">
        <v>20075</v>
      </c>
      <c r="C20008" s="2" t="str">
        <f>"01681702"</f>
        <v>01681702</v>
      </c>
      <c r="D20008" s="2">
        <v>0.999</v>
      </c>
      <c r="E20008" s="2">
        <v>72</v>
      </c>
      <c r="F20008" s="2" t="s">
        <v>75</v>
      </c>
    </row>
    <row r="20009" spans="1:6" ht="25.5">
      <c r="A20009" s="2">
        <v>20006</v>
      </c>
      <c r="B20009" s="2" t="s">
        <v>20076</v>
      </c>
      <c r="C20009" s="2" t="str">
        <f>"00426989"</f>
        <v>00426989</v>
      </c>
      <c r="D20009" s="2">
        <v>1.2989999999999999</v>
      </c>
      <c r="E20009" s="2">
        <v>105</v>
      </c>
      <c r="F20009" s="2" t="s">
        <v>16</v>
      </c>
    </row>
    <row r="20010" spans="1:6" ht="25.5">
      <c r="A20010" s="2">
        <v>20007</v>
      </c>
      <c r="B20010" s="2" t="s">
        <v>20077</v>
      </c>
      <c r="C20010" s="2" t="str">
        <f>"19347715"</f>
        <v>19347715</v>
      </c>
      <c r="D20010" s="2">
        <v>0.23300000000000001</v>
      </c>
      <c r="E20010" s="2">
        <v>3</v>
      </c>
      <c r="F20010" s="2" t="s">
        <v>16</v>
      </c>
    </row>
    <row r="20011" spans="1:6" ht="25.5">
      <c r="A20011" s="2">
        <v>20008</v>
      </c>
      <c r="B20011" s="2" t="s">
        <v>20078</v>
      </c>
      <c r="C20011" s="2" t="str">
        <f>"15455920"</f>
        <v>15455920</v>
      </c>
      <c r="D20011" s="2">
        <v>0.14000000000000001</v>
      </c>
      <c r="E20011" s="2">
        <v>3</v>
      </c>
      <c r="F20011" s="2" t="s">
        <v>16</v>
      </c>
    </row>
    <row r="20012" spans="1:6" ht="25.5">
      <c r="A20012" s="2">
        <v>20009</v>
      </c>
      <c r="B20012" s="2" t="s">
        <v>20079</v>
      </c>
      <c r="C20012" s="2" t="str">
        <f>"10537147"</f>
        <v>10537147</v>
      </c>
      <c r="D20012" s="2">
        <v>0.24099999999999999</v>
      </c>
      <c r="E20012" s="2">
        <v>7</v>
      </c>
      <c r="F20012" s="2" t="s">
        <v>6</v>
      </c>
    </row>
    <row r="20013" spans="1:6" ht="25.5">
      <c r="A20013" s="2">
        <v>20010</v>
      </c>
      <c r="B20013" s="2" t="s">
        <v>20080</v>
      </c>
      <c r="C20013" s="2" t="str">
        <f>"14640716"</f>
        <v>14640716</v>
      </c>
      <c r="D20013" s="2">
        <v>1.01</v>
      </c>
      <c r="E20013" s="2">
        <v>53</v>
      </c>
      <c r="F20013" s="2" t="s">
        <v>16</v>
      </c>
    </row>
    <row r="20014" spans="1:6" ht="25.5">
      <c r="A20014" s="2">
        <v>20011</v>
      </c>
      <c r="B20014" s="2" t="s">
        <v>20081</v>
      </c>
      <c r="C20014" s="2" t="str">
        <f>"17413214"</f>
        <v>17413214</v>
      </c>
      <c r="D20014" s="2">
        <v>0.40799999999999997</v>
      </c>
      <c r="E20014" s="2">
        <v>6</v>
      </c>
      <c r="F20014" s="2" t="s">
        <v>16</v>
      </c>
    </row>
    <row r="20015" spans="1:6" ht="25.5">
      <c r="A20015" s="2">
        <v>20012</v>
      </c>
      <c r="B20015" s="2" t="s">
        <v>20082</v>
      </c>
      <c r="C20015" s="2" t="str">
        <f>"15551393"</f>
        <v>15551393</v>
      </c>
      <c r="D20015" s="2">
        <v>0.112</v>
      </c>
      <c r="E20015" s="2">
        <v>2</v>
      </c>
      <c r="F20015" s="2" t="s">
        <v>16</v>
      </c>
    </row>
    <row r="20016" spans="1:6" ht="25.5">
      <c r="A20016" s="2">
        <v>20013</v>
      </c>
      <c r="B20016" s="2" t="s">
        <v>20083</v>
      </c>
      <c r="C20016" s="2" t="str">
        <f>"14322315"</f>
        <v>14322315</v>
      </c>
      <c r="D20016" s="2">
        <v>0.47799999999999998</v>
      </c>
      <c r="E20016" s="2">
        <v>39</v>
      </c>
      <c r="F20016" s="2" t="s">
        <v>12</v>
      </c>
    </row>
    <row r="20017" spans="1:6" ht="25.5">
      <c r="A20017" s="2">
        <v>20014</v>
      </c>
      <c r="B20017" s="2" t="s">
        <v>20084</v>
      </c>
      <c r="C20017" s="2" t="str">
        <f>"14698714"</f>
        <v>14698714</v>
      </c>
      <c r="D20017" s="2">
        <v>0.89300000000000002</v>
      </c>
      <c r="E20017" s="2">
        <v>59</v>
      </c>
      <c r="F20017" s="2" t="s">
        <v>16</v>
      </c>
    </row>
    <row r="20018" spans="1:6" ht="25.5">
      <c r="A20018" s="2">
        <v>20015</v>
      </c>
      <c r="B20018" s="2" t="s">
        <v>20085</v>
      </c>
      <c r="C20018" s="2" t="str">
        <f>"01973762"</f>
        <v>01973762</v>
      </c>
      <c r="D20018" s="2">
        <v>0.105</v>
      </c>
      <c r="E20018" s="2">
        <v>1</v>
      </c>
      <c r="F20018" s="2" t="s">
        <v>16</v>
      </c>
    </row>
    <row r="20019" spans="1:6" ht="25.5">
      <c r="A20019" s="2">
        <v>20016</v>
      </c>
      <c r="B20019" s="2" t="s">
        <v>20086</v>
      </c>
      <c r="C20019" s="2" t="str">
        <f>"14725878"</f>
        <v>14725878</v>
      </c>
      <c r="D20019" s="2">
        <v>0.438</v>
      </c>
      <c r="E20019" s="2">
        <v>6</v>
      </c>
      <c r="F20019" s="2" t="s">
        <v>16</v>
      </c>
    </row>
    <row r="20020" spans="1:6" ht="25.5">
      <c r="A20020" s="2">
        <v>20017</v>
      </c>
      <c r="B20020" s="2" t="s">
        <v>20087</v>
      </c>
      <c r="C20020" s="2" t="str">
        <f>"16626664"</f>
        <v>16626664</v>
      </c>
      <c r="D20020" s="2">
        <v>0.10100000000000001</v>
      </c>
      <c r="E20020" s="2">
        <v>7</v>
      </c>
      <c r="F20020" s="2" t="s">
        <v>31</v>
      </c>
    </row>
    <row r="20021" spans="1:6" ht="25.5">
      <c r="A20021" s="2">
        <v>20018</v>
      </c>
      <c r="B20021" s="2" t="s">
        <v>20088</v>
      </c>
      <c r="C20021" s="2" t="str">
        <f>"01214004"</f>
        <v>01214004</v>
      </c>
      <c r="D20021" s="2">
        <v>0.14799999999999999</v>
      </c>
      <c r="E20021" s="2">
        <v>3</v>
      </c>
      <c r="F20021" s="2" t="s">
        <v>184</v>
      </c>
    </row>
    <row r="20022" spans="1:6" ht="25.5">
      <c r="A20022" s="2">
        <v>20019</v>
      </c>
      <c r="B20022" s="2" t="s">
        <v>20089</v>
      </c>
      <c r="C20022" s="2" t="str">
        <f>"00832014"</f>
        <v>00832014</v>
      </c>
      <c r="D20022" s="2">
        <v>0.214</v>
      </c>
      <c r="E20022" s="2">
        <v>9</v>
      </c>
      <c r="F20022" s="2" t="s">
        <v>6</v>
      </c>
    </row>
    <row r="20023" spans="1:6" ht="25.5">
      <c r="A20023" s="2">
        <v>20020</v>
      </c>
      <c r="B20023" s="2" t="s">
        <v>20090</v>
      </c>
      <c r="C20023" s="2" t="str">
        <f>"00831972"</f>
        <v>00831972</v>
      </c>
      <c r="D20023" s="2">
        <v>1.4870000000000001</v>
      </c>
      <c r="E20023" s="2">
        <v>25</v>
      </c>
      <c r="F20023" s="2" t="s">
        <v>6</v>
      </c>
    </row>
    <row r="20024" spans="1:6" ht="25.5">
      <c r="A20024" s="2">
        <v>20021</v>
      </c>
      <c r="B20024" s="2" t="s">
        <v>20091</v>
      </c>
      <c r="C20024" s="2" t="str">
        <f>"00831980"</f>
        <v>00831980</v>
      </c>
      <c r="D20024" s="2">
        <v>0.79300000000000004</v>
      </c>
      <c r="E20024" s="2">
        <v>8</v>
      </c>
      <c r="F20024" s="2" t="s">
        <v>6</v>
      </c>
    </row>
    <row r="20025" spans="1:6" ht="25.5">
      <c r="A20025" s="2">
        <v>20022</v>
      </c>
      <c r="B20025" s="2" t="s">
        <v>20092</v>
      </c>
      <c r="C20025" s="2" t="str">
        <f>"00832006"</f>
        <v>00832006</v>
      </c>
      <c r="D20025" s="2">
        <v>6.532</v>
      </c>
      <c r="E20025" s="2">
        <v>26</v>
      </c>
      <c r="F20025" s="2" t="s">
        <v>6</v>
      </c>
    </row>
    <row r="20026" spans="1:6" ht="25.5">
      <c r="A20026" s="2">
        <v>20023</v>
      </c>
      <c r="B20026" s="2" t="s">
        <v>20093</v>
      </c>
      <c r="C20026" s="2" t="str">
        <f>"02785234"</f>
        <v>02785234</v>
      </c>
      <c r="D20026" s="2">
        <v>7.0720000000000001</v>
      </c>
      <c r="E20026" s="2">
        <v>13</v>
      </c>
      <c r="F20026" s="2" t="s">
        <v>6</v>
      </c>
    </row>
    <row r="20027" spans="1:6" ht="25.5">
      <c r="A20027" s="2">
        <v>20024</v>
      </c>
      <c r="B20027" s="2" t="s">
        <v>20094</v>
      </c>
      <c r="C20027" s="2" t="str">
        <f>"00832057"</f>
        <v>00832057</v>
      </c>
      <c r="D20027" s="2">
        <v>2.488</v>
      </c>
      <c r="E20027" s="2">
        <v>12</v>
      </c>
      <c r="F20027" s="2" t="s">
        <v>6</v>
      </c>
    </row>
    <row r="20028" spans="1:6" ht="25.5">
      <c r="A20028" s="2">
        <v>20025</v>
      </c>
      <c r="B20028" s="2" t="s">
        <v>20095</v>
      </c>
      <c r="C20028" s="2" t="str">
        <f>"00836729"</f>
        <v>00836729</v>
      </c>
      <c r="D20028" s="2">
        <v>0.95699999999999996</v>
      </c>
      <c r="E20028" s="2">
        <v>47</v>
      </c>
      <c r="F20028" s="2" t="s">
        <v>6</v>
      </c>
    </row>
    <row r="20029" spans="1:6" ht="25.5">
      <c r="A20029" s="2">
        <v>20026</v>
      </c>
      <c r="B20029" s="2" t="s">
        <v>20096</v>
      </c>
      <c r="C20029" s="2" t="str">
        <f>"00427500"</f>
        <v>00427500</v>
      </c>
      <c r="D20029" s="2">
        <v>0.438</v>
      </c>
      <c r="E20029" s="2">
        <v>28</v>
      </c>
      <c r="F20029" s="2" t="s">
        <v>12</v>
      </c>
    </row>
    <row r="20030" spans="1:6" ht="25.5">
      <c r="A20030" s="2">
        <v>20027</v>
      </c>
      <c r="B20030" s="2" t="s">
        <v>20097</v>
      </c>
      <c r="C20030" s="2" t="str">
        <f>"15685349"</f>
        <v>15685349</v>
      </c>
      <c r="D20030" s="2">
        <v>0.126</v>
      </c>
      <c r="E20030" s="2">
        <v>3</v>
      </c>
      <c r="F20030" s="2" t="s">
        <v>75</v>
      </c>
    </row>
    <row r="20031" spans="1:6" ht="25.5">
      <c r="A20031" s="2">
        <v>20028</v>
      </c>
      <c r="B20031" s="2" t="s">
        <v>20098</v>
      </c>
      <c r="C20031" s="2" t="str">
        <f>"13346938"</f>
        <v>13346938</v>
      </c>
      <c r="D20031" s="2">
        <v>0.17599999999999999</v>
      </c>
      <c r="E20031" s="2">
        <v>1</v>
      </c>
      <c r="F20031" s="2" t="s">
        <v>149</v>
      </c>
    </row>
    <row r="20032" spans="1:6" ht="25.5">
      <c r="A20032" s="2">
        <v>20029</v>
      </c>
      <c r="B20032" s="2" t="s">
        <v>20099</v>
      </c>
      <c r="C20032" s="2" t="str">
        <f>"18457789"</f>
        <v>18457789</v>
      </c>
      <c r="D20032" s="2">
        <v>0.108</v>
      </c>
      <c r="E20032" s="2">
        <v>1</v>
      </c>
      <c r="F20032" s="2" t="s">
        <v>149</v>
      </c>
    </row>
    <row r="20033" spans="1:6" ht="25.5">
      <c r="A20033" s="2">
        <v>20030</v>
      </c>
      <c r="B20033" s="2" t="s">
        <v>20100</v>
      </c>
      <c r="C20033" s="2" t="str">
        <f>"03039021"</f>
        <v>03039021</v>
      </c>
      <c r="D20033" s="2">
        <v>0.21199999999999999</v>
      </c>
      <c r="E20033" s="2">
        <v>9</v>
      </c>
      <c r="F20033" s="2" t="s">
        <v>161</v>
      </c>
    </row>
    <row r="20034" spans="1:6" ht="25.5">
      <c r="A20034" s="2">
        <v>20031</v>
      </c>
      <c r="B20034" s="2" t="s">
        <v>20101</v>
      </c>
      <c r="C20034" s="2" t="str">
        <f>"13350617"</f>
        <v>13350617</v>
      </c>
      <c r="D20034" s="2">
        <v>0.10100000000000001</v>
      </c>
      <c r="E20034" s="2">
        <v>6</v>
      </c>
      <c r="F20034" s="2" t="s">
        <v>241</v>
      </c>
    </row>
    <row r="20035" spans="1:6" ht="25.5">
      <c r="A20035" s="2">
        <v>20032</v>
      </c>
      <c r="B20035" s="2" t="s">
        <v>20102</v>
      </c>
      <c r="C20035" s="2" t="str">
        <f>"10668888"</f>
        <v>10668888</v>
      </c>
      <c r="D20035" s="2">
        <v>2.5750000000000002</v>
      </c>
      <c r="E20035" s="2">
        <v>50</v>
      </c>
      <c r="F20035" s="2" t="s">
        <v>6</v>
      </c>
    </row>
    <row r="20036" spans="1:6" ht="25.5">
      <c r="A20036" s="2">
        <v>20033</v>
      </c>
      <c r="B20036" s="2" t="s">
        <v>20103</v>
      </c>
      <c r="C20036" s="2" t="str">
        <f>"15635171"</f>
        <v>15635171</v>
      </c>
      <c r="D20036" s="2">
        <v>0.158</v>
      </c>
      <c r="E20036" s="2">
        <v>15</v>
      </c>
      <c r="F20036" s="2" t="s">
        <v>6</v>
      </c>
    </row>
    <row r="20037" spans="1:6" ht="25.5">
      <c r="A20037" s="2">
        <v>20034</v>
      </c>
      <c r="B20037" s="2" t="s">
        <v>20104</v>
      </c>
      <c r="C20037" s="2" t="str">
        <f>"0042773X"</f>
        <v>0042773X</v>
      </c>
      <c r="D20037" s="2">
        <v>0.14499999999999999</v>
      </c>
      <c r="E20037" s="2">
        <v>13</v>
      </c>
      <c r="F20037" s="2" t="s">
        <v>208</v>
      </c>
    </row>
    <row r="20038" spans="1:6" ht="25.5">
      <c r="A20038" s="2">
        <v>20035</v>
      </c>
      <c r="B20038" s="2" t="s">
        <v>20105</v>
      </c>
      <c r="C20038" s="2" t="str">
        <f>"18747868"</f>
        <v>18747868</v>
      </c>
      <c r="D20038" s="2">
        <v>0.36099999999999999</v>
      </c>
      <c r="E20038" s="2">
        <v>5</v>
      </c>
      <c r="F20038" s="2" t="s">
        <v>75</v>
      </c>
    </row>
    <row r="20039" spans="1:6" ht="25.5">
      <c r="A20039" s="2">
        <v>20036</v>
      </c>
      <c r="B20039" s="2" t="s">
        <v>20106</v>
      </c>
      <c r="C20039" s="2" t="str">
        <f>"0042790X"</f>
        <v>0042790X</v>
      </c>
      <c r="D20039" s="2">
        <v>0.23300000000000001</v>
      </c>
      <c r="E20039" s="2">
        <v>6</v>
      </c>
      <c r="F20039" s="2" t="s">
        <v>241</v>
      </c>
    </row>
    <row r="20040" spans="1:6" ht="25.5">
      <c r="A20040" s="2">
        <v>20037</v>
      </c>
      <c r="B20040" s="2" t="s">
        <v>20107</v>
      </c>
      <c r="C20040" s="2" t="str">
        <f>"10222588"</f>
        <v>10222588</v>
      </c>
      <c r="D20040" s="2">
        <v>0.13800000000000001</v>
      </c>
      <c r="E20040" s="2">
        <v>2</v>
      </c>
      <c r="F20040" s="2" t="s">
        <v>288</v>
      </c>
    </row>
    <row r="20041" spans="1:6" ht="25.5">
      <c r="A20041" s="2">
        <v>20038</v>
      </c>
      <c r="B20041" s="2" t="s">
        <v>20108</v>
      </c>
      <c r="C20041" s="2" t="str">
        <f>"00269050"</f>
        <v>00269050</v>
      </c>
      <c r="D20041" s="2">
        <v>0.1</v>
      </c>
      <c r="E20041" s="2">
        <v>3</v>
      </c>
      <c r="F20041" s="2" t="s">
        <v>129</v>
      </c>
    </row>
    <row r="20042" spans="1:6" ht="25.5">
      <c r="A20042" s="2">
        <v>20039</v>
      </c>
      <c r="B20042" s="2" t="s">
        <v>20109</v>
      </c>
      <c r="C20042" s="2" t="str">
        <f>"00496650"</f>
        <v>00496650</v>
      </c>
      <c r="D20042" s="2">
        <v>0.154</v>
      </c>
      <c r="E20042" s="2">
        <v>11</v>
      </c>
      <c r="F20042" s="2" t="s">
        <v>12</v>
      </c>
    </row>
    <row r="20043" spans="1:6" ht="25.5">
      <c r="A20043" s="2">
        <v>20040</v>
      </c>
      <c r="B20043" s="2" t="s">
        <v>20110</v>
      </c>
      <c r="C20043" s="2" t="str">
        <f>"15517268"</f>
        <v>15517268</v>
      </c>
      <c r="D20043" s="2">
        <v>0.1</v>
      </c>
      <c r="E20043" s="2">
        <v>0</v>
      </c>
      <c r="F20043" s="2" t="s">
        <v>6</v>
      </c>
    </row>
    <row r="20044" spans="1:6" ht="25.5">
      <c r="A20044" s="2">
        <v>20041</v>
      </c>
      <c r="B20044" s="2" t="s">
        <v>20111</v>
      </c>
      <c r="C20044" s="2" t="str">
        <f>"03189201"</f>
        <v>03189201</v>
      </c>
      <c r="D20044" s="2">
        <v>0.1</v>
      </c>
      <c r="E20044" s="2">
        <v>2</v>
      </c>
      <c r="F20044" s="2" t="s">
        <v>64</v>
      </c>
    </row>
    <row r="20045" spans="1:6" ht="25.5">
      <c r="A20045" s="2">
        <v>20042</v>
      </c>
      <c r="B20045" s="2" t="s">
        <v>20112</v>
      </c>
      <c r="C20045" s="2" t="str">
        <f>"00428450"</f>
        <v>00428450</v>
      </c>
      <c r="D20045" s="2">
        <v>0.156</v>
      </c>
      <c r="E20045" s="2">
        <v>10</v>
      </c>
      <c r="F20045" s="2" t="s">
        <v>212</v>
      </c>
    </row>
    <row r="20046" spans="1:6" ht="25.5">
      <c r="A20046" s="2">
        <v>20043</v>
      </c>
      <c r="B20046" s="2" t="s">
        <v>20113</v>
      </c>
      <c r="C20046" s="2" t="str">
        <f>"07753128"</f>
        <v>07753128</v>
      </c>
      <c r="D20046" s="2">
        <v>0.185</v>
      </c>
      <c r="E20046" s="2">
        <v>1</v>
      </c>
      <c r="F20046" s="2" t="s">
        <v>75</v>
      </c>
    </row>
    <row r="20047" spans="1:6" ht="25.5">
      <c r="A20047" s="2">
        <v>20044</v>
      </c>
      <c r="B20047" s="2" t="s">
        <v>20114</v>
      </c>
      <c r="C20047" s="2" t="str">
        <f>"00428639"</f>
        <v>00428639</v>
      </c>
      <c r="D20047" s="2">
        <v>0.39900000000000002</v>
      </c>
      <c r="E20047" s="2">
        <v>13</v>
      </c>
      <c r="F20047" s="2" t="s">
        <v>6</v>
      </c>
    </row>
    <row r="20048" spans="1:6" ht="25.5">
      <c r="A20048" s="2">
        <v>20045</v>
      </c>
      <c r="B20048" s="2" t="s">
        <v>20115</v>
      </c>
      <c r="C20048" s="2" t="str">
        <f>"15737888"</f>
        <v>15737888</v>
      </c>
      <c r="D20048" s="2">
        <v>0.32200000000000001</v>
      </c>
      <c r="E20048" s="2">
        <v>19</v>
      </c>
      <c r="F20048" s="2" t="s">
        <v>6</v>
      </c>
    </row>
    <row r="20049" spans="1:6" ht="25.5">
      <c r="A20049" s="2">
        <v>20046</v>
      </c>
      <c r="B20049" s="2" t="s">
        <v>20116</v>
      </c>
      <c r="C20049" s="2" t="str">
        <f>"00428787"</f>
        <v>00428787</v>
      </c>
      <c r="D20049" s="2">
        <v>0.1</v>
      </c>
      <c r="E20049" s="2">
        <v>4</v>
      </c>
      <c r="F20049" s="2" t="s">
        <v>129</v>
      </c>
    </row>
    <row r="20050" spans="1:6" ht="25.5">
      <c r="A20050" s="2">
        <v>20047</v>
      </c>
      <c r="B20050" s="2" t="s">
        <v>20117</v>
      </c>
      <c r="C20050" s="2" t="str">
        <f>"05073758"</f>
        <v>05073758</v>
      </c>
      <c r="D20050" s="2">
        <v>0.105</v>
      </c>
      <c r="E20050" s="2">
        <v>8</v>
      </c>
      <c r="F20050" s="2" t="s">
        <v>129</v>
      </c>
    </row>
    <row r="20051" spans="1:6" ht="25.5">
      <c r="A20051" s="2">
        <v>20048</v>
      </c>
      <c r="B20051" s="2" t="s">
        <v>20118</v>
      </c>
      <c r="C20051" s="2" t="str">
        <f>"00428833"</f>
        <v>00428833</v>
      </c>
      <c r="D20051" s="2">
        <v>0.105</v>
      </c>
      <c r="E20051" s="2">
        <v>6</v>
      </c>
      <c r="F20051" s="2" t="s">
        <v>129</v>
      </c>
    </row>
    <row r="20052" spans="1:6" ht="25.5">
      <c r="A20052" s="2">
        <v>20049</v>
      </c>
      <c r="B20052" s="2" t="s">
        <v>20119</v>
      </c>
      <c r="C20052" s="2" t="str">
        <f>"00428841"</f>
        <v>00428841</v>
      </c>
      <c r="D20052" s="2">
        <v>0.1</v>
      </c>
      <c r="E20052" s="2">
        <v>3</v>
      </c>
      <c r="F20052" s="2" t="s">
        <v>129</v>
      </c>
    </row>
    <row r="20053" spans="1:6" ht="25.5">
      <c r="A20053" s="2">
        <v>20050</v>
      </c>
      <c r="B20053" s="2" t="s">
        <v>20120</v>
      </c>
      <c r="C20053" s="2" t="str">
        <f>"05074088"</f>
        <v>05074088</v>
      </c>
      <c r="D20053" s="2">
        <v>0.12</v>
      </c>
      <c r="E20053" s="2">
        <v>9</v>
      </c>
      <c r="F20053" s="2" t="s">
        <v>129</v>
      </c>
    </row>
    <row r="20054" spans="1:6" ht="25.5">
      <c r="A20054" s="2">
        <v>20051</v>
      </c>
      <c r="B20054" s="2" t="s">
        <v>20121</v>
      </c>
      <c r="C20054" s="2" t="str">
        <f>"0373658X"</f>
        <v>0373658X</v>
      </c>
      <c r="D20054" s="2">
        <v>0.107</v>
      </c>
      <c r="E20054" s="2">
        <v>1</v>
      </c>
      <c r="F20054" s="2" t="s">
        <v>129</v>
      </c>
    </row>
    <row r="20055" spans="1:6" ht="25.5">
      <c r="A20055" s="2">
        <v>20052</v>
      </c>
      <c r="B20055" s="2" t="s">
        <v>20122</v>
      </c>
      <c r="C20055" s="2" t="str">
        <f>"14230410"</f>
        <v>14230410</v>
      </c>
      <c r="D20055" s="2">
        <v>0.877</v>
      </c>
      <c r="E20055" s="2">
        <v>56</v>
      </c>
      <c r="F20055" s="2" t="s">
        <v>16</v>
      </c>
    </row>
    <row r="20056" spans="1:6" ht="25.5">
      <c r="A20056" s="2">
        <v>20053</v>
      </c>
      <c r="B20056" s="2" t="s">
        <v>20123</v>
      </c>
      <c r="C20056" s="2" t="str">
        <f>"12350621"</f>
        <v>12350621</v>
      </c>
      <c r="D20056" s="2">
        <v>0.106</v>
      </c>
      <c r="E20056" s="2">
        <v>4</v>
      </c>
      <c r="F20056" s="2" t="s">
        <v>751</v>
      </c>
    </row>
    <row r="20057" spans="1:6" ht="25.5">
      <c r="A20057" s="2">
        <v>20054</v>
      </c>
      <c r="B20057" s="2" t="s">
        <v>20124</v>
      </c>
      <c r="C20057" s="2" t="str">
        <f>"03579387"</f>
        <v>03579387</v>
      </c>
      <c r="D20057" s="2">
        <v>0.1</v>
      </c>
      <c r="E20057" s="2">
        <v>2</v>
      </c>
      <c r="F20057" s="2" t="s">
        <v>751</v>
      </c>
    </row>
    <row r="20058" spans="1:6" ht="25.5">
      <c r="A20058" s="2">
        <v>20055</v>
      </c>
      <c r="B20058" s="2" t="s">
        <v>20125</v>
      </c>
      <c r="C20058" s="2" t="str">
        <f>"12350605"</f>
        <v>12350605</v>
      </c>
      <c r="D20058" s="2">
        <v>0.1</v>
      </c>
      <c r="E20058" s="2">
        <v>2</v>
      </c>
      <c r="F20058" s="2" t="s">
        <v>751</v>
      </c>
    </row>
    <row r="20059" spans="1:6" ht="25.5">
      <c r="A20059" s="2">
        <v>20056</v>
      </c>
      <c r="B20059" s="2" t="s">
        <v>20126</v>
      </c>
      <c r="C20059" s="2" t="str">
        <f>"17450136"</f>
        <v>17450136</v>
      </c>
      <c r="D20059" s="2">
        <v>0.26600000000000001</v>
      </c>
      <c r="E20059" s="2">
        <v>6</v>
      </c>
      <c r="F20059" s="2" t="s">
        <v>16</v>
      </c>
    </row>
    <row r="20060" spans="1:6" ht="25.5">
      <c r="A20060" s="2">
        <v>20057</v>
      </c>
      <c r="B20060" s="2" t="s">
        <v>20127</v>
      </c>
      <c r="C20060" s="2" t="str">
        <f>"21804311"</f>
        <v>21804311</v>
      </c>
      <c r="D20060" s="2">
        <v>0.104</v>
      </c>
      <c r="E20060" s="2">
        <v>0</v>
      </c>
      <c r="F20060" s="2" t="s">
        <v>37</v>
      </c>
    </row>
    <row r="20061" spans="1:6" ht="25.5">
      <c r="A20061" s="2">
        <v>20058</v>
      </c>
      <c r="B20061" s="2" t="s">
        <v>20128</v>
      </c>
      <c r="C20061" s="2" t="str">
        <f>"02603799"</f>
        <v>02603799</v>
      </c>
      <c r="D20061" s="2">
        <v>0.20499999999999999</v>
      </c>
      <c r="E20061" s="2">
        <v>3</v>
      </c>
      <c r="F20061" s="2" t="s">
        <v>16</v>
      </c>
    </row>
    <row r="20062" spans="1:6" ht="25.5">
      <c r="A20062" s="2">
        <v>20059</v>
      </c>
      <c r="B20062" s="2" t="s">
        <v>20129</v>
      </c>
      <c r="C20062" s="2" t="str">
        <f>"00429945"</f>
        <v>00429945</v>
      </c>
      <c r="D20062" s="2">
        <v>0.10100000000000001</v>
      </c>
      <c r="E20062" s="2">
        <v>1</v>
      </c>
      <c r="F20062" s="2" t="s">
        <v>12</v>
      </c>
    </row>
    <row r="20063" spans="1:6" ht="25.5">
      <c r="A20063" s="2">
        <v>20060</v>
      </c>
      <c r="B20063" s="2" t="s">
        <v>20130</v>
      </c>
      <c r="C20063" s="2" t="str">
        <f>"01487132"</f>
        <v>01487132</v>
      </c>
      <c r="D20063" s="2">
        <v>0.1</v>
      </c>
      <c r="E20063" s="2">
        <v>3</v>
      </c>
      <c r="F20063" s="2" t="s">
        <v>6</v>
      </c>
    </row>
    <row r="20064" spans="1:6" ht="25.5">
      <c r="A20064" s="2">
        <v>20061</v>
      </c>
      <c r="B20064" s="2" t="s">
        <v>20131</v>
      </c>
      <c r="C20064" s="2" t="str">
        <f>"07370679"</f>
        <v>07370679</v>
      </c>
      <c r="D20064" s="2">
        <v>0.10100000000000001</v>
      </c>
      <c r="E20064" s="2">
        <v>1</v>
      </c>
      <c r="F20064" s="2" t="s">
        <v>6</v>
      </c>
    </row>
    <row r="20065" spans="1:6" ht="25.5">
      <c r="A20065" s="2">
        <v>20062</v>
      </c>
      <c r="B20065" s="2" t="s">
        <v>20132</v>
      </c>
      <c r="C20065" s="2" t="str">
        <f>"14770385"</f>
        <v>14770385</v>
      </c>
      <c r="D20065" s="2">
        <v>0.13600000000000001</v>
      </c>
      <c r="E20065" s="2">
        <v>6</v>
      </c>
      <c r="F20065" s="2" t="s">
        <v>16</v>
      </c>
    </row>
    <row r="20066" spans="1:6" ht="25.5">
      <c r="A20066" s="2">
        <v>20063</v>
      </c>
      <c r="B20066" s="2" t="s">
        <v>20133</v>
      </c>
      <c r="C20066" s="2" t="str">
        <f>"02690055"</f>
        <v>02690055</v>
      </c>
      <c r="D20066" s="2">
        <v>0.105</v>
      </c>
      <c r="E20066" s="2">
        <v>1</v>
      </c>
      <c r="F20066" s="2" t="s">
        <v>16</v>
      </c>
    </row>
    <row r="20067" spans="1:6" ht="25.5">
      <c r="A20067" s="2">
        <v>20064</v>
      </c>
      <c r="B20067" s="2" t="s">
        <v>20134</v>
      </c>
      <c r="C20067" s="2" t="str">
        <f>"00430617"</f>
        <v>00430617</v>
      </c>
      <c r="D20067" s="2">
        <v>0.46100000000000002</v>
      </c>
      <c r="E20067" s="2">
        <v>8</v>
      </c>
      <c r="F20067" s="2" t="s">
        <v>6</v>
      </c>
    </row>
    <row r="20068" spans="1:6" ht="25.5">
      <c r="A20068" s="2">
        <v>20065</v>
      </c>
      <c r="B20068" s="2" t="s">
        <v>20135</v>
      </c>
      <c r="C20068" s="2" t="str">
        <f>"15309177"</f>
        <v>15309177</v>
      </c>
      <c r="D20068" s="2">
        <v>0.7</v>
      </c>
      <c r="E20068" s="2">
        <v>18</v>
      </c>
      <c r="F20068" s="2" t="s">
        <v>16</v>
      </c>
    </row>
    <row r="20069" spans="1:6">
      <c r="A20069" s="2">
        <v>20066</v>
      </c>
      <c r="B20069" s="2" t="s">
        <v>20136</v>
      </c>
      <c r="C20069" s="2" t="str">
        <f>"0"</f>
        <v>0</v>
      </c>
      <c r="D20069" s="2">
        <v>0</v>
      </c>
      <c r="E20069" s="2">
        <v>0</v>
      </c>
      <c r="F20069" s="2" t="s">
        <v>6</v>
      </c>
    </row>
    <row r="20070" spans="1:6" ht="25.5">
      <c r="A20070" s="2">
        <v>20067</v>
      </c>
      <c r="B20070" s="2" t="s">
        <v>20137</v>
      </c>
      <c r="C20070" s="2" t="str">
        <f>"14369095"</f>
        <v>14369095</v>
      </c>
      <c r="D20070" s="2">
        <v>0.1</v>
      </c>
      <c r="E20070" s="2">
        <v>2</v>
      </c>
      <c r="F20070" s="2" t="s">
        <v>12</v>
      </c>
    </row>
    <row r="20071" spans="1:6" ht="25.5">
      <c r="A20071" s="2">
        <v>20068</v>
      </c>
      <c r="B20071" s="2" t="s">
        <v>20138</v>
      </c>
      <c r="C20071" s="2" t="str">
        <f>"00430978"</f>
        <v>00430978</v>
      </c>
      <c r="D20071" s="2">
        <v>0.14399999999999999</v>
      </c>
      <c r="E20071" s="2">
        <v>5</v>
      </c>
      <c r="F20071" s="2" t="s">
        <v>12</v>
      </c>
    </row>
    <row r="20072" spans="1:6" ht="25.5">
      <c r="A20072" s="2">
        <v>20069</v>
      </c>
      <c r="B20072" s="2" t="s">
        <v>20139</v>
      </c>
      <c r="C20072" s="2" t="str">
        <f>"1877265X"</f>
        <v>1877265X</v>
      </c>
      <c r="D20072" s="2">
        <v>0.63600000000000001</v>
      </c>
      <c r="E20072" s="2">
        <v>7</v>
      </c>
      <c r="F20072" s="2" t="s">
        <v>75</v>
      </c>
    </row>
    <row r="20073" spans="1:6" ht="25.5">
      <c r="A20073" s="2">
        <v>20070</v>
      </c>
      <c r="B20073" s="2" t="s">
        <v>20140</v>
      </c>
      <c r="C20073" s="2" t="str">
        <f>"0956053X"</f>
        <v>0956053X</v>
      </c>
      <c r="D20073" s="2">
        <v>1.3919999999999999</v>
      </c>
      <c r="E20073" s="2">
        <v>63</v>
      </c>
      <c r="F20073" s="2" t="s">
        <v>16</v>
      </c>
    </row>
    <row r="20074" spans="1:6" ht="25.5">
      <c r="A20074" s="2">
        <v>20071</v>
      </c>
      <c r="B20074" s="2" t="s">
        <v>20141</v>
      </c>
      <c r="C20074" s="2" t="str">
        <f>"10963669"</f>
        <v>10963669</v>
      </c>
      <c r="D20074" s="2">
        <v>0.73699999999999999</v>
      </c>
      <c r="E20074" s="2">
        <v>36</v>
      </c>
      <c r="F20074" s="2" t="s">
        <v>16</v>
      </c>
    </row>
    <row r="20075" spans="1:6" ht="25.5">
      <c r="A20075" s="2">
        <v>20072</v>
      </c>
      <c r="B20075" s="2" t="s">
        <v>20142</v>
      </c>
      <c r="C20075" s="2" t="str">
        <f>"15732932"</f>
        <v>15732932</v>
      </c>
      <c r="D20075" s="2">
        <v>0.73399999999999999</v>
      </c>
      <c r="E20075" s="2">
        <v>64</v>
      </c>
      <c r="F20075" s="2" t="s">
        <v>75</v>
      </c>
    </row>
    <row r="20076" spans="1:6" ht="25.5">
      <c r="A20076" s="2">
        <v>20073</v>
      </c>
      <c r="B20076" s="2" t="s">
        <v>20143</v>
      </c>
      <c r="C20076" s="2" t="str">
        <f>"19650175"</f>
        <v>19650175</v>
      </c>
      <c r="D20076" s="2">
        <v>0.65100000000000002</v>
      </c>
      <c r="E20076" s="2">
        <v>10</v>
      </c>
      <c r="F20076" s="2" t="s">
        <v>66</v>
      </c>
    </row>
    <row r="20077" spans="1:6" ht="25.5">
      <c r="A20077" s="2">
        <v>20074</v>
      </c>
      <c r="B20077" s="2" t="s">
        <v>20144</v>
      </c>
      <c r="C20077" s="2" t="str">
        <f>"0972057X"</f>
        <v>0972057X</v>
      </c>
      <c r="D20077" s="2">
        <v>0.1</v>
      </c>
      <c r="E20077" s="2">
        <v>3</v>
      </c>
      <c r="F20077" s="2" t="s">
        <v>488</v>
      </c>
    </row>
    <row r="20078" spans="1:6" ht="25.5">
      <c r="A20078" s="2">
        <v>20075</v>
      </c>
      <c r="B20078" s="2" t="s">
        <v>20145</v>
      </c>
      <c r="C20078" s="2" t="str">
        <f>"17476585"</f>
        <v>17476585</v>
      </c>
      <c r="D20078" s="2">
        <v>0.32600000000000001</v>
      </c>
      <c r="E20078" s="2">
        <v>11</v>
      </c>
      <c r="F20078" s="2" t="s">
        <v>16</v>
      </c>
    </row>
    <row r="20079" spans="1:6" ht="25.5">
      <c r="A20079" s="2">
        <v>20076</v>
      </c>
      <c r="B20079" s="2" t="s">
        <v>20146</v>
      </c>
      <c r="C20079" s="2" t="str">
        <f>"15244695"</f>
        <v>15244695</v>
      </c>
      <c r="D20079" s="2">
        <v>0.47899999999999998</v>
      </c>
      <c r="E20079" s="2">
        <v>26</v>
      </c>
      <c r="F20079" s="2" t="s">
        <v>6</v>
      </c>
    </row>
    <row r="20080" spans="1:6" ht="25.5">
      <c r="A20080" s="2">
        <v>20077</v>
      </c>
      <c r="B20080" s="2" t="s">
        <v>20147</v>
      </c>
      <c r="C20080" s="2" t="str">
        <f>"10614303"</f>
        <v>10614303</v>
      </c>
      <c r="D20080" s="2">
        <v>0.58799999999999997</v>
      </c>
      <c r="E20080" s="2">
        <v>44</v>
      </c>
      <c r="F20080" s="2" t="s">
        <v>6</v>
      </c>
    </row>
    <row r="20081" spans="1:6" ht="25.5">
      <c r="A20081" s="2">
        <v>20078</v>
      </c>
      <c r="B20081" s="2" t="s">
        <v>20148</v>
      </c>
      <c r="C20081" s="2" t="str">
        <f>"18777244"</f>
        <v>18777244</v>
      </c>
      <c r="D20081" s="2">
        <v>0.11799999999999999</v>
      </c>
      <c r="E20081" s="2">
        <v>3</v>
      </c>
      <c r="F20081" s="2" t="s">
        <v>75</v>
      </c>
    </row>
    <row r="20082" spans="1:6" ht="25.5">
      <c r="A20082" s="2">
        <v>20079</v>
      </c>
      <c r="B20082" s="2" t="s">
        <v>20149</v>
      </c>
      <c r="C20082" s="2" t="str">
        <f>"02508060"</f>
        <v>02508060</v>
      </c>
      <c r="D20082" s="2">
        <v>0.27900000000000003</v>
      </c>
      <c r="E20082" s="2">
        <v>26</v>
      </c>
      <c r="F20082" s="2" t="s">
        <v>16</v>
      </c>
    </row>
    <row r="20083" spans="1:6" ht="25.5">
      <c r="A20083" s="2">
        <v>20080</v>
      </c>
      <c r="B20083" s="2" t="s">
        <v>20150</v>
      </c>
      <c r="C20083" s="2" t="str">
        <f>"17563488"</f>
        <v>17563488</v>
      </c>
      <c r="D20083" s="2">
        <v>0.22900000000000001</v>
      </c>
      <c r="E20083" s="2">
        <v>5</v>
      </c>
      <c r="F20083" s="2" t="s">
        <v>16</v>
      </c>
    </row>
    <row r="20084" spans="1:6" ht="25.5">
      <c r="A20084" s="2">
        <v>20081</v>
      </c>
      <c r="B20084" s="2" t="s">
        <v>20151</v>
      </c>
      <c r="C20084" s="2" t="str">
        <f>"17417589"</f>
        <v>17417589</v>
      </c>
      <c r="D20084" s="2">
        <v>0.34399999999999997</v>
      </c>
      <c r="E20084" s="2">
        <v>12</v>
      </c>
      <c r="F20084" s="2" t="s">
        <v>16</v>
      </c>
    </row>
    <row r="20085" spans="1:6" ht="25.5">
      <c r="A20085" s="2">
        <v>20082</v>
      </c>
      <c r="B20085" s="2" t="s">
        <v>20152</v>
      </c>
      <c r="C20085" s="2" t="str">
        <f>"15537641"</f>
        <v>15537641</v>
      </c>
      <c r="D20085" s="2">
        <v>0.10299999999999999</v>
      </c>
      <c r="E20085" s="2">
        <v>1</v>
      </c>
      <c r="F20085" s="2" t="s">
        <v>6</v>
      </c>
    </row>
    <row r="20086" spans="1:6" ht="25.5">
      <c r="A20086" s="2">
        <v>20083</v>
      </c>
      <c r="B20086" s="2" t="s">
        <v>20153</v>
      </c>
      <c r="C20086" s="2" t="str">
        <f>"13667017"</f>
        <v>13667017</v>
      </c>
      <c r="D20086" s="2">
        <v>0.48199999999999998</v>
      </c>
      <c r="E20086" s="2">
        <v>28</v>
      </c>
      <c r="F20086" s="2" t="s">
        <v>16</v>
      </c>
    </row>
    <row r="20087" spans="1:6" ht="25.5">
      <c r="A20087" s="2">
        <v>20084</v>
      </c>
      <c r="B20087" s="2" t="s">
        <v>20154</v>
      </c>
      <c r="C20087" s="2" t="str">
        <f>"1751231X"</f>
        <v>1751231X</v>
      </c>
      <c r="D20087" s="2">
        <v>0.14899999999999999</v>
      </c>
      <c r="E20087" s="2">
        <v>2</v>
      </c>
      <c r="F20087" s="2" t="s">
        <v>16</v>
      </c>
    </row>
    <row r="20088" spans="1:6" ht="25.5">
      <c r="A20088" s="2">
        <v>20085</v>
      </c>
      <c r="B20088" s="2" t="s">
        <v>20155</v>
      </c>
      <c r="C20088" s="2" t="str">
        <f>"18761666"</f>
        <v>18761666</v>
      </c>
      <c r="D20088" s="2">
        <v>0.158</v>
      </c>
      <c r="E20088" s="2">
        <v>2</v>
      </c>
      <c r="F20088" s="2" t="s">
        <v>75</v>
      </c>
    </row>
    <row r="20089" spans="1:6" ht="25.5">
      <c r="A20089" s="2">
        <v>20086</v>
      </c>
      <c r="B20089" s="2" t="s">
        <v>20156</v>
      </c>
      <c r="C20089" s="2" t="str">
        <f>"12013080"</f>
        <v>12013080</v>
      </c>
      <c r="D20089" s="2">
        <v>0.21099999999999999</v>
      </c>
      <c r="E20089" s="2">
        <v>29</v>
      </c>
      <c r="F20089" s="2" t="s">
        <v>16</v>
      </c>
    </row>
    <row r="20090" spans="1:6" ht="25.5">
      <c r="A20090" s="2">
        <v>20087</v>
      </c>
      <c r="B20090" s="2" t="s">
        <v>20157</v>
      </c>
      <c r="C20090" s="2" t="str">
        <f>"00431354"</f>
        <v>00431354</v>
      </c>
      <c r="D20090" s="2">
        <v>2.552</v>
      </c>
      <c r="E20090" s="2">
        <v>155</v>
      </c>
      <c r="F20090" s="2" t="s">
        <v>16</v>
      </c>
    </row>
    <row r="20091" spans="1:6" ht="25.5">
      <c r="A20091" s="2">
        <v>20088</v>
      </c>
      <c r="B20091" s="2" t="s">
        <v>20158</v>
      </c>
      <c r="C20091" s="2" t="str">
        <f>"1608344X"</f>
        <v>1608344X</v>
      </c>
      <c r="D20091" s="2">
        <v>0.26900000000000002</v>
      </c>
      <c r="E20091" s="2">
        <v>8</v>
      </c>
      <c r="F20091" s="2" t="s">
        <v>129</v>
      </c>
    </row>
    <row r="20092" spans="1:6" ht="25.5">
      <c r="A20092" s="2">
        <v>20089</v>
      </c>
      <c r="B20092" s="2" t="s">
        <v>20159</v>
      </c>
      <c r="C20092" s="2" t="str">
        <f>"15731650"</f>
        <v>15731650</v>
      </c>
      <c r="D20092" s="2">
        <v>1.075</v>
      </c>
      <c r="E20092" s="2">
        <v>39</v>
      </c>
      <c r="F20092" s="2" t="s">
        <v>75</v>
      </c>
    </row>
    <row r="20093" spans="1:6" ht="25.5">
      <c r="A20093" s="2">
        <v>20090</v>
      </c>
      <c r="B20093" s="2" t="s">
        <v>20160</v>
      </c>
      <c r="C20093" s="2" t="str">
        <f>"00431397"</f>
        <v>00431397</v>
      </c>
      <c r="D20093" s="2">
        <v>1.7689999999999999</v>
      </c>
      <c r="E20093" s="2">
        <v>110</v>
      </c>
      <c r="F20093" s="2" t="s">
        <v>6</v>
      </c>
    </row>
    <row r="20094" spans="1:6" ht="25.5">
      <c r="A20094" s="2">
        <v>20091</v>
      </c>
      <c r="B20094" s="2" t="s">
        <v>20161</v>
      </c>
      <c r="C20094" s="2" t="str">
        <f>"0549799X"</f>
        <v>0549799X</v>
      </c>
      <c r="D20094" s="2">
        <v>0.10100000000000001</v>
      </c>
      <c r="E20094" s="2">
        <v>0</v>
      </c>
      <c r="F20094" s="2" t="s">
        <v>6</v>
      </c>
    </row>
    <row r="20095" spans="1:6" ht="25.5">
      <c r="A20095" s="2">
        <v>20092</v>
      </c>
      <c r="B20095" s="2" t="s">
        <v>20162</v>
      </c>
      <c r="C20095" s="2" t="str">
        <f>"03784738"</f>
        <v>03784738</v>
      </c>
      <c r="D20095" s="2">
        <v>0.36499999999999999</v>
      </c>
      <c r="E20095" s="2">
        <v>34</v>
      </c>
      <c r="F20095" s="2" t="s">
        <v>410</v>
      </c>
    </row>
    <row r="20096" spans="1:6" ht="25.5">
      <c r="A20096" s="2">
        <v>20093</v>
      </c>
      <c r="B20096" s="2" t="s">
        <v>20163</v>
      </c>
      <c r="C20096" s="2" t="str">
        <f>"16742370"</f>
        <v>16742370</v>
      </c>
      <c r="D20096" s="2">
        <v>0.19600000000000001</v>
      </c>
      <c r="E20096" s="2">
        <v>2</v>
      </c>
      <c r="F20096" s="2" t="s">
        <v>46</v>
      </c>
    </row>
    <row r="20097" spans="1:6" ht="25.5">
      <c r="A20097" s="2">
        <v>20094</v>
      </c>
      <c r="B20097" s="2" t="s">
        <v>20164</v>
      </c>
      <c r="C20097" s="2" t="str">
        <f>"02731223"</f>
        <v>02731223</v>
      </c>
      <c r="D20097" s="2">
        <v>0.57699999999999996</v>
      </c>
      <c r="E20097" s="2">
        <v>86</v>
      </c>
      <c r="F20097" s="2" t="s">
        <v>16</v>
      </c>
    </row>
    <row r="20098" spans="1:6" ht="25.5">
      <c r="A20098" s="2">
        <v>20095</v>
      </c>
      <c r="B20098" s="2" t="s">
        <v>20165</v>
      </c>
      <c r="C20098" s="2" t="str">
        <f>"16069749"</f>
        <v>16069749</v>
      </c>
      <c r="D20098" s="2">
        <v>0.27300000000000002</v>
      </c>
      <c r="E20098" s="2">
        <v>21</v>
      </c>
      <c r="F20098" s="2" t="s">
        <v>16</v>
      </c>
    </row>
    <row r="20099" spans="1:6" ht="25.5">
      <c r="A20099" s="2">
        <v>20096</v>
      </c>
      <c r="B20099" s="2" t="s">
        <v>20166</v>
      </c>
      <c r="C20099" s="2" t="str">
        <f>"01652125"</f>
        <v>01652125</v>
      </c>
      <c r="D20099" s="2">
        <v>0.85499999999999998</v>
      </c>
      <c r="E20099" s="2">
        <v>34</v>
      </c>
      <c r="F20099" s="2" t="s">
        <v>75</v>
      </c>
    </row>
    <row r="20100" spans="1:6" ht="25.5">
      <c r="A20100" s="2">
        <v>20097</v>
      </c>
      <c r="B20100" s="2" t="s">
        <v>20167</v>
      </c>
      <c r="C20100" s="2" t="str">
        <f>"17455049"</f>
        <v>17455049</v>
      </c>
      <c r="D20100" s="2">
        <v>0.52700000000000002</v>
      </c>
      <c r="E20100" s="2">
        <v>29</v>
      </c>
      <c r="F20100" s="2" t="s">
        <v>16</v>
      </c>
    </row>
    <row r="20101" spans="1:6">
      <c r="A20101" s="2">
        <v>20098</v>
      </c>
      <c r="B20101" s="2" t="s">
        <v>20168</v>
      </c>
      <c r="C20101" s="2" t="str">
        <f>"0"</f>
        <v>0</v>
      </c>
      <c r="D20101" s="2">
        <v>0</v>
      </c>
      <c r="E20101" s="2">
        <v>0</v>
      </c>
      <c r="F20101" s="2" t="s">
        <v>6</v>
      </c>
    </row>
    <row r="20102" spans="1:6" ht="25.5">
      <c r="A20102" s="2">
        <v>20099</v>
      </c>
      <c r="B20102" s="2" t="s">
        <v>20169</v>
      </c>
      <c r="C20102" s="2" t="str">
        <f>"00431648"</f>
        <v>00431648</v>
      </c>
      <c r="D20102" s="2">
        <v>1.2390000000000001</v>
      </c>
      <c r="E20102" s="2">
        <v>82</v>
      </c>
      <c r="F20102" s="2" t="s">
        <v>75</v>
      </c>
    </row>
    <row r="20103" spans="1:6" ht="25.5">
      <c r="A20103" s="2">
        <v>20100</v>
      </c>
      <c r="B20103" s="2" t="s">
        <v>20170</v>
      </c>
      <c r="C20103" s="2" t="str">
        <f>"00431656"</f>
        <v>00431656</v>
      </c>
      <c r="D20103" s="2">
        <v>0.57999999999999996</v>
      </c>
      <c r="E20103" s="2">
        <v>8</v>
      </c>
      <c r="F20103" s="2" t="s">
        <v>16</v>
      </c>
    </row>
    <row r="20104" spans="1:6" ht="25.5">
      <c r="A20104" s="2">
        <v>20101</v>
      </c>
      <c r="B20104" s="2" t="s">
        <v>20171</v>
      </c>
      <c r="C20104" s="2" t="str">
        <f>"15200434"</f>
        <v>15200434</v>
      </c>
      <c r="D20104" s="2">
        <v>1.615</v>
      </c>
      <c r="E20104" s="2">
        <v>56</v>
      </c>
      <c r="F20104" s="2" t="s">
        <v>6</v>
      </c>
    </row>
    <row r="20105" spans="1:6" ht="25.5">
      <c r="A20105" s="2">
        <v>20102</v>
      </c>
      <c r="B20105" s="2" t="s">
        <v>20172</v>
      </c>
      <c r="C20105" s="2" t="str">
        <f>"19488335"</f>
        <v>19488335</v>
      </c>
      <c r="D20105" s="2">
        <v>0.374</v>
      </c>
      <c r="E20105" s="2">
        <v>6</v>
      </c>
      <c r="F20105" s="2" t="s">
        <v>6</v>
      </c>
    </row>
    <row r="20106" spans="1:6" ht="25.5">
      <c r="A20106" s="2">
        <v>20103</v>
      </c>
      <c r="B20106" s="2" t="s">
        <v>20173</v>
      </c>
      <c r="C20106" s="2" t="str">
        <f>"13991183"</f>
        <v>13991183</v>
      </c>
      <c r="D20106" s="2">
        <v>0.26600000000000001</v>
      </c>
      <c r="E20106" s="2">
        <v>10</v>
      </c>
      <c r="F20106" s="2" t="s">
        <v>16</v>
      </c>
    </row>
    <row r="20107" spans="1:6" ht="25.5">
      <c r="A20107" s="2">
        <v>20104</v>
      </c>
      <c r="B20107" s="2" t="s">
        <v>20174</v>
      </c>
      <c r="C20107" s="2" t="str">
        <f>"15701263"</f>
        <v>15701263</v>
      </c>
      <c r="D20107" s="2">
        <v>0.39</v>
      </c>
      <c r="E20107" s="2">
        <v>14</v>
      </c>
      <c r="F20107" s="2" t="s">
        <v>75</v>
      </c>
    </row>
    <row r="20108" spans="1:6" ht="25.5">
      <c r="A20108" s="2">
        <v>20105</v>
      </c>
      <c r="B20108" s="2" t="s">
        <v>20175</v>
      </c>
      <c r="C20108" s="2" t="str">
        <f>"1735188X"</f>
        <v>1735188X</v>
      </c>
      <c r="D20108" s="2">
        <v>0.24199999999999999</v>
      </c>
      <c r="E20108" s="2">
        <v>6</v>
      </c>
      <c r="F20108" s="2" t="s">
        <v>299</v>
      </c>
    </row>
    <row r="20109" spans="1:6" ht="25.5">
      <c r="A20109" s="2">
        <v>20106</v>
      </c>
      <c r="B20109" s="2" t="s">
        <v>20176</v>
      </c>
      <c r="C20109" s="2" t="str">
        <f>"15708268"</f>
        <v>15708268</v>
      </c>
      <c r="D20109" s="2">
        <v>3.2589999999999999</v>
      </c>
      <c r="E20109" s="2">
        <v>42</v>
      </c>
      <c r="F20109" s="2" t="s">
        <v>75</v>
      </c>
    </row>
    <row r="20110" spans="1:6" ht="25.5">
      <c r="A20110" s="2">
        <v>20107</v>
      </c>
      <c r="B20110" s="2" t="s">
        <v>20177</v>
      </c>
      <c r="C20110" s="2" t="str">
        <f>"14456664"</f>
        <v>14456664</v>
      </c>
      <c r="D20110" s="2">
        <v>0.29199999999999998</v>
      </c>
      <c r="E20110" s="2">
        <v>21</v>
      </c>
      <c r="F20110" s="2" t="s">
        <v>16</v>
      </c>
    </row>
    <row r="20111" spans="1:6" ht="25.5">
      <c r="A20111" s="2">
        <v>20108</v>
      </c>
      <c r="B20111" s="2" t="s">
        <v>20178</v>
      </c>
      <c r="C20111" s="2" t="str">
        <f>"13653180"</f>
        <v>13653180</v>
      </c>
      <c r="D20111" s="2">
        <v>1.1180000000000001</v>
      </c>
      <c r="E20111" s="2">
        <v>44</v>
      </c>
      <c r="F20111" s="2" t="s">
        <v>16</v>
      </c>
    </row>
    <row r="20112" spans="1:6" ht="25.5">
      <c r="A20112" s="2">
        <v>20109</v>
      </c>
      <c r="B20112" s="2" t="s">
        <v>20179</v>
      </c>
      <c r="C20112" s="2" t="str">
        <f>"15502759"</f>
        <v>15502759</v>
      </c>
      <c r="D20112" s="2">
        <v>0.871</v>
      </c>
      <c r="E20112" s="2">
        <v>57</v>
      </c>
      <c r="F20112" s="2" t="s">
        <v>6</v>
      </c>
    </row>
    <row r="20113" spans="1:6" ht="25.5">
      <c r="A20113" s="2">
        <v>20110</v>
      </c>
      <c r="B20113" s="2" t="s">
        <v>20180</v>
      </c>
      <c r="C20113" s="2" t="str">
        <f>"15502740"</f>
        <v>15502740</v>
      </c>
      <c r="D20113" s="2">
        <v>0.61099999999999999</v>
      </c>
      <c r="E20113" s="2">
        <v>42</v>
      </c>
      <c r="F20113" s="2" t="s">
        <v>6</v>
      </c>
    </row>
    <row r="20114" spans="1:6" ht="25.5">
      <c r="A20114" s="2">
        <v>20111</v>
      </c>
      <c r="B20114" s="2" t="s">
        <v>20181</v>
      </c>
      <c r="C20114" s="2" t="str">
        <f>"00498114"</f>
        <v>00498114</v>
      </c>
      <c r="D20114" s="2">
        <v>1.238</v>
      </c>
      <c r="E20114" s="2">
        <v>45</v>
      </c>
      <c r="F20114" s="2" t="s">
        <v>31</v>
      </c>
    </row>
    <row r="20115" spans="1:6" ht="25.5">
      <c r="A20115" s="2">
        <v>20112</v>
      </c>
      <c r="B20115" s="2" t="s">
        <v>20182</v>
      </c>
      <c r="C20115" s="2" t="str">
        <f>"00432199"</f>
        <v>00432199</v>
      </c>
      <c r="D20115" s="2">
        <v>0.1</v>
      </c>
      <c r="E20115" s="2">
        <v>2</v>
      </c>
      <c r="F20115" s="2" t="s">
        <v>288</v>
      </c>
    </row>
    <row r="20116" spans="1:6" ht="25.5">
      <c r="A20116" s="2">
        <v>20113</v>
      </c>
      <c r="B20116" s="2" t="s">
        <v>20183</v>
      </c>
      <c r="C20116" s="2" t="str">
        <f>"00016209"</f>
        <v>00016209</v>
      </c>
      <c r="D20116" s="2">
        <v>0.14199999999999999</v>
      </c>
      <c r="E20116" s="2">
        <v>11</v>
      </c>
      <c r="F20116" s="2" t="s">
        <v>46</v>
      </c>
    </row>
    <row r="20117" spans="1:6" ht="25.5">
      <c r="A20117" s="2">
        <v>20114</v>
      </c>
      <c r="B20117" s="2" t="s">
        <v>20184</v>
      </c>
      <c r="C20117" s="2" t="str">
        <f>"10008020"</f>
        <v>10008020</v>
      </c>
      <c r="D20117" s="2">
        <v>0.113</v>
      </c>
      <c r="E20117" s="2">
        <v>12</v>
      </c>
      <c r="F20117" s="2" t="s">
        <v>46</v>
      </c>
    </row>
    <row r="20118" spans="1:6" ht="25.5">
      <c r="A20118" s="2">
        <v>20115</v>
      </c>
      <c r="B20118" s="2" t="s">
        <v>20185</v>
      </c>
      <c r="C20118" s="2" t="str">
        <f>"17542138"</f>
        <v>17542138</v>
      </c>
      <c r="D20118" s="2">
        <v>0.13700000000000001</v>
      </c>
      <c r="E20118" s="2">
        <v>5</v>
      </c>
      <c r="F20118" s="2" t="s">
        <v>16</v>
      </c>
    </row>
    <row r="20119" spans="1:6" ht="25.5">
      <c r="A20119" s="2">
        <v>20116</v>
      </c>
      <c r="B20119" s="2" t="s">
        <v>20186</v>
      </c>
      <c r="C20119" s="2" t="str">
        <f>"00432288"</f>
        <v>00432288</v>
      </c>
      <c r="D20119" s="2">
        <v>0.38900000000000001</v>
      </c>
      <c r="E20119" s="2">
        <v>16</v>
      </c>
      <c r="F20119" s="2" t="s">
        <v>66</v>
      </c>
    </row>
    <row r="20120" spans="1:6" ht="25.5">
      <c r="A20120" s="2">
        <v>20117</v>
      </c>
      <c r="B20120" s="2" t="s">
        <v>20187</v>
      </c>
      <c r="C20120" s="2" t="str">
        <f>"00432296"</f>
        <v>00432296</v>
      </c>
      <c r="D20120" s="2">
        <v>0.36099999999999999</v>
      </c>
      <c r="E20120" s="2">
        <v>40</v>
      </c>
      <c r="F20120" s="2" t="s">
        <v>6</v>
      </c>
    </row>
    <row r="20121" spans="1:6" ht="25.5">
      <c r="A20121" s="2">
        <v>20118</v>
      </c>
      <c r="B20121" s="2" t="s">
        <v>20188</v>
      </c>
      <c r="C20121" s="2" t="str">
        <f>"10044388"</f>
        <v>10044388</v>
      </c>
      <c r="D20121" s="2">
        <v>0.104</v>
      </c>
      <c r="E20121" s="2">
        <v>3</v>
      </c>
      <c r="F20121" s="2" t="s">
        <v>46</v>
      </c>
    </row>
    <row r="20122" spans="1:6" ht="25.5">
      <c r="A20122" s="2">
        <v>20119</v>
      </c>
      <c r="B20122" s="2" t="s">
        <v>20189</v>
      </c>
      <c r="C20122" s="2" t="str">
        <f>"00432431"</f>
        <v>00432431</v>
      </c>
      <c r="D20122" s="2">
        <v>0.11799999999999999</v>
      </c>
      <c r="E20122" s="2">
        <v>3</v>
      </c>
      <c r="F20122" s="2" t="s">
        <v>16</v>
      </c>
    </row>
    <row r="20123" spans="1:6" ht="25.5">
      <c r="A20123" s="2">
        <v>20120</v>
      </c>
      <c r="B20123" s="2" t="s">
        <v>20190</v>
      </c>
      <c r="C20123" s="2" t="str">
        <f>"00432520"</f>
        <v>00432520</v>
      </c>
      <c r="D20123" s="2">
        <v>0.10100000000000001</v>
      </c>
      <c r="E20123" s="2">
        <v>2</v>
      </c>
      <c r="F20123" s="2" t="s">
        <v>12</v>
      </c>
    </row>
    <row r="20124" spans="1:6" ht="25.5">
      <c r="A20124" s="2">
        <v>20121</v>
      </c>
      <c r="B20124" s="2" t="s">
        <v>20191</v>
      </c>
      <c r="C20124" s="2" t="str">
        <f>"08554307"</f>
        <v>08554307</v>
      </c>
      <c r="D20124" s="2">
        <v>0.107</v>
      </c>
      <c r="E20124" s="2">
        <v>2</v>
      </c>
      <c r="F20124" s="2" t="s">
        <v>702</v>
      </c>
    </row>
    <row r="20125" spans="1:6" ht="25.5">
      <c r="A20125" s="2">
        <v>20122</v>
      </c>
      <c r="B20125" s="2" t="s">
        <v>20192</v>
      </c>
      <c r="C20125" s="2" t="str">
        <f>"0189160X"</f>
        <v>0189160X</v>
      </c>
      <c r="D20125" s="2">
        <v>0.155</v>
      </c>
      <c r="E20125" s="2">
        <v>18</v>
      </c>
      <c r="F20125" s="2" t="s">
        <v>692</v>
      </c>
    </row>
    <row r="20126" spans="1:6" ht="25.5">
      <c r="A20126" s="2">
        <v>20123</v>
      </c>
      <c r="B20126" s="2" t="s">
        <v>20193</v>
      </c>
      <c r="C20126" s="2" t="str">
        <f>"0043342X"</f>
        <v>0043342X</v>
      </c>
      <c r="D20126" s="2">
        <v>0.1</v>
      </c>
      <c r="E20126" s="2">
        <v>1</v>
      </c>
      <c r="F20126" s="2" t="s">
        <v>127</v>
      </c>
    </row>
    <row r="20127" spans="1:6" ht="25.5">
      <c r="A20127" s="2">
        <v>20124</v>
      </c>
      <c r="B20127" s="2" t="s">
        <v>20194</v>
      </c>
      <c r="C20127" s="2" t="str">
        <f>"00433462"</f>
        <v>00433462</v>
      </c>
      <c r="D20127" s="2">
        <v>0.10100000000000001</v>
      </c>
      <c r="E20127" s="2">
        <v>2</v>
      </c>
      <c r="F20127" s="2" t="s">
        <v>6</v>
      </c>
    </row>
    <row r="20128" spans="1:6" ht="25.5">
      <c r="A20128" s="2">
        <v>20125</v>
      </c>
      <c r="B20128" s="2" t="s">
        <v>20195</v>
      </c>
      <c r="C20128" s="2" t="str">
        <f>"01601121"</f>
        <v>01601121</v>
      </c>
      <c r="D20128" s="2">
        <v>0.26400000000000001</v>
      </c>
      <c r="E20128" s="2">
        <v>3</v>
      </c>
      <c r="F20128" s="2" t="s">
        <v>6</v>
      </c>
    </row>
    <row r="20129" spans="1:6" ht="25.5">
      <c r="A20129" s="2">
        <v>20126</v>
      </c>
      <c r="B20129" s="2" t="s">
        <v>20196</v>
      </c>
      <c r="C20129" s="2" t="str">
        <f>"10964886"</f>
        <v>10964886</v>
      </c>
      <c r="D20129" s="2">
        <v>0.214</v>
      </c>
      <c r="E20129" s="2">
        <v>10</v>
      </c>
      <c r="F20129" s="2" t="s">
        <v>6</v>
      </c>
    </row>
    <row r="20130" spans="1:6" ht="25.5">
      <c r="A20130" s="2">
        <v>20127</v>
      </c>
      <c r="B20130" s="2" t="s">
        <v>20197</v>
      </c>
      <c r="C20130" s="2" t="str">
        <f>"0043373X"</f>
        <v>0043373X</v>
      </c>
      <c r="D20130" s="2">
        <v>0.157</v>
      </c>
      <c r="E20130" s="2">
        <v>3</v>
      </c>
      <c r="F20130" s="2" t="s">
        <v>6</v>
      </c>
    </row>
    <row r="20131" spans="1:6" ht="25.5">
      <c r="A20131" s="2">
        <v>20128</v>
      </c>
      <c r="B20131" s="2" t="s">
        <v>20198</v>
      </c>
      <c r="C20131" s="2" t="str">
        <f>"00433810"</f>
        <v>00433810</v>
      </c>
      <c r="D20131" s="2">
        <v>0.11799999999999999</v>
      </c>
      <c r="E20131" s="2">
        <v>6</v>
      </c>
      <c r="F20131" s="2" t="s">
        <v>6</v>
      </c>
    </row>
    <row r="20132" spans="1:6" ht="25.5">
      <c r="A20132" s="2">
        <v>20129</v>
      </c>
      <c r="B20132" s="2" t="s">
        <v>20199</v>
      </c>
      <c r="C20132" s="2" t="str">
        <f>"00433845"</f>
        <v>00433845</v>
      </c>
      <c r="D20132" s="2">
        <v>0.1</v>
      </c>
      <c r="E20132" s="2">
        <v>2</v>
      </c>
      <c r="F20132" s="2" t="s">
        <v>6</v>
      </c>
    </row>
    <row r="20133" spans="1:6" ht="25.5">
      <c r="A20133" s="2">
        <v>20130</v>
      </c>
      <c r="B20133" s="2" t="s">
        <v>20200</v>
      </c>
      <c r="C20133" s="2" t="str">
        <f>"08856095"</f>
        <v>08856095</v>
      </c>
      <c r="D20133" s="2">
        <v>0.50800000000000001</v>
      </c>
      <c r="E20133" s="2">
        <v>22</v>
      </c>
      <c r="F20133" s="2" t="s">
        <v>6</v>
      </c>
    </row>
    <row r="20134" spans="1:6" ht="25.5">
      <c r="A20134" s="2">
        <v>20131</v>
      </c>
      <c r="B20134" s="2" t="s">
        <v>20201</v>
      </c>
      <c r="C20134" s="2" t="str">
        <f>"10570314"</f>
        <v>10570314</v>
      </c>
      <c r="D20134" s="2">
        <v>0.53100000000000003</v>
      </c>
      <c r="E20134" s="2">
        <v>18</v>
      </c>
      <c r="F20134" s="2" t="s">
        <v>16</v>
      </c>
    </row>
    <row r="20135" spans="1:6" ht="25.5">
      <c r="A20135" s="2">
        <v>20132</v>
      </c>
      <c r="B20135" s="2" t="s">
        <v>20202</v>
      </c>
      <c r="C20135" s="2" t="str">
        <f>"19369018"</f>
        <v>19369018</v>
      </c>
      <c r="D20135" s="2">
        <v>0.182</v>
      </c>
      <c r="E20135" s="2">
        <v>3</v>
      </c>
      <c r="F20135" s="2" t="s">
        <v>6</v>
      </c>
    </row>
    <row r="20136" spans="1:6" ht="25.5">
      <c r="A20136" s="2">
        <v>20133</v>
      </c>
      <c r="B20136" s="2" t="s">
        <v>20203</v>
      </c>
      <c r="C20136" s="2" t="str">
        <f>"15528456"</f>
        <v>15528456</v>
      </c>
      <c r="D20136" s="2">
        <v>0.53</v>
      </c>
      <c r="E20136" s="2">
        <v>37</v>
      </c>
      <c r="F20136" s="2" t="s">
        <v>6</v>
      </c>
    </row>
    <row r="20137" spans="1:6">
      <c r="A20137" s="2">
        <v>20134</v>
      </c>
      <c r="B20137" s="2" t="s">
        <v>20204</v>
      </c>
      <c r="C20137" s="2" t="str">
        <f>"0"</f>
        <v>0</v>
      </c>
      <c r="D20137" s="2">
        <v>0</v>
      </c>
      <c r="E20137" s="2">
        <v>0</v>
      </c>
      <c r="F20137" s="2" t="s">
        <v>6</v>
      </c>
    </row>
    <row r="20138" spans="1:6" ht="25.5">
      <c r="A20138" s="2">
        <v>20135</v>
      </c>
      <c r="B20138" s="2" t="s">
        <v>20205</v>
      </c>
      <c r="C20138" s="2" t="str">
        <f>"15270904"</f>
        <v>15270904</v>
      </c>
      <c r="D20138" s="2">
        <v>0.246</v>
      </c>
      <c r="E20138" s="2">
        <v>21</v>
      </c>
      <c r="F20138" s="2" t="s">
        <v>6</v>
      </c>
    </row>
    <row r="20139" spans="1:6" ht="25.5">
      <c r="A20139" s="2">
        <v>20136</v>
      </c>
      <c r="B20139" s="2" t="s">
        <v>20206</v>
      </c>
      <c r="C20139" s="2" t="str">
        <f>"01402382"</f>
        <v>01402382</v>
      </c>
      <c r="D20139" s="2">
        <v>1.1299999999999999</v>
      </c>
      <c r="E20139" s="2">
        <v>30</v>
      </c>
      <c r="F20139" s="2" t="s">
        <v>16</v>
      </c>
    </row>
    <row r="20140" spans="1:6" ht="25.5">
      <c r="A20140" s="2">
        <v>20137</v>
      </c>
      <c r="B20140" s="2" t="s">
        <v>20207</v>
      </c>
      <c r="C20140" s="2" t="str">
        <f>"00433144"</f>
        <v>00433144</v>
      </c>
      <c r="D20140" s="2">
        <v>0.17299999999999999</v>
      </c>
      <c r="E20140" s="2">
        <v>18</v>
      </c>
      <c r="F20140" s="2" t="s">
        <v>3283</v>
      </c>
    </row>
    <row r="20141" spans="1:6" ht="25.5">
      <c r="A20141" s="2">
        <v>20138</v>
      </c>
      <c r="B20141" s="2" t="s">
        <v>20208</v>
      </c>
      <c r="C20141" s="2" t="str">
        <f>"00433284"</f>
        <v>00433284</v>
      </c>
      <c r="D20141" s="2">
        <v>0.109</v>
      </c>
      <c r="E20141" s="2">
        <v>11</v>
      </c>
      <c r="F20141" s="2" t="s">
        <v>6</v>
      </c>
    </row>
    <row r="20142" spans="1:6">
      <c r="A20142" s="2">
        <v>20139</v>
      </c>
      <c r="B20142" s="2" t="s">
        <v>20209</v>
      </c>
      <c r="C20142" s="2" t="str">
        <f>"0"</f>
        <v>0</v>
      </c>
      <c r="D20142" s="2">
        <v>0</v>
      </c>
      <c r="E20142" s="2">
        <v>0</v>
      </c>
      <c r="F20142" s="2" t="s">
        <v>6</v>
      </c>
    </row>
    <row r="20143" spans="1:6" ht="25.5">
      <c r="A20143" s="2">
        <v>20140</v>
      </c>
      <c r="B20143" s="2" t="s">
        <v>20210</v>
      </c>
      <c r="C20143" s="2" t="str">
        <f>"02775212"</f>
        <v>02775212</v>
      </c>
      <c r="D20143" s="2">
        <v>0.59599999999999997</v>
      </c>
      <c r="E20143" s="2">
        <v>50</v>
      </c>
      <c r="F20143" s="2" t="s">
        <v>75</v>
      </c>
    </row>
    <row r="20144" spans="1:6" ht="25.5">
      <c r="A20144" s="2">
        <v>20141</v>
      </c>
      <c r="B20144" s="2" t="s">
        <v>20211</v>
      </c>
      <c r="C20144" s="2" t="str">
        <f>"16725948"</f>
        <v>16725948</v>
      </c>
      <c r="D20144" s="2">
        <v>0.16300000000000001</v>
      </c>
      <c r="E20144" s="2">
        <v>6</v>
      </c>
      <c r="F20144" s="2" t="s">
        <v>46</v>
      </c>
    </row>
    <row r="20145" spans="1:6" ht="25.5">
      <c r="A20145" s="2">
        <v>20142</v>
      </c>
      <c r="B20145" s="2" t="s">
        <v>20212</v>
      </c>
      <c r="C20145" s="2" t="str">
        <f>"15729834"</f>
        <v>15729834</v>
      </c>
      <c r="D20145" s="2">
        <v>0.55100000000000005</v>
      </c>
      <c r="E20145" s="2">
        <v>33</v>
      </c>
      <c r="F20145" s="2" t="s">
        <v>75</v>
      </c>
    </row>
    <row r="20146" spans="1:6" ht="25.5">
      <c r="A20146" s="2">
        <v>20143</v>
      </c>
      <c r="B20146" s="2" t="s">
        <v>20213</v>
      </c>
      <c r="C20146" s="2" t="str">
        <f>"10109609"</f>
        <v>10109609</v>
      </c>
      <c r="D20146" s="2">
        <v>0.105</v>
      </c>
      <c r="E20146" s="2">
        <v>6</v>
      </c>
      <c r="F20146" s="2" t="s">
        <v>31</v>
      </c>
    </row>
    <row r="20147" spans="1:6" ht="25.5">
      <c r="A20147" s="2">
        <v>20144</v>
      </c>
      <c r="B20147" s="2" t="s">
        <v>20214</v>
      </c>
      <c r="C20147" s="2" t="str">
        <f>"00435147"</f>
        <v>00435147</v>
      </c>
      <c r="D20147" s="2">
        <v>0.11</v>
      </c>
      <c r="E20147" s="2">
        <v>10</v>
      </c>
      <c r="F20147" s="2" t="s">
        <v>169</v>
      </c>
    </row>
    <row r="20148" spans="1:6" ht="25.5">
      <c r="A20148" s="2">
        <v>20145</v>
      </c>
      <c r="B20148" s="2" t="s">
        <v>20215</v>
      </c>
      <c r="C20148" s="2" t="str">
        <f>"15057429"</f>
        <v>15057429</v>
      </c>
      <c r="D20148" s="2">
        <v>0.111</v>
      </c>
      <c r="E20148" s="2">
        <v>3</v>
      </c>
      <c r="F20148" s="2" t="s">
        <v>169</v>
      </c>
    </row>
    <row r="20149" spans="1:6" ht="25.5">
      <c r="A20149" s="2">
        <v>20146</v>
      </c>
      <c r="B20149" s="2" t="s">
        <v>20216</v>
      </c>
      <c r="C20149" s="2" t="str">
        <f>"18954588"</f>
        <v>18954588</v>
      </c>
      <c r="D20149" s="2">
        <v>0.22</v>
      </c>
      <c r="E20149" s="2">
        <v>7</v>
      </c>
      <c r="F20149" s="2" t="s">
        <v>169</v>
      </c>
    </row>
    <row r="20150" spans="1:6" ht="25.5">
      <c r="A20150" s="2">
        <v>20147</v>
      </c>
      <c r="B20150" s="2" t="s">
        <v>20217</v>
      </c>
      <c r="C20150" s="2" t="str">
        <f>"00435325"</f>
        <v>00435325</v>
      </c>
      <c r="D20150" s="2">
        <v>0.27500000000000002</v>
      </c>
      <c r="E20150" s="2">
        <v>34</v>
      </c>
      <c r="F20150" s="2" t="s">
        <v>288</v>
      </c>
    </row>
    <row r="20151" spans="1:6" ht="25.5">
      <c r="A20151" s="2">
        <v>20148</v>
      </c>
      <c r="B20151" s="2" t="s">
        <v>20218</v>
      </c>
      <c r="C20151" s="2" t="str">
        <f>"1563258X"</f>
        <v>1563258X</v>
      </c>
      <c r="D20151" s="2">
        <v>0.26900000000000002</v>
      </c>
      <c r="E20151" s="2">
        <v>20</v>
      </c>
      <c r="F20151" s="2" t="s">
        <v>288</v>
      </c>
    </row>
    <row r="20152" spans="1:6" ht="25.5">
      <c r="A20152" s="2">
        <v>20149</v>
      </c>
      <c r="B20152" s="2" t="s">
        <v>20219</v>
      </c>
      <c r="C20152" s="2" t="str">
        <f>"18133924"</f>
        <v>18133924</v>
      </c>
      <c r="D20152" s="2">
        <v>0.10100000000000001</v>
      </c>
      <c r="E20152" s="2">
        <v>3</v>
      </c>
      <c r="F20152" s="2" t="s">
        <v>288</v>
      </c>
    </row>
    <row r="20153" spans="1:6" ht="25.5">
      <c r="A20153" s="2">
        <v>20150</v>
      </c>
      <c r="B20153" s="2" t="s">
        <v>20220</v>
      </c>
      <c r="C20153" s="2" t="str">
        <f>"0043535X"</f>
        <v>0043535X</v>
      </c>
      <c r="D20153" s="2">
        <v>0.22900000000000001</v>
      </c>
      <c r="E20153" s="2">
        <v>11</v>
      </c>
      <c r="F20153" s="2" t="s">
        <v>288</v>
      </c>
    </row>
    <row r="20154" spans="1:6" ht="25.5">
      <c r="A20154" s="2">
        <v>20151</v>
      </c>
      <c r="B20154" s="2" t="s">
        <v>20221</v>
      </c>
      <c r="C20154" s="2" t="str">
        <f>"15451534"</f>
        <v>15451534</v>
      </c>
      <c r="D20154" s="2">
        <v>0.44700000000000001</v>
      </c>
      <c r="E20154" s="2">
        <v>22</v>
      </c>
      <c r="F20154" s="2" t="s">
        <v>16</v>
      </c>
    </row>
    <row r="20155" spans="1:6" ht="25.5">
      <c r="A20155" s="2">
        <v>20152</v>
      </c>
      <c r="B20155" s="2" t="s">
        <v>20222</v>
      </c>
      <c r="C20155" s="2" t="str">
        <f>"09546324"</f>
        <v>09546324</v>
      </c>
      <c r="D20155" s="2">
        <v>0.23899999999999999</v>
      </c>
      <c r="E20155" s="2">
        <v>11</v>
      </c>
      <c r="F20155" s="2" t="s">
        <v>16</v>
      </c>
    </row>
    <row r="20156" spans="1:6" ht="25.5">
      <c r="A20156" s="2">
        <v>20153</v>
      </c>
      <c r="B20156" s="2" t="s">
        <v>20223</v>
      </c>
      <c r="C20156" s="2" t="str">
        <f>"09096396"</f>
        <v>09096396</v>
      </c>
      <c r="D20156" s="2">
        <v>0.52400000000000002</v>
      </c>
      <c r="E20156" s="2">
        <v>29</v>
      </c>
      <c r="F20156" s="2" t="s">
        <v>163</v>
      </c>
    </row>
    <row r="20157" spans="1:6" ht="25.5">
      <c r="A20157" s="2">
        <v>20154</v>
      </c>
      <c r="B20157" s="2" t="s">
        <v>20224</v>
      </c>
      <c r="C20157" s="2" t="str">
        <f>"16462742"</f>
        <v>16462742</v>
      </c>
      <c r="D20157" s="2">
        <v>0.2</v>
      </c>
      <c r="E20157" s="2">
        <v>4</v>
      </c>
      <c r="F20157" s="2" t="s">
        <v>306</v>
      </c>
    </row>
    <row r="20158" spans="1:6" ht="25.5">
      <c r="A20158" s="2">
        <v>20155</v>
      </c>
      <c r="B20158" s="2" t="s">
        <v>20225</v>
      </c>
      <c r="C20158" s="2" t="str">
        <f>"00840173"</f>
        <v>00840173</v>
      </c>
      <c r="D20158" s="2">
        <v>1.28</v>
      </c>
      <c r="E20158" s="2">
        <v>23</v>
      </c>
      <c r="F20158" s="2" t="s">
        <v>6</v>
      </c>
    </row>
    <row r="20159" spans="1:6" ht="25.5">
      <c r="A20159" s="2">
        <v>20156</v>
      </c>
      <c r="B20159" s="2" t="s">
        <v>20226</v>
      </c>
      <c r="C20159" s="2" t="str">
        <f>"10353712"</f>
        <v>10353712</v>
      </c>
      <c r="D20159" s="2">
        <v>0.69299999999999995</v>
      </c>
      <c r="E20159" s="2">
        <v>39</v>
      </c>
      <c r="F20159" s="2" t="s">
        <v>127</v>
      </c>
    </row>
    <row r="20160" spans="1:6" ht="25.5">
      <c r="A20160" s="2">
        <v>20157</v>
      </c>
      <c r="B20160" s="2" t="s">
        <v>20227</v>
      </c>
      <c r="C20160" s="2" t="str">
        <f>"00917648"</f>
        <v>00917648</v>
      </c>
      <c r="D20160" s="2">
        <v>0.2</v>
      </c>
      <c r="E20160" s="2">
        <v>52</v>
      </c>
      <c r="F20160" s="2" t="s">
        <v>6</v>
      </c>
    </row>
    <row r="20161" spans="1:6" ht="25.5">
      <c r="A20161" s="2">
        <v>20158</v>
      </c>
      <c r="B20161" s="2" t="s">
        <v>20228</v>
      </c>
      <c r="C20161" s="2" t="str">
        <f>"19395086"</f>
        <v>19395086</v>
      </c>
      <c r="D20161" s="2">
        <v>0.876</v>
      </c>
      <c r="E20161" s="2">
        <v>10</v>
      </c>
      <c r="F20161" s="2" t="s">
        <v>6</v>
      </c>
    </row>
    <row r="20162" spans="1:6" ht="25.5">
      <c r="A20162" s="2">
        <v>20159</v>
      </c>
      <c r="B20162" s="2" t="s">
        <v>20229</v>
      </c>
      <c r="C20162" s="2" t="str">
        <f>"17590884"</f>
        <v>17590884</v>
      </c>
      <c r="D20162" s="2">
        <v>2.1560000000000001</v>
      </c>
      <c r="E20162" s="2">
        <v>12</v>
      </c>
      <c r="F20162" s="2" t="s">
        <v>6</v>
      </c>
    </row>
    <row r="20163" spans="1:6" ht="25.5">
      <c r="A20163" s="2">
        <v>20160</v>
      </c>
      <c r="B20163" s="2" t="s">
        <v>20230</v>
      </c>
      <c r="C20163" s="2" t="str">
        <f>"19395108"</f>
        <v>19395108</v>
      </c>
      <c r="D20163" s="2">
        <v>0.40799999999999997</v>
      </c>
      <c r="E20163" s="2">
        <v>7</v>
      </c>
      <c r="F20163" s="2" t="s">
        <v>6</v>
      </c>
    </row>
    <row r="20164" spans="1:6" ht="25.5">
      <c r="A20164" s="2">
        <v>20161</v>
      </c>
      <c r="B20164" s="2" t="s">
        <v>20231</v>
      </c>
      <c r="C20164" s="2" t="str">
        <f>"19424787"</f>
        <v>19424787</v>
      </c>
      <c r="D20164" s="2">
        <v>0.57099999999999995</v>
      </c>
      <c r="E20164" s="2">
        <v>6</v>
      </c>
      <c r="F20164" s="2" t="s">
        <v>6</v>
      </c>
    </row>
    <row r="20165" spans="1:6" ht="25.5">
      <c r="A20165" s="2">
        <v>20162</v>
      </c>
      <c r="B20165" s="2" t="s">
        <v>20232</v>
      </c>
      <c r="C20165" s="2" t="str">
        <f>"19390041"</f>
        <v>19390041</v>
      </c>
      <c r="D20165" s="2">
        <v>1.913</v>
      </c>
      <c r="E20165" s="2">
        <v>22</v>
      </c>
      <c r="F20165" s="2" t="s">
        <v>6</v>
      </c>
    </row>
    <row r="20166" spans="1:6" ht="25.5">
      <c r="A20166" s="2">
        <v>20163</v>
      </c>
      <c r="B20166" s="2" t="s">
        <v>20233</v>
      </c>
      <c r="C20166" s="2" t="str">
        <f>"17577012"</f>
        <v>17577012</v>
      </c>
      <c r="D20166" s="2">
        <v>2.6920000000000002</v>
      </c>
      <c r="E20166" s="2">
        <v>10</v>
      </c>
      <c r="F20166" s="2" t="s">
        <v>6</v>
      </c>
    </row>
    <row r="20167" spans="1:6" ht="25.5">
      <c r="A20167" s="2">
        <v>20164</v>
      </c>
      <c r="B20167" s="2" t="s">
        <v>20234</v>
      </c>
      <c r="C20167" s="2" t="str">
        <f>"19395094"</f>
        <v>19395094</v>
      </c>
      <c r="D20167" s="2">
        <v>1.758</v>
      </c>
      <c r="E20167" s="2">
        <v>16</v>
      </c>
      <c r="F20167" s="2" t="s">
        <v>6</v>
      </c>
    </row>
    <row r="20168" spans="1:6" ht="25.5">
      <c r="A20168" s="2">
        <v>20165</v>
      </c>
      <c r="B20168" s="2" t="s">
        <v>20235</v>
      </c>
      <c r="C20168" s="2" t="str">
        <f>"05119618"</f>
        <v>05119618</v>
      </c>
      <c r="D20168" s="2">
        <v>0.14199999999999999</v>
      </c>
      <c r="E20168" s="2">
        <v>5</v>
      </c>
      <c r="F20168" s="2" t="s">
        <v>12</v>
      </c>
    </row>
    <row r="20169" spans="1:6" ht="25.5">
      <c r="A20169" s="2">
        <v>20166</v>
      </c>
      <c r="B20169" s="2" t="s">
        <v>20236</v>
      </c>
      <c r="C20169" s="2" t="str">
        <f>"00435597"</f>
        <v>00435597</v>
      </c>
      <c r="D20169" s="2">
        <v>0.189</v>
      </c>
      <c r="E20169" s="2">
        <v>12</v>
      </c>
      <c r="F20169" s="2" t="s">
        <v>6</v>
      </c>
    </row>
    <row r="20170" spans="1:6" ht="25.5">
      <c r="A20170" s="2">
        <v>20167</v>
      </c>
      <c r="B20170" s="2" t="s">
        <v>20237</v>
      </c>
      <c r="C20170" s="2" t="str">
        <f>"15594491"</f>
        <v>15594491</v>
      </c>
      <c r="D20170" s="2">
        <v>0.32</v>
      </c>
      <c r="E20170" s="2">
        <v>27</v>
      </c>
      <c r="F20170" s="2" t="s">
        <v>6</v>
      </c>
    </row>
    <row r="20171" spans="1:6" ht="25.5">
      <c r="A20171" s="2">
        <v>20168</v>
      </c>
      <c r="B20171" s="2" t="s">
        <v>20238</v>
      </c>
      <c r="C20171" s="2" t="str">
        <f>"12266116"</f>
        <v>12266116</v>
      </c>
      <c r="D20171" s="2">
        <v>0.59499999999999997</v>
      </c>
      <c r="E20171" s="2">
        <v>17</v>
      </c>
      <c r="F20171" s="2" t="s">
        <v>274</v>
      </c>
    </row>
    <row r="20172" spans="1:6" ht="25.5">
      <c r="A20172" s="2">
        <v>20169</v>
      </c>
      <c r="B20172" s="2" t="s">
        <v>20239</v>
      </c>
      <c r="C20172" s="2" t="str">
        <f>"10991824"</f>
        <v>10991824</v>
      </c>
      <c r="D20172" s="2">
        <v>1.0109999999999999</v>
      </c>
      <c r="E20172" s="2">
        <v>33</v>
      </c>
      <c r="F20172" s="2" t="s">
        <v>16</v>
      </c>
    </row>
    <row r="20173" spans="1:6" ht="25.5">
      <c r="A20173" s="2">
        <v>20170</v>
      </c>
      <c r="B20173" s="2" t="s">
        <v>20240</v>
      </c>
      <c r="C20173" s="2" t="str">
        <f>"0309524X"</f>
        <v>0309524X</v>
      </c>
      <c r="D20173" s="2">
        <v>0.29799999999999999</v>
      </c>
      <c r="E20173" s="2">
        <v>23</v>
      </c>
      <c r="F20173" s="2" t="s">
        <v>16</v>
      </c>
    </row>
    <row r="20174" spans="1:6">
      <c r="A20174" s="2">
        <v>20171</v>
      </c>
      <c r="B20174" s="2" t="s">
        <v>20241</v>
      </c>
      <c r="C20174" s="2" t="str">
        <f>"0"</f>
        <v>0</v>
      </c>
      <c r="D20174" s="2">
        <v>0.105</v>
      </c>
      <c r="E20174" s="2">
        <v>1</v>
      </c>
      <c r="F20174" s="2" t="s">
        <v>6</v>
      </c>
    </row>
    <row r="20175" spans="1:6" ht="25.5">
      <c r="A20175" s="2">
        <v>20172</v>
      </c>
      <c r="B20175" s="2" t="s">
        <v>20242</v>
      </c>
      <c r="C20175" s="2" t="str">
        <f>"15456927"</f>
        <v>15456927</v>
      </c>
      <c r="D20175" s="2">
        <v>0.10100000000000001</v>
      </c>
      <c r="E20175" s="2">
        <v>4</v>
      </c>
      <c r="F20175" s="2" t="s">
        <v>6</v>
      </c>
    </row>
    <row r="20176" spans="1:6" ht="25.5">
      <c r="A20176" s="2">
        <v>20173</v>
      </c>
      <c r="B20176" s="2" t="s">
        <v>20243</v>
      </c>
      <c r="C20176" s="2" t="str">
        <f>"15308677"</f>
        <v>15308677</v>
      </c>
      <c r="D20176" s="2">
        <v>0.75600000000000001</v>
      </c>
      <c r="E20176" s="2">
        <v>35</v>
      </c>
      <c r="F20176" s="2" t="s">
        <v>16</v>
      </c>
    </row>
    <row r="20177" spans="1:6" ht="25.5">
      <c r="A20177" s="2">
        <v>20174</v>
      </c>
      <c r="B20177" s="2" t="s">
        <v>20244</v>
      </c>
      <c r="C20177" s="2" t="str">
        <f>"15728196"</f>
        <v>15728196</v>
      </c>
      <c r="D20177" s="2">
        <v>0.874</v>
      </c>
      <c r="E20177" s="2">
        <v>61</v>
      </c>
      <c r="F20177" s="2" t="s">
        <v>75</v>
      </c>
    </row>
    <row r="20178" spans="1:6" ht="25.5">
      <c r="A20178" s="2">
        <v>20175</v>
      </c>
      <c r="B20178" s="2" t="s">
        <v>20245</v>
      </c>
      <c r="C20178" s="2" t="str">
        <f>"1572834X"</f>
        <v>1572834X</v>
      </c>
      <c r="D20178" s="2">
        <v>0.39400000000000002</v>
      </c>
      <c r="E20178" s="2">
        <v>27</v>
      </c>
      <c r="F20178" s="2" t="s">
        <v>75</v>
      </c>
    </row>
    <row r="20179" spans="1:6" ht="25.5">
      <c r="A20179" s="2">
        <v>20176</v>
      </c>
      <c r="B20179" s="2" t="s">
        <v>20246</v>
      </c>
      <c r="C20179" s="2" t="str">
        <f>"17577799"</f>
        <v>17577799</v>
      </c>
      <c r="D20179" s="2">
        <v>1.4670000000000001</v>
      </c>
      <c r="E20179" s="2">
        <v>12</v>
      </c>
      <c r="F20179" s="2" t="s">
        <v>6</v>
      </c>
    </row>
    <row r="20180" spans="1:6" ht="25.5">
      <c r="A20180" s="2">
        <v>20177</v>
      </c>
      <c r="B20180" s="2" t="s">
        <v>20247</v>
      </c>
      <c r="C20180" s="2" t="str">
        <f>"00436275"</f>
        <v>00436275</v>
      </c>
      <c r="D20180" s="2">
        <v>0.20899999999999999</v>
      </c>
      <c r="E20180" s="2">
        <v>4</v>
      </c>
      <c r="F20180" s="2" t="s">
        <v>12</v>
      </c>
    </row>
    <row r="20181" spans="1:6" ht="25.5">
      <c r="A20181" s="2">
        <v>20178</v>
      </c>
      <c r="B20181" s="2" t="s">
        <v>20248</v>
      </c>
      <c r="C20181" s="2" t="str">
        <f>"0043650X"</f>
        <v>0043650X</v>
      </c>
      <c r="D20181" s="2">
        <v>0.28699999999999998</v>
      </c>
      <c r="E20181" s="2">
        <v>11</v>
      </c>
      <c r="F20181" s="2" t="s">
        <v>6</v>
      </c>
    </row>
    <row r="20182" spans="1:6" ht="25.5">
      <c r="A20182" s="2">
        <v>20179</v>
      </c>
      <c r="B20182" s="2" t="s">
        <v>20249</v>
      </c>
      <c r="C20182" s="2" t="str">
        <f>"10981861"</f>
        <v>10981861</v>
      </c>
      <c r="D20182" s="2">
        <v>0.28000000000000003</v>
      </c>
      <c r="E20182" s="2">
        <v>19</v>
      </c>
      <c r="F20182" s="2" t="s">
        <v>6</v>
      </c>
    </row>
    <row r="20183" spans="1:6" ht="25.5">
      <c r="A20183" s="2">
        <v>20180</v>
      </c>
      <c r="B20183" s="2" t="s">
        <v>20250</v>
      </c>
      <c r="C20183" s="2" t="str">
        <f>"17433541"</f>
        <v>17433541</v>
      </c>
      <c r="D20183" s="2">
        <v>0.156</v>
      </c>
      <c r="E20183" s="2">
        <v>7</v>
      </c>
      <c r="F20183" s="2" t="s">
        <v>16</v>
      </c>
    </row>
    <row r="20184" spans="1:6" ht="25.5">
      <c r="A20184" s="2">
        <v>20181</v>
      </c>
      <c r="B20184" s="2" t="s">
        <v>20251</v>
      </c>
      <c r="C20184" s="2" t="str">
        <f>"17433517"</f>
        <v>17433517</v>
      </c>
      <c r="D20184" s="2">
        <v>0.112</v>
      </c>
      <c r="E20184" s="2">
        <v>6</v>
      </c>
      <c r="F20184" s="2" t="s">
        <v>16</v>
      </c>
    </row>
    <row r="20185" spans="1:6" ht="25.5">
      <c r="A20185" s="2">
        <v>20182</v>
      </c>
      <c r="B20185" s="2" t="s">
        <v>20252</v>
      </c>
      <c r="C20185" s="2" t="str">
        <f>"17464064"</f>
        <v>17464064</v>
      </c>
      <c r="D20185" s="2">
        <v>0.104</v>
      </c>
      <c r="E20185" s="2">
        <v>3</v>
      </c>
      <c r="F20185" s="2" t="s">
        <v>16</v>
      </c>
    </row>
    <row r="20186" spans="1:6" ht="25.5">
      <c r="A20186" s="2">
        <v>20183</v>
      </c>
      <c r="B20186" s="2" t="s">
        <v>20253</v>
      </c>
      <c r="C20186" s="2" t="str">
        <f>"17433509"</f>
        <v>17433509</v>
      </c>
      <c r="D20186" s="2">
        <v>0.16300000000000001</v>
      </c>
      <c r="E20186" s="2">
        <v>11</v>
      </c>
      <c r="F20186" s="2" t="s">
        <v>16</v>
      </c>
    </row>
    <row r="20187" spans="1:6" ht="25.5">
      <c r="A20187" s="2">
        <v>20184</v>
      </c>
      <c r="B20187" s="2" t="s">
        <v>20254</v>
      </c>
      <c r="C20187" s="2" t="str">
        <f>"02707993"</f>
        <v>02707993</v>
      </c>
      <c r="D20187" s="2">
        <v>0.10100000000000001</v>
      </c>
      <c r="E20187" s="2">
        <v>2</v>
      </c>
      <c r="F20187" s="2" t="s">
        <v>6</v>
      </c>
    </row>
    <row r="20188" spans="1:6" ht="25.5">
      <c r="A20188" s="2">
        <v>20185</v>
      </c>
      <c r="B20188" s="2" t="s">
        <v>20255</v>
      </c>
      <c r="C20188" s="2" t="str">
        <f>"09574042"</f>
        <v>09574042</v>
      </c>
      <c r="D20188" s="2">
        <v>0.11</v>
      </c>
      <c r="E20188" s="2">
        <v>2</v>
      </c>
      <c r="F20188" s="2" t="s">
        <v>16</v>
      </c>
    </row>
    <row r="20189" spans="1:6" ht="25.5">
      <c r="A20189" s="2">
        <v>20186</v>
      </c>
      <c r="B20189" s="2" t="s">
        <v>20256</v>
      </c>
      <c r="C20189" s="2" t="str">
        <f>"18715192"</f>
        <v>18715192</v>
      </c>
      <c r="D20189" s="2">
        <v>0.39200000000000002</v>
      </c>
      <c r="E20189" s="2">
        <v>13</v>
      </c>
      <c r="F20189" s="2" t="s">
        <v>75</v>
      </c>
    </row>
    <row r="20190" spans="1:6" ht="25.5">
      <c r="A20190" s="2">
        <v>20187</v>
      </c>
      <c r="B20190" s="2" t="s">
        <v>20257</v>
      </c>
      <c r="C20190" s="2" t="str">
        <f>"08974454"</f>
        <v>08974454</v>
      </c>
      <c r="D20190" s="2">
        <v>0.28599999999999998</v>
      </c>
      <c r="E20190" s="2">
        <v>5</v>
      </c>
      <c r="F20190" s="2" t="s">
        <v>16</v>
      </c>
    </row>
    <row r="20191" spans="1:6" ht="25.5">
      <c r="A20191" s="2">
        <v>20188</v>
      </c>
      <c r="B20191" s="2" t="s">
        <v>20258</v>
      </c>
      <c r="C20191" s="2" t="str">
        <f>"15410331"</f>
        <v>15410331</v>
      </c>
      <c r="D20191" s="2">
        <v>0.51500000000000001</v>
      </c>
      <c r="E20191" s="2">
        <v>39</v>
      </c>
      <c r="F20191" s="2" t="s">
        <v>16</v>
      </c>
    </row>
    <row r="20192" spans="1:6" ht="25.5">
      <c r="A20192" s="2">
        <v>20189</v>
      </c>
      <c r="B20192" s="2" t="s">
        <v>20259</v>
      </c>
      <c r="C20192" s="2" t="str">
        <f>"15410315"</f>
        <v>15410315</v>
      </c>
      <c r="D20192" s="2">
        <v>0.13300000000000001</v>
      </c>
      <c r="E20192" s="2">
        <v>14</v>
      </c>
      <c r="F20192" s="2" t="s">
        <v>16</v>
      </c>
    </row>
    <row r="20193" spans="1:6" ht="25.5">
      <c r="A20193" s="2">
        <v>20190</v>
      </c>
      <c r="B20193" s="2" t="s">
        <v>20260</v>
      </c>
      <c r="C20193" s="2" t="str">
        <f>"17485819"</f>
        <v>17485819</v>
      </c>
      <c r="D20193" s="2">
        <v>0.128</v>
      </c>
      <c r="E20193" s="2">
        <v>1</v>
      </c>
      <c r="F20193" s="2" t="s">
        <v>16</v>
      </c>
    </row>
    <row r="20194" spans="1:6" ht="25.5">
      <c r="A20194" s="2">
        <v>20191</v>
      </c>
      <c r="B20194" s="2" t="s">
        <v>20261</v>
      </c>
      <c r="C20194" s="2" t="str">
        <f>"17455057"</f>
        <v>17455057</v>
      </c>
      <c r="D20194" s="2">
        <v>0.45100000000000001</v>
      </c>
      <c r="E20194" s="2">
        <v>14</v>
      </c>
      <c r="F20194" s="2" t="s">
        <v>16</v>
      </c>
    </row>
    <row r="20195" spans="1:6" ht="25.5">
      <c r="A20195" s="2">
        <v>20192</v>
      </c>
      <c r="B20195" s="2" t="s">
        <v>20262</v>
      </c>
      <c r="C20195" s="2" t="str">
        <f>"10493867"</f>
        <v>10493867</v>
      </c>
      <c r="D20195" s="2">
        <v>0.71</v>
      </c>
      <c r="E20195" s="2">
        <v>32</v>
      </c>
      <c r="F20195" s="2" t="s">
        <v>6</v>
      </c>
    </row>
    <row r="20196" spans="1:6" ht="25.5">
      <c r="A20196" s="2">
        <v>20193</v>
      </c>
      <c r="B20196" s="2" t="s">
        <v>20263</v>
      </c>
      <c r="C20196" s="2" t="str">
        <f>"17455065"</f>
        <v>17455065</v>
      </c>
      <c r="D20196" s="2">
        <v>0.57699999999999996</v>
      </c>
      <c r="E20196" s="2">
        <v>5</v>
      </c>
      <c r="F20196" s="2" t="s">
        <v>16</v>
      </c>
    </row>
    <row r="20197" spans="1:6" ht="25.5">
      <c r="A20197" s="2">
        <v>20194</v>
      </c>
      <c r="B20197" s="2" t="s">
        <v>20264</v>
      </c>
      <c r="C20197" s="2" t="str">
        <f>"1747583X"</f>
        <v>1747583X</v>
      </c>
      <c r="D20197" s="2">
        <v>0.14899999999999999</v>
      </c>
      <c r="E20197" s="2">
        <v>8</v>
      </c>
      <c r="F20197" s="2" t="s">
        <v>16</v>
      </c>
    </row>
    <row r="20198" spans="1:6" ht="25.5">
      <c r="A20198" s="2">
        <v>20195</v>
      </c>
      <c r="B20198" s="2" t="s">
        <v>20265</v>
      </c>
      <c r="C20198" s="2" t="str">
        <f>"00497878"</f>
        <v>00497878</v>
      </c>
      <c r="D20198" s="2">
        <v>0.105</v>
      </c>
      <c r="E20198" s="2">
        <v>1</v>
      </c>
      <c r="F20198" s="2" t="s">
        <v>16</v>
      </c>
    </row>
    <row r="20199" spans="1:6" ht="25.5">
      <c r="A20199" s="2">
        <v>20196</v>
      </c>
      <c r="B20199" s="2" t="s">
        <v>20266</v>
      </c>
      <c r="C20199" s="2" t="str">
        <f>"2152999X"</f>
        <v>2152999X</v>
      </c>
      <c r="D20199" s="2">
        <v>0.125</v>
      </c>
      <c r="E20199" s="2">
        <v>2</v>
      </c>
      <c r="F20199" s="2" t="s">
        <v>16</v>
      </c>
    </row>
    <row r="20200" spans="1:6" ht="25.5">
      <c r="A20200" s="2">
        <v>20197</v>
      </c>
      <c r="B20200" s="2" t="s">
        <v>20267</v>
      </c>
      <c r="C20200" s="2" t="str">
        <f>"02775395"</f>
        <v>02775395</v>
      </c>
      <c r="D20200" s="2">
        <v>0.40699999999999997</v>
      </c>
      <c r="E20200" s="2">
        <v>24</v>
      </c>
      <c r="F20200" s="2" t="s">
        <v>16</v>
      </c>
    </row>
    <row r="20201" spans="1:6" ht="25.5">
      <c r="A20201" s="2">
        <v>20198</v>
      </c>
      <c r="B20201" s="2" t="s">
        <v>20268</v>
      </c>
      <c r="C20201" s="2" t="str">
        <f>"17475848"</f>
        <v>17475848</v>
      </c>
      <c r="D20201" s="2">
        <v>0.10199999999999999</v>
      </c>
      <c r="E20201" s="2">
        <v>2</v>
      </c>
      <c r="F20201" s="2" t="s">
        <v>16</v>
      </c>
    </row>
    <row r="20202" spans="1:6" ht="25.5">
      <c r="A20202" s="2">
        <v>20199</v>
      </c>
      <c r="B20202" s="2" t="s">
        <v>20269</v>
      </c>
      <c r="C20202" s="2" t="str">
        <f>"07356161"</f>
        <v>07356161</v>
      </c>
      <c r="D20202" s="2">
        <v>0.48799999999999999</v>
      </c>
      <c r="E20202" s="2">
        <v>28</v>
      </c>
      <c r="F20202" s="2" t="s">
        <v>6</v>
      </c>
    </row>
    <row r="20203" spans="1:6" ht="25.5">
      <c r="A20203" s="2">
        <v>20200</v>
      </c>
      <c r="B20203" s="2" t="s">
        <v>20270</v>
      </c>
      <c r="C20203" s="2" t="str">
        <f>"17480280"</f>
        <v>17480280</v>
      </c>
      <c r="D20203" s="2">
        <v>0.39</v>
      </c>
      <c r="E20203" s="2">
        <v>6</v>
      </c>
      <c r="F20203" s="2" t="s">
        <v>16</v>
      </c>
    </row>
    <row r="20204" spans="1:6" ht="25.5">
      <c r="A20204" s="2">
        <v>20201</v>
      </c>
      <c r="B20204" s="2" t="s">
        <v>20271</v>
      </c>
      <c r="C20204" s="2" t="str">
        <f>"13364561"</f>
        <v>13364561</v>
      </c>
      <c r="D20204" s="2">
        <v>0.20699999999999999</v>
      </c>
      <c r="E20204" s="2">
        <v>7</v>
      </c>
      <c r="F20204" s="2" t="s">
        <v>241</v>
      </c>
    </row>
    <row r="20205" spans="1:6" ht="25.5">
      <c r="A20205" s="2">
        <v>20202</v>
      </c>
      <c r="B20205" s="2" t="s">
        <v>20272</v>
      </c>
      <c r="C20205" s="2" t="str">
        <f>"14325225"</f>
        <v>14325225</v>
      </c>
      <c r="D20205" s="2">
        <v>0.71799999999999997</v>
      </c>
      <c r="E20205" s="2">
        <v>38</v>
      </c>
      <c r="F20205" s="2" t="s">
        <v>12</v>
      </c>
    </row>
    <row r="20206" spans="1:6" ht="25.5">
      <c r="A20206" s="2">
        <v>20203</v>
      </c>
      <c r="B20206" s="2" t="s">
        <v>20273</v>
      </c>
      <c r="C20206" s="2" t="str">
        <f>"10031456"</f>
        <v>10031456</v>
      </c>
      <c r="D20206" s="2">
        <v>0.10199999999999999</v>
      </c>
      <c r="E20206" s="2">
        <v>3</v>
      </c>
      <c r="F20206" s="2" t="s">
        <v>46</v>
      </c>
    </row>
    <row r="20207" spans="1:6" ht="25.5">
      <c r="A20207" s="2">
        <v>20204</v>
      </c>
      <c r="B20207" s="2" t="s">
        <v>20274</v>
      </c>
      <c r="C20207" s="2" t="str">
        <f>"02666286"</f>
        <v>02666286</v>
      </c>
      <c r="D20207" s="2">
        <v>0.114</v>
      </c>
      <c r="E20207" s="2">
        <v>5</v>
      </c>
      <c r="F20207" s="2" t="s">
        <v>16</v>
      </c>
    </row>
    <row r="20208" spans="1:6" ht="25.5">
      <c r="A20208" s="2">
        <v>20205</v>
      </c>
      <c r="B20208" s="2" t="s">
        <v>20275</v>
      </c>
      <c r="C20208" s="2" t="str">
        <f>"10483950"</f>
        <v>10483950</v>
      </c>
      <c r="D20208" s="2">
        <v>0.1</v>
      </c>
      <c r="E20208" s="2">
        <v>1</v>
      </c>
      <c r="F20208" s="2" t="s">
        <v>6</v>
      </c>
    </row>
    <row r="20209" spans="1:6" ht="25.5">
      <c r="A20209" s="2">
        <v>20206</v>
      </c>
      <c r="B20209" s="2" t="s">
        <v>20276</v>
      </c>
      <c r="C20209" s="2" t="str">
        <f>"00438006"</f>
        <v>00438006</v>
      </c>
      <c r="D20209" s="2">
        <v>0.1</v>
      </c>
      <c r="E20209" s="2">
        <v>3</v>
      </c>
      <c r="F20209" s="2" t="s">
        <v>6</v>
      </c>
    </row>
    <row r="20210" spans="1:6" ht="25.5">
      <c r="A20210" s="2">
        <v>20207</v>
      </c>
      <c r="B20210" s="2" t="s">
        <v>20277</v>
      </c>
      <c r="C20210" s="2" t="str">
        <f>"10519815"</f>
        <v>10519815</v>
      </c>
      <c r="D20210" s="2">
        <v>0.27100000000000002</v>
      </c>
      <c r="E20210" s="2">
        <v>25</v>
      </c>
      <c r="F20210" s="2" t="s">
        <v>75</v>
      </c>
    </row>
    <row r="20211" spans="1:6" ht="25.5">
      <c r="A20211" s="2">
        <v>20208</v>
      </c>
      <c r="B20211" s="2" t="s">
        <v>20278</v>
      </c>
      <c r="C20211" s="2" t="str">
        <f>"07308884"</f>
        <v>07308884</v>
      </c>
      <c r="D20211" s="2">
        <v>1.0980000000000001</v>
      </c>
      <c r="E20211" s="2">
        <v>36</v>
      </c>
      <c r="F20211" s="2" t="s">
        <v>6</v>
      </c>
    </row>
    <row r="20212" spans="1:6" ht="25.5">
      <c r="A20212" s="2">
        <v>20209</v>
      </c>
      <c r="B20212" s="2" t="s">
        <v>20279</v>
      </c>
      <c r="C20212" s="2" t="str">
        <f>"14645335"</f>
        <v>14645335</v>
      </c>
      <c r="D20212" s="2">
        <v>1.236</v>
      </c>
      <c r="E20212" s="2">
        <v>49</v>
      </c>
      <c r="F20212" s="2" t="s">
        <v>16</v>
      </c>
    </row>
    <row r="20213" spans="1:6" ht="25.5">
      <c r="A20213" s="2">
        <v>20210</v>
      </c>
      <c r="B20213" s="2" t="s">
        <v>20280</v>
      </c>
      <c r="C20213" s="2" t="str">
        <f>"09500170"</f>
        <v>09500170</v>
      </c>
      <c r="D20213" s="2">
        <v>0.93899999999999995</v>
      </c>
      <c r="E20213" s="2">
        <v>36</v>
      </c>
      <c r="F20213" s="2" t="s">
        <v>16</v>
      </c>
    </row>
    <row r="20214" spans="1:6" ht="25.5">
      <c r="A20214" s="2">
        <v>20211</v>
      </c>
      <c r="B20214" s="2" t="s">
        <v>20281</v>
      </c>
      <c r="C20214" s="2" t="str">
        <f>"09678875"</f>
        <v>09678875</v>
      </c>
      <c r="D20214" s="2">
        <v>0.10100000000000001</v>
      </c>
      <c r="E20214" s="2">
        <v>2</v>
      </c>
      <c r="F20214" s="2" t="s">
        <v>16</v>
      </c>
    </row>
    <row r="20215" spans="1:6" ht="25.5">
      <c r="A20215" s="2">
        <v>20212</v>
      </c>
      <c r="B20215" s="2" t="s">
        <v>20282</v>
      </c>
      <c r="C20215" s="2" t="str">
        <f>"08043639"</f>
        <v>08043639</v>
      </c>
      <c r="D20215" s="2">
        <v>0.10199999999999999</v>
      </c>
      <c r="E20215" s="2">
        <v>1</v>
      </c>
      <c r="F20215" s="2" t="s">
        <v>2637</v>
      </c>
    </row>
    <row r="20216" spans="1:6">
      <c r="A20216" s="2">
        <v>20213</v>
      </c>
      <c r="B20216" s="2" t="s">
        <v>20283</v>
      </c>
      <c r="C20216" s="2" t="str">
        <f>"0"</f>
        <v>0</v>
      </c>
      <c r="D20216" s="2">
        <v>0.10100000000000001</v>
      </c>
      <c r="E20216" s="2">
        <v>2</v>
      </c>
      <c r="F20216" s="2" t="s">
        <v>6</v>
      </c>
    </row>
    <row r="20217" spans="1:6">
      <c r="A20217" s="2">
        <v>20214</v>
      </c>
      <c r="B20217" s="2" t="s">
        <v>20284</v>
      </c>
      <c r="C20217" s="2" t="str">
        <f>"0"</f>
        <v>0</v>
      </c>
      <c r="D20217" s="2">
        <v>0.10199999999999999</v>
      </c>
      <c r="E20217" s="2">
        <v>1</v>
      </c>
      <c r="F20217" s="2" t="s">
        <v>16</v>
      </c>
    </row>
    <row r="20218" spans="1:6" ht="25.5">
      <c r="A20218" s="2">
        <v>20215</v>
      </c>
      <c r="B20218" s="2" t="s">
        <v>20285</v>
      </c>
      <c r="C20218" s="2" t="str">
        <f>"13663666"</f>
        <v>13663666</v>
      </c>
      <c r="D20218" s="2">
        <v>0.11700000000000001</v>
      </c>
      <c r="E20218" s="2">
        <v>2</v>
      </c>
      <c r="F20218" s="2" t="s">
        <v>16</v>
      </c>
    </row>
    <row r="20219" spans="1:6" ht="25.5">
      <c r="A20219" s="2">
        <v>20216</v>
      </c>
      <c r="B20219" s="2" t="s">
        <v>20286</v>
      </c>
      <c r="C20219" s="2" t="str">
        <f>"21650799"</f>
        <v>21650799</v>
      </c>
      <c r="D20219" s="2">
        <v>0.29699999999999999</v>
      </c>
      <c r="E20219" s="2">
        <v>22</v>
      </c>
      <c r="F20219" s="2" t="s">
        <v>6</v>
      </c>
    </row>
    <row r="20220" spans="1:6" ht="25.5">
      <c r="A20220" s="2">
        <v>20217</v>
      </c>
      <c r="B20220" s="2" t="s">
        <v>20287</v>
      </c>
      <c r="C20220" s="2" t="str">
        <f>"20103778"</f>
        <v>20103778</v>
      </c>
      <c r="D20220" s="2">
        <v>0.122</v>
      </c>
      <c r="E20220" s="2">
        <v>9</v>
      </c>
      <c r="F20220" s="2" t="s">
        <v>66</v>
      </c>
    </row>
    <row r="20221" spans="1:6" ht="25.5">
      <c r="A20221" s="2">
        <v>20218</v>
      </c>
      <c r="B20221" s="2" t="s">
        <v>20288</v>
      </c>
      <c r="C20221" s="2" t="str">
        <f>"00438200"</f>
        <v>00438200</v>
      </c>
      <c r="D20221" s="2">
        <v>0.122</v>
      </c>
      <c r="E20221" s="2">
        <v>6</v>
      </c>
      <c r="F20221" s="2" t="s">
        <v>6</v>
      </c>
    </row>
    <row r="20222" spans="1:6" ht="25.5">
      <c r="A20222" s="2">
        <v>20219</v>
      </c>
      <c r="B20222" s="2" t="s">
        <v>20289</v>
      </c>
      <c r="C20222" s="2" t="str">
        <f>"19394551"</f>
        <v>19394551</v>
      </c>
      <c r="D20222" s="2">
        <v>0.2</v>
      </c>
      <c r="E20222" s="2">
        <v>3</v>
      </c>
      <c r="F20222" s="2" t="s">
        <v>6</v>
      </c>
    </row>
    <row r="20223" spans="1:6" ht="25.5">
      <c r="A20223" s="2">
        <v>20220</v>
      </c>
      <c r="B20223" s="2" t="s">
        <v>20290</v>
      </c>
      <c r="C20223" s="2" t="str">
        <f>"19916426"</f>
        <v>19916426</v>
      </c>
      <c r="D20223" s="2">
        <v>0.161</v>
      </c>
      <c r="E20223" s="2">
        <v>5</v>
      </c>
      <c r="F20223" s="2" t="s">
        <v>43</v>
      </c>
    </row>
    <row r="20224" spans="1:6" ht="25.5">
      <c r="A20224" s="2">
        <v>20221</v>
      </c>
      <c r="B20224" s="2" t="s">
        <v>20291</v>
      </c>
      <c r="C20224" s="2" t="str">
        <f>"14701375"</f>
        <v>14701375</v>
      </c>
      <c r="D20224" s="2">
        <v>0.56699999999999995</v>
      </c>
      <c r="E20224" s="2">
        <v>28</v>
      </c>
      <c r="F20224" s="2" t="s">
        <v>6</v>
      </c>
    </row>
    <row r="20225" spans="1:6" ht="25.5">
      <c r="A20225" s="2">
        <v>20222</v>
      </c>
      <c r="B20225" s="2" t="s">
        <v>20292</v>
      </c>
      <c r="C20225" s="2" t="str">
        <f>"1564698X"</f>
        <v>1564698X</v>
      </c>
      <c r="D20225" s="2">
        <v>1.1870000000000001</v>
      </c>
      <c r="E20225" s="2">
        <v>48</v>
      </c>
      <c r="F20225" s="2" t="s">
        <v>16</v>
      </c>
    </row>
    <row r="20226" spans="1:6" ht="25.5">
      <c r="A20226" s="2">
        <v>20223</v>
      </c>
      <c r="B20226" s="2" t="s">
        <v>20293</v>
      </c>
      <c r="C20226" s="2" t="str">
        <f>"15646971"</f>
        <v>15646971</v>
      </c>
      <c r="D20226" s="2">
        <v>2.6709999999999998</v>
      </c>
      <c r="E20226" s="2">
        <v>33</v>
      </c>
      <c r="F20226" s="2" t="s">
        <v>16</v>
      </c>
    </row>
    <row r="20227" spans="1:6" ht="25.5">
      <c r="A20227" s="2">
        <v>20224</v>
      </c>
      <c r="B20227" s="2" t="s">
        <v>20294</v>
      </c>
      <c r="C20227" s="2" t="str">
        <f>"10093079"</f>
        <v>10093079</v>
      </c>
      <c r="D20227" s="2">
        <v>0.105</v>
      </c>
      <c r="E20227" s="2">
        <v>16</v>
      </c>
      <c r="F20227" s="2" t="s">
        <v>46</v>
      </c>
    </row>
    <row r="20228" spans="1:6" ht="25.5">
      <c r="A20228" s="2">
        <v>20225</v>
      </c>
      <c r="B20228" s="2" t="s">
        <v>20295</v>
      </c>
      <c r="C20228" s="2" t="str">
        <f>"18735991"</f>
        <v>18735991</v>
      </c>
      <c r="D20228" s="2">
        <v>1.488</v>
      </c>
      <c r="E20228" s="2">
        <v>82</v>
      </c>
      <c r="F20228" s="2" t="s">
        <v>75</v>
      </c>
    </row>
    <row r="20229" spans="1:6" ht="25.5">
      <c r="A20229" s="2">
        <v>20226</v>
      </c>
      <c r="B20229" s="2" t="s">
        <v>20296</v>
      </c>
      <c r="C20229" s="2" t="str">
        <f>"14679701"</f>
        <v>14679701</v>
      </c>
      <c r="D20229" s="2">
        <v>0.71099999999999997</v>
      </c>
      <c r="E20229" s="2">
        <v>32</v>
      </c>
      <c r="F20229" s="2" t="s">
        <v>16</v>
      </c>
    </row>
    <row r="20230" spans="1:6" ht="25.5">
      <c r="A20230" s="2">
        <v>20227</v>
      </c>
      <c r="B20230" s="2" t="s">
        <v>20297</v>
      </c>
      <c r="C20230" s="2" t="str">
        <f>"08832919"</f>
        <v>08832919</v>
      </c>
      <c r="D20230" s="2">
        <v>0.53800000000000003</v>
      </c>
      <c r="E20230" s="2">
        <v>12</v>
      </c>
      <c r="F20230" s="2" t="s">
        <v>16</v>
      </c>
    </row>
    <row r="20231" spans="1:6" ht="25.5">
      <c r="A20231" s="2">
        <v>20228</v>
      </c>
      <c r="B20231" s="2" t="s">
        <v>20298</v>
      </c>
      <c r="C20231" s="2" t="str">
        <f>"02604027"</f>
        <v>02604027</v>
      </c>
      <c r="D20231" s="2">
        <v>0.19700000000000001</v>
      </c>
      <c r="E20231" s="2">
        <v>4</v>
      </c>
      <c r="F20231" s="2" t="s">
        <v>16</v>
      </c>
    </row>
    <row r="20232" spans="1:6" ht="25.5">
      <c r="A20232" s="2">
        <v>20229</v>
      </c>
      <c r="B20232" s="2" t="s">
        <v>20299</v>
      </c>
      <c r="C20232" s="2" t="str">
        <f>"17183340"</f>
        <v>17183340</v>
      </c>
      <c r="D20232" s="2">
        <v>0.20499999999999999</v>
      </c>
      <c r="E20232" s="2">
        <v>7</v>
      </c>
      <c r="F20232" s="2" t="s">
        <v>64</v>
      </c>
    </row>
    <row r="20233" spans="1:6" ht="25.5">
      <c r="A20233" s="2">
        <v>20230</v>
      </c>
      <c r="B20233" s="2" t="s">
        <v>20300</v>
      </c>
      <c r="C20233" s="2" t="str">
        <f>"15564002"</f>
        <v>15564002</v>
      </c>
      <c r="D20233" s="2">
        <v>0.10199999999999999</v>
      </c>
      <c r="E20233" s="2">
        <v>3</v>
      </c>
      <c r="F20233" s="2" t="s">
        <v>6</v>
      </c>
    </row>
    <row r="20234" spans="1:6" ht="25.5">
      <c r="A20234" s="2">
        <v>20231</v>
      </c>
      <c r="B20234" s="2" t="s">
        <v>20301</v>
      </c>
      <c r="C20234" s="2" t="str">
        <f>"10290540"</f>
        <v>10290540</v>
      </c>
      <c r="D20234" s="2">
        <v>0.122</v>
      </c>
      <c r="E20234" s="2">
        <v>7</v>
      </c>
      <c r="F20234" s="2" t="s">
        <v>16</v>
      </c>
    </row>
    <row r="20235" spans="1:6" ht="25.5">
      <c r="A20235" s="2">
        <v>20232</v>
      </c>
      <c r="B20235" s="2" t="s">
        <v>20302</v>
      </c>
      <c r="C20235" s="2" t="str">
        <f>"10076069"</f>
        <v>10076069</v>
      </c>
      <c r="D20235" s="2">
        <v>0.36099999999999999</v>
      </c>
      <c r="E20235" s="2">
        <v>7</v>
      </c>
      <c r="F20235" s="2" t="s">
        <v>46</v>
      </c>
    </row>
    <row r="20236" spans="1:6" ht="25.5">
      <c r="A20236" s="2">
        <v>20233</v>
      </c>
      <c r="B20236" s="2" t="s">
        <v>20303</v>
      </c>
      <c r="C20236" s="2" t="str">
        <f>"18141412"</f>
        <v>18141412</v>
      </c>
      <c r="D20236" s="2">
        <v>0.99099999999999999</v>
      </c>
      <c r="E20236" s="2">
        <v>37</v>
      </c>
      <c r="F20236" s="2" t="s">
        <v>16</v>
      </c>
    </row>
    <row r="20237" spans="1:6" ht="25.5">
      <c r="A20237" s="2">
        <v>20234</v>
      </c>
      <c r="B20237" s="2" t="s">
        <v>20304</v>
      </c>
      <c r="C20237" s="2" t="str">
        <f>"17497922"</f>
        <v>17497922</v>
      </c>
      <c r="D20237" s="2">
        <v>0.44</v>
      </c>
      <c r="E20237" s="2">
        <v>14</v>
      </c>
      <c r="F20237" s="2" t="s">
        <v>16</v>
      </c>
    </row>
    <row r="20238" spans="1:6" ht="25.5">
      <c r="A20238" s="2">
        <v>20235</v>
      </c>
      <c r="B20238" s="2" t="s">
        <v>20305</v>
      </c>
      <c r="C20238" s="2" t="str">
        <f>"09757902"</f>
        <v>09757902</v>
      </c>
      <c r="D20238" s="2">
        <v>0.111</v>
      </c>
      <c r="E20238" s="2">
        <v>1</v>
      </c>
      <c r="F20238" s="2" t="s">
        <v>488</v>
      </c>
    </row>
    <row r="20239" spans="1:6" ht="25.5">
      <c r="A20239" s="2">
        <v>20236</v>
      </c>
      <c r="B20239" s="2" t="s">
        <v>20306</v>
      </c>
      <c r="C20239" s="2" t="str">
        <f>"10079327"</f>
        <v>10079327</v>
      </c>
      <c r="D20239" s="2">
        <v>0.78500000000000003</v>
      </c>
      <c r="E20239" s="2">
        <v>75</v>
      </c>
      <c r="F20239" s="2" t="s">
        <v>46</v>
      </c>
    </row>
    <row r="20240" spans="1:6" ht="25.5">
      <c r="A20240" s="2">
        <v>20237</v>
      </c>
      <c r="B20240" s="2" t="s">
        <v>20307</v>
      </c>
      <c r="C20240" s="2" t="str">
        <f>"09745092"</f>
        <v>09745092</v>
      </c>
      <c r="D20240" s="2">
        <v>0.10100000000000001</v>
      </c>
      <c r="E20240" s="2">
        <v>0</v>
      </c>
      <c r="F20240" s="2" t="s">
        <v>488</v>
      </c>
    </row>
    <row r="20241" spans="1:6" ht="25.5">
      <c r="A20241" s="2">
        <v>20238</v>
      </c>
      <c r="B20241" s="2" t="s">
        <v>20308</v>
      </c>
      <c r="C20241" s="2" t="str">
        <f>"19904061"</f>
        <v>19904061</v>
      </c>
      <c r="D20241" s="2">
        <v>0.115</v>
      </c>
      <c r="E20241" s="2">
        <v>2</v>
      </c>
      <c r="F20241" s="2" t="s">
        <v>43</v>
      </c>
    </row>
    <row r="20242" spans="1:6" ht="25.5">
      <c r="A20242" s="2">
        <v>20239</v>
      </c>
      <c r="B20242" s="2" t="s">
        <v>20309</v>
      </c>
      <c r="C20242" s="2" t="str">
        <f>"15730972"</f>
        <v>15730972</v>
      </c>
      <c r="D20242" s="2">
        <v>0.53300000000000003</v>
      </c>
      <c r="E20242" s="2">
        <v>44</v>
      </c>
      <c r="F20242" s="2" t="s">
        <v>75</v>
      </c>
    </row>
    <row r="20243" spans="1:6" ht="25.5">
      <c r="A20243" s="2">
        <v>20240</v>
      </c>
      <c r="B20243" s="2" t="s">
        <v>20310</v>
      </c>
      <c r="C20243" s="2" t="str">
        <f>"17467233"</f>
        <v>17467233</v>
      </c>
      <c r="D20243" s="2">
        <v>0.17199999999999999</v>
      </c>
      <c r="E20243" s="2">
        <v>3</v>
      </c>
      <c r="F20243" s="2" t="s">
        <v>16</v>
      </c>
    </row>
    <row r="20244" spans="1:6" ht="25.5">
      <c r="A20244" s="2">
        <v>20241</v>
      </c>
      <c r="B20244" s="2" t="s">
        <v>20311</v>
      </c>
      <c r="C20244" s="2" t="str">
        <f>"18670687"</f>
        <v>18670687</v>
      </c>
      <c r="D20244" s="2">
        <v>0.373</v>
      </c>
      <c r="E20244" s="2">
        <v>11</v>
      </c>
      <c r="F20244" s="2" t="s">
        <v>46</v>
      </c>
    </row>
    <row r="20245" spans="1:6" ht="25.5">
      <c r="A20245" s="2">
        <v>20242</v>
      </c>
      <c r="B20245" s="2" t="s">
        <v>20312</v>
      </c>
      <c r="C20245" s="2" t="str">
        <f>"14322323"</f>
        <v>14322323</v>
      </c>
      <c r="D20245" s="2">
        <v>0.98299999999999998</v>
      </c>
      <c r="E20245" s="2">
        <v>97</v>
      </c>
      <c r="F20245" s="2" t="s">
        <v>6</v>
      </c>
    </row>
    <row r="20246" spans="1:6" ht="25.5">
      <c r="A20246" s="2">
        <v>20243</v>
      </c>
      <c r="B20246" s="2" t="s">
        <v>20313</v>
      </c>
      <c r="C20246" s="2" t="str">
        <f>"14777819"</f>
        <v>14777819</v>
      </c>
      <c r="D20246" s="2">
        <v>0.46800000000000003</v>
      </c>
      <c r="E20246" s="2">
        <v>26</v>
      </c>
      <c r="F20246" s="2" t="s">
        <v>16</v>
      </c>
    </row>
    <row r="20247" spans="1:6" ht="25.5">
      <c r="A20247" s="2">
        <v>20244</v>
      </c>
      <c r="B20247" s="2" t="s">
        <v>20314</v>
      </c>
      <c r="C20247" s="2" t="str">
        <f>"14338726"</f>
        <v>14338726</v>
      </c>
      <c r="D20247" s="2">
        <v>1.113</v>
      </c>
      <c r="E20247" s="2">
        <v>53</v>
      </c>
      <c r="F20247" s="2" t="s">
        <v>12</v>
      </c>
    </row>
    <row r="20248" spans="1:6" ht="25.5">
      <c r="A20248" s="2">
        <v>20245</v>
      </c>
      <c r="B20248" s="2" t="s">
        <v>20315</v>
      </c>
      <c r="C20248" s="2" t="str">
        <f>"13379690"</f>
        <v>13379690</v>
      </c>
      <c r="D20248" s="2">
        <v>0.1</v>
      </c>
      <c r="E20248" s="2">
        <v>1</v>
      </c>
      <c r="F20248" s="2" t="s">
        <v>241</v>
      </c>
    </row>
    <row r="20249" spans="1:6" ht="25.5">
      <c r="A20249" s="2">
        <v>20246</v>
      </c>
      <c r="B20249" s="2" t="s">
        <v>20316</v>
      </c>
      <c r="C20249" s="2" t="str">
        <f>"19458134"</f>
        <v>19458134</v>
      </c>
      <c r="D20249" s="2">
        <v>0.107</v>
      </c>
      <c r="E20249" s="2">
        <v>2</v>
      </c>
      <c r="F20249" s="2" t="s">
        <v>6</v>
      </c>
    </row>
    <row r="20250" spans="1:6" ht="25.5">
      <c r="A20250" s="2">
        <v>20247</v>
      </c>
      <c r="B20250" s="2" t="s">
        <v>20317</v>
      </c>
      <c r="C20250" s="2" t="str">
        <f>"21532028"</f>
        <v>21532028</v>
      </c>
      <c r="D20250" s="2">
        <v>0.14499999999999999</v>
      </c>
      <c r="E20250" s="2">
        <v>3</v>
      </c>
      <c r="F20250" s="2" t="s">
        <v>6</v>
      </c>
    </row>
    <row r="20251" spans="1:6" ht="25.5">
      <c r="A20251" s="2">
        <v>20248</v>
      </c>
      <c r="B20251" s="2" t="s">
        <v>20318</v>
      </c>
      <c r="C20251" s="2" t="str">
        <f>"18750710"</f>
        <v>18750710</v>
      </c>
      <c r="D20251" s="2">
        <v>0.68100000000000005</v>
      </c>
      <c r="E20251" s="2">
        <v>10</v>
      </c>
      <c r="F20251" s="2" t="s">
        <v>75</v>
      </c>
    </row>
    <row r="20252" spans="1:6" ht="25.5">
      <c r="A20252" s="2">
        <v>20249</v>
      </c>
      <c r="B20252" s="2" t="s">
        <v>20319</v>
      </c>
      <c r="C20252" s="2" t="str">
        <f>"18788750"</f>
        <v>18788750</v>
      </c>
      <c r="D20252" s="2">
        <v>0.52500000000000002</v>
      </c>
      <c r="E20252" s="2">
        <v>57</v>
      </c>
      <c r="F20252" s="2" t="s">
        <v>6</v>
      </c>
    </row>
    <row r="20253" spans="1:6" ht="25.5">
      <c r="A20253" s="2">
        <v>20250</v>
      </c>
      <c r="B20253" s="2" t="s">
        <v>20320</v>
      </c>
      <c r="C20253" s="2" t="str">
        <f>"16132394"</f>
        <v>16132394</v>
      </c>
      <c r="D20253" s="2">
        <v>0.11600000000000001</v>
      </c>
      <c r="E20253" s="2">
        <v>5</v>
      </c>
      <c r="F20253" s="2" t="s">
        <v>12</v>
      </c>
    </row>
    <row r="20254" spans="1:6" ht="25.5">
      <c r="A20254" s="2">
        <v>20251</v>
      </c>
      <c r="B20254" s="2" t="s">
        <v>20321</v>
      </c>
      <c r="C20254" s="2" t="str">
        <f>"16132408"</f>
        <v>16132408</v>
      </c>
      <c r="D20254" s="2">
        <v>0.1</v>
      </c>
      <c r="E20254" s="2">
        <v>5</v>
      </c>
      <c r="F20254" s="2" t="s">
        <v>12</v>
      </c>
    </row>
    <row r="20255" spans="1:6" ht="25.5">
      <c r="A20255" s="2">
        <v>20252</v>
      </c>
      <c r="B20255" s="2" t="s">
        <v>20322</v>
      </c>
      <c r="C20255" s="2" t="str">
        <f>"00438774"</f>
        <v>00438774</v>
      </c>
      <c r="D20255" s="2">
        <v>0.104</v>
      </c>
      <c r="E20255" s="2">
        <v>4</v>
      </c>
      <c r="F20255" s="2" t="s">
        <v>12</v>
      </c>
    </row>
    <row r="20256" spans="1:6" ht="25.5">
      <c r="A20256" s="2">
        <v>20253</v>
      </c>
      <c r="B20256" s="2" t="s">
        <v>20323</v>
      </c>
      <c r="C20256" s="2" t="str">
        <f>"01722190"</f>
        <v>01722190</v>
      </c>
      <c r="D20256" s="2">
        <v>0.31900000000000001</v>
      </c>
      <c r="E20256" s="2">
        <v>16</v>
      </c>
      <c r="F20256" s="2" t="s">
        <v>16</v>
      </c>
    </row>
    <row r="20257" spans="1:6" ht="25.5">
      <c r="A20257" s="2">
        <v>20254</v>
      </c>
      <c r="B20257" s="2" t="s">
        <v>20324</v>
      </c>
      <c r="C20257" s="2" t="str">
        <f>"07402775"</f>
        <v>07402775</v>
      </c>
      <c r="D20257" s="2">
        <v>0.109</v>
      </c>
      <c r="E20257" s="2">
        <v>8</v>
      </c>
      <c r="F20257" s="2" t="s">
        <v>6</v>
      </c>
    </row>
    <row r="20258" spans="1:6" ht="25.5">
      <c r="A20258" s="2">
        <v>20255</v>
      </c>
      <c r="B20258" s="2" t="s">
        <v>20325</v>
      </c>
      <c r="C20258" s="2" t="str">
        <f>"19356226"</f>
        <v>19356226</v>
      </c>
      <c r="D20258" s="2">
        <v>0.104</v>
      </c>
      <c r="E20258" s="2">
        <v>2</v>
      </c>
      <c r="F20258" s="2" t="s">
        <v>6</v>
      </c>
    </row>
    <row r="20259" spans="1:6" ht="25.5">
      <c r="A20259" s="2">
        <v>20256</v>
      </c>
      <c r="B20259" s="2" t="s">
        <v>20326</v>
      </c>
      <c r="C20259" s="2" t="str">
        <f>"10863338"</f>
        <v>10863338</v>
      </c>
      <c r="D20259" s="2">
        <v>3.17</v>
      </c>
      <c r="E20259" s="2">
        <v>57</v>
      </c>
      <c r="F20259" s="2" t="s">
        <v>16</v>
      </c>
    </row>
    <row r="20260" spans="1:6" ht="25.5">
      <c r="A20260" s="2">
        <v>20257</v>
      </c>
      <c r="B20260" s="2" t="s">
        <v>20327</v>
      </c>
      <c r="C20260" s="2" t="str">
        <f>"17238617"</f>
        <v>17238617</v>
      </c>
      <c r="D20260" s="2">
        <v>2.5259999999999998</v>
      </c>
      <c r="E20260" s="2">
        <v>24</v>
      </c>
      <c r="F20260" s="2" t="s">
        <v>190</v>
      </c>
    </row>
    <row r="20261" spans="1:6" ht="25.5">
      <c r="A20261" s="2">
        <v>20258</v>
      </c>
      <c r="B20261" s="2" t="s">
        <v>20328</v>
      </c>
      <c r="C20261" s="2" t="str">
        <f>"12575011"</f>
        <v>12575011</v>
      </c>
      <c r="D20261" s="2">
        <v>0.38600000000000001</v>
      </c>
      <c r="E20261" s="2">
        <v>10</v>
      </c>
      <c r="F20261" s="2" t="s">
        <v>351</v>
      </c>
    </row>
    <row r="20262" spans="1:6" ht="25.5">
      <c r="A20262" s="2">
        <v>20259</v>
      </c>
      <c r="B20262" s="2" t="s">
        <v>20329</v>
      </c>
      <c r="C20262" s="2" t="str">
        <f>"17460581"</f>
        <v>17460581</v>
      </c>
      <c r="D20262" s="2">
        <v>0.114</v>
      </c>
      <c r="E20262" s="2">
        <v>3</v>
      </c>
      <c r="F20262" s="2" t="s">
        <v>16</v>
      </c>
    </row>
    <row r="20263" spans="1:6" ht="25.5">
      <c r="A20263" s="2">
        <v>20260</v>
      </c>
      <c r="B20263" s="2" t="s">
        <v>20330</v>
      </c>
      <c r="C20263" s="2" t="str">
        <f>"17494737"</f>
        <v>17494737</v>
      </c>
      <c r="D20263" s="2">
        <v>0.19600000000000001</v>
      </c>
      <c r="E20263" s="2">
        <v>4</v>
      </c>
      <c r="F20263" s="2" t="s">
        <v>16</v>
      </c>
    </row>
    <row r="20264" spans="1:6" ht="25.5">
      <c r="A20264" s="2">
        <v>20261</v>
      </c>
      <c r="B20264" s="2" t="s">
        <v>20331</v>
      </c>
      <c r="C20264" s="2" t="str">
        <f>"00842230"</f>
        <v>00842230</v>
      </c>
      <c r="D20264" s="2">
        <v>0.28699999999999998</v>
      </c>
      <c r="E20264" s="2">
        <v>23</v>
      </c>
      <c r="F20264" s="2" t="s">
        <v>31</v>
      </c>
    </row>
    <row r="20265" spans="1:6" ht="25.5">
      <c r="A20265" s="2">
        <v>20262</v>
      </c>
      <c r="B20265" s="2" t="s">
        <v>20332</v>
      </c>
      <c r="C20265" s="2" t="str">
        <f>"17412242"</f>
        <v>17412242</v>
      </c>
      <c r="D20265" s="2">
        <v>0.11899999999999999</v>
      </c>
      <c r="E20265" s="2">
        <v>3</v>
      </c>
      <c r="F20265" s="2" t="s">
        <v>16</v>
      </c>
    </row>
    <row r="20266" spans="1:6" ht="25.5">
      <c r="A20266" s="2">
        <v>20263</v>
      </c>
      <c r="B20266" s="2" t="s">
        <v>20333</v>
      </c>
      <c r="C20266" s="2" t="str">
        <f>"17434777"</f>
        <v>17434777</v>
      </c>
      <c r="D20266" s="2">
        <v>0.77500000000000002</v>
      </c>
      <c r="E20266" s="2">
        <v>38</v>
      </c>
      <c r="F20266" s="2" t="s">
        <v>16</v>
      </c>
    </row>
    <row r="20267" spans="1:6" ht="25.5">
      <c r="A20267" s="2">
        <v>20264</v>
      </c>
      <c r="B20267" s="2" t="s">
        <v>20334</v>
      </c>
      <c r="C20267" s="2" t="str">
        <f>"14753138"</f>
        <v>14753138</v>
      </c>
      <c r="D20267" s="2">
        <v>0.55900000000000005</v>
      </c>
      <c r="E20267" s="2">
        <v>6</v>
      </c>
      <c r="F20267" s="2" t="s">
        <v>16</v>
      </c>
    </row>
    <row r="20268" spans="1:6" ht="25.5">
      <c r="A20268" s="2">
        <v>20265</v>
      </c>
      <c r="B20268" s="2" t="s">
        <v>20335</v>
      </c>
      <c r="C20268" s="2" t="str">
        <f>"14462257"</f>
        <v>14462257</v>
      </c>
      <c r="D20268" s="2">
        <v>0.188</v>
      </c>
      <c r="E20268" s="2">
        <v>2</v>
      </c>
      <c r="F20268" s="2" t="s">
        <v>127</v>
      </c>
    </row>
    <row r="20269" spans="1:6" ht="25.5">
      <c r="A20269" s="2">
        <v>20266</v>
      </c>
      <c r="B20269" s="2" t="s">
        <v>20336</v>
      </c>
      <c r="C20269" s="2" t="str">
        <f>"13635247"</f>
        <v>13635247</v>
      </c>
      <c r="D20269" s="2">
        <v>0.127</v>
      </c>
      <c r="E20269" s="2">
        <v>5</v>
      </c>
      <c r="F20269" s="2" t="s">
        <v>75</v>
      </c>
    </row>
    <row r="20270" spans="1:6" ht="25.5">
      <c r="A20270" s="2">
        <v>20267</v>
      </c>
      <c r="B20270" s="2" t="s">
        <v>20337</v>
      </c>
      <c r="C20270" s="2" t="str">
        <f>"17416787"</f>
        <v>17416787</v>
      </c>
      <c r="D20270" s="2">
        <v>0.56499999999999995</v>
      </c>
      <c r="E20270" s="2">
        <v>21</v>
      </c>
      <c r="F20270" s="2" t="s">
        <v>16</v>
      </c>
    </row>
    <row r="20271" spans="1:6" ht="25.5">
      <c r="A20271" s="2">
        <v>20268</v>
      </c>
      <c r="B20271" s="2" t="s">
        <v>20338</v>
      </c>
      <c r="C20271" s="2" t="str">
        <f>"02708019"</f>
        <v>02708019</v>
      </c>
      <c r="D20271" s="2">
        <v>0.10299999999999999</v>
      </c>
      <c r="E20271" s="2">
        <v>4</v>
      </c>
      <c r="F20271" s="2" t="s">
        <v>6</v>
      </c>
    </row>
    <row r="20272" spans="1:6" ht="25.5">
      <c r="A20272" s="2">
        <v>20269</v>
      </c>
      <c r="B20272" s="2" t="s">
        <v>20339</v>
      </c>
      <c r="C20272" s="2" t="str">
        <f>"15731413"</f>
        <v>15731413</v>
      </c>
      <c r="D20272" s="2">
        <v>1.2070000000000001</v>
      </c>
      <c r="E20272" s="2">
        <v>18</v>
      </c>
      <c r="F20272" s="2" t="s">
        <v>6</v>
      </c>
    </row>
    <row r="20273" spans="1:6" ht="25.5">
      <c r="A20273" s="2">
        <v>20270</v>
      </c>
      <c r="B20273" s="2" t="s">
        <v>20340</v>
      </c>
      <c r="C20273" s="2" t="str">
        <f>"15518507"</f>
        <v>15518507</v>
      </c>
      <c r="D20273" s="2">
        <v>0.51400000000000001</v>
      </c>
      <c r="E20273" s="2">
        <v>19</v>
      </c>
      <c r="F20273" s="2" t="s">
        <v>6</v>
      </c>
    </row>
    <row r="20274" spans="1:6" ht="25.5">
      <c r="A20274" s="2">
        <v>20271</v>
      </c>
      <c r="B20274" s="2" t="s">
        <v>20341</v>
      </c>
      <c r="C20274" s="2" t="str">
        <f>"1524475X"</f>
        <v>1524475X</v>
      </c>
      <c r="D20274" s="2">
        <v>1.2789999999999999</v>
      </c>
      <c r="E20274" s="2">
        <v>61</v>
      </c>
      <c r="F20274" s="2" t="s">
        <v>16</v>
      </c>
    </row>
    <row r="20275" spans="1:6" ht="25.5">
      <c r="A20275" s="2">
        <v>20272</v>
      </c>
      <c r="B20275" s="2" t="s">
        <v>20342</v>
      </c>
      <c r="C20275" s="2" t="str">
        <f>"10447946"</f>
        <v>10447946</v>
      </c>
      <c r="D20275" s="2">
        <v>0.27400000000000002</v>
      </c>
      <c r="E20275" s="2">
        <v>24</v>
      </c>
      <c r="F20275" s="2" t="s">
        <v>6</v>
      </c>
    </row>
    <row r="20276" spans="1:6" ht="25.5">
      <c r="A20276" s="2">
        <v>20273</v>
      </c>
      <c r="B20276" s="2" t="s">
        <v>20343</v>
      </c>
      <c r="C20276" s="2" t="str">
        <f>"17466814"</f>
        <v>17466814</v>
      </c>
      <c r="D20276" s="2">
        <v>0.41299999999999998</v>
      </c>
      <c r="E20276" s="2">
        <v>8</v>
      </c>
      <c r="F20276" s="2" t="s">
        <v>16</v>
      </c>
    </row>
    <row r="20277" spans="1:6" ht="25.5">
      <c r="A20277" s="2">
        <v>20274</v>
      </c>
      <c r="B20277" s="2" t="s">
        <v>20344</v>
      </c>
      <c r="C20277" s="2" t="str">
        <f>"1758681X"</f>
        <v>1758681X</v>
      </c>
      <c r="D20277" s="2">
        <v>0.27500000000000002</v>
      </c>
      <c r="E20277" s="2">
        <v>3</v>
      </c>
      <c r="F20277" s="2" t="s">
        <v>16</v>
      </c>
    </row>
    <row r="20278" spans="1:6" ht="25.5">
      <c r="A20278" s="2">
        <v>20275</v>
      </c>
      <c r="B20278" s="2" t="s">
        <v>20345</v>
      </c>
      <c r="C20278" s="2" t="str">
        <f>"07410883"</f>
        <v>07410883</v>
      </c>
      <c r="D20278" s="2">
        <v>0.79800000000000004</v>
      </c>
      <c r="E20278" s="2">
        <v>23</v>
      </c>
      <c r="F20278" s="2" t="s">
        <v>6</v>
      </c>
    </row>
    <row r="20279" spans="1:6" ht="25.5">
      <c r="A20279" s="2">
        <v>20276</v>
      </c>
      <c r="B20279" s="2" t="s">
        <v>20346</v>
      </c>
      <c r="C20279" s="2" t="str">
        <f>"13876732"</f>
        <v>13876732</v>
      </c>
      <c r="D20279" s="2">
        <v>0.32</v>
      </c>
      <c r="E20279" s="2">
        <v>2</v>
      </c>
      <c r="F20279" s="2" t="s">
        <v>75</v>
      </c>
    </row>
    <row r="20280" spans="1:6" ht="25.5">
      <c r="A20280" s="2">
        <v>20277</v>
      </c>
      <c r="B20280" s="2" t="s">
        <v>20347</v>
      </c>
      <c r="C20280" s="2" t="str">
        <f>"19918747"</f>
        <v>19918747</v>
      </c>
      <c r="D20280" s="2">
        <v>0.108</v>
      </c>
      <c r="E20280" s="2">
        <v>4</v>
      </c>
      <c r="F20280" s="2" t="s">
        <v>313</v>
      </c>
    </row>
    <row r="20281" spans="1:6" ht="25.5">
      <c r="A20281" s="2">
        <v>20278</v>
      </c>
      <c r="B20281" s="2" t="s">
        <v>20348</v>
      </c>
      <c r="C20281" s="2" t="str">
        <f>"11099518"</f>
        <v>11099518</v>
      </c>
      <c r="D20281" s="2">
        <v>0.109</v>
      </c>
      <c r="E20281" s="2">
        <v>3</v>
      </c>
      <c r="F20281" s="2" t="s">
        <v>313</v>
      </c>
    </row>
    <row r="20282" spans="1:6" ht="25.5">
      <c r="A20282" s="2">
        <v>20279</v>
      </c>
      <c r="B20282" s="2" t="s">
        <v>20349</v>
      </c>
      <c r="C20282" s="2" t="str">
        <f>"11099526"</f>
        <v>11099526</v>
      </c>
      <c r="D20282" s="2">
        <v>0.23799999999999999</v>
      </c>
      <c r="E20282" s="2">
        <v>6</v>
      </c>
      <c r="F20282" s="2" t="s">
        <v>313</v>
      </c>
    </row>
    <row r="20283" spans="1:6" ht="25.5">
      <c r="A20283" s="2">
        <v>20280</v>
      </c>
      <c r="B20283" s="2" t="s">
        <v>20350</v>
      </c>
      <c r="C20283" s="2" t="str">
        <f>"11092734"</f>
        <v>11092734</v>
      </c>
      <c r="D20283" s="2">
        <v>0.17699999999999999</v>
      </c>
      <c r="E20283" s="2">
        <v>8</v>
      </c>
      <c r="F20283" s="2" t="s">
        <v>313</v>
      </c>
    </row>
    <row r="20284" spans="1:6" ht="25.5">
      <c r="A20284" s="2">
        <v>20281</v>
      </c>
      <c r="B20284" s="2" t="s">
        <v>20351</v>
      </c>
      <c r="C20284" s="2" t="str">
        <f>"11092742"</f>
        <v>11092742</v>
      </c>
      <c r="D20284" s="2">
        <v>0.17399999999999999</v>
      </c>
      <c r="E20284" s="2">
        <v>9</v>
      </c>
      <c r="F20284" s="2" t="s">
        <v>313</v>
      </c>
    </row>
    <row r="20285" spans="1:6" ht="25.5">
      <c r="A20285" s="2">
        <v>20282</v>
      </c>
      <c r="B20285" s="2" t="s">
        <v>20352</v>
      </c>
      <c r="C20285" s="2" t="str">
        <f>"11092750"</f>
        <v>11092750</v>
      </c>
      <c r="D20285" s="2">
        <v>0.219</v>
      </c>
      <c r="E20285" s="2">
        <v>11</v>
      </c>
      <c r="F20285" s="2" t="s">
        <v>313</v>
      </c>
    </row>
    <row r="20286" spans="1:6" ht="25.5">
      <c r="A20286" s="2">
        <v>20283</v>
      </c>
      <c r="B20286" s="2" t="s">
        <v>20353</v>
      </c>
      <c r="C20286" s="2" t="str">
        <f>"17905079"</f>
        <v>17905079</v>
      </c>
      <c r="D20286" s="2">
        <v>0.111</v>
      </c>
      <c r="E20286" s="2">
        <v>8</v>
      </c>
      <c r="F20286" s="2" t="s">
        <v>313</v>
      </c>
    </row>
    <row r="20287" spans="1:6" ht="25.5">
      <c r="A20287" s="2">
        <v>20284</v>
      </c>
      <c r="B20287" s="2" t="s">
        <v>20354</v>
      </c>
      <c r="C20287" s="2" t="str">
        <f>"17905087"</f>
        <v>17905087</v>
      </c>
      <c r="D20287" s="2">
        <v>0.11</v>
      </c>
      <c r="E20287" s="2">
        <v>3</v>
      </c>
      <c r="F20287" s="2" t="s">
        <v>313</v>
      </c>
    </row>
    <row r="20288" spans="1:6" ht="25.5">
      <c r="A20288" s="2">
        <v>20285</v>
      </c>
      <c r="B20288" s="2" t="s">
        <v>20355</v>
      </c>
      <c r="C20288" s="2" t="str">
        <f>"17905044"</f>
        <v>17905044</v>
      </c>
      <c r="D20288" s="2">
        <v>0.108</v>
      </c>
      <c r="E20288" s="2">
        <v>3</v>
      </c>
      <c r="F20288" s="2" t="s">
        <v>313</v>
      </c>
    </row>
    <row r="20289" spans="1:6" ht="25.5">
      <c r="A20289" s="2">
        <v>20286</v>
      </c>
      <c r="B20289" s="2" t="s">
        <v>20356</v>
      </c>
      <c r="C20289" s="2" t="str">
        <f>"17900832"</f>
        <v>17900832</v>
      </c>
      <c r="D20289" s="2">
        <v>0.183</v>
      </c>
      <c r="E20289" s="2">
        <v>12</v>
      </c>
      <c r="F20289" s="2" t="s">
        <v>313</v>
      </c>
    </row>
    <row r="20290" spans="1:6" ht="25.5">
      <c r="A20290" s="2">
        <v>20287</v>
      </c>
      <c r="B20290" s="2" t="s">
        <v>20357</v>
      </c>
      <c r="C20290" s="2" t="str">
        <f>"11092769"</f>
        <v>11092769</v>
      </c>
      <c r="D20290" s="2">
        <v>0.29499999999999998</v>
      </c>
      <c r="E20290" s="2">
        <v>13</v>
      </c>
      <c r="F20290" s="2" t="s">
        <v>313</v>
      </c>
    </row>
    <row r="20291" spans="1:6" ht="25.5">
      <c r="A20291" s="2">
        <v>20288</v>
      </c>
      <c r="B20291" s="2" t="s">
        <v>20358</v>
      </c>
      <c r="C20291" s="2" t="str">
        <f>"2224350X"</f>
        <v>2224350X</v>
      </c>
      <c r="D20291" s="2">
        <v>0.17399999999999999</v>
      </c>
      <c r="E20291" s="2">
        <v>3</v>
      </c>
      <c r="F20291" s="2" t="s">
        <v>313</v>
      </c>
    </row>
    <row r="20292" spans="1:6" ht="25.5">
      <c r="A20292" s="2">
        <v>20289</v>
      </c>
      <c r="B20292" s="2" t="s">
        <v>20359</v>
      </c>
      <c r="C20292" s="2" t="str">
        <f>"17905022"</f>
        <v>17905022</v>
      </c>
      <c r="D20292" s="2">
        <v>0.16700000000000001</v>
      </c>
      <c r="E20292" s="2">
        <v>7</v>
      </c>
      <c r="F20292" s="2" t="s">
        <v>313</v>
      </c>
    </row>
    <row r="20293" spans="1:6" ht="25.5">
      <c r="A20293" s="2">
        <v>20290</v>
      </c>
      <c r="B20293" s="2" t="s">
        <v>20360</v>
      </c>
      <c r="C20293" s="2" t="str">
        <f>"11092777"</f>
        <v>11092777</v>
      </c>
      <c r="D20293" s="2">
        <v>0.26600000000000001</v>
      </c>
      <c r="E20293" s="2">
        <v>12</v>
      </c>
      <c r="F20293" s="2" t="s">
        <v>313</v>
      </c>
    </row>
    <row r="20294" spans="1:6" ht="25.5">
      <c r="A20294" s="2">
        <v>20291</v>
      </c>
      <c r="B20294" s="2" t="s">
        <v>20361</v>
      </c>
      <c r="C20294" s="2" t="str">
        <f>"19918763"</f>
        <v>19918763</v>
      </c>
      <c r="D20294" s="2">
        <v>0.20599999999999999</v>
      </c>
      <c r="E20294" s="2">
        <v>9</v>
      </c>
      <c r="F20294" s="2" t="s">
        <v>313</v>
      </c>
    </row>
    <row r="20295" spans="1:6" ht="25.5">
      <c r="A20295" s="2">
        <v>20292</v>
      </c>
      <c r="B20295" s="2" t="s">
        <v>20362</v>
      </c>
      <c r="C20295" s="2" t="str">
        <f>"14282526"</f>
        <v>14282526</v>
      </c>
      <c r="D20295" s="2">
        <v>0.121</v>
      </c>
      <c r="E20295" s="2">
        <v>6</v>
      </c>
      <c r="F20295" s="2" t="s">
        <v>169</v>
      </c>
    </row>
    <row r="20296" spans="1:6" ht="25.5">
      <c r="A20296" s="2">
        <v>20293</v>
      </c>
      <c r="B20296" s="2" t="s">
        <v>20363</v>
      </c>
      <c r="C20296" s="2" t="str">
        <f>"16718860"</f>
        <v>16718860</v>
      </c>
      <c r="D20296" s="2">
        <v>0.13100000000000001</v>
      </c>
      <c r="E20296" s="2">
        <v>14</v>
      </c>
      <c r="F20296" s="2" t="s">
        <v>46</v>
      </c>
    </row>
    <row r="20297" spans="1:6" ht="38.25">
      <c r="A20297" s="2">
        <v>20294</v>
      </c>
      <c r="B20297" s="2" t="s">
        <v>20364</v>
      </c>
      <c r="C20297" s="2" t="str">
        <f>"10062823"</f>
        <v>10062823</v>
      </c>
      <c r="D20297" s="2">
        <v>0.13100000000000001</v>
      </c>
      <c r="E20297" s="2">
        <v>9</v>
      </c>
      <c r="F20297" s="2" t="s">
        <v>46</v>
      </c>
    </row>
    <row r="20298" spans="1:6" ht="25.5">
      <c r="A20298" s="2">
        <v>20295</v>
      </c>
      <c r="B20298" s="2" t="s">
        <v>20365</v>
      </c>
      <c r="C20298" s="2" t="str">
        <f>"10071202"</f>
        <v>10071202</v>
      </c>
      <c r="D20298" s="2">
        <v>0.16900000000000001</v>
      </c>
      <c r="E20298" s="2">
        <v>11</v>
      </c>
      <c r="F20298" s="2" t="s">
        <v>46</v>
      </c>
    </row>
    <row r="20299" spans="1:6" ht="25.5">
      <c r="A20299" s="2">
        <v>20296</v>
      </c>
      <c r="B20299" s="2" t="s">
        <v>20366</v>
      </c>
      <c r="C20299" s="2" t="str">
        <f>"1000324X"</f>
        <v>1000324X</v>
      </c>
      <c r="D20299" s="2">
        <v>0.23699999999999999</v>
      </c>
      <c r="E20299" s="2">
        <v>14</v>
      </c>
      <c r="F20299" s="2" t="s">
        <v>46</v>
      </c>
    </row>
    <row r="20300" spans="1:6" ht="25.5">
      <c r="A20300" s="2">
        <v>20297</v>
      </c>
      <c r="B20300" s="2" t="s">
        <v>20367</v>
      </c>
      <c r="C20300" s="2" t="str">
        <f>"1561882X"</f>
        <v>1561882X</v>
      </c>
      <c r="D20300" s="2">
        <v>0.14799999999999999</v>
      </c>
      <c r="E20300" s="2">
        <v>4</v>
      </c>
      <c r="F20300" s="2" t="s">
        <v>288</v>
      </c>
    </row>
    <row r="20301" spans="1:6" ht="25.5">
      <c r="A20301" s="2">
        <v>20298</v>
      </c>
      <c r="B20301" s="2" t="s">
        <v>20368</v>
      </c>
      <c r="C20301" s="2" t="str">
        <f>"10003290"</f>
        <v>10003290</v>
      </c>
      <c r="D20301" s="2">
        <v>0.32200000000000001</v>
      </c>
      <c r="E20301" s="2">
        <v>29</v>
      </c>
      <c r="F20301" s="2" t="s">
        <v>46</v>
      </c>
    </row>
    <row r="20302" spans="1:6" ht="38.25">
      <c r="A20302" s="2">
        <v>20299</v>
      </c>
      <c r="B20302" s="2" t="s">
        <v>20369</v>
      </c>
      <c r="C20302" s="2" t="str">
        <f>"01775227"</f>
        <v>01775227</v>
      </c>
      <c r="D20302" s="2">
        <v>0.10100000000000001</v>
      </c>
      <c r="E20302" s="2">
        <v>3</v>
      </c>
      <c r="F20302" s="2" t="s">
        <v>12</v>
      </c>
    </row>
    <row r="20303" spans="1:6" ht="25.5">
      <c r="A20303" s="2">
        <v>20300</v>
      </c>
      <c r="B20303" s="2" t="s">
        <v>20370</v>
      </c>
      <c r="C20303" s="2" t="str">
        <f>"10011749"</f>
        <v>10011749</v>
      </c>
      <c r="D20303" s="2">
        <v>0.115</v>
      </c>
      <c r="E20303" s="2">
        <v>4</v>
      </c>
      <c r="F20303" s="2" t="s">
        <v>46</v>
      </c>
    </row>
    <row r="20304" spans="1:6" ht="25.5">
      <c r="A20304" s="2">
        <v>20301</v>
      </c>
      <c r="B20304" s="2" t="s">
        <v>20371</v>
      </c>
      <c r="C20304" s="2" t="str">
        <f>"13665928"</f>
        <v>13665928</v>
      </c>
      <c r="D20304" s="2">
        <v>0.626</v>
      </c>
      <c r="E20304" s="2">
        <v>59</v>
      </c>
      <c r="F20304" s="2" t="s">
        <v>16</v>
      </c>
    </row>
    <row r="20305" spans="1:6" ht="25.5">
      <c r="A20305" s="2">
        <v>20302</v>
      </c>
      <c r="B20305" s="2" t="s">
        <v>20372</v>
      </c>
      <c r="C20305" s="2" t="str">
        <f>"13993089"</f>
        <v>13993089</v>
      </c>
      <c r="D20305" s="2">
        <v>0.89300000000000002</v>
      </c>
      <c r="E20305" s="2">
        <v>41</v>
      </c>
      <c r="F20305" s="2" t="s">
        <v>16</v>
      </c>
    </row>
    <row r="20306" spans="1:6" ht="25.5">
      <c r="A20306" s="2">
        <v>20303</v>
      </c>
      <c r="B20306" s="2" t="s">
        <v>20373</v>
      </c>
      <c r="C20306" s="2" t="str">
        <f>"02534320"</f>
        <v>02534320</v>
      </c>
      <c r="D20306" s="2">
        <v>0.112</v>
      </c>
      <c r="E20306" s="2">
        <v>7</v>
      </c>
      <c r="F20306" s="2" t="s">
        <v>46</v>
      </c>
    </row>
    <row r="20307" spans="1:6" ht="25.5">
      <c r="A20307" s="2">
        <v>20304</v>
      </c>
      <c r="B20307" s="2" t="s">
        <v>20374</v>
      </c>
      <c r="C20307" s="2" t="str">
        <f>"10012400"</f>
        <v>10012400</v>
      </c>
      <c r="D20307" s="2">
        <v>0.27700000000000002</v>
      </c>
      <c r="E20307" s="2">
        <v>11</v>
      </c>
      <c r="F20307" s="2" t="s">
        <v>46</v>
      </c>
    </row>
    <row r="20308" spans="1:6" ht="25.5">
      <c r="A20308" s="2">
        <v>20305</v>
      </c>
      <c r="B20308" s="2" t="s">
        <v>20375</v>
      </c>
      <c r="C20308" s="2" t="str">
        <f>"10067930"</f>
        <v>10067930</v>
      </c>
      <c r="D20308" s="2">
        <v>0.247</v>
      </c>
      <c r="E20308" s="2">
        <v>8</v>
      </c>
      <c r="F20308" s="2" t="s">
        <v>46</v>
      </c>
    </row>
    <row r="20309" spans="1:6" ht="25.5">
      <c r="A20309" s="2">
        <v>20306</v>
      </c>
      <c r="B20309" s="2" t="s">
        <v>20376</v>
      </c>
      <c r="C20309" s="2" t="str">
        <f>"1673064X"</f>
        <v>1673064X</v>
      </c>
      <c r="D20309" s="2">
        <v>0.3</v>
      </c>
      <c r="E20309" s="2">
        <v>6</v>
      </c>
      <c r="F20309" s="2" t="s">
        <v>46</v>
      </c>
    </row>
    <row r="20310" spans="1:6" ht="25.5">
      <c r="A20310" s="2">
        <v>20307</v>
      </c>
      <c r="B20310" s="2" t="s">
        <v>20377</v>
      </c>
      <c r="C20310" s="2" t="str">
        <f>"10078738"</f>
        <v>10078738</v>
      </c>
      <c r="D20310" s="2">
        <v>0.16400000000000001</v>
      </c>
      <c r="E20310" s="2">
        <v>7</v>
      </c>
      <c r="F20310" s="2" t="s">
        <v>46</v>
      </c>
    </row>
    <row r="20311" spans="1:6" ht="25.5">
      <c r="A20311" s="2">
        <v>20308</v>
      </c>
      <c r="B20311" s="2" t="s">
        <v>20378</v>
      </c>
      <c r="C20311" s="2" t="str">
        <f>"10002758"</f>
        <v>10002758</v>
      </c>
      <c r="D20311" s="2">
        <v>0.19700000000000001</v>
      </c>
      <c r="E20311" s="2">
        <v>9</v>
      </c>
      <c r="F20311" s="2" t="s">
        <v>6</v>
      </c>
    </row>
    <row r="20312" spans="1:6" ht="25.5">
      <c r="A20312" s="2">
        <v>20309</v>
      </c>
      <c r="B20312" s="2" t="s">
        <v>20379</v>
      </c>
      <c r="C20312" s="2" t="str">
        <f>"02582724"</f>
        <v>02582724</v>
      </c>
      <c r="D20312" s="2">
        <v>0.39300000000000002</v>
      </c>
      <c r="E20312" s="2">
        <v>11</v>
      </c>
      <c r="F20312" s="2" t="s">
        <v>46</v>
      </c>
    </row>
    <row r="20313" spans="1:6" ht="25.5">
      <c r="A20313" s="2">
        <v>20310</v>
      </c>
      <c r="B20313" s="2" t="s">
        <v>20380</v>
      </c>
      <c r="C20313" s="2" t="str">
        <f>"10002634"</f>
        <v>10002634</v>
      </c>
      <c r="D20313" s="2">
        <v>0.36699999999999999</v>
      </c>
      <c r="E20313" s="2">
        <v>6</v>
      </c>
      <c r="F20313" s="2" t="s">
        <v>46</v>
      </c>
    </row>
    <row r="20314" spans="1:6" ht="25.5">
      <c r="A20314" s="2">
        <v>20311</v>
      </c>
      <c r="B20314" s="2" t="s">
        <v>20381</v>
      </c>
      <c r="C20314" s="2" t="str">
        <f>"10078827"</f>
        <v>10078827</v>
      </c>
      <c r="D20314" s="2">
        <v>0.40300000000000002</v>
      </c>
      <c r="E20314" s="2">
        <v>17</v>
      </c>
      <c r="F20314" s="2" t="s">
        <v>46</v>
      </c>
    </row>
    <row r="20315" spans="1:6" ht="25.5">
      <c r="A20315" s="2">
        <v>20312</v>
      </c>
      <c r="B20315" s="2" t="s">
        <v>20382</v>
      </c>
      <c r="C20315" s="2" t="str">
        <f>"1004731X"</f>
        <v>1004731X</v>
      </c>
      <c r="D20315" s="2">
        <v>0.26700000000000002</v>
      </c>
      <c r="E20315" s="2">
        <v>17</v>
      </c>
      <c r="F20315" s="2" t="s">
        <v>46</v>
      </c>
    </row>
    <row r="20316" spans="1:6" ht="25.5">
      <c r="A20316" s="2">
        <v>20313</v>
      </c>
      <c r="B20316" s="2" t="s">
        <v>20383</v>
      </c>
      <c r="C20316" s="2" t="str">
        <f>"10006788"</f>
        <v>10006788</v>
      </c>
      <c r="D20316" s="2">
        <v>0.27900000000000003</v>
      </c>
      <c r="E20316" s="2">
        <v>19</v>
      </c>
      <c r="F20316" s="2" t="s">
        <v>46</v>
      </c>
    </row>
    <row r="20317" spans="1:6" ht="25.5">
      <c r="A20317" s="2">
        <v>20314</v>
      </c>
      <c r="B20317" s="2" t="s">
        <v>20384</v>
      </c>
      <c r="C20317" s="2" t="str">
        <f>"1001506X"</f>
        <v>1001506X</v>
      </c>
      <c r="D20317" s="2">
        <v>0.25800000000000001</v>
      </c>
      <c r="E20317" s="2">
        <v>15</v>
      </c>
      <c r="F20317" s="2" t="s">
        <v>46</v>
      </c>
    </row>
    <row r="20318" spans="1:6" ht="25.5">
      <c r="A20318" s="2">
        <v>20315</v>
      </c>
      <c r="B20318" s="2" t="s">
        <v>20385</v>
      </c>
      <c r="C20318" s="2" t="str">
        <f>"1002185X"</f>
        <v>1002185X</v>
      </c>
      <c r="D20318" s="2">
        <v>0.252</v>
      </c>
      <c r="E20318" s="2">
        <v>14</v>
      </c>
      <c r="F20318" s="2" t="s">
        <v>46</v>
      </c>
    </row>
    <row r="20319" spans="1:6" ht="25.5">
      <c r="A20319" s="2">
        <v>20316</v>
      </c>
      <c r="B20319" s="2" t="s">
        <v>20386</v>
      </c>
      <c r="C20319" s="2" t="str">
        <f>"02587076"</f>
        <v>02587076</v>
      </c>
      <c r="D20319" s="2">
        <v>0.27900000000000003</v>
      </c>
      <c r="E20319" s="2">
        <v>7</v>
      </c>
      <c r="F20319" s="2" t="s">
        <v>46</v>
      </c>
    </row>
    <row r="20320" spans="1:6" ht="25.5">
      <c r="A20320" s="2">
        <v>20317</v>
      </c>
      <c r="B20320" s="2" t="s">
        <v>20387</v>
      </c>
      <c r="C20320" s="2" t="str">
        <f>"16877640"</f>
        <v>16877640</v>
      </c>
      <c r="D20320" s="2">
        <v>0.29399999999999998</v>
      </c>
      <c r="E20320" s="2">
        <v>4</v>
      </c>
      <c r="F20320" s="2" t="s">
        <v>6</v>
      </c>
    </row>
    <row r="20321" spans="1:6" ht="25.5">
      <c r="A20321" s="2">
        <v>20318</v>
      </c>
      <c r="B20321" s="2" t="s">
        <v>20388</v>
      </c>
      <c r="C20321" s="2" t="str">
        <f>"10974539"</f>
        <v>10974539</v>
      </c>
      <c r="D20321" s="2">
        <v>0.77900000000000003</v>
      </c>
      <c r="E20321" s="2">
        <v>32</v>
      </c>
      <c r="F20321" s="2" t="s">
        <v>16</v>
      </c>
    </row>
    <row r="20322" spans="1:6" ht="25.5">
      <c r="A20322" s="2">
        <v>20319</v>
      </c>
      <c r="B20322" s="2" t="s">
        <v>20389</v>
      </c>
      <c r="C20322" s="2" t="str">
        <f>"18833578"</f>
        <v>18833578</v>
      </c>
      <c r="D20322" s="2">
        <v>0.251</v>
      </c>
      <c r="E20322" s="2">
        <v>4</v>
      </c>
      <c r="F20322" s="2" t="s">
        <v>131</v>
      </c>
    </row>
    <row r="20323" spans="1:6" ht="25.5">
      <c r="A20323" s="2">
        <v>20320</v>
      </c>
      <c r="B20323" s="2" t="s">
        <v>20390</v>
      </c>
      <c r="C20323" s="2" t="str">
        <f>"10042474"</f>
        <v>10042474</v>
      </c>
      <c r="D20323" s="2">
        <v>0.20899999999999999</v>
      </c>
      <c r="E20323" s="2">
        <v>8</v>
      </c>
      <c r="F20323" s="2" t="s">
        <v>46</v>
      </c>
    </row>
    <row r="20324" spans="1:6" ht="25.5">
      <c r="A20324" s="2">
        <v>20321</v>
      </c>
      <c r="B20324" s="2" t="s">
        <v>20391</v>
      </c>
      <c r="C20324" s="2" t="str">
        <f>"00316903"</f>
        <v>00316903</v>
      </c>
      <c r="D20324" s="2">
        <v>0.192</v>
      </c>
      <c r="E20324" s="2">
        <v>25</v>
      </c>
      <c r="F20324" s="2" t="s">
        <v>131</v>
      </c>
    </row>
    <row r="20325" spans="1:6" ht="25.5">
      <c r="A20325" s="2">
        <v>20322</v>
      </c>
      <c r="B20325" s="2" t="s">
        <v>20392</v>
      </c>
      <c r="C20325" s="2" t="str">
        <f>"02852314"</f>
        <v>02852314</v>
      </c>
      <c r="D20325" s="2">
        <v>0.11700000000000001</v>
      </c>
      <c r="E20325" s="2">
        <v>4</v>
      </c>
      <c r="F20325" s="2" t="s">
        <v>131</v>
      </c>
    </row>
    <row r="20326" spans="1:6" ht="25.5">
      <c r="A20326" s="2">
        <v>20323</v>
      </c>
      <c r="B20326" s="2" t="s">
        <v>20393</v>
      </c>
      <c r="C20326" s="2" t="str">
        <f>"00440078"</f>
        <v>00440078</v>
      </c>
      <c r="D20326" s="2">
        <v>0.1</v>
      </c>
      <c r="E20326" s="2">
        <v>4</v>
      </c>
      <c r="F20326" s="2" t="s">
        <v>6</v>
      </c>
    </row>
    <row r="20327" spans="1:6" ht="25.5">
      <c r="A20327" s="2">
        <v>20324</v>
      </c>
      <c r="B20327" s="2" t="s">
        <v>20394</v>
      </c>
      <c r="C20327" s="2" t="str">
        <f>"15514056"</f>
        <v>15514056</v>
      </c>
      <c r="D20327" s="2">
        <v>0.27500000000000002</v>
      </c>
      <c r="E20327" s="2">
        <v>26</v>
      </c>
      <c r="F20327" s="2" t="s">
        <v>6</v>
      </c>
    </row>
    <row r="20328" spans="1:6" ht="25.5">
      <c r="A20328" s="2">
        <v>20325</v>
      </c>
      <c r="B20328" s="2" t="s">
        <v>20395</v>
      </c>
      <c r="C20328" s="2" t="str">
        <f>"15353532"</f>
        <v>15353532</v>
      </c>
      <c r="D20328" s="2">
        <v>0.22700000000000001</v>
      </c>
      <c r="E20328" s="2">
        <v>11</v>
      </c>
      <c r="F20328" s="2" t="s">
        <v>6</v>
      </c>
    </row>
    <row r="20329" spans="1:6" ht="25.5">
      <c r="A20329" s="2">
        <v>20326</v>
      </c>
      <c r="B20329" s="2" t="s">
        <v>20396</v>
      </c>
      <c r="C20329" s="2" t="str">
        <f>"00440094"</f>
        <v>00440094</v>
      </c>
      <c r="D20329" s="2">
        <v>1.758</v>
      </c>
      <c r="E20329" s="2">
        <v>35</v>
      </c>
      <c r="F20329" s="2" t="s">
        <v>6</v>
      </c>
    </row>
    <row r="20330" spans="1:6">
      <c r="A20330" s="2">
        <v>20327</v>
      </c>
      <c r="B20330" s="2" t="s">
        <v>20397</v>
      </c>
      <c r="C20330" s="2" t="str">
        <f>"0"</f>
        <v>0</v>
      </c>
      <c r="D20330" s="2">
        <v>0</v>
      </c>
      <c r="E20330" s="2">
        <v>0</v>
      </c>
      <c r="F20330" s="2" t="s">
        <v>6</v>
      </c>
    </row>
    <row r="20331" spans="1:6" ht="25.5">
      <c r="A20331" s="2">
        <v>20328</v>
      </c>
      <c r="B20331" s="2" t="s">
        <v>20398</v>
      </c>
      <c r="C20331" s="2" t="str">
        <f>"10006915"</f>
        <v>10006915</v>
      </c>
      <c r="D20331" s="2">
        <v>1.173</v>
      </c>
      <c r="E20331" s="2">
        <v>36</v>
      </c>
      <c r="F20331" s="2" t="s">
        <v>165</v>
      </c>
    </row>
    <row r="20332" spans="1:6" ht="25.5">
      <c r="A20332" s="2">
        <v>20329</v>
      </c>
      <c r="B20332" s="2" t="s">
        <v>20399</v>
      </c>
      <c r="C20332" s="2" t="str">
        <f>"10004548"</f>
        <v>10004548</v>
      </c>
      <c r="D20332" s="2">
        <v>0.753</v>
      </c>
      <c r="E20332" s="2">
        <v>24</v>
      </c>
      <c r="F20332" s="2" t="s">
        <v>46</v>
      </c>
    </row>
    <row r="20333" spans="1:6" ht="25.5">
      <c r="A20333" s="2">
        <v>20330</v>
      </c>
      <c r="B20333" s="2" t="s">
        <v>20400</v>
      </c>
      <c r="C20333" s="2" t="str">
        <f>"10007598"</f>
        <v>10007598</v>
      </c>
      <c r="D20333" s="2">
        <v>0.81399999999999995</v>
      </c>
      <c r="E20333" s="2">
        <v>22</v>
      </c>
      <c r="F20333" s="2" t="s">
        <v>165</v>
      </c>
    </row>
    <row r="20334" spans="1:6" ht="25.5">
      <c r="A20334" s="2">
        <v>20331</v>
      </c>
      <c r="B20334" s="2" t="s">
        <v>20401</v>
      </c>
      <c r="C20334" s="2" t="str">
        <f>"05134870"</f>
        <v>05134870</v>
      </c>
      <c r="D20334" s="2">
        <v>0.22600000000000001</v>
      </c>
      <c r="E20334" s="2">
        <v>20</v>
      </c>
      <c r="F20334" s="2" t="s">
        <v>46</v>
      </c>
    </row>
    <row r="20335" spans="1:6" ht="25.5">
      <c r="A20335" s="2">
        <v>20332</v>
      </c>
      <c r="B20335" s="2" t="s">
        <v>20402</v>
      </c>
      <c r="C20335" s="2" t="str">
        <f>"15386619"</f>
        <v>15386619</v>
      </c>
      <c r="D20335" s="2">
        <v>0.14000000000000001</v>
      </c>
      <c r="E20335" s="2">
        <v>14</v>
      </c>
      <c r="F20335" s="2" t="s">
        <v>6</v>
      </c>
    </row>
    <row r="20336" spans="1:6" ht="25.5">
      <c r="A20336" s="2">
        <v>20333</v>
      </c>
      <c r="B20336" s="2" t="s">
        <v>20403</v>
      </c>
      <c r="C20336" s="2" t="str">
        <f>"07401558"</f>
        <v>07401558</v>
      </c>
      <c r="D20336" s="2">
        <v>0.19</v>
      </c>
      <c r="E20336" s="2">
        <v>3</v>
      </c>
      <c r="F20336" s="2" t="s">
        <v>6</v>
      </c>
    </row>
    <row r="20337" spans="1:6" ht="25.5">
      <c r="A20337" s="2">
        <v>20334</v>
      </c>
      <c r="B20337" s="2" t="s">
        <v>20404</v>
      </c>
      <c r="C20337" s="2" t="str">
        <f>"0096848X"</f>
        <v>0096848X</v>
      </c>
      <c r="D20337" s="2">
        <v>0.16200000000000001</v>
      </c>
      <c r="E20337" s="2">
        <v>33</v>
      </c>
      <c r="F20337" s="2" t="s">
        <v>6</v>
      </c>
    </row>
    <row r="20338" spans="1:6" ht="25.5">
      <c r="A20338" s="2">
        <v>20335</v>
      </c>
      <c r="B20338" s="2" t="s">
        <v>20405</v>
      </c>
      <c r="C20338" s="2" t="str">
        <f>"10774254"</f>
        <v>10774254</v>
      </c>
      <c r="D20338" s="2">
        <v>0.10100000000000001</v>
      </c>
      <c r="E20338" s="2">
        <v>1</v>
      </c>
      <c r="F20338" s="2" t="s">
        <v>16</v>
      </c>
    </row>
    <row r="20339" spans="1:6" ht="25.5">
      <c r="A20339" s="2">
        <v>20336</v>
      </c>
      <c r="B20339" s="2" t="s">
        <v>20406</v>
      </c>
      <c r="C20339" s="2" t="str">
        <f>"00844144"</f>
        <v>00844144</v>
      </c>
      <c r="D20339" s="2">
        <v>0.10100000000000001</v>
      </c>
      <c r="E20339" s="2">
        <v>0</v>
      </c>
      <c r="F20339" s="2" t="s">
        <v>16</v>
      </c>
    </row>
    <row r="20340" spans="1:6" ht="25.5">
      <c r="A20340" s="2">
        <v>20337</v>
      </c>
      <c r="B20340" s="2" t="s">
        <v>20407</v>
      </c>
      <c r="C20340" s="2" t="str">
        <f>"10970061"</f>
        <v>10970061</v>
      </c>
      <c r="D20340" s="2">
        <v>0.98799999999999999</v>
      </c>
      <c r="E20340" s="2">
        <v>72</v>
      </c>
      <c r="F20340" s="2" t="s">
        <v>16</v>
      </c>
    </row>
    <row r="20341" spans="1:6" ht="25.5">
      <c r="A20341" s="2">
        <v>20338</v>
      </c>
      <c r="B20341" s="2" t="s">
        <v>20408</v>
      </c>
      <c r="C20341" s="2" t="str">
        <f>"10007571"</f>
        <v>10007571</v>
      </c>
      <c r="D20341" s="2">
        <v>0.109</v>
      </c>
      <c r="E20341" s="2">
        <v>4</v>
      </c>
      <c r="F20341" s="2" t="s">
        <v>46</v>
      </c>
    </row>
    <row r="20342" spans="1:6" ht="25.5">
      <c r="A20342" s="2">
        <v>20339</v>
      </c>
      <c r="B20342" s="2" t="s">
        <v>20409</v>
      </c>
      <c r="C20342" s="2" t="str">
        <f>"13044591"</f>
        <v>13044591</v>
      </c>
      <c r="D20342" s="2">
        <v>0.112</v>
      </c>
      <c r="E20342" s="2">
        <v>4</v>
      </c>
      <c r="F20342" s="2" t="s">
        <v>345</v>
      </c>
    </row>
    <row r="20343" spans="1:6" ht="25.5">
      <c r="A20343" s="2">
        <v>20340</v>
      </c>
      <c r="B20343" s="2" t="s">
        <v>20410</v>
      </c>
      <c r="C20343" s="2" t="str">
        <f>"13012894"</f>
        <v>13012894</v>
      </c>
      <c r="D20343" s="2">
        <v>0.13700000000000001</v>
      </c>
      <c r="E20343" s="2">
        <v>7</v>
      </c>
      <c r="F20343" s="2" t="s">
        <v>345</v>
      </c>
    </row>
    <row r="20344" spans="1:6" ht="25.5">
      <c r="A20344" s="2">
        <v>20341</v>
      </c>
      <c r="B20344" s="2" t="s">
        <v>20411</v>
      </c>
      <c r="C20344" s="2" t="str">
        <f>"02539772"</f>
        <v>02539772</v>
      </c>
      <c r="D20344" s="2">
        <v>0.128</v>
      </c>
      <c r="E20344" s="2">
        <v>8</v>
      </c>
      <c r="F20344" s="2" t="s">
        <v>46</v>
      </c>
    </row>
    <row r="20345" spans="1:6" ht="25.5">
      <c r="A20345" s="2">
        <v>20342</v>
      </c>
      <c r="B20345" s="2" t="s">
        <v>20412</v>
      </c>
      <c r="C20345" s="2" t="str">
        <f>"16740475"</f>
        <v>16740475</v>
      </c>
      <c r="D20345" s="2">
        <v>0.14299999999999999</v>
      </c>
      <c r="E20345" s="2">
        <v>6</v>
      </c>
      <c r="F20345" s="2" t="s">
        <v>46</v>
      </c>
    </row>
    <row r="20346" spans="1:6" ht="25.5">
      <c r="A20346" s="2">
        <v>20343</v>
      </c>
      <c r="B20346" s="2" t="s">
        <v>20413</v>
      </c>
      <c r="C20346" s="2" t="str">
        <f>"10050930"</f>
        <v>10050930</v>
      </c>
      <c r="D20346" s="2">
        <v>0.248</v>
      </c>
      <c r="E20346" s="2">
        <v>7</v>
      </c>
      <c r="F20346" s="2" t="s">
        <v>46</v>
      </c>
    </row>
    <row r="20347" spans="1:6" ht="25.5">
      <c r="A20347" s="2">
        <v>20344</v>
      </c>
      <c r="B20347" s="2" t="s">
        <v>20414</v>
      </c>
      <c r="C20347" s="2" t="str">
        <f>"02558297"</f>
        <v>02558297</v>
      </c>
      <c r="D20347" s="2">
        <v>0.13800000000000001</v>
      </c>
      <c r="E20347" s="2">
        <v>3</v>
      </c>
      <c r="F20347" s="2" t="s">
        <v>46</v>
      </c>
    </row>
    <row r="20348" spans="1:6" ht="25.5">
      <c r="A20348" s="2">
        <v>20345</v>
      </c>
      <c r="B20348" s="2" t="s">
        <v>20415</v>
      </c>
      <c r="C20348" s="2" t="str">
        <f>"10004939"</f>
        <v>10004939</v>
      </c>
      <c r="D20348" s="2">
        <v>0.14899999999999999</v>
      </c>
      <c r="E20348" s="2">
        <v>8</v>
      </c>
      <c r="F20348" s="2" t="s">
        <v>46</v>
      </c>
    </row>
    <row r="20349" spans="1:6" ht="25.5">
      <c r="A20349" s="2">
        <v>20346</v>
      </c>
      <c r="B20349" s="2" t="s">
        <v>20416</v>
      </c>
      <c r="C20349" s="2" t="str">
        <f>"02543087"</f>
        <v>02543087</v>
      </c>
      <c r="D20349" s="2">
        <v>0.30299999999999999</v>
      </c>
      <c r="E20349" s="2">
        <v>13</v>
      </c>
      <c r="F20349" s="2" t="s">
        <v>46</v>
      </c>
    </row>
    <row r="20350" spans="1:6" ht="25.5">
      <c r="A20350" s="2">
        <v>20347</v>
      </c>
      <c r="B20350" s="2" t="s">
        <v>20417</v>
      </c>
      <c r="C20350" s="2" t="str">
        <f>"10047220"</f>
        <v>10047220</v>
      </c>
      <c r="D20350" s="2">
        <v>0.193</v>
      </c>
      <c r="E20350" s="2">
        <v>5</v>
      </c>
      <c r="F20350" s="2" t="s">
        <v>46</v>
      </c>
    </row>
    <row r="20351" spans="1:6" ht="25.5">
      <c r="A20351" s="2">
        <v>20348</v>
      </c>
      <c r="B20351" s="2" t="s">
        <v>20418</v>
      </c>
      <c r="C20351" s="2" t="str">
        <f>"00440477"</f>
        <v>00440477</v>
      </c>
      <c r="D20351" s="2">
        <v>0.111</v>
      </c>
      <c r="E20351" s="2">
        <v>2</v>
      </c>
      <c r="F20351" s="2" t="s">
        <v>151</v>
      </c>
    </row>
    <row r="20352" spans="1:6" ht="25.5">
      <c r="A20352" s="2">
        <v>20349</v>
      </c>
      <c r="B20352" s="2" t="s">
        <v>20419</v>
      </c>
      <c r="C20352" s="2" t="str">
        <f>"13468049"</f>
        <v>13468049</v>
      </c>
      <c r="D20352" s="2">
        <v>0.106</v>
      </c>
      <c r="E20352" s="2">
        <v>6</v>
      </c>
      <c r="F20352" s="2" t="s">
        <v>131</v>
      </c>
    </row>
    <row r="20353" spans="1:6" ht="25.5">
      <c r="A20353" s="2">
        <v>20350</v>
      </c>
      <c r="B20353" s="2" t="s">
        <v>20420</v>
      </c>
      <c r="C20353" s="2" t="str">
        <f>"05135796"</f>
        <v>05135796</v>
      </c>
      <c r="D20353" s="2">
        <v>0.42499999999999999</v>
      </c>
      <c r="E20353" s="2">
        <v>35</v>
      </c>
      <c r="F20353" s="2" t="s">
        <v>274</v>
      </c>
    </row>
    <row r="20354" spans="1:6" ht="25.5">
      <c r="A20354" s="2">
        <v>20351</v>
      </c>
      <c r="B20354" s="2" t="s">
        <v>20421</v>
      </c>
      <c r="C20354" s="2" t="str">
        <f>"02884771"</f>
        <v>02884771</v>
      </c>
      <c r="D20354" s="2">
        <v>0.26700000000000002</v>
      </c>
      <c r="E20354" s="2">
        <v>16</v>
      </c>
      <c r="F20354" s="2" t="s">
        <v>131</v>
      </c>
    </row>
    <row r="20355" spans="1:6" ht="25.5">
      <c r="A20355" s="2">
        <v>20352</v>
      </c>
      <c r="B20355" s="2" t="s">
        <v>20422</v>
      </c>
      <c r="C20355" s="2" t="str">
        <f>"00214787"</f>
        <v>00214787</v>
      </c>
      <c r="D20355" s="2">
        <v>0.113</v>
      </c>
      <c r="E20355" s="2">
        <v>4</v>
      </c>
      <c r="F20355" s="2" t="s">
        <v>131</v>
      </c>
    </row>
    <row r="20356" spans="1:6" ht="25.5">
      <c r="A20356" s="2">
        <v>20353</v>
      </c>
      <c r="B20356" s="2" t="s">
        <v>20423</v>
      </c>
      <c r="C20356" s="2" t="str">
        <f>"11033088"</f>
        <v>11033088</v>
      </c>
      <c r="D20356" s="2">
        <v>0.245</v>
      </c>
      <c r="E20356" s="2">
        <v>8</v>
      </c>
      <c r="F20356" s="2" t="s">
        <v>6</v>
      </c>
    </row>
    <row r="20357" spans="1:6" ht="25.5">
      <c r="A20357" s="2">
        <v>20354</v>
      </c>
      <c r="B20357" s="2" t="s">
        <v>20424</v>
      </c>
      <c r="C20357" s="2" t="str">
        <f>"10962506"</f>
        <v>10962506</v>
      </c>
      <c r="D20357" s="2">
        <v>0.29499999999999998</v>
      </c>
      <c r="E20357" s="2">
        <v>6</v>
      </c>
      <c r="F20357" s="2" t="s">
        <v>6</v>
      </c>
    </row>
    <row r="20358" spans="1:6" ht="25.5">
      <c r="A20358" s="2">
        <v>20355</v>
      </c>
      <c r="B20358" s="2" t="s">
        <v>20425</v>
      </c>
      <c r="C20358" s="2" t="str">
        <f>"0044118X"</f>
        <v>0044118X</v>
      </c>
      <c r="D20358" s="2">
        <v>0.67</v>
      </c>
      <c r="E20358" s="2">
        <v>31</v>
      </c>
      <c r="F20358" s="2" t="s">
        <v>6</v>
      </c>
    </row>
    <row r="20359" spans="1:6" ht="25.5">
      <c r="A20359" s="2">
        <v>20356</v>
      </c>
      <c r="B20359" s="2" t="s">
        <v>20426</v>
      </c>
      <c r="C20359" s="2" t="str">
        <f>"14732254"</f>
        <v>14732254</v>
      </c>
      <c r="D20359" s="2">
        <v>0.498</v>
      </c>
      <c r="E20359" s="2">
        <v>8</v>
      </c>
      <c r="F20359" s="2" t="s">
        <v>6</v>
      </c>
    </row>
    <row r="20360" spans="1:6" ht="25.5">
      <c r="A20360" s="2">
        <v>20357</v>
      </c>
      <c r="B20360" s="2" t="s">
        <v>20427</v>
      </c>
      <c r="C20360" s="2" t="str">
        <f>"10382569"</f>
        <v>10382569</v>
      </c>
      <c r="D20360" s="2">
        <v>0.23899999999999999</v>
      </c>
      <c r="E20360" s="2">
        <v>5</v>
      </c>
      <c r="F20360" s="2" t="s">
        <v>127</v>
      </c>
    </row>
    <row r="20361" spans="1:6" ht="25.5">
      <c r="A20361" s="2">
        <v>20358</v>
      </c>
      <c r="B20361" s="2" t="s">
        <v>20428</v>
      </c>
      <c r="C20361" s="2" t="str">
        <f>"08929092"</f>
        <v>08929092</v>
      </c>
      <c r="D20361" s="2">
        <v>0.10299999999999999</v>
      </c>
      <c r="E20361" s="2">
        <v>1</v>
      </c>
      <c r="F20361" s="2" t="s">
        <v>16</v>
      </c>
    </row>
    <row r="20362" spans="1:6" ht="25.5">
      <c r="A20362" s="2">
        <v>20359</v>
      </c>
      <c r="B20362" s="2" t="s">
        <v>20429</v>
      </c>
      <c r="C20362" s="2" t="str">
        <f>"15412040"</f>
        <v>15412040</v>
      </c>
      <c r="D20362" s="2">
        <v>0.86</v>
      </c>
      <c r="E20362" s="2">
        <v>12</v>
      </c>
      <c r="F20362" s="2" t="s">
        <v>6</v>
      </c>
    </row>
    <row r="20363" spans="1:6" ht="25.5">
      <c r="A20363" s="2">
        <v>20360</v>
      </c>
      <c r="B20363" s="2" t="s">
        <v>20430</v>
      </c>
      <c r="C20363" s="2" t="str">
        <f>"10006931"</f>
        <v>10006931</v>
      </c>
      <c r="D20363" s="2">
        <v>0.22500000000000001</v>
      </c>
      <c r="E20363" s="2">
        <v>8</v>
      </c>
      <c r="F20363" s="2" t="s">
        <v>46</v>
      </c>
    </row>
    <row r="20364" spans="1:6" ht="25.5">
      <c r="A20364" s="2">
        <v>20361</v>
      </c>
      <c r="B20364" s="2" t="s">
        <v>20431</v>
      </c>
      <c r="C20364" s="2" t="str">
        <f>"10001328"</f>
        <v>10001328</v>
      </c>
      <c r="D20364" s="2">
        <v>0.379</v>
      </c>
      <c r="E20364" s="2">
        <v>15</v>
      </c>
      <c r="F20364" s="2" t="s">
        <v>46</v>
      </c>
    </row>
    <row r="20365" spans="1:6" ht="25.5">
      <c r="A20365" s="2">
        <v>20362</v>
      </c>
      <c r="B20365" s="2" t="s">
        <v>20432</v>
      </c>
      <c r="C20365" s="2" t="str">
        <f>"00379980"</f>
        <v>00379980</v>
      </c>
      <c r="D20365" s="2">
        <v>0.28599999999999998</v>
      </c>
      <c r="E20365" s="2">
        <v>25</v>
      </c>
      <c r="F20365" s="2" t="s">
        <v>131</v>
      </c>
    </row>
    <row r="20366" spans="1:6" ht="25.5">
      <c r="A20366" s="2">
        <v>20363</v>
      </c>
      <c r="B20366" s="2" t="s">
        <v>20433</v>
      </c>
      <c r="C20366" s="2" t="str">
        <f>"05145163"</f>
        <v>05145163</v>
      </c>
      <c r="D20366" s="2">
        <v>0.24299999999999999</v>
      </c>
      <c r="E20366" s="2">
        <v>16</v>
      </c>
      <c r="F20366" s="2" t="s">
        <v>131</v>
      </c>
    </row>
    <row r="20367" spans="1:6" ht="25.5">
      <c r="A20367" s="2">
        <v>20364</v>
      </c>
      <c r="B20367" s="2" t="s">
        <v>20434</v>
      </c>
      <c r="C20367" s="2" t="str">
        <f>"09170480"</f>
        <v>09170480</v>
      </c>
      <c r="D20367" s="2">
        <v>0.221</v>
      </c>
      <c r="E20367" s="2">
        <v>14</v>
      </c>
      <c r="F20367" s="2" t="s">
        <v>131</v>
      </c>
    </row>
    <row r="20368" spans="1:6" ht="25.5">
      <c r="A20368" s="2">
        <v>20365</v>
      </c>
      <c r="B20368" s="2" t="s">
        <v>20435</v>
      </c>
      <c r="C20368" s="2" t="str">
        <f>"15214001"</f>
        <v>15214001</v>
      </c>
      <c r="D20368" s="2">
        <v>0.61399999999999999</v>
      </c>
      <c r="E20368" s="2">
        <v>25</v>
      </c>
      <c r="F20368" s="2" t="s">
        <v>12</v>
      </c>
    </row>
    <row r="20369" spans="1:6" ht="25.5">
      <c r="A20369" s="2">
        <v>20366</v>
      </c>
      <c r="B20369" s="2" t="s">
        <v>20436</v>
      </c>
      <c r="C20369" s="2" t="str">
        <f>"05796431"</f>
        <v>05796431</v>
      </c>
      <c r="D20369" s="2">
        <v>0.114</v>
      </c>
      <c r="E20369" s="2">
        <v>2</v>
      </c>
      <c r="F20369" s="2" t="s">
        <v>212</v>
      </c>
    </row>
    <row r="20370" spans="1:6" ht="25.5">
      <c r="A20370" s="2">
        <v>20367</v>
      </c>
      <c r="B20370" s="2" t="s">
        <v>20437</v>
      </c>
      <c r="C20370" s="2" t="str">
        <f>"03502058"</f>
        <v>03502058</v>
      </c>
      <c r="D20370" s="2">
        <v>0.1</v>
      </c>
      <c r="E20370" s="2">
        <v>1</v>
      </c>
      <c r="F20370" s="2" t="s">
        <v>149</v>
      </c>
    </row>
    <row r="20371" spans="1:6" ht="25.5">
      <c r="A20371" s="2">
        <v>20368</v>
      </c>
      <c r="B20371" s="2" t="s">
        <v>20438</v>
      </c>
      <c r="C20371" s="2" t="str">
        <f>"18467520"</f>
        <v>18467520</v>
      </c>
      <c r="D20371" s="2">
        <v>0.122</v>
      </c>
      <c r="E20371" s="2">
        <v>3</v>
      </c>
      <c r="F20371" s="2" t="s">
        <v>149</v>
      </c>
    </row>
    <row r="20372" spans="1:6" ht="25.5">
      <c r="A20372" s="2">
        <v>20369</v>
      </c>
      <c r="B20372" s="2" t="s">
        <v>20439</v>
      </c>
      <c r="C20372" s="2" t="str">
        <f>"18639704"</f>
        <v>18639704</v>
      </c>
      <c r="D20372" s="2">
        <v>0.26</v>
      </c>
      <c r="E20372" s="2">
        <v>12</v>
      </c>
      <c r="F20372" s="2" t="s">
        <v>12</v>
      </c>
    </row>
    <row r="20373" spans="1:6" ht="25.5">
      <c r="A20373" s="2">
        <v>20370</v>
      </c>
      <c r="B20373" s="2" t="s">
        <v>20440</v>
      </c>
      <c r="C20373" s="2" t="str">
        <f>"03500063"</f>
        <v>03500063</v>
      </c>
      <c r="D20373" s="2">
        <v>0.12</v>
      </c>
      <c r="E20373" s="2">
        <v>4</v>
      </c>
      <c r="F20373" s="2" t="s">
        <v>154</v>
      </c>
    </row>
    <row r="20374" spans="1:6" ht="25.5">
      <c r="A20374" s="2">
        <v>20371</v>
      </c>
      <c r="B20374" s="2" t="s">
        <v>20441</v>
      </c>
      <c r="C20374" s="2" t="str">
        <f>"03510026"</f>
        <v>03510026</v>
      </c>
      <c r="D20374" s="2">
        <v>0.10100000000000001</v>
      </c>
      <c r="E20374" s="2">
        <v>1</v>
      </c>
      <c r="F20374" s="2" t="s">
        <v>154</v>
      </c>
    </row>
    <row r="20375" spans="1:6" ht="25.5">
      <c r="A20375" s="2">
        <v>20372</v>
      </c>
      <c r="B20375" s="2" t="s">
        <v>20442</v>
      </c>
      <c r="C20375" s="2" t="str">
        <f>"15458547"</f>
        <v>15458547</v>
      </c>
      <c r="D20375" s="2">
        <v>0.98199999999999998</v>
      </c>
      <c r="E20375" s="2">
        <v>19</v>
      </c>
      <c r="F20375" s="2" t="s">
        <v>6</v>
      </c>
    </row>
    <row r="20376" spans="1:6" ht="25.5">
      <c r="A20376" s="2">
        <v>20373</v>
      </c>
      <c r="B20376" s="2" t="s">
        <v>20443</v>
      </c>
      <c r="C20376" s="2" t="str">
        <f>"02565250"</f>
        <v>02565250</v>
      </c>
      <c r="D20376" s="2">
        <v>0.12</v>
      </c>
      <c r="E20376" s="2">
        <v>2</v>
      </c>
      <c r="F20376" s="2" t="s">
        <v>288</v>
      </c>
    </row>
    <row r="20377" spans="1:6" ht="25.5">
      <c r="A20377" s="2">
        <v>20374</v>
      </c>
      <c r="B20377" s="2" t="s">
        <v>20444</v>
      </c>
      <c r="C20377" s="2" t="str">
        <f>"00442968"</f>
        <v>00442968</v>
      </c>
      <c r="D20377" s="2">
        <v>0.54400000000000004</v>
      </c>
      <c r="E20377" s="2">
        <v>42</v>
      </c>
      <c r="F20377" s="2" t="s">
        <v>12</v>
      </c>
    </row>
    <row r="20378" spans="1:6" ht="25.5">
      <c r="A20378" s="2">
        <v>20375</v>
      </c>
      <c r="B20378" s="2" t="s">
        <v>20445</v>
      </c>
      <c r="C20378" s="2" t="str">
        <f>"18601804"</f>
        <v>18601804</v>
      </c>
      <c r="D20378" s="2">
        <v>0.41799999999999998</v>
      </c>
      <c r="E20378" s="2">
        <v>7</v>
      </c>
      <c r="F20378" s="2" t="s">
        <v>12</v>
      </c>
    </row>
    <row r="20379" spans="1:6" ht="25.5">
      <c r="A20379" s="2">
        <v>20376</v>
      </c>
      <c r="B20379" s="2" t="s">
        <v>20446</v>
      </c>
      <c r="C20379" s="2" t="str">
        <f>"03410137"</f>
        <v>03410137</v>
      </c>
      <c r="D20379" s="2">
        <v>0.10199999999999999</v>
      </c>
      <c r="E20379" s="2">
        <v>2</v>
      </c>
      <c r="F20379" s="2" t="s">
        <v>12</v>
      </c>
    </row>
    <row r="20380" spans="1:6" ht="25.5">
      <c r="A20380" s="2">
        <v>20377</v>
      </c>
      <c r="B20380" s="2" t="s">
        <v>20447</v>
      </c>
      <c r="C20380" s="2" t="str">
        <f>"03234096"</f>
        <v>03234096</v>
      </c>
      <c r="D20380" s="2">
        <v>0.1</v>
      </c>
      <c r="E20380" s="2">
        <v>2</v>
      </c>
      <c r="F20380" s="2" t="s">
        <v>12</v>
      </c>
    </row>
    <row r="20381" spans="1:6" ht="25.5">
      <c r="A20381" s="2">
        <v>20378</v>
      </c>
      <c r="B20381" s="2" t="s">
        <v>20448</v>
      </c>
      <c r="C20381" s="2" t="str">
        <f>"00121169"</f>
        <v>00121169</v>
      </c>
      <c r="D20381" s="2">
        <v>0.38100000000000001</v>
      </c>
      <c r="E20381" s="2">
        <v>3</v>
      </c>
      <c r="F20381" s="2" t="s">
        <v>151</v>
      </c>
    </row>
    <row r="20382" spans="1:6" ht="25.5">
      <c r="A20382" s="2">
        <v>20379</v>
      </c>
      <c r="B20382" s="2" t="s">
        <v>20449</v>
      </c>
      <c r="C20382" s="2" t="str">
        <f>"0044216X"</f>
        <v>0044216X</v>
      </c>
      <c r="D20382" s="2">
        <v>0.1</v>
      </c>
      <c r="E20382" s="2">
        <v>3</v>
      </c>
      <c r="F20382" s="2" t="s">
        <v>12</v>
      </c>
    </row>
    <row r="20383" spans="1:6" ht="25.5">
      <c r="A20383" s="2">
        <v>20380</v>
      </c>
      <c r="B20383" s="2" t="s">
        <v>20450</v>
      </c>
      <c r="C20383" s="2" t="str">
        <f>"02322064"</f>
        <v>02322064</v>
      </c>
      <c r="D20383" s="2">
        <v>0.89700000000000002</v>
      </c>
      <c r="E20383" s="2">
        <v>20</v>
      </c>
      <c r="F20383" s="2" t="s">
        <v>12</v>
      </c>
    </row>
    <row r="20384" spans="1:6" ht="25.5">
      <c r="A20384" s="2">
        <v>20381</v>
      </c>
      <c r="B20384" s="2" t="s">
        <v>20451</v>
      </c>
      <c r="C20384" s="2" t="str">
        <f>"14209039"</f>
        <v>14209039</v>
      </c>
      <c r="D20384" s="2">
        <v>0.66600000000000004</v>
      </c>
      <c r="E20384" s="2">
        <v>34</v>
      </c>
      <c r="F20384" s="2" t="s">
        <v>31</v>
      </c>
    </row>
    <row r="20385" spans="1:6" ht="25.5">
      <c r="A20385" s="2">
        <v>20382</v>
      </c>
      <c r="B20385" s="2" t="s">
        <v>20452</v>
      </c>
      <c r="C20385" s="2" t="str">
        <f>"00442305"</f>
        <v>00442305</v>
      </c>
      <c r="D20385" s="2">
        <v>0.10199999999999999</v>
      </c>
      <c r="E20385" s="2">
        <v>4</v>
      </c>
      <c r="F20385" s="2" t="s">
        <v>12</v>
      </c>
    </row>
    <row r="20386" spans="1:6" ht="25.5">
      <c r="A20386" s="2">
        <v>20383</v>
      </c>
      <c r="B20386" s="2" t="s">
        <v>20453</v>
      </c>
      <c r="C20386" s="2" t="str">
        <f>"15213749"</f>
        <v>15213749</v>
      </c>
      <c r="D20386" s="2">
        <v>0.42099999999999999</v>
      </c>
      <c r="E20386" s="2">
        <v>43</v>
      </c>
      <c r="F20386" s="2" t="s">
        <v>12</v>
      </c>
    </row>
    <row r="20387" spans="1:6" ht="25.5">
      <c r="A20387" s="2">
        <v>20384</v>
      </c>
      <c r="B20387" s="2" t="s">
        <v>20454</v>
      </c>
      <c r="C20387" s="2" t="str">
        <f>"09499571"</f>
        <v>09499571</v>
      </c>
      <c r="D20387" s="2">
        <v>0.14499999999999999</v>
      </c>
      <c r="E20387" s="2">
        <v>6</v>
      </c>
      <c r="F20387" s="2" t="s">
        <v>12</v>
      </c>
    </row>
    <row r="20388" spans="1:6" ht="25.5">
      <c r="A20388" s="2">
        <v>20385</v>
      </c>
      <c r="B20388" s="2" t="s">
        <v>20455</v>
      </c>
      <c r="C20388" s="2" t="str">
        <f>"09324089"</f>
        <v>09324089</v>
      </c>
      <c r="D20388" s="2">
        <v>0.16400000000000001</v>
      </c>
      <c r="E20388" s="2">
        <v>10</v>
      </c>
      <c r="F20388" s="2" t="s">
        <v>6</v>
      </c>
    </row>
    <row r="20389" spans="1:6" ht="25.5">
      <c r="A20389" s="2">
        <v>20386</v>
      </c>
      <c r="B20389" s="2" t="s">
        <v>20456</v>
      </c>
      <c r="C20389" s="2" t="str">
        <f>"14319292"</f>
        <v>14319292</v>
      </c>
      <c r="D20389" s="2">
        <v>0.16600000000000001</v>
      </c>
      <c r="E20389" s="2">
        <v>3</v>
      </c>
      <c r="F20389" s="2" t="s">
        <v>12</v>
      </c>
    </row>
    <row r="20390" spans="1:6" ht="25.5">
      <c r="A20390" s="2">
        <v>20387</v>
      </c>
      <c r="B20390" s="2" t="s">
        <v>20457</v>
      </c>
      <c r="C20390" s="2" t="str">
        <f>"16131150"</f>
        <v>16131150</v>
      </c>
      <c r="D20390" s="2">
        <v>0.14099999999999999</v>
      </c>
      <c r="E20390" s="2">
        <v>5</v>
      </c>
      <c r="F20390" s="2" t="s">
        <v>12</v>
      </c>
    </row>
    <row r="20391" spans="1:6" ht="25.5">
      <c r="A20391" s="2">
        <v>20388</v>
      </c>
      <c r="B20391" s="2" t="s">
        <v>20458</v>
      </c>
      <c r="C20391" s="2" t="str">
        <f>"00442380"</f>
        <v>00442380</v>
      </c>
      <c r="D20391" s="2">
        <v>0.123</v>
      </c>
      <c r="E20391" s="2">
        <v>4</v>
      </c>
      <c r="F20391" s="2" t="s">
        <v>12</v>
      </c>
    </row>
    <row r="20392" spans="1:6" ht="25.5">
      <c r="A20392" s="2">
        <v>20389</v>
      </c>
      <c r="B20392" s="2" t="s">
        <v>20459</v>
      </c>
      <c r="C20392" s="2" t="str">
        <f>"1865889X"</f>
        <v>1865889X</v>
      </c>
      <c r="D20392" s="2">
        <v>0.10299999999999999</v>
      </c>
      <c r="E20392" s="2">
        <v>0</v>
      </c>
      <c r="F20392" s="2" t="s">
        <v>12</v>
      </c>
    </row>
    <row r="20393" spans="1:6" ht="25.5">
      <c r="A20393" s="2">
        <v>20390</v>
      </c>
      <c r="B20393" s="2" t="s">
        <v>20460</v>
      </c>
      <c r="C20393" s="2" t="str">
        <f>"00442496"</f>
        <v>00442496</v>
      </c>
      <c r="D20393" s="2">
        <v>0.1</v>
      </c>
      <c r="E20393" s="2">
        <v>3</v>
      </c>
      <c r="F20393" s="2" t="s">
        <v>12</v>
      </c>
    </row>
    <row r="20394" spans="1:6" ht="25.5">
      <c r="A20394" s="2">
        <v>20391</v>
      </c>
      <c r="B20394" s="2" t="s">
        <v>20461</v>
      </c>
      <c r="C20394" s="2" t="str">
        <f>"00442518"</f>
        <v>00442518</v>
      </c>
      <c r="D20394" s="2">
        <v>0.1</v>
      </c>
      <c r="E20394" s="2">
        <v>3</v>
      </c>
      <c r="F20394" s="2" t="s">
        <v>12</v>
      </c>
    </row>
    <row r="20395" spans="1:6" ht="25.5">
      <c r="A20395" s="2">
        <v>20392</v>
      </c>
      <c r="B20395" s="2" t="s">
        <v>20462</v>
      </c>
      <c r="C20395" s="2" t="str">
        <f>"00441449"</f>
        <v>00441449</v>
      </c>
      <c r="D20395" s="2">
        <v>0.156</v>
      </c>
      <c r="E20395" s="2">
        <v>4</v>
      </c>
      <c r="F20395" s="2" t="s">
        <v>12</v>
      </c>
    </row>
    <row r="20396" spans="1:6" ht="25.5">
      <c r="A20396" s="2">
        <v>20393</v>
      </c>
      <c r="B20396" s="2" t="s">
        <v>20463</v>
      </c>
      <c r="C20396" s="2" t="str">
        <f>"16130103"</f>
        <v>16130103</v>
      </c>
      <c r="D20396" s="2">
        <v>0.42199999999999999</v>
      </c>
      <c r="E20396" s="2">
        <v>5</v>
      </c>
      <c r="F20396" s="2" t="s">
        <v>12</v>
      </c>
    </row>
    <row r="20397" spans="1:6" ht="25.5">
      <c r="A20397" s="2">
        <v>20394</v>
      </c>
      <c r="B20397" s="2" t="s">
        <v>20464</v>
      </c>
      <c r="C20397" s="2" t="str">
        <f>"18659748"</f>
        <v>18659748</v>
      </c>
      <c r="D20397" s="2">
        <v>0.19500000000000001</v>
      </c>
      <c r="E20397" s="2">
        <v>2</v>
      </c>
      <c r="F20397" s="2" t="s">
        <v>12</v>
      </c>
    </row>
    <row r="20398" spans="1:6" ht="25.5">
      <c r="A20398" s="2">
        <v>20395</v>
      </c>
      <c r="B20398" s="2" t="s">
        <v>20465</v>
      </c>
      <c r="C20398" s="2" t="str">
        <f>"1613009X"</f>
        <v>1613009X</v>
      </c>
      <c r="D20398" s="2">
        <v>0.1</v>
      </c>
      <c r="E20398" s="2">
        <v>4</v>
      </c>
      <c r="F20398" s="2" t="s">
        <v>12</v>
      </c>
    </row>
    <row r="20399" spans="1:6" ht="25.5">
      <c r="A20399" s="2">
        <v>20396</v>
      </c>
      <c r="B20399" s="2" t="s">
        <v>20466</v>
      </c>
      <c r="C20399" s="2" t="str">
        <f>"00498637"</f>
        <v>00498637</v>
      </c>
      <c r="D20399" s="2">
        <v>0.26100000000000001</v>
      </c>
      <c r="E20399" s="2">
        <v>13</v>
      </c>
      <c r="F20399" s="2" t="s">
        <v>6</v>
      </c>
    </row>
    <row r="20400" spans="1:6" ht="25.5">
      <c r="A20400" s="2">
        <v>20397</v>
      </c>
      <c r="B20400" s="2" t="s">
        <v>20467</v>
      </c>
      <c r="C20400" s="2" t="str">
        <f>"16176782"</f>
        <v>16176782</v>
      </c>
      <c r="D20400" s="2">
        <v>0.13500000000000001</v>
      </c>
      <c r="E20400" s="2">
        <v>3</v>
      </c>
      <c r="F20400" s="2" t="s">
        <v>12</v>
      </c>
    </row>
    <row r="20401" spans="1:6" ht="25.5">
      <c r="A20401" s="2">
        <v>20398</v>
      </c>
      <c r="B20401" s="2" t="s">
        <v>20468</v>
      </c>
      <c r="C20401" s="2" t="str">
        <f>"18625215"</f>
        <v>18625215</v>
      </c>
      <c r="D20401" s="2">
        <v>0.39500000000000002</v>
      </c>
      <c r="E20401" s="2">
        <v>5</v>
      </c>
      <c r="F20401" s="2" t="s">
        <v>12</v>
      </c>
    </row>
    <row r="20402" spans="1:6" ht="25.5">
      <c r="A20402" s="2">
        <v>20399</v>
      </c>
      <c r="B20402" s="2" t="s">
        <v>20469</v>
      </c>
      <c r="C20402" s="2" t="str">
        <f>"00442666"</f>
        <v>00442666</v>
      </c>
      <c r="D20402" s="2">
        <v>0.14099999999999999</v>
      </c>
      <c r="E20402" s="2">
        <v>3</v>
      </c>
      <c r="F20402" s="2" t="s">
        <v>12</v>
      </c>
    </row>
    <row r="20403" spans="1:6" ht="25.5">
      <c r="A20403" s="2">
        <v>20400</v>
      </c>
      <c r="B20403" s="2" t="s">
        <v>20470</v>
      </c>
      <c r="C20403" s="2" t="str">
        <f>"16195515"</f>
        <v>16195515</v>
      </c>
      <c r="D20403" s="2">
        <v>0.104</v>
      </c>
      <c r="E20403" s="2">
        <v>3</v>
      </c>
      <c r="F20403" s="2" t="s">
        <v>12</v>
      </c>
    </row>
    <row r="20404" spans="1:6" ht="25.5">
      <c r="A20404" s="2">
        <v>20401</v>
      </c>
      <c r="B20404" s="2" t="s">
        <v>20471</v>
      </c>
      <c r="C20404" s="2" t="str">
        <f>"00442674"</f>
        <v>00442674</v>
      </c>
      <c r="D20404" s="2">
        <v>0.123</v>
      </c>
      <c r="E20404" s="2">
        <v>2</v>
      </c>
      <c r="F20404" s="2" t="s">
        <v>12</v>
      </c>
    </row>
    <row r="20405" spans="1:6" ht="25.5">
      <c r="A20405" s="2">
        <v>20402</v>
      </c>
      <c r="B20405" s="2" t="s">
        <v>20472</v>
      </c>
      <c r="C20405" s="2" t="str">
        <f>"18659217"</f>
        <v>18659217</v>
      </c>
      <c r="D20405" s="2">
        <v>0.23899999999999999</v>
      </c>
      <c r="E20405" s="2">
        <v>19</v>
      </c>
      <c r="F20405" s="2" t="s">
        <v>12</v>
      </c>
    </row>
    <row r="20406" spans="1:6" ht="25.5">
      <c r="A20406" s="2">
        <v>20403</v>
      </c>
      <c r="B20406" s="2" t="s">
        <v>20473</v>
      </c>
      <c r="C20406" s="2" t="str">
        <f>"14372940"</f>
        <v>14372940</v>
      </c>
      <c r="D20406" s="2">
        <v>0.26300000000000001</v>
      </c>
      <c r="E20406" s="2">
        <v>3</v>
      </c>
      <c r="F20406" s="2" t="s">
        <v>12</v>
      </c>
    </row>
    <row r="20407" spans="1:6" ht="25.5">
      <c r="A20407" s="2">
        <v>20404</v>
      </c>
      <c r="B20407" s="2" t="s">
        <v>20474</v>
      </c>
      <c r="C20407" s="2" t="str">
        <f>"09467998"</f>
        <v>09467998</v>
      </c>
      <c r="D20407" s="2">
        <v>0.312</v>
      </c>
      <c r="E20407" s="2">
        <v>3</v>
      </c>
      <c r="F20407" s="2" t="s">
        <v>12</v>
      </c>
    </row>
    <row r="20408" spans="1:6" ht="25.5">
      <c r="A20408" s="2">
        <v>20405</v>
      </c>
      <c r="B20408" s="2" t="s">
        <v>20475</v>
      </c>
      <c r="C20408" s="2" t="str">
        <f>"00442747"</f>
        <v>00442747</v>
      </c>
      <c r="D20408" s="2">
        <v>0.111</v>
      </c>
      <c r="E20408" s="2">
        <v>3</v>
      </c>
      <c r="F20408" s="2" t="s">
        <v>12</v>
      </c>
    </row>
    <row r="20409" spans="1:6" ht="25.5">
      <c r="A20409" s="2">
        <v>20406</v>
      </c>
      <c r="B20409" s="2" t="s">
        <v>20476</v>
      </c>
      <c r="C20409" s="2" t="str">
        <f>"14397803"</f>
        <v>14397803</v>
      </c>
      <c r="D20409" s="2">
        <v>0.34200000000000003</v>
      </c>
      <c r="E20409" s="2">
        <v>36</v>
      </c>
      <c r="F20409" s="2" t="s">
        <v>12</v>
      </c>
    </row>
    <row r="20410" spans="1:6" ht="25.5">
      <c r="A20410" s="2">
        <v>20407</v>
      </c>
      <c r="B20410" s="2" t="s">
        <v>20477</v>
      </c>
      <c r="C20410" s="2" t="str">
        <f>"14391651"</f>
        <v>14391651</v>
      </c>
      <c r="D20410" s="2">
        <v>0.20100000000000001</v>
      </c>
      <c r="E20410" s="2">
        <v>13</v>
      </c>
      <c r="F20410" s="2" t="s">
        <v>12</v>
      </c>
    </row>
    <row r="20411" spans="1:6" ht="25.5">
      <c r="A20411" s="2">
        <v>20408</v>
      </c>
      <c r="B20411" s="2" t="s">
        <v>20478</v>
      </c>
      <c r="C20411" s="2" t="str">
        <f>"18129501"</f>
        <v>18129501</v>
      </c>
      <c r="D20411" s="2">
        <v>0.122</v>
      </c>
      <c r="E20411" s="2">
        <v>3</v>
      </c>
      <c r="F20411" s="2" t="s">
        <v>288</v>
      </c>
    </row>
    <row r="20412" spans="1:6" ht="25.5">
      <c r="A20412" s="2">
        <v>20409</v>
      </c>
      <c r="B20412" s="2" t="s">
        <v>20479</v>
      </c>
      <c r="C20412" s="2" t="str">
        <f>"03728854"</f>
        <v>03728854</v>
      </c>
      <c r="D20412" s="2">
        <v>0.308</v>
      </c>
      <c r="E20412" s="2">
        <v>21</v>
      </c>
      <c r="F20412" s="2" t="s">
        <v>12</v>
      </c>
    </row>
    <row r="20413" spans="1:6" ht="25.5">
      <c r="A20413" s="2">
        <v>20410</v>
      </c>
      <c r="B20413" s="2" t="s">
        <v>20480</v>
      </c>
      <c r="C20413" s="2" t="str">
        <f>"03237982"</f>
        <v>03237982</v>
      </c>
      <c r="D20413" s="2">
        <v>0.1</v>
      </c>
      <c r="E20413" s="2">
        <v>2</v>
      </c>
      <c r="F20413" s="2" t="s">
        <v>31</v>
      </c>
    </row>
    <row r="20414" spans="1:6" ht="25.5">
      <c r="A20414" s="2">
        <v>20411</v>
      </c>
      <c r="B20414" s="2" t="s">
        <v>20481</v>
      </c>
      <c r="C20414" s="2" t="str">
        <f>"03013294"</f>
        <v>03013294</v>
      </c>
      <c r="D20414" s="2">
        <v>0.109</v>
      </c>
      <c r="E20414" s="2">
        <v>3</v>
      </c>
      <c r="F20414" s="2" t="s">
        <v>12</v>
      </c>
    </row>
    <row r="20415" spans="1:6" ht="25.5">
      <c r="A20415" s="2">
        <v>20412</v>
      </c>
      <c r="B20415" s="2" t="s">
        <v>20482</v>
      </c>
      <c r="C20415" s="2" t="str">
        <f>"14351269"</f>
        <v>14351269</v>
      </c>
      <c r="D20415" s="2">
        <v>0.19600000000000001</v>
      </c>
      <c r="E20415" s="2">
        <v>24</v>
      </c>
      <c r="F20415" s="2" t="s">
        <v>12</v>
      </c>
    </row>
    <row r="20416" spans="1:6" ht="25.5">
      <c r="A20416" s="2">
        <v>20413</v>
      </c>
      <c r="B20416" s="2" t="s">
        <v>20483</v>
      </c>
      <c r="C20416" s="2" t="str">
        <f>"00442828"</f>
        <v>00442828</v>
      </c>
      <c r="D20416" s="2">
        <v>0.185</v>
      </c>
      <c r="E20416" s="2">
        <v>4</v>
      </c>
      <c r="F20416" s="2" t="s">
        <v>12</v>
      </c>
    </row>
    <row r="20417" spans="1:6" ht="25.5">
      <c r="A20417" s="2">
        <v>20414</v>
      </c>
      <c r="B20417" s="2" t="s">
        <v>20484</v>
      </c>
      <c r="C20417" s="2" t="str">
        <f>"09438149"</f>
        <v>09438149</v>
      </c>
      <c r="D20417" s="2">
        <v>0.2</v>
      </c>
      <c r="E20417" s="2">
        <v>4</v>
      </c>
      <c r="F20417" s="2" t="s">
        <v>6</v>
      </c>
    </row>
    <row r="20418" spans="1:6" ht="25.5">
      <c r="A20418" s="2">
        <v>20415</v>
      </c>
      <c r="B20418" s="2" t="s">
        <v>20485</v>
      </c>
      <c r="C20418" s="2" t="str">
        <f>"16132238"</f>
        <v>16132238</v>
      </c>
      <c r="D20418" s="2">
        <v>0.27200000000000002</v>
      </c>
      <c r="E20418" s="2">
        <v>15</v>
      </c>
      <c r="F20418" s="2" t="s">
        <v>12</v>
      </c>
    </row>
    <row r="20419" spans="1:6" ht="25.5">
      <c r="A20419" s="2">
        <v>20416</v>
      </c>
      <c r="B20419" s="2" t="s">
        <v>20486</v>
      </c>
      <c r="C20419" s="2" t="str">
        <f>"14351277"</f>
        <v>14351277</v>
      </c>
      <c r="D20419" s="2">
        <v>0.125</v>
      </c>
      <c r="E20419" s="2">
        <v>5</v>
      </c>
      <c r="F20419" s="2" t="s">
        <v>12</v>
      </c>
    </row>
    <row r="20420" spans="1:6" ht="25.5">
      <c r="A20420" s="2">
        <v>20417</v>
      </c>
      <c r="B20420" s="2" t="s">
        <v>20487</v>
      </c>
      <c r="C20420" s="2" t="str">
        <f>"03400174"</f>
        <v>03400174</v>
      </c>
      <c r="D20420" s="2">
        <v>0.115</v>
      </c>
      <c r="E20420" s="2">
        <v>5</v>
      </c>
      <c r="F20420" s="2" t="s">
        <v>12</v>
      </c>
    </row>
    <row r="20421" spans="1:6" ht="25.5">
      <c r="A20421" s="2">
        <v>20418</v>
      </c>
      <c r="B20421" s="2" t="s">
        <v>20488</v>
      </c>
      <c r="C20421" s="2" t="str">
        <f>"16147650"</f>
        <v>16147650</v>
      </c>
      <c r="D20421" s="2">
        <v>0.10100000000000001</v>
      </c>
      <c r="E20421" s="2">
        <v>1</v>
      </c>
      <c r="F20421" s="2" t="s">
        <v>12</v>
      </c>
    </row>
    <row r="20422" spans="1:6" ht="25.5">
      <c r="A20422" s="2">
        <v>20419</v>
      </c>
      <c r="B20422" s="2" t="s">
        <v>20489</v>
      </c>
      <c r="C20422" s="2" t="str">
        <f>"14224917"</f>
        <v>14224917</v>
      </c>
      <c r="D20422" s="2">
        <v>0.42299999999999999</v>
      </c>
      <c r="E20422" s="2">
        <v>16</v>
      </c>
      <c r="F20422" s="2" t="s">
        <v>31</v>
      </c>
    </row>
    <row r="20423" spans="1:6" ht="25.5">
      <c r="A20423" s="2">
        <v>20420</v>
      </c>
      <c r="B20423" s="2" t="s">
        <v>20490</v>
      </c>
      <c r="C20423" s="2" t="str">
        <f>"00442925"</f>
        <v>00442925</v>
      </c>
      <c r="D20423" s="2">
        <v>0.10299999999999999</v>
      </c>
      <c r="E20423" s="2">
        <v>2</v>
      </c>
      <c r="F20423" s="2" t="s">
        <v>12</v>
      </c>
    </row>
    <row r="20424" spans="1:6" ht="25.5">
      <c r="A20424" s="2">
        <v>20421</v>
      </c>
      <c r="B20424" s="2" t="s">
        <v>20491</v>
      </c>
      <c r="C20424" s="2" t="str">
        <f>"16163443"</f>
        <v>16163443</v>
      </c>
      <c r="D20424" s="2">
        <v>0.23100000000000001</v>
      </c>
      <c r="E20424" s="2">
        <v>19</v>
      </c>
      <c r="F20424" s="2" t="s">
        <v>12</v>
      </c>
    </row>
    <row r="20425" spans="1:6" ht="25.5">
      <c r="A20425" s="2">
        <v>20422</v>
      </c>
      <c r="B20425" s="2" t="s">
        <v>20492</v>
      </c>
      <c r="C20425" s="2" t="str">
        <f>"14337266"</f>
        <v>14337266</v>
      </c>
      <c r="D20425" s="2">
        <v>0.13400000000000001</v>
      </c>
      <c r="E20425" s="2">
        <v>21</v>
      </c>
      <c r="F20425" s="2" t="s">
        <v>12</v>
      </c>
    </row>
    <row r="20426" spans="1:6" ht="25.5">
      <c r="A20426" s="2">
        <v>20423</v>
      </c>
      <c r="B20426" s="2" t="s">
        <v>20493</v>
      </c>
      <c r="C20426" s="2" t="str">
        <f>"00442992"</f>
        <v>00442992</v>
      </c>
      <c r="D20426" s="2">
        <v>0.1</v>
      </c>
      <c r="E20426" s="2">
        <v>4</v>
      </c>
      <c r="F20426" s="2" t="s">
        <v>12</v>
      </c>
    </row>
    <row r="20427" spans="1:6" ht="25.5">
      <c r="A20427" s="2">
        <v>20424</v>
      </c>
      <c r="B20427" s="2" t="s">
        <v>20494</v>
      </c>
      <c r="C20427" s="2" t="str">
        <f>"09393889"</f>
        <v>09393889</v>
      </c>
      <c r="D20427" s="2">
        <v>0.40600000000000003</v>
      </c>
      <c r="E20427" s="2">
        <v>15</v>
      </c>
      <c r="F20427" s="2" t="s">
        <v>12</v>
      </c>
    </row>
    <row r="20428" spans="1:6" ht="25.5">
      <c r="A20428" s="2">
        <v>20425</v>
      </c>
      <c r="B20428" s="2" t="s">
        <v>20495</v>
      </c>
      <c r="C20428" s="2" t="str">
        <f>"09405569"</f>
        <v>09405569</v>
      </c>
      <c r="D20428" s="2">
        <v>0.14799999999999999</v>
      </c>
      <c r="E20428" s="2">
        <v>3</v>
      </c>
      <c r="F20428" s="2" t="s">
        <v>75</v>
      </c>
    </row>
    <row r="20429" spans="1:6" ht="25.5">
      <c r="A20429" s="2">
        <v>20426</v>
      </c>
      <c r="B20429" s="2" t="s">
        <v>20496</v>
      </c>
      <c r="C20429" s="2" t="str">
        <f>"09320784"</f>
        <v>09320784</v>
      </c>
      <c r="D20429" s="2">
        <v>0.47499999999999998</v>
      </c>
      <c r="E20429" s="2">
        <v>34</v>
      </c>
      <c r="F20429" s="2" t="s">
        <v>12</v>
      </c>
    </row>
    <row r="20430" spans="1:6" ht="25.5">
      <c r="A20430" s="2">
        <v>20427</v>
      </c>
      <c r="B20430" s="2" t="s">
        <v>20497</v>
      </c>
      <c r="C20430" s="2" t="str">
        <f>"09320776"</f>
        <v>09320776</v>
      </c>
      <c r="D20430" s="2">
        <v>0.28799999999999998</v>
      </c>
      <c r="E20430" s="2">
        <v>32</v>
      </c>
      <c r="F20430" s="2" t="s">
        <v>12</v>
      </c>
    </row>
    <row r="20431" spans="1:6" ht="25.5">
      <c r="A20431" s="2">
        <v>20428</v>
      </c>
      <c r="B20431" s="2" t="s">
        <v>20498</v>
      </c>
      <c r="C20431" s="2" t="str">
        <f>"09395075"</f>
        <v>09395075</v>
      </c>
      <c r="D20431" s="2">
        <v>0.24399999999999999</v>
      </c>
      <c r="E20431" s="2">
        <v>39</v>
      </c>
      <c r="F20431" s="2" t="s">
        <v>12</v>
      </c>
    </row>
    <row r="20432" spans="1:6" ht="25.5">
      <c r="A20432" s="2">
        <v>20429</v>
      </c>
      <c r="B20432" s="2" t="s">
        <v>20499</v>
      </c>
      <c r="C20432" s="2" t="str">
        <f>"18646697"</f>
        <v>18646697</v>
      </c>
      <c r="D20432" s="2">
        <v>0.27700000000000002</v>
      </c>
      <c r="E20432" s="2">
        <v>27</v>
      </c>
      <c r="F20432" s="2" t="s">
        <v>12</v>
      </c>
    </row>
    <row r="20433" spans="1:6" ht="25.5">
      <c r="A20433" s="2">
        <v>20430</v>
      </c>
      <c r="B20433" s="2" t="s">
        <v>20500</v>
      </c>
      <c r="C20433" s="2" t="str">
        <f>"00443247"</f>
        <v>00443247</v>
      </c>
      <c r="D20433" s="2">
        <v>0.27600000000000002</v>
      </c>
      <c r="E20433" s="2">
        <v>10</v>
      </c>
      <c r="F20433" s="2" t="s">
        <v>12</v>
      </c>
    </row>
    <row r="20434" spans="1:6" ht="25.5">
      <c r="A20434" s="2">
        <v>20431</v>
      </c>
      <c r="B20434" s="2" t="s">
        <v>20501</v>
      </c>
      <c r="C20434" s="2" t="str">
        <f>"05142717"</f>
        <v>05142717</v>
      </c>
      <c r="D20434" s="2">
        <v>0.14699999999999999</v>
      </c>
      <c r="E20434" s="2">
        <v>2</v>
      </c>
      <c r="F20434" s="2" t="s">
        <v>12</v>
      </c>
    </row>
    <row r="20435" spans="1:6" ht="25.5">
      <c r="A20435" s="2">
        <v>20432</v>
      </c>
      <c r="B20435" s="2" t="s">
        <v>20502</v>
      </c>
      <c r="C20435" s="2" t="str">
        <f>"10100652"</f>
        <v>10100652</v>
      </c>
      <c r="D20435" s="2">
        <v>1.0309999999999999</v>
      </c>
      <c r="E20435" s="2">
        <v>18</v>
      </c>
      <c r="F20435" s="2" t="s">
        <v>31</v>
      </c>
    </row>
    <row r="20436" spans="1:6" ht="25.5">
      <c r="A20436" s="2">
        <v>20433</v>
      </c>
      <c r="B20436" s="2" t="s">
        <v>20503</v>
      </c>
      <c r="C20436" s="2" t="str">
        <f>"01796437"</f>
        <v>01796437</v>
      </c>
      <c r="D20436" s="2">
        <v>0.16800000000000001</v>
      </c>
      <c r="E20436" s="2">
        <v>5</v>
      </c>
      <c r="F20436" s="2" t="s">
        <v>12</v>
      </c>
    </row>
    <row r="20437" spans="1:6" ht="25.5">
      <c r="A20437" s="2">
        <v>20434</v>
      </c>
      <c r="B20437" s="2" t="s">
        <v>20504</v>
      </c>
      <c r="C20437" s="2" t="str">
        <f>"00443301"</f>
        <v>00443301</v>
      </c>
      <c r="D20437" s="2">
        <v>0.111</v>
      </c>
      <c r="E20437" s="2">
        <v>2</v>
      </c>
      <c r="F20437" s="2" t="s">
        <v>12</v>
      </c>
    </row>
    <row r="20438" spans="1:6" ht="25.5">
      <c r="A20438" s="2">
        <v>20435</v>
      </c>
      <c r="B20438" s="2" t="s">
        <v>20505</v>
      </c>
      <c r="C20438" s="2" t="str">
        <f>"09429352"</f>
        <v>09429352</v>
      </c>
      <c r="D20438" s="2">
        <v>0.438</v>
      </c>
      <c r="E20438" s="2">
        <v>35</v>
      </c>
      <c r="F20438" s="2" t="s">
        <v>12</v>
      </c>
    </row>
    <row r="20439" spans="1:6" ht="25.5">
      <c r="A20439" s="2">
        <v>20436</v>
      </c>
      <c r="B20439" s="2" t="s">
        <v>20506</v>
      </c>
      <c r="C20439" s="2" t="str">
        <f>"0722348X"</f>
        <v>0722348X</v>
      </c>
      <c r="D20439" s="2">
        <v>0.157</v>
      </c>
      <c r="E20439" s="2">
        <v>10</v>
      </c>
      <c r="F20439" s="2" t="s">
        <v>12</v>
      </c>
    </row>
    <row r="20440" spans="1:6" ht="25.5">
      <c r="A20440" s="2">
        <v>20437</v>
      </c>
      <c r="B20440" s="2" t="s">
        <v>20507</v>
      </c>
      <c r="C20440" s="2" t="str">
        <f>"16614747"</f>
        <v>16614747</v>
      </c>
      <c r="D20440" s="2">
        <v>0.308</v>
      </c>
      <c r="E20440" s="2">
        <v>17</v>
      </c>
      <c r="F20440" s="2" t="s">
        <v>31</v>
      </c>
    </row>
    <row r="20441" spans="1:6" ht="25.5">
      <c r="A20441" s="2">
        <v>20438</v>
      </c>
      <c r="B20441" s="2" t="s">
        <v>20508</v>
      </c>
      <c r="C20441" s="2" t="str">
        <f>"14383608"</f>
        <v>14383608</v>
      </c>
      <c r="D20441" s="2">
        <v>0.34699999999999998</v>
      </c>
      <c r="E20441" s="2">
        <v>19</v>
      </c>
      <c r="F20441" s="2" t="s">
        <v>12</v>
      </c>
    </row>
    <row r="20442" spans="1:6" ht="25.5">
      <c r="A20442" s="2">
        <v>20439</v>
      </c>
      <c r="B20442" s="2" t="s">
        <v>20509</v>
      </c>
      <c r="C20442" s="2" t="str">
        <f>"15700739"</f>
        <v>15700739</v>
      </c>
      <c r="D20442" s="2">
        <v>0.1</v>
      </c>
      <c r="E20442" s="2">
        <v>3</v>
      </c>
      <c r="F20442" s="2" t="s">
        <v>75</v>
      </c>
    </row>
    <row r="20443" spans="1:6" ht="25.5">
      <c r="A20443" s="2">
        <v>20440</v>
      </c>
      <c r="B20443" s="2" t="s">
        <v>20510</v>
      </c>
      <c r="C20443" s="2" t="str">
        <f>"14351250"</f>
        <v>14351250</v>
      </c>
      <c r="D20443" s="2">
        <v>0.15</v>
      </c>
      <c r="E20443" s="2">
        <v>31</v>
      </c>
      <c r="F20443" s="2" t="s">
        <v>12</v>
      </c>
    </row>
    <row r="20444" spans="1:6" ht="25.5">
      <c r="A20444" s="2">
        <v>20441</v>
      </c>
      <c r="B20444" s="2" t="s">
        <v>20511</v>
      </c>
      <c r="C20444" s="2" t="str">
        <f>"00498661"</f>
        <v>00498661</v>
      </c>
      <c r="D20444" s="2">
        <v>0.121</v>
      </c>
      <c r="E20444" s="2">
        <v>5</v>
      </c>
      <c r="F20444" s="2" t="s">
        <v>12</v>
      </c>
    </row>
    <row r="20445" spans="1:6" ht="25.5">
      <c r="A20445" s="2">
        <v>20442</v>
      </c>
      <c r="B20445" s="2" t="s">
        <v>20512</v>
      </c>
      <c r="C20445" s="2" t="str">
        <f>"01706241"</f>
        <v>01706241</v>
      </c>
      <c r="D20445" s="2">
        <v>0.1</v>
      </c>
      <c r="E20445" s="2">
        <v>2</v>
      </c>
      <c r="F20445" s="2" t="s">
        <v>12</v>
      </c>
    </row>
    <row r="20446" spans="1:6" ht="25.5">
      <c r="A20446" s="2">
        <v>20443</v>
      </c>
      <c r="B20446" s="2" t="s">
        <v>20513</v>
      </c>
      <c r="C20446" s="2" t="str">
        <f>"09328114"</f>
        <v>09328114</v>
      </c>
      <c r="D20446" s="2">
        <v>0.218</v>
      </c>
      <c r="E20446" s="2">
        <v>4</v>
      </c>
      <c r="F20446" s="2" t="s">
        <v>12</v>
      </c>
    </row>
    <row r="20447" spans="1:6" ht="25.5">
      <c r="A20447" s="2">
        <v>20444</v>
      </c>
      <c r="B20447" s="2" t="s">
        <v>20514</v>
      </c>
      <c r="C20447" s="2" t="str">
        <f>"00443492"</f>
        <v>00443492</v>
      </c>
      <c r="D20447" s="2">
        <v>0.10100000000000001</v>
      </c>
      <c r="E20447" s="2">
        <v>2</v>
      </c>
      <c r="F20447" s="2" t="s">
        <v>12</v>
      </c>
    </row>
    <row r="20448" spans="1:6" ht="25.5">
      <c r="A20448" s="2">
        <v>20445</v>
      </c>
      <c r="B20448" s="2" t="s">
        <v>20515</v>
      </c>
      <c r="C20448" s="2" t="str">
        <f>"00443506"</f>
        <v>00443506</v>
      </c>
      <c r="D20448" s="2">
        <v>0.115</v>
      </c>
      <c r="E20448" s="2">
        <v>2</v>
      </c>
      <c r="F20448" s="2" t="s">
        <v>12</v>
      </c>
    </row>
    <row r="20449" spans="1:6" ht="25.5">
      <c r="A20449" s="2">
        <v>20446</v>
      </c>
      <c r="B20449" s="2" t="s">
        <v>20516</v>
      </c>
      <c r="C20449" s="2" t="str">
        <f>"03401804"</f>
        <v>03401804</v>
      </c>
      <c r="D20449" s="2">
        <v>0.629</v>
      </c>
      <c r="E20449" s="2">
        <v>17</v>
      </c>
      <c r="F20449" s="2" t="s">
        <v>12</v>
      </c>
    </row>
    <row r="20450" spans="1:6" ht="25.5">
      <c r="A20450" s="2">
        <v>20447</v>
      </c>
      <c r="B20450" s="2" t="s">
        <v>20517</v>
      </c>
      <c r="C20450" s="2" t="str">
        <f>"14361957"</f>
        <v>14361957</v>
      </c>
      <c r="D20450" s="2">
        <v>0.25</v>
      </c>
      <c r="E20450" s="2">
        <v>4</v>
      </c>
      <c r="F20450" s="2" t="s">
        <v>12</v>
      </c>
    </row>
    <row r="20451" spans="1:6" ht="25.5">
      <c r="A20451" s="2">
        <v>20448</v>
      </c>
      <c r="B20451" s="2" t="s">
        <v>20518</v>
      </c>
      <c r="C20451" s="2" t="str">
        <f>"16125010"</f>
        <v>16125010</v>
      </c>
      <c r="D20451" s="2">
        <v>0.17299999999999999</v>
      </c>
      <c r="E20451" s="2">
        <v>4</v>
      </c>
      <c r="F20451" s="2" t="s">
        <v>6</v>
      </c>
    </row>
    <row r="20452" spans="1:6" ht="25.5">
      <c r="A20452" s="2">
        <v>20449</v>
      </c>
      <c r="B20452" s="2" t="s">
        <v>20519</v>
      </c>
      <c r="C20452" s="2" t="str">
        <f>"07219067"</f>
        <v>07219067</v>
      </c>
      <c r="D20452" s="2">
        <v>0.23699999999999999</v>
      </c>
      <c r="E20452" s="2">
        <v>4</v>
      </c>
      <c r="F20452" s="2" t="s">
        <v>12</v>
      </c>
    </row>
    <row r="20453" spans="1:6" ht="25.5">
      <c r="A20453" s="2">
        <v>20450</v>
      </c>
      <c r="B20453" s="2" t="s">
        <v>20520</v>
      </c>
      <c r="C20453" s="2" t="str">
        <f>"00443549"</f>
        <v>00443549</v>
      </c>
      <c r="D20453" s="2">
        <v>0.13800000000000001</v>
      </c>
      <c r="E20453" s="2">
        <v>3</v>
      </c>
      <c r="F20453" s="2" t="s">
        <v>12</v>
      </c>
    </row>
    <row r="20454" spans="1:6" ht="25.5">
      <c r="A20454" s="2">
        <v>20451</v>
      </c>
      <c r="B20454" s="2" t="s">
        <v>20521</v>
      </c>
      <c r="C20454" s="2" t="str">
        <f>"00443700"</f>
        <v>00443700</v>
      </c>
      <c r="D20454" s="2">
        <v>0.14799999999999999</v>
      </c>
      <c r="E20454" s="2">
        <v>4</v>
      </c>
      <c r="F20454" s="2" t="s">
        <v>12</v>
      </c>
    </row>
    <row r="20455" spans="1:6" ht="25.5">
      <c r="A20455" s="2">
        <v>20452</v>
      </c>
      <c r="B20455" s="2" t="s">
        <v>20522</v>
      </c>
      <c r="C20455" s="2" t="str">
        <f>"00443751"</f>
        <v>00443751</v>
      </c>
      <c r="D20455" s="2">
        <v>0.127</v>
      </c>
      <c r="E20455" s="2">
        <v>11</v>
      </c>
      <c r="F20455" s="2" t="s">
        <v>12</v>
      </c>
    </row>
    <row r="20456" spans="1:6" ht="25.5">
      <c r="A20456" s="2">
        <v>20453</v>
      </c>
      <c r="B20456" s="2" t="s">
        <v>20523</v>
      </c>
      <c r="C20456" s="2" t="str">
        <f>"1439670X"</f>
        <v>1439670X</v>
      </c>
      <c r="D20456" s="2">
        <v>0.112</v>
      </c>
      <c r="E20456" s="2">
        <v>4</v>
      </c>
      <c r="F20456" s="2" t="s">
        <v>12</v>
      </c>
    </row>
    <row r="20457" spans="1:6" ht="25.5">
      <c r="A20457" s="2">
        <v>20454</v>
      </c>
      <c r="B20457" s="2" t="s">
        <v>20524</v>
      </c>
      <c r="C20457" s="2" t="str">
        <f>"01773348"</f>
        <v>01773348</v>
      </c>
      <c r="D20457" s="2">
        <v>0.10299999999999999</v>
      </c>
      <c r="E20457" s="2">
        <v>0</v>
      </c>
      <c r="F20457" s="2" t="s">
        <v>12</v>
      </c>
    </row>
    <row r="20458" spans="1:6" ht="25.5">
      <c r="A20458" s="2">
        <v>20455</v>
      </c>
      <c r="B20458" s="2" t="s">
        <v>20525</v>
      </c>
      <c r="C20458" s="2" t="str">
        <f>"18642217"</f>
        <v>18642217</v>
      </c>
      <c r="D20458" s="2">
        <v>0.107</v>
      </c>
      <c r="E20458" s="2">
        <v>2</v>
      </c>
      <c r="F20458" s="2" t="s">
        <v>12</v>
      </c>
    </row>
    <row r="20459" spans="1:6" ht="25.5">
      <c r="A20459" s="2">
        <v>20456</v>
      </c>
      <c r="B20459" s="2" t="s">
        <v>20526</v>
      </c>
      <c r="C20459" s="2" t="str">
        <f>"13923196"</f>
        <v>13923196</v>
      </c>
      <c r="D20459" s="2">
        <v>0.26500000000000001</v>
      </c>
      <c r="E20459" s="2">
        <v>5</v>
      </c>
      <c r="F20459" s="2" t="s">
        <v>2275</v>
      </c>
    </row>
    <row r="20460" spans="1:6" ht="25.5">
      <c r="A20460" s="2">
        <v>20457</v>
      </c>
      <c r="B20460" s="2" t="s">
        <v>20527</v>
      </c>
      <c r="C20460" s="2" t="str">
        <f>"09442502"</f>
        <v>09442502</v>
      </c>
      <c r="D20460" s="2">
        <v>0.2</v>
      </c>
      <c r="E20460" s="2">
        <v>8</v>
      </c>
      <c r="F20460" s="2" t="s">
        <v>12</v>
      </c>
    </row>
    <row r="20461" spans="1:6" ht="25.5">
      <c r="A20461" s="2">
        <v>20458</v>
      </c>
      <c r="B20461" s="2" t="s">
        <v>20528</v>
      </c>
      <c r="C20461" s="2" t="str">
        <f>"14389592"</f>
        <v>14389592</v>
      </c>
      <c r="D20461" s="2">
        <v>0.126</v>
      </c>
      <c r="E20461" s="2">
        <v>23</v>
      </c>
      <c r="F20461" s="2" t="s">
        <v>12</v>
      </c>
    </row>
    <row r="20462" spans="1:6" ht="25.5">
      <c r="A20462" s="2">
        <v>20459</v>
      </c>
      <c r="B20462" s="2" t="s">
        <v>20529</v>
      </c>
      <c r="C20462" s="2" t="str">
        <f>"02331616"</f>
        <v>02331616</v>
      </c>
      <c r="D20462" s="2">
        <v>0.27900000000000003</v>
      </c>
      <c r="E20462" s="2">
        <v>13</v>
      </c>
      <c r="F20462" s="2" t="s">
        <v>12</v>
      </c>
    </row>
    <row r="20463" spans="1:6" ht="25.5">
      <c r="A20463" s="2">
        <v>20460</v>
      </c>
      <c r="B20463" s="2" t="s">
        <v>20530</v>
      </c>
      <c r="C20463" s="2" t="str">
        <f>"09426086"</f>
        <v>09426086</v>
      </c>
      <c r="D20463" s="2">
        <v>0.125</v>
      </c>
      <c r="E20463" s="2">
        <v>6</v>
      </c>
      <c r="F20463" s="2" t="s">
        <v>12</v>
      </c>
    </row>
    <row r="20464" spans="1:6" ht="25.5">
      <c r="A20464" s="2">
        <v>20461</v>
      </c>
      <c r="B20464" s="2" t="s">
        <v>20531</v>
      </c>
      <c r="C20464" s="2" t="str">
        <f>"05147336"</f>
        <v>05147336</v>
      </c>
      <c r="D20464" s="2">
        <v>0.14199999999999999</v>
      </c>
      <c r="E20464" s="2">
        <v>2</v>
      </c>
      <c r="F20464" s="2" t="s">
        <v>200</v>
      </c>
    </row>
    <row r="20465" spans="1:6" ht="25.5">
      <c r="A20465" s="2">
        <v>20462</v>
      </c>
      <c r="B20465" s="2" t="s">
        <v>20532</v>
      </c>
      <c r="C20465" s="2" t="str">
        <f>"0921142X"</f>
        <v>0921142X</v>
      </c>
      <c r="D20465" s="2">
        <v>0.1</v>
      </c>
      <c r="E20465" s="2">
        <v>2</v>
      </c>
      <c r="F20465" s="2" t="s">
        <v>75</v>
      </c>
    </row>
    <row r="20466" spans="1:6" ht="25.5">
      <c r="A20466" s="2">
        <v>20463</v>
      </c>
      <c r="B20466" s="2" t="s">
        <v>20533</v>
      </c>
      <c r="C20466" s="2" t="str">
        <f>"09376801"</f>
        <v>09376801</v>
      </c>
      <c r="D20466" s="2">
        <v>0.186</v>
      </c>
      <c r="E20466" s="2">
        <v>9</v>
      </c>
      <c r="F20466" s="2" t="s">
        <v>12</v>
      </c>
    </row>
    <row r="20467" spans="1:6" ht="25.5">
      <c r="A20467" s="2">
        <v>20464</v>
      </c>
      <c r="B20467" s="2" t="s">
        <v>20534</v>
      </c>
      <c r="C20467" s="2" t="str">
        <f>"16188950"</f>
        <v>16188950</v>
      </c>
      <c r="D20467" s="2">
        <v>0.19900000000000001</v>
      </c>
      <c r="E20467" s="2">
        <v>7</v>
      </c>
      <c r="F20467" s="2" t="s">
        <v>12</v>
      </c>
    </row>
    <row r="20468" spans="1:6" ht="25.5">
      <c r="A20468" s="2">
        <v>20465</v>
      </c>
      <c r="B20468" s="2" t="s">
        <v>20535</v>
      </c>
      <c r="C20468" s="2" t="str">
        <f>"1008973X"</f>
        <v>1008973X</v>
      </c>
      <c r="D20468" s="2">
        <v>0.21299999999999999</v>
      </c>
      <c r="E20468" s="2">
        <v>14</v>
      </c>
      <c r="F20468" s="2" t="s">
        <v>46</v>
      </c>
    </row>
    <row r="20469" spans="1:6" ht="25.5">
      <c r="A20469" s="2">
        <v>20466</v>
      </c>
      <c r="B20469" s="2" t="s">
        <v>20536</v>
      </c>
      <c r="C20469" s="2" t="str">
        <f>"10089292"</f>
        <v>10089292</v>
      </c>
      <c r="D20469" s="2">
        <v>0.11700000000000001</v>
      </c>
      <c r="E20469" s="2">
        <v>7</v>
      </c>
      <c r="F20469" s="2" t="s">
        <v>46</v>
      </c>
    </row>
    <row r="20470" spans="1:6" ht="25.5">
      <c r="A20470" s="2">
        <v>20467</v>
      </c>
      <c r="B20470" s="2" t="s">
        <v>20537</v>
      </c>
      <c r="C20470" s="2" t="str">
        <f>"10000607"</f>
        <v>10000607</v>
      </c>
      <c r="D20470" s="2">
        <v>0.14899999999999999</v>
      </c>
      <c r="E20470" s="2">
        <v>7</v>
      </c>
      <c r="F20470" s="2" t="s">
        <v>46</v>
      </c>
    </row>
    <row r="20471" spans="1:6" ht="25.5">
      <c r="A20471" s="2">
        <v>20468</v>
      </c>
      <c r="B20471" s="2" t="s">
        <v>20538</v>
      </c>
      <c r="C20471" s="2" t="str">
        <f>"10046801"</f>
        <v>10046801</v>
      </c>
      <c r="D20471" s="2">
        <v>0.28499999999999998</v>
      </c>
      <c r="E20471" s="2">
        <v>7</v>
      </c>
      <c r="F20471" s="2" t="s">
        <v>46</v>
      </c>
    </row>
    <row r="20472" spans="1:6" ht="25.5">
      <c r="A20472" s="2">
        <v>20469</v>
      </c>
      <c r="B20472" s="2" t="s">
        <v>20539</v>
      </c>
      <c r="C20472" s="2" t="str">
        <f>"10044523"</f>
        <v>10044523</v>
      </c>
      <c r="D20472" s="2">
        <v>0.32500000000000001</v>
      </c>
      <c r="E20472" s="2">
        <v>12</v>
      </c>
      <c r="F20472" s="2" t="s">
        <v>46</v>
      </c>
    </row>
    <row r="20473" spans="1:6" ht="25.5">
      <c r="A20473" s="2">
        <v>20470</v>
      </c>
      <c r="B20473" s="2" t="s">
        <v>20540</v>
      </c>
      <c r="C20473" s="2" t="str">
        <f>"10003835"</f>
        <v>10003835</v>
      </c>
      <c r="D20473" s="2">
        <v>0.32800000000000001</v>
      </c>
      <c r="E20473" s="2">
        <v>10</v>
      </c>
      <c r="F20473" s="2" t="s">
        <v>46</v>
      </c>
    </row>
    <row r="20474" spans="1:6" ht="25.5">
      <c r="A20474" s="2">
        <v>20471</v>
      </c>
      <c r="B20474" s="2" t="s">
        <v>20541</v>
      </c>
      <c r="C20474" s="2" t="str">
        <f>"02539748"</f>
        <v>02539748</v>
      </c>
      <c r="D20474" s="2">
        <v>0.122</v>
      </c>
      <c r="E20474" s="2">
        <v>7</v>
      </c>
      <c r="F20474" s="2" t="s">
        <v>46</v>
      </c>
    </row>
    <row r="20475" spans="1:6" ht="25.5">
      <c r="A20475" s="2">
        <v>20472</v>
      </c>
      <c r="B20475" s="2" t="s">
        <v>20542</v>
      </c>
      <c r="C20475" s="2" t="str">
        <f>"20951108"</f>
        <v>20951108</v>
      </c>
      <c r="D20475" s="2">
        <v>0.105</v>
      </c>
      <c r="E20475" s="2">
        <v>3</v>
      </c>
      <c r="F20475" s="2" t="s">
        <v>46</v>
      </c>
    </row>
    <row r="20476" spans="1:6" ht="25.5">
      <c r="A20476" s="2">
        <v>20473</v>
      </c>
      <c r="B20476" s="2" t="s">
        <v>20543</v>
      </c>
      <c r="C20476" s="2" t="str">
        <f>"16733193"</f>
        <v>16733193</v>
      </c>
      <c r="D20476" s="2">
        <v>0.17699999999999999</v>
      </c>
      <c r="E20476" s="2">
        <v>4</v>
      </c>
      <c r="F20476" s="2" t="s">
        <v>46</v>
      </c>
    </row>
    <row r="20477" spans="1:6" ht="25.5">
      <c r="A20477" s="2">
        <v>20474</v>
      </c>
      <c r="B20477" s="2" t="s">
        <v>20544</v>
      </c>
      <c r="C20477" s="2" t="str">
        <f>"10004343"</f>
        <v>10004343</v>
      </c>
      <c r="D20477" s="2">
        <v>0.20699999999999999</v>
      </c>
      <c r="E20477" s="2">
        <v>5</v>
      </c>
      <c r="F20477" s="2" t="s">
        <v>46</v>
      </c>
    </row>
    <row r="20478" spans="1:6" ht="25.5">
      <c r="A20478" s="2">
        <v>20475</v>
      </c>
      <c r="B20478" s="2" t="s">
        <v>20545</v>
      </c>
      <c r="C20478" s="2" t="str">
        <f>"02588013"</f>
        <v>02588013</v>
      </c>
      <c r="D20478" s="2">
        <v>0.78300000000000003</v>
      </c>
      <c r="E20478" s="2">
        <v>53</v>
      </c>
      <c r="F20478" s="2" t="s">
        <v>46</v>
      </c>
    </row>
    <row r="20479" spans="1:6" ht="25.5">
      <c r="A20479" s="2">
        <v>20476</v>
      </c>
      <c r="B20479" s="2" t="s">
        <v>20546</v>
      </c>
      <c r="C20479" s="2" t="str">
        <f>"10017372"</f>
        <v>10017372</v>
      </c>
      <c r="D20479" s="2">
        <v>0.32300000000000001</v>
      </c>
      <c r="E20479" s="2">
        <v>15</v>
      </c>
      <c r="F20479" s="2" t="s">
        <v>46</v>
      </c>
    </row>
    <row r="20480" spans="1:6" ht="25.5">
      <c r="A20480" s="2">
        <v>20477</v>
      </c>
      <c r="B20480" s="2" t="s">
        <v>20547</v>
      </c>
      <c r="C20480" s="2" t="str">
        <f>"10056734"</f>
        <v>10056734</v>
      </c>
      <c r="D20480" s="2">
        <v>0.32800000000000001</v>
      </c>
      <c r="E20480" s="2">
        <v>5</v>
      </c>
      <c r="F20480" s="2" t="s">
        <v>46</v>
      </c>
    </row>
    <row r="20481" spans="1:6" ht="25.5">
      <c r="A20481" s="2">
        <v>20478</v>
      </c>
      <c r="B20481" s="2" t="s">
        <v>20548</v>
      </c>
      <c r="C20481" s="2" t="str">
        <f>"10030034"</f>
        <v>10030034</v>
      </c>
      <c r="D20481" s="2">
        <v>0.113</v>
      </c>
      <c r="E20481" s="2">
        <v>4</v>
      </c>
      <c r="F20481" s="2" t="s">
        <v>46</v>
      </c>
    </row>
    <row r="20482" spans="1:6" ht="25.5">
      <c r="A20482" s="2">
        <v>20479</v>
      </c>
      <c r="B20482" s="2" t="s">
        <v>20549</v>
      </c>
      <c r="C20482" s="2" t="str">
        <f>"10006923"</f>
        <v>10006923</v>
      </c>
      <c r="D20482" s="2">
        <v>0.153</v>
      </c>
      <c r="E20482" s="2">
        <v>12</v>
      </c>
      <c r="F20482" s="2" t="s">
        <v>46</v>
      </c>
    </row>
    <row r="20483" spans="1:6" ht="25.5">
      <c r="A20483" s="2">
        <v>20480</v>
      </c>
      <c r="B20483" s="2" t="s">
        <v>20550</v>
      </c>
      <c r="C20483" s="2" t="str">
        <f>"02587025"</f>
        <v>02587025</v>
      </c>
      <c r="D20483" s="2">
        <v>0.45800000000000002</v>
      </c>
      <c r="E20483" s="2">
        <v>22</v>
      </c>
      <c r="F20483" s="2" t="s">
        <v>46</v>
      </c>
    </row>
    <row r="20484" spans="1:6" ht="25.5">
      <c r="A20484" s="2">
        <v>20481</v>
      </c>
      <c r="B20484" s="2" t="s">
        <v>20551</v>
      </c>
      <c r="C20484" s="2" t="str">
        <f>"10007423"</f>
        <v>10007423</v>
      </c>
      <c r="D20484" s="2">
        <v>0.13400000000000001</v>
      </c>
      <c r="E20484" s="2">
        <v>10</v>
      </c>
      <c r="F20484" s="2" t="s">
        <v>46</v>
      </c>
    </row>
    <row r="20485" spans="1:6" ht="25.5">
      <c r="A20485" s="2">
        <v>20482</v>
      </c>
      <c r="B20485" s="2" t="s">
        <v>20552</v>
      </c>
      <c r="C20485" s="2" t="str">
        <f>"1004132X"</f>
        <v>1004132X</v>
      </c>
      <c r="D20485" s="2">
        <v>0.16</v>
      </c>
      <c r="E20485" s="2">
        <v>14</v>
      </c>
      <c r="F20485" s="2" t="s">
        <v>46</v>
      </c>
    </row>
    <row r="20486" spans="1:6" ht="25.5">
      <c r="A20486" s="2">
        <v>20483</v>
      </c>
      <c r="B20486" s="2" t="s">
        <v>20553</v>
      </c>
      <c r="C20486" s="2" t="str">
        <f>"10001964"</f>
        <v>10001964</v>
      </c>
      <c r="D20486" s="2">
        <v>0.54700000000000004</v>
      </c>
      <c r="E20486" s="2">
        <v>17</v>
      </c>
      <c r="F20486" s="2" t="s">
        <v>46</v>
      </c>
    </row>
    <row r="20487" spans="1:6" ht="25.5">
      <c r="A20487" s="2">
        <v>20484</v>
      </c>
      <c r="B20487" s="2" t="s">
        <v>20554</v>
      </c>
      <c r="C20487" s="2" t="str">
        <f>"02588021"</f>
        <v>02588021</v>
      </c>
      <c r="D20487" s="2">
        <v>0.109</v>
      </c>
      <c r="E20487" s="2">
        <v>8</v>
      </c>
      <c r="F20487" s="2" t="s">
        <v>46</v>
      </c>
    </row>
    <row r="20488" spans="1:6" ht="38.25">
      <c r="A20488" s="2">
        <v>20485</v>
      </c>
      <c r="B20488" s="2" t="s">
        <v>20555</v>
      </c>
      <c r="C20488" s="2" t="str">
        <f>"10092137"</f>
        <v>10092137</v>
      </c>
      <c r="D20488" s="2">
        <v>0.13100000000000001</v>
      </c>
      <c r="E20488" s="2">
        <v>8</v>
      </c>
      <c r="F20488" s="2" t="s">
        <v>46</v>
      </c>
    </row>
    <row r="20489" spans="1:6" ht="25.5">
      <c r="A20489" s="2">
        <v>20486</v>
      </c>
      <c r="B20489" s="2" t="s">
        <v>20556</v>
      </c>
      <c r="C20489" s="2" t="str">
        <f>"16735005"</f>
        <v>16735005</v>
      </c>
      <c r="D20489" s="2">
        <v>0.308</v>
      </c>
      <c r="E20489" s="2">
        <v>10</v>
      </c>
      <c r="F20489" s="2" t="s">
        <v>46</v>
      </c>
    </row>
    <row r="20490" spans="1:6" ht="25.5">
      <c r="A20490" s="2">
        <v>20487</v>
      </c>
      <c r="B20490" s="2" t="s">
        <v>20557</v>
      </c>
      <c r="C20490" s="2" t="str">
        <f>"10014632"</f>
        <v>10014632</v>
      </c>
      <c r="D20490" s="2">
        <v>0.54800000000000004</v>
      </c>
      <c r="E20490" s="2">
        <v>12</v>
      </c>
      <c r="F20490" s="2" t="s">
        <v>46</v>
      </c>
    </row>
    <row r="20491" spans="1:6" ht="25.5">
      <c r="A20491" s="2">
        <v>20488</v>
      </c>
      <c r="B20491" s="2" t="s">
        <v>20558</v>
      </c>
      <c r="C20491" s="2" t="str">
        <f>"10030603"</f>
        <v>10030603</v>
      </c>
      <c r="D20491" s="2">
        <v>0.121</v>
      </c>
      <c r="E20491" s="2">
        <v>7</v>
      </c>
      <c r="F20491" s="2" t="s">
        <v>12</v>
      </c>
    </row>
    <row r="20492" spans="1:6" ht="25.5">
      <c r="A20492" s="2">
        <v>20489</v>
      </c>
      <c r="B20492" s="2" t="s">
        <v>20559</v>
      </c>
      <c r="C20492" s="2" t="str">
        <f>"10021892"</f>
        <v>10021892</v>
      </c>
      <c r="D20492" s="2">
        <v>0.126</v>
      </c>
      <c r="E20492" s="2">
        <v>8</v>
      </c>
      <c r="F20492" s="2" t="s">
        <v>46</v>
      </c>
    </row>
    <row r="20493" spans="1:6" ht="25.5">
      <c r="A20493" s="2">
        <v>20490</v>
      </c>
      <c r="B20493" s="2" t="s">
        <v>20560</v>
      </c>
      <c r="C20493" s="2" t="str">
        <f>"16717104"</f>
        <v>16717104</v>
      </c>
      <c r="D20493" s="2">
        <v>0.10100000000000001</v>
      </c>
      <c r="E20493" s="2">
        <v>5</v>
      </c>
      <c r="F20493" s="2" t="s">
        <v>46</v>
      </c>
    </row>
    <row r="20494" spans="1:6" ht="25.5">
      <c r="A20494" s="2">
        <v>20491</v>
      </c>
      <c r="B20494" s="2" t="s">
        <v>20561</v>
      </c>
      <c r="C20494" s="2" t="str">
        <f>"10006834"</f>
        <v>10006834</v>
      </c>
      <c r="D20494" s="2">
        <v>0.111</v>
      </c>
      <c r="E20494" s="2">
        <v>6</v>
      </c>
      <c r="F20494" s="2" t="s">
        <v>46</v>
      </c>
    </row>
    <row r="20495" spans="1:6" ht="25.5">
      <c r="A20495" s="2">
        <v>20492</v>
      </c>
      <c r="B20495" s="2" t="s">
        <v>20562</v>
      </c>
      <c r="C20495" s="2" t="str">
        <f>"1000503X"</f>
        <v>1000503X</v>
      </c>
      <c r="D20495" s="2">
        <v>0.124</v>
      </c>
      <c r="E20495" s="2">
        <v>11</v>
      </c>
      <c r="F20495" s="2" t="s">
        <v>46</v>
      </c>
    </row>
    <row r="20496" spans="1:6" ht="25.5">
      <c r="A20496" s="2">
        <v>20493</v>
      </c>
      <c r="B20496" s="2" t="s">
        <v>20563</v>
      </c>
      <c r="C20496" s="2" t="str">
        <f>"10040609"</f>
        <v>10040609</v>
      </c>
      <c r="D20496" s="2">
        <v>0.29299999999999998</v>
      </c>
      <c r="E20496" s="2">
        <v>19</v>
      </c>
      <c r="F20496" s="2" t="s">
        <v>46</v>
      </c>
    </row>
    <row r="20497" spans="1:6" ht="25.5">
      <c r="A20497" s="2">
        <v>20494</v>
      </c>
      <c r="B20497" s="2" t="s">
        <v>20564</v>
      </c>
      <c r="C20497" s="2" t="str">
        <f>"10006842"</f>
        <v>10006842</v>
      </c>
      <c r="D20497" s="2">
        <v>0.11</v>
      </c>
      <c r="E20497" s="2">
        <v>5</v>
      </c>
      <c r="F20497" s="2" t="s">
        <v>46</v>
      </c>
    </row>
    <row r="20498" spans="1:6" ht="25.5">
      <c r="A20498" s="2">
        <v>20495</v>
      </c>
      <c r="B20498" s="2" t="s">
        <v>20565</v>
      </c>
      <c r="C20498" s="2" t="str">
        <f>"02552930"</f>
        <v>02552930</v>
      </c>
      <c r="D20498" s="2">
        <v>0.124</v>
      </c>
      <c r="E20498" s="2">
        <v>6</v>
      </c>
      <c r="F20498" s="2" t="s">
        <v>46</v>
      </c>
    </row>
    <row r="20499" spans="1:6" ht="51">
      <c r="A20499" s="2">
        <v>20496</v>
      </c>
      <c r="B20499" s="2" t="s">
        <v>20566</v>
      </c>
      <c r="C20499" s="2" t="str">
        <f>"10035370"</f>
        <v>10035370</v>
      </c>
      <c r="D20499" s="2">
        <v>0.129</v>
      </c>
      <c r="E20499" s="2">
        <v>14</v>
      </c>
      <c r="F20499" s="2" t="s">
        <v>46</v>
      </c>
    </row>
    <row r="20500" spans="1:6" ht="25.5">
      <c r="A20500" s="2">
        <v>20497</v>
      </c>
      <c r="B20500" s="2" t="s">
        <v>20567</v>
      </c>
      <c r="C20500" s="2" t="str">
        <f>"10015302"</f>
        <v>10015302</v>
      </c>
      <c r="D20500" s="2">
        <v>0.151</v>
      </c>
      <c r="E20500" s="2">
        <v>15</v>
      </c>
      <c r="F20500" s="2" t="s">
        <v>46</v>
      </c>
    </row>
    <row r="20501" spans="1:6" ht="25.5">
      <c r="A20501" s="2">
        <v>20498</v>
      </c>
      <c r="B20501" s="2" t="s">
        <v>20568</v>
      </c>
      <c r="C20501" s="2" t="str">
        <f>"16730860"</f>
        <v>16730860</v>
      </c>
      <c r="D20501" s="2">
        <v>0.11</v>
      </c>
      <c r="E20501" s="2">
        <v>6</v>
      </c>
      <c r="F20501" s="2" t="s">
        <v>46</v>
      </c>
    </row>
    <row r="20502" spans="1:6" ht="25.5">
      <c r="A20502" s="2">
        <v>20499</v>
      </c>
      <c r="B20502" s="2" t="s">
        <v>20569</v>
      </c>
      <c r="C20502" s="2" t="str">
        <f>"05781310"</f>
        <v>05781310</v>
      </c>
      <c r="D20502" s="2">
        <v>0.127</v>
      </c>
      <c r="E20502" s="2">
        <v>10</v>
      </c>
      <c r="F20502" s="2" t="s">
        <v>46</v>
      </c>
    </row>
    <row r="20503" spans="1:6" ht="25.5">
      <c r="A20503" s="2">
        <v>20500</v>
      </c>
      <c r="B20503" s="2" t="s">
        <v>20570</v>
      </c>
      <c r="C20503" s="2" t="str">
        <f>"10051201"</f>
        <v>10051201</v>
      </c>
      <c r="D20503" s="2">
        <v>0.1</v>
      </c>
      <c r="E20503" s="2">
        <v>3</v>
      </c>
      <c r="F20503" s="2" t="s">
        <v>46</v>
      </c>
    </row>
    <row r="20504" spans="1:6" ht="25.5">
      <c r="A20504" s="2">
        <v>20501</v>
      </c>
      <c r="B20504" s="2" t="s">
        <v>20571</v>
      </c>
      <c r="C20504" s="2" t="str">
        <f>"0529567X"</f>
        <v>0529567X</v>
      </c>
      <c r="D20504" s="2">
        <v>0.14499999999999999</v>
      </c>
      <c r="E20504" s="2">
        <v>12</v>
      </c>
      <c r="F20504" s="2" t="s">
        <v>46</v>
      </c>
    </row>
    <row r="20505" spans="1:6" ht="25.5">
      <c r="A20505" s="2">
        <v>20502</v>
      </c>
      <c r="B20505" s="2" t="s">
        <v>20572</v>
      </c>
      <c r="C20505" s="2" t="str">
        <f>"10073418"</f>
        <v>10073418</v>
      </c>
      <c r="D20505" s="2">
        <v>0.11799999999999999</v>
      </c>
      <c r="E20505" s="2">
        <v>12</v>
      </c>
      <c r="F20505" s="2" t="s">
        <v>46</v>
      </c>
    </row>
    <row r="20506" spans="1:6" ht="25.5">
      <c r="A20506" s="2">
        <v>20503</v>
      </c>
      <c r="B20506" s="2" t="s">
        <v>20573</v>
      </c>
      <c r="C20506" s="2" t="str">
        <f>"10010939"</f>
        <v>10010939</v>
      </c>
      <c r="D20506" s="2">
        <v>0.125</v>
      </c>
      <c r="E20506" s="2">
        <v>10</v>
      </c>
      <c r="F20506" s="2" t="s">
        <v>46</v>
      </c>
    </row>
    <row r="20507" spans="1:6" ht="38.25">
      <c r="A20507" s="2">
        <v>20504</v>
      </c>
      <c r="B20507" s="2" t="s">
        <v>20574</v>
      </c>
      <c r="C20507" s="2" t="str">
        <f>"10019391"</f>
        <v>10019391</v>
      </c>
      <c r="D20507" s="2">
        <v>0.105</v>
      </c>
      <c r="E20507" s="2">
        <v>6</v>
      </c>
      <c r="F20507" s="2" t="s">
        <v>46</v>
      </c>
    </row>
    <row r="20508" spans="1:6" ht="25.5">
      <c r="A20508" s="2">
        <v>20505</v>
      </c>
      <c r="B20508" s="2" t="s">
        <v>20575</v>
      </c>
      <c r="C20508" s="2" t="str">
        <f>"05781426"</f>
        <v>05781426</v>
      </c>
      <c r="D20508" s="2">
        <v>0.13300000000000001</v>
      </c>
      <c r="E20508" s="2">
        <v>11</v>
      </c>
      <c r="F20508" s="2" t="s">
        <v>46</v>
      </c>
    </row>
    <row r="20509" spans="1:6" ht="25.5">
      <c r="A20509" s="2">
        <v>20506</v>
      </c>
      <c r="B20509" s="2" t="s">
        <v>20576</v>
      </c>
      <c r="C20509" s="2" t="str">
        <f>"10092587"</f>
        <v>10092587</v>
      </c>
      <c r="D20509" s="2">
        <v>0.115</v>
      </c>
      <c r="E20509" s="2">
        <v>6</v>
      </c>
      <c r="F20509" s="2" t="s">
        <v>46</v>
      </c>
    </row>
    <row r="20510" spans="1:6" ht="38.25">
      <c r="A20510" s="2">
        <v>20507</v>
      </c>
      <c r="B20510" s="2" t="s">
        <v>20577</v>
      </c>
      <c r="C20510" s="2" t="str">
        <f>"10039279"</f>
        <v>10039279</v>
      </c>
      <c r="D20510" s="2">
        <v>0.121</v>
      </c>
      <c r="E20510" s="2">
        <v>8</v>
      </c>
      <c r="F20510" s="2" t="s">
        <v>46</v>
      </c>
    </row>
    <row r="20511" spans="1:6" ht="25.5">
      <c r="A20511" s="2">
        <v>20508</v>
      </c>
      <c r="B20511" s="2" t="s">
        <v>20578</v>
      </c>
      <c r="C20511" s="2" t="str">
        <f>"20950160"</f>
        <v>20950160</v>
      </c>
      <c r="D20511" s="2">
        <v>0.10100000000000001</v>
      </c>
      <c r="E20511" s="2">
        <v>3</v>
      </c>
      <c r="F20511" s="2" t="s">
        <v>46</v>
      </c>
    </row>
    <row r="20512" spans="1:6" ht="25.5">
      <c r="A20512" s="2">
        <v>20509</v>
      </c>
      <c r="B20512" s="2" t="s">
        <v>20579</v>
      </c>
      <c r="C20512" s="2" t="str">
        <f>"05295815"</f>
        <v>05295815</v>
      </c>
      <c r="D20512" s="2">
        <v>0.121</v>
      </c>
      <c r="E20512" s="2">
        <v>10</v>
      </c>
      <c r="F20512" s="2" t="s">
        <v>46</v>
      </c>
    </row>
    <row r="20513" spans="1:6" ht="25.5">
      <c r="A20513" s="2">
        <v>20510</v>
      </c>
      <c r="B20513" s="2" t="s">
        <v>20580</v>
      </c>
      <c r="C20513" s="2" t="str">
        <f>"16710274"</f>
        <v>16710274</v>
      </c>
      <c r="D20513" s="2">
        <v>0.13300000000000001</v>
      </c>
      <c r="E20513" s="2">
        <v>5</v>
      </c>
      <c r="F20513" s="2" t="s">
        <v>46</v>
      </c>
    </row>
    <row r="20514" spans="1:6" ht="25.5">
      <c r="A20514" s="2">
        <v>20511</v>
      </c>
      <c r="B20514" s="2" t="s">
        <v>20581</v>
      </c>
      <c r="C20514" s="2" t="str">
        <f>"02532727"</f>
        <v>02532727</v>
      </c>
      <c r="D20514" s="2">
        <v>0.111</v>
      </c>
      <c r="E20514" s="2">
        <v>8</v>
      </c>
      <c r="F20514" s="2" t="s">
        <v>46</v>
      </c>
    </row>
    <row r="20515" spans="1:6" ht="25.5">
      <c r="A20515" s="2">
        <v>20512</v>
      </c>
      <c r="B20515" s="2" t="s">
        <v>20582</v>
      </c>
      <c r="C20515" s="2" t="str">
        <f>"03762491"</f>
        <v>03762491</v>
      </c>
      <c r="D20515" s="2">
        <v>0.115</v>
      </c>
      <c r="E20515" s="2">
        <v>17</v>
      </c>
      <c r="F20515" s="2" t="s">
        <v>46</v>
      </c>
    </row>
    <row r="20516" spans="1:6" ht="25.5">
      <c r="A20516" s="2">
        <v>20513</v>
      </c>
      <c r="B20516" s="2" t="s">
        <v>20583</v>
      </c>
      <c r="C20516" s="2" t="str">
        <f>"02539624"</f>
        <v>02539624</v>
      </c>
      <c r="D20516" s="2">
        <v>0.161</v>
      </c>
      <c r="E20516" s="2">
        <v>13</v>
      </c>
      <c r="F20516" s="2" t="s">
        <v>46</v>
      </c>
    </row>
    <row r="20517" spans="1:6" ht="25.5">
      <c r="A20517" s="2">
        <v>20514</v>
      </c>
      <c r="B20517" s="2" t="s">
        <v>20584</v>
      </c>
      <c r="C20517" s="2" t="str">
        <f>"10094598"</f>
        <v>10094598</v>
      </c>
      <c r="D20517" s="2">
        <v>0.122</v>
      </c>
      <c r="E20517" s="2">
        <v>7</v>
      </c>
      <c r="F20517" s="2" t="s">
        <v>46</v>
      </c>
    </row>
    <row r="20518" spans="1:6" ht="25.5">
      <c r="A20518" s="2">
        <v>20515</v>
      </c>
      <c r="B20518" s="2" t="s">
        <v>20585</v>
      </c>
      <c r="C20518" s="2" t="str">
        <f>"16727207"</f>
        <v>16727207</v>
      </c>
      <c r="D20518" s="2">
        <v>0.23</v>
      </c>
      <c r="E20518" s="2">
        <v>12</v>
      </c>
      <c r="F20518" s="2" t="s">
        <v>46</v>
      </c>
    </row>
    <row r="20519" spans="1:6" ht="25.5">
      <c r="A20519" s="2">
        <v>20516</v>
      </c>
      <c r="B20519" s="2" t="s">
        <v>20586</v>
      </c>
      <c r="C20519" s="2" t="str">
        <f>"05296579"</f>
        <v>05296579</v>
      </c>
      <c r="D20519" s="2">
        <v>0.106</v>
      </c>
      <c r="E20519" s="2">
        <v>8</v>
      </c>
      <c r="F20519" s="2" t="s">
        <v>46</v>
      </c>
    </row>
    <row r="20520" spans="1:6" ht="25.5">
      <c r="A20520" s="2">
        <v>20517</v>
      </c>
      <c r="B20520" s="2" t="s">
        <v>20587</v>
      </c>
      <c r="C20520" s="2" t="str">
        <f>"16721977"</f>
        <v>16721977</v>
      </c>
      <c r="D20520" s="2">
        <v>0.219</v>
      </c>
      <c r="E20520" s="2">
        <v>11</v>
      </c>
      <c r="F20520" s="2" t="s">
        <v>46</v>
      </c>
    </row>
    <row r="20521" spans="1:6" ht="25.5">
      <c r="A20521" s="2">
        <v>20518</v>
      </c>
      <c r="B20521" s="2" t="s">
        <v>20588</v>
      </c>
      <c r="C20521" s="2" t="str">
        <f>"10014454"</f>
        <v>10014454</v>
      </c>
      <c r="D20521" s="2">
        <v>0.13300000000000001</v>
      </c>
      <c r="E20521" s="2">
        <v>12</v>
      </c>
      <c r="F20521" s="2" t="s">
        <v>46</v>
      </c>
    </row>
    <row r="20522" spans="1:6" ht="25.5">
      <c r="A20522" s="2">
        <v>20519</v>
      </c>
      <c r="B20522" s="2" t="s">
        <v>20589</v>
      </c>
      <c r="C20522" s="2" t="str">
        <f>"00444529"</f>
        <v>00444529</v>
      </c>
      <c r="D20522" s="2">
        <v>0.124</v>
      </c>
      <c r="E20522" s="2">
        <v>11</v>
      </c>
      <c r="F20522" s="2" t="s">
        <v>129</v>
      </c>
    </row>
    <row r="20523" spans="1:6" ht="25.5">
      <c r="A20523" s="2">
        <v>20520</v>
      </c>
      <c r="B20523" s="2" t="s">
        <v>20590</v>
      </c>
      <c r="C20523" s="2" t="str">
        <f>"03729311"</f>
        <v>03729311</v>
      </c>
      <c r="D20523" s="2">
        <v>0.105</v>
      </c>
      <c r="E20523" s="2">
        <v>9</v>
      </c>
      <c r="F20523" s="2" t="s">
        <v>129</v>
      </c>
    </row>
    <row r="20524" spans="1:6" ht="25.5">
      <c r="A20524" s="2">
        <v>20521</v>
      </c>
      <c r="B20524" s="2" t="s">
        <v>20591</v>
      </c>
      <c r="C20524" s="2" t="str">
        <f>"19977298"</f>
        <v>19977298</v>
      </c>
      <c r="D20524" s="2">
        <v>0.105</v>
      </c>
      <c r="E20524" s="2">
        <v>9</v>
      </c>
      <c r="F20524" s="2" t="s">
        <v>129</v>
      </c>
    </row>
    <row r="20525" spans="1:6" ht="25.5">
      <c r="A20525" s="2">
        <v>20522</v>
      </c>
      <c r="B20525" s="2" t="s">
        <v>20592</v>
      </c>
      <c r="C20525" s="2" t="str">
        <f>"00444596"</f>
        <v>00444596</v>
      </c>
      <c r="D20525" s="2">
        <v>0.14099999999999999</v>
      </c>
      <c r="E20525" s="2">
        <v>8</v>
      </c>
      <c r="F20525" s="2" t="s">
        <v>129</v>
      </c>
    </row>
    <row r="20526" spans="1:6" ht="25.5">
      <c r="A20526" s="2">
        <v>20523</v>
      </c>
      <c r="B20526" s="2" t="s">
        <v>20593</v>
      </c>
      <c r="C20526" s="2" t="str">
        <f>"00428817"</f>
        <v>00428817</v>
      </c>
      <c r="D20526" s="2">
        <v>0.109</v>
      </c>
      <c r="E20526" s="2">
        <v>4</v>
      </c>
      <c r="F20526" s="2" t="s">
        <v>129</v>
      </c>
    </row>
    <row r="20527" spans="1:6" ht="25.5">
      <c r="A20527" s="2">
        <v>20524</v>
      </c>
      <c r="B20527" s="2" t="s">
        <v>20594</v>
      </c>
      <c r="C20527" s="2" t="str">
        <f>"00444677"</f>
        <v>00444677</v>
      </c>
      <c r="D20527" s="2">
        <v>0.15</v>
      </c>
      <c r="E20527" s="2">
        <v>12</v>
      </c>
      <c r="F20527" s="2" t="s">
        <v>129</v>
      </c>
    </row>
    <row r="20528" spans="1:6" ht="25.5">
      <c r="A20528" s="2">
        <v>20525</v>
      </c>
      <c r="B20528" s="2" t="s">
        <v>20595</v>
      </c>
      <c r="C20528" s="2" t="str">
        <f>"10014977"</f>
        <v>10014977</v>
      </c>
      <c r="D20528" s="2">
        <v>0.12</v>
      </c>
      <c r="E20528" s="2">
        <v>7</v>
      </c>
      <c r="F20528" s="2" t="s">
        <v>46</v>
      </c>
    </row>
    <row r="20529" spans="1:6" ht="25.5">
      <c r="A20529" s="2">
        <v>20526</v>
      </c>
      <c r="B20529" s="2" t="s">
        <v>20596</v>
      </c>
      <c r="C20529" s="2" t="str">
        <f>"18741029"</f>
        <v>18741029</v>
      </c>
      <c r="D20529" s="2">
        <v>0.54500000000000004</v>
      </c>
      <c r="E20529" s="2">
        <v>28</v>
      </c>
      <c r="F20529" s="2" t="s">
        <v>46</v>
      </c>
    </row>
    <row r="20530" spans="1:6" ht="25.5">
      <c r="A20530" s="2">
        <v>20527</v>
      </c>
      <c r="B20530" s="2" t="s">
        <v>20597</v>
      </c>
      <c r="C20530" s="2" t="str">
        <f>"1612412X"</f>
        <v>1612412X</v>
      </c>
      <c r="D20530" s="2">
        <v>0.14399999999999999</v>
      </c>
      <c r="E20530" s="2">
        <v>10</v>
      </c>
      <c r="F20530" s="2" t="s">
        <v>12</v>
      </c>
    </row>
    <row r="20531" spans="1:6" ht="25.5">
      <c r="A20531" s="2">
        <v>20528</v>
      </c>
      <c r="B20531" s="2" t="s">
        <v>20598</v>
      </c>
      <c r="C20531" s="2" t="str">
        <f>"05147794"</f>
        <v>05147794</v>
      </c>
      <c r="D20531" s="2">
        <v>0.10100000000000001</v>
      </c>
      <c r="E20531" s="2">
        <v>1</v>
      </c>
      <c r="F20531" s="2" t="s">
        <v>149</v>
      </c>
    </row>
    <row r="20532" spans="1:6" ht="25.5">
      <c r="A20532" s="2">
        <v>20529</v>
      </c>
      <c r="B20532" s="2" t="s">
        <v>20599</v>
      </c>
      <c r="C20532" s="2" t="str">
        <f>"10982361"</f>
        <v>10982361</v>
      </c>
      <c r="D20532" s="2">
        <v>0.46400000000000002</v>
      </c>
      <c r="E20532" s="2">
        <v>31</v>
      </c>
      <c r="F20532" s="2" t="s">
        <v>6</v>
      </c>
    </row>
    <row r="20533" spans="1:6" ht="25.5">
      <c r="A20533" s="2">
        <v>20530</v>
      </c>
      <c r="B20533" s="2" t="s">
        <v>20600</v>
      </c>
      <c r="C20533" s="2" t="str">
        <f>"13132989"</f>
        <v>13132989</v>
      </c>
      <c r="D20533" s="2">
        <v>0.504</v>
      </c>
      <c r="E20533" s="2">
        <v>11</v>
      </c>
      <c r="F20533" s="2" t="s">
        <v>293</v>
      </c>
    </row>
    <row r="20534" spans="1:6" ht="25.5">
      <c r="A20534" s="2">
        <v>20531</v>
      </c>
      <c r="B20534" s="2" t="s">
        <v>20601</v>
      </c>
      <c r="C20534" s="2" t="str">
        <f>"19844689"</f>
        <v>19844689</v>
      </c>
      <c r="D20534" s="2">
        <v>0.38500000000000001</v>
      </c>
      <c r="E20534" s="2">
        <v>13</v>
      </c>
      <c r="F20534" s="2" t="s">
        <v>159</v>
      </c>
    </row>
    <row r="20535" spans="1:6" ht="25.5">
      <c r="A20535" s="2">
        <v>20532</v>
      </c>
      <c r="B20535" s="2" t="s">
        <v>20602</v>
      </c>
      <c r="C20535" s="2" t="str">
        <f>"10963642"</f>
        <v>10963642</v>
      </c>
      <c r="D20535" s="2">
        <v>1.08</v>
      </c>
      <c r="E20535" s="2">
        <v>47</v>
      </c>
      <c r="F20535" s="2" t="s">
        <v>16</v>
      </c>
    </row>
    <row r="20536" spans="1:6" ht="25.5">
      <c r="A20536" s="2">
        <v>20533</v>
      </c>
      <c r="B20536" s="2" t="s">
        <v>20603</v>
      </c>
      <c r="C20536" s="2" t="str">
        <f>"02890003"</f>
        <v>02890003</v>
      </c>
      <c r="D20536" s="2">
        <v>0.44500000000000001</v>
      </c>
      <c r="E20536" s="2">
        <v>42</v>
      </c>
      <c r="F20536" s="2" t="s">
        <v>131</v>
      </c>
    </row>
    <row r="20537" spans="1:6" ht="25.5">
      <c r="A20537" s="2">
        <v>20534</v>
      </c>
      <c r="B20537" s="2" t="s">
        <v>20604</v>
      </c>
      <c r="C20537" s="2" t="str">
        <f>"10215506"</f>
        <v>10215506</v>
      </c>
      <c r="D20537" s="2">
        <v>0.56999999999999995</v>
      </c>
      <c r="E20537" s="2">
        <v>26</v>
      </c>
      <c r="F20537" s="2" t="s">
        <v>165</v>
      </c>
    </row>
    <row r="20538" spans="1:6" ht="25.5">
      <c r="A20538" s="2">
        <v>20535</v>
      </c>
      <c r="B20538" s="2" t="s">
        <v>20605</v>
      </c>
      <c r="C20538" s="2" t="str">
        <f>"14636409"</f>
        <v>14636409</v>
      </c>
      <c r="D20538" s="2">
        <v>1.3049999999999999</v>
      </c>
      <c r="E20538" s="2">
        <v>38</v>
      </c>
      <c r="F20538" s="2" t="s">
        <v>16</v>
      </c>
    </row>
    <row r="20539" spans="1:6" ht="25.5">
      <c r="A20539" s="2">
        <v>20536</v>
      </c>
      <c r="B20539" s="2" t="s">
        <v>20606</v>
      </c>
      <c r="C20539" s="2" t="str">
        <f>"00445134"</f>
        <v>00445134</v>
      </c>
      <c r="D20539" s="2">
        <v>0.158</v>
      </c>
      <c r="E20539" s="2">
        <v>9</v>
      </c>
      <c r="F20539" s="2" t="s">
        <v>129</v>
      </c>
    </row>
    <row r="20540" spans="1:6" ht="25.5">
      <c r="A20540" s="2">
        <v>20537</v>
      </c>
      <c r="B20540" s="2" t="s">
        <v>20607</v>
      </c>
      <c r="C20540" s="2" t="str">
        <f>"00445169"</f>
        <v>00445169</v>
      </c>
      <c r="D20540" s="2">
        <v>0.13500000000000001</v>
      </c>
      <c r="E20540" s="2">
        <v>4</v>
      </c>
      <c r="F20540" s="2" t="s">
        <v>12</v>
      </c>
    </row>
    <row r="20541" spans="1:6" ht="25.5">
      <c r="A20541" s="2">
        <v>20538</v>
      </c>
      <c r="B20541" s="2" t="s">
        <v>20608</v>
      </c>
      <c r="C20541" s="2" t="str">
        <f>"18762174"</f>
        <v>18762174</v>
      </c>
      <c r="D20541" s="2">
        <v>0</v>
      </c>
      <c r="E20541" s="2">
        <v>0</v>
      </c>
      <c r="F20541" s="2" t="s">
        <v>75</v>
      </c>
    </row>
    <row r="20542" spans="1:6" ht="25.5">
      <c r="A20542" s="2">
        <v>20539</v>
      </c>
      <c r="B20542" s="2" t="s">
        <v>20609</v>
      </c>
      <c r="C20542" s="2" t="str">
        <f>"00445231"</f>
        <v>00445231</v>
      </c>
      <c r="D20542" s="2">
        <v>0.53300000000000003</v>
      </c>
      <c r="E20542" s="2">
        <v>24</v>
      </c>
      <c r="F20542" s="2" t="s">
        <v>12</v>
      </c>
    </row>
    <row r="20543" spans="1:6" ht="25.5">
      <c r="A20543" s="2">
        <v>20540</v>
      </c>
      <c r="B20543" s="2" t="s">
        <v>20610</v>
      </c>
      <c r="C20543" s="2" t="str">
        <f>"09442006"</f>
        <v>09442006</v>
      </c>
      <c r="D20543" s="2">
        <v>0.53800000000000003</v>
      </c>
      <c r="E20543" s="2">
        <v>28</v>
      </c>
      <c r="F20543" s="2" t="s">
        <v>12</v>
      </c>
    </row>
    <row r="20544" spans="1:6" ht="25.5">
      <c r="A20544" s="2">
        <v>20541</v>
      </c>
      <c r="B20544" s="2" t="s">
        <v>20611</v>
      </c>
      <c r="C20544" s="2" t="str">
        <f>"09397140"</f>
        <v>09397140</v>
      </c>
      <c r="D20544" s="2">
        <v>0.245</v>
      </c>
      <c r="E20544" s="2">
        <v>12</v>
      </c>
      <c r="F20544" s="2" t="s">
        <v>12</v>
      </c>
    </row>
    <row r="20545" spans="1:6" ht="25.5">
      <c r="A20545" s="2">
        <v>20542</v>
      </c>
      <c r="B20545" s="2" t="s">
        <v>20612</v>
      </c>
      <c r="C20545" s="2" t="str">
        <f>"1432234X"</f>
        <v>1432234X</v>
      </c>
      <c r="D20545" s="2">
        <v>0.41699999999999998</v>
      </c>
      <c r="E20545" s="2">
        <v>24</v>
      </c>
      <c r="F20545" s="2" t="s">
        <v>12</v>
      </c>
    </row>
    <row r="20546" spans="1:6" ht="25.5">
      <c r="A20546" s="2">
        <v>20543</v>
      </c>
      <c r="B20546" s="2" t="s">
        <v>20613</v>
      </c>
      <c r="C20546" s="2" t="str">
        <f>"18632378"</f>
        <v>18632378</v>
      </c>
      <c r="D20546" s="2">
        <v>0.89500000000000002</v>
      </c>
      <c r="E20546" s="2">
        <v>35</v>
      </c>
      <c r="F20546" s="2" t="s">
        <v>16</v>
      </c>
    </row>
    <row r="20547" spans="1:6" ht="25.5">
      <c r="A20547" s="2">
        <v>20544</v>
      </c>
      <c r="B20547" s="2" t="s">
        <v>20614</v>
      </c>
      <c r="C20547" s="2" t="str">
        <f>"16389387"</f>
        <v>16389387</v>
      </c>
      <c r="D20547" s="2">
        <v>0.502</v>
      </c>
      <c r="E20547" s="2">
        <v>13</v>
      </c>
      <c r="F20547" s="2" t="s">
        <v>66</v>
      </c>
    </row>
    <row r="20548" spans="1:6" ht="25.5">
      <c r="A20548" s="2">
        <v>20545</v>
      </c>
      <c r="B20548" s="2" t="s">
        <v>20615</v>
      </c>
      <c r="C20548" s="2" t="str">
        <f>"14351935"</f>
        <v>14351935</v>
      </c>
      <c r="D20548" s="2">
        <v>0.46200000000000002</v>
      </c>
      <c r="E20548" s="2">
        <v>5</v>
      </c>
      <c r="F20548" s="2" t="s">
        <v>12</v>
      </c>
    </row>
    <row r="20549" spans="1:6" ht="25.5">
      <c r="A20549" s="2">
        <v>20546</v>
      </c>
      <c r="B20549" s="2" t="s">
        <v>20616</v>
      </c>
      <c r="C20549" s="2" t="str">
        <f>"11755326"</f>
        <v>11755326</v>
      </c>
      <c r="D20549" s="2">
        <v>0.51</v>
      </c>
      <c r="E20549" s="2">
        <v>33</v>
      </c>
      <c r="F20549" s="2" t="s">
        <v>503</v>
      </c>
    </row>
    <row r="20550" spans="1:6" ht="25.5">
      <c r="A20550" s="2">
        <v>20547</v>
      </c>
      <c r="B20550" s="2" t="s">
        <v>20617</v>
      </c>
      <c r="C20550" s="2" t="str">
        <f>"07987269"</f>
        <v>07987269</v>
      </c>
      <c r="D20550" s="2">
        <v>0.13100000000000001</v>
      </c>
      <c r="E20550" s="2">
        <v>4</v>
      </c>
      <c r="F20550" s="2" t="s">
        <v>40</v>
      </c>
    </row>
    <row r="20551" spans="1:6" ht="25.5">
      <c r="A20551" s="2">
        <v>20548</v>
      </c>
      <c r="B20551" s="2" t="s">
        <v>20618</v>
      </c>
      <c r="C20551" s="2" t="str">
        <f>"03229688"</f>
        <v>03229688</v>
      </c>
      <c r="D20551" s="2">
        <v>0.192</v>
      </c>
      <c r="E20551" s="2">
        <v>2</v>
      </c>
      <c r="F20551" s="2" t="s">
        <v>208</v>
      </c>
    </row>
    <row r="20552" spans="1:6" ht="25.5">
      <c r="A20552" s="2">
        <v>20549</v>
      </c>
      <c r="B20552" s="2" t="s">
        <v>20619</v>
      </c>
      <c r="C20552" s="2" t="str">
        <f>"00445401"</f>
        <v>00445401</v>
      </c>
      <c r="D20552" s="2">
        <v>0.215</v>
      </c>
      <c r="E20552" s="2">
        <v>12</v>
      </c>
      <c r="F20552" s="2" t="s">
        <v>12</v>
      </c>
    </row>
    <row r="20553" spans="1:6" ht="25.5">
      <c r="A20553" s="2">
        <v>20550</v>
      </c>
      <c r="B20553" s="2" t="s">
        <v>20620</v>
      </c>
      <c r="C20553" s="2" t="str">
        <f>"03448657"</f>
        <v>03448657</v>
      </c>
      <c r="D20553" s="2">
        <v>0.219</v>
      </c>
      <c r="E20553" s="2">
        <v>13</v>
      </c>
      <c r="F20553" s="2" t="s">
        <v>12</v>
      </c>
    </row>
    <row r="20554" spans="1:6" ht="25.5">
      <c r="A20554" s="2">
        <v>20551</v>
      </c>
      <c r="B20554" s="2" t="s">
        <v>20621</v>
      </c>
      <c r="C20554" s="2" t="str">
        <f>"09470085"</f>
        <v>09470085</v>
      </c>
      <c r="D20554" s="2">
        <v>0.27100000000000002</v>
      </c>
      <c r="E20554" s="2">
        <v>7</v>
      </c>
      <c r="F20554" s="2" t="s">
        <v>12</v>
      </c>
    </row>
    <row r="20555" spans="1:6" ht="25.5">
      <c r="A20555" s="2">
        <v>20552</v>
      </c>
      <c r="B20555" s="2" t="s">
        <v>20622</v>
      </c>
      <c r="C20555" s="2" t="str">
        <f>"14679744"</f>
        <v>14679744</v>
      </c>
      <c r="D20555" s="2">
        <v>0.21</v>
      </c>
      <c r="E20555" s="2">
        <v>12</v>
      </c>
      <c r="F20555" s="2" t="s">
        <v>16</v>
      </c>
    </row>
    <row r="20556" spans="1:6" ht="25.5">
      <c r="A20556" s="2">
        <v>20553</v>
      </c>
      <c r="B20556" s="2" t="s">
        <v>20623</v>
      </c>
      <c r="C20556" s="2" t="str">
        <f>"14698730"</f>
        <v>14698730</v>
      </c>
      <c r="D20556" s="2">
        <v>0.38500000000000001</v>
      </c>
      <c r="E20556" s="2">
        <v>32</v>
      </c>
      <c r="F20556" s="2" t="s">
        <v>16</v>
      </c>
    </row>
    <row r="20557" spans="1:6" ht="25.5">
      <c r="A20557" s="2">
        <v>20554</v>
      </c>
      <c r="B20557" s="2" t="s">
        <v>20624</v>
      </c>
      <c r="C20557" s="2" t="str">
        <f>"12307483"</f>
        <v>12307483</v>
      </c>
      <c r="D20557" s="2">
        <v>0.185</v>
      </c>
      <c r="E20557" s="2">
        <v>6</v>
      </c>
      <c r="F20557" s="2" t="s">
        <v>169</v>
      </c>
    </row>
    <row r="20558" spans="1:6">
      <c r="A20558" s="3" t="s">
        <v>20625</v>
      </c>
      <c r="B20558" s="3"/>
      <c r="C20558" s="3"/>
      <c r="D20558" s="3"/>
      <c r="E20558" s="3"/>
      <c r="F20558" s="3"/>
    </row>
  </sheetData>
  <mergeCells count="2">
    <mergeCell ref="A1:F1"/>
    <mergeCell ref="A2:F2"/>
  </mergeCells>
  <pageMargins left="0.75" right="0.75" top="1" bottom="1" header="0.5" footer="0.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فهرست نشریات معتبر" ma:contentTypeID="0x0101000DAA65F10467904C9AC23E777CD4455402009989BA1E2EFF8245BC7C618AAB97EF76" ma:contentTypeVersion="0" ma:contentTypeDescription="" ma:contentTypeScope="" ma:versionID="307c243b861fd03af9ff79240db1caf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85030e6b89d6d85dcfdef744bdfc2d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31A695-CC05-4B62-AD44-7F146E61185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4031B1-BF19-4E5A-B878-17463065F3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F9E865-32CC-4691-AA50-98DFDB3B64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SJR : Scientific Journal Rankings</dc:title>
  <dc:creator>Noushin Ilbeigi</dc:creator>
  <cp:lastModifiedBy>naghiloo</cp:lastModifiedBy>
  <dcterms:created xsi:type="dcterms:W3CDTF">2014-05-05T07:36:39Z</dcterms:created>
  <dcterms:modified xsi:type="dcterms:W3CDTF">2014-10-12T11:47:26Z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0x0101000DAA65F10467904C9AC23E777CD4455402009989BA1E2EFF8245BC7C618AAB97EF76</vt:lpwstr>
  </property>
</Properties>
</file>